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Users\barrc2\Desktop\NCDOT INFRA 2021\I-87\"/>
    </mc:Choice>
  </mc:AlternateContent>
  <xr:revisionPtr revIDLastSave="0" documentId="13_ncr:1_{37C46A5F-2904-4792-8610-D67062DEB406}" xr6:coauthVersionLast="45" xr6:coauthVersionMax="45" xr10:uidLastSave="{00000000-0000-0000-0000-000000000000}"/>
  <bookViews>
    <workbookView xWindow="-120" yWindow="-120" windowWidth="29040" windowHeight="15840" tabRatio="934" xr2:uid="{00000000-000D-0000-FFFF-FFFF00000000}"/>
  </bookViews>
  <sheets>
    <sheet name="Summary" sheetId="47" r:id="rId1"/>
    <sheet name="Matrix" sheetId="154" r:id="rId2"/>
    <sheet name="Inputs" sheetId="14" r:id="rId3"/>
    <sheet name="Costs" sheetId="32" r:id="rId4"/>
    <sheet name="I-87_CostTables" sheetId="136" r:id="rId5"/>
    <sheet name="Culverts" sheetId="162" r:id="rId6"/>
    <sheet name="Costs_Resilience" sheetId="134" r:id="rId7"/>
    <sheet name="ICM_ITS_WindCosts" sheetId="163" r:id="rId8"/>
    <sheet name="O&amp;MI-87" sheetId="110" r:id="rId9"/>
    <sheet name="ICM Reliability" sheetId="159" r:id="rId10"/>
    <sheet name="Travel Time Savings" sheetId="72" r:id="rId11"/>
    <sheet name="ConstructionDelay" sheetId="157" r:id="rId12"/>
    <sheet name="TruckOpsSavings" sheetId="92" r:id="rId13"/>
    <sheet name="Reduced Auto Emissions" sheetId="20" r:id="rId14"/>
    <sheet name="Reduced Truck Emissions" sheetId="123" r:id="rId15"/>
    <sheet name="Reduced Crashes" sheetId="127" r:id="rId16"/>
    <sheet name="I-87 DetourSavings" sheetId="153" r:id="rId17"/>
    <sheet name="RepairCostSavings" sheetId="148" r:id="rId18"/>
    <sheet name="Wind_Safety" sheetId="135" r:id="rId19"/>
    <sheet name="Fiber" sheetId="116" r:id="rId20"/>
    <sheet name="Residual" sheetId="54" r:id="rId21"/>
    <sheet name="I-87 Detour Data" sheetId="152" r:id="rId22"/>
    <sheet name="Overall TTS" sheetId="161" r:id="rId23"/>
    <sheet name="PopProjection3" sheetId="117" r:id="rId24"/>
    <sheet name="PopProjection4" sheetId="118" r:id="rId25"/>
    <sheet name="O&amp;M87_587-58" sheetId="142" r:id="rId26"/>
    <sheet name="O&amp;M87_58-Thom" sheetId="144" r:id="rId27"/>
    <sheet name="O&amp;M87_Thom-Willm" sheetId="143" r:id="rId28"/>
    <sheet name="O&amp;M87_Wendell-264" sheetId="145" r:id="rId29"/>
    <sheet name="O&amp;M87_R-53869AB" sheetId="146" r:id="rId30"/>
    <sheet name="Transportation Electrification" sheetId="160" r:id="rId31"/>
    <sheet name="YOE_tables" sheetId="158" r:id="rId32"/>
    <sheet name="Deflator" sheetId="65"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21">#REF!</definedName>
    <definedName name="\A" localSheetId="16">#REF!</definedName>
    <definedName name="\A" localSheetId="27">#REF!</definedName>
    <definedName name="\A" localSheetId="15">#REF!</definedName>
    <definedName name="\A" localSheetId="14">#REF!</definedName>
    <definedName name="\A" localSheetId="10">#REF!</definedName>
    <definedName name="\A">#REF!</definedName>
    <definedName name="\B" localSheetId="21">#REF!</definedName>
    <definedName name="\B" localSheetId="16">#REF!</definedName>
    <definedName name="\B" localSheetId="27">#REF!</definedName>
    <definedName name="\B" localSheetId="15">#REF!</definedName>
    <definedName name="\B" localSheetId="14">#REF!</definedName>
    <definedName name="\B">#REF!</definedName>
    <definedName name="\p" localSheetId="21">#REF!</definedName>
    <definedName name="\p" localSheetId="16">#REF!</definedName>
    <definedName name="\p" localSheetId="27">#REF!</definedName>
    <definedName name="\p" localSheetId="15">#REF!</definedName>
    <definedName name="\p" localSheetId="14">#REF!</definedName>
    <definedName name="\p">#REF!</definedName>
    <definedName name="\S" localSheetId="21">#REF!</definedName>
    <definedName name="\S" localSheetId="16">#REF!</definedName>
    <definedName name="\S" localSheetId="27">#REF!</definedName>
    <definedName name="\S" localSheetId="15">#REF!</definedName>
    <definedName name="\S" localSheetId="14">#REF!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 localSheetId="21">#REF!</definedName>
    <definedName name="____________RG1" localSheetId="16">#REF!</definedName>
    <definedName name="____________RG1" localSheetId="27">#REF!</definedName>
    <definedName name="____________RG1" localSheetId="15">#REF!</definedName>
    <definedName name="____________RG1" localSheetId="14">#REF!</definedName>
    <definedName name="____________RG1" localSheetId="10">#REF!</definedName>
    <definedName name="____________RG1">#REF!</definedName>
    <definedName name="____________RG2" localSheetId="21">#REF!</definedName>
    <definedName name="____________RG2" localSheetId="16">#REF!</definedName>
    <definedName name="____________RG2" localSheetId="27">#REF!</definedName>
    <definedName name="____________RG2" localSheetId="15">#REF!</definedName>
    <definedName name="____________RG2" localSheetId="14">#REF!</definedName>
    <definedName name="____________RG2" localSheetId="10">#REF!</definedName>
    <definedName name="____________RG2">#REF!</definedName>
    <definedName name="____________RG3" localSheetId="21">#REF!</definedName>
    <definedName name="____________RG3" localSheetId="16">#REF!</definedName>
    <definedName name="____________RG3" localSheetId="27">#REF!</definedName>
    <definedName name="____________RG3" localSheetId="15">#REF!</definedName>
    <definedName name="____________RG3" localSheetId="14">#REF!</definedName>
    <definedName name="____________RG3" localSheetId="10">#REF!</definedName>
    <definedName name="____________RG3">#REF!</definedName>
    <definedName name="____________RG4" localSheetId="21">#REF!</definedName>
    <definedName name="____________RG4" localSheetId="16">#REF!</definedName>
    <definedName name="____________RG4" localSheetId="27">#REF!</definedName>
    <definedName name="____________RG4" localSheetId="15">#REF!</definedName>
    <definedName name="____________RG4" localSheetId="14">#REF!</definedName>
    <definedName name="____________RG4">#REF!</definedName>
    <definedName name="___________ALL2">'[1]A-11a Balance Sheet Recons'!$B$11:$J$42</definedName>
    <definedName name="___________RG1" localSheetId="21">#REF!</definedName>
    <definedName name="___________RG1" localSheetId="16">#REF!</definedName>
    <definedName name="___________RG1" localSheetId="27">#REF!</definedName>
    <definedName name="___________RG1" localSheetId="15">#REF!</definedName>
    <definedName name="___________RG1" localSheetId="14">#REF!</definedName>
    <definedName name="___________RG1" localSheetId="10">#REF!</definedName>
    <definedName name="___________RG1">#REF!</definedName>
    <definedName name="___________RG2" localSheetId="21">#REF!</definedName>
    <definedName name="___________RG2" localSheetId="16">#REF!</definedName>
    <definedName name="___________RG2" localSheetId="27">#REF!</definedName>
    <definedName name="___________RG2" localSheetId="15">#REF!</definedName>
    <definedName name="___________RG2" localSheetId="14">#REF!</definedName>
    <definedName name="___________RG2" localSheetId="10">#REF!</definedName>
    <definedName name="___________RG2">#REF!</definedName>
    <definedName name="___________RG3" localSheetId="21">#REF!</definedName>
    <definedName name="___________RG3" localSheetId="16">#REF!</definedName>
    <definedName name="___________RG3" localSheetId="27">#REF!</definedName>
    <definedName name="___________RG3" localSheetId="15">#REF!</definedName>
    <definedName name="___________RG3" localSheetId="14">#REF!</definedName>
    <definedName name="___________RG3" localSheetId="10">#REF!</definedName>
    <definedName name="___________RG3">#REF!</definedName>
    <definedName name="___________RG4" localSheetId="21">#REF!</definedName>
    <definedName name="___________RG4" localSheetId="16">#REF!</definedName>
    <definedName name="___________RG4" localSheetId="27">#REF!</definedName>
    <definedName name="___________RG4" localSheetId="15">#REF!</definedName>
    <definedName name="___________RG4" localSheetId="14">#REF!</definedName>
    <definedName name="___________RG4">#REF!</definedName>
    <definedName name="__________ALL2">'[1]A-11a Balance Sheet Recons'!$B$11:$J$42</definedName>
    <definedName name="__________RG1" localSheetId="21">#REF!</definedName>
    <definedName name="__________RG1" localSheetId="16">#REF!</definedName>
    <definedName name="__________RG1" localSheetId="27">#REF!</definedName>
    <definedName name="__________RG1" localSheetId="15">#REF!</definedName>
    <definedName name="__________RG1" localSheetId="14">#REF!</definedName>
    <definedName name="__________RG1" localSheetId="10">#REF!</definedName>
    <definedName name="__________RG1">#REF!</definedName>
    <definedName name="__________RG2" localSheetId="21">#REF!</definedName>
    <definedName name="__________RG2" localSheetId="16">#REF!</definedName>
    <definedName name="__________RG2" localSheetId="27">#REF!</definedName>
    <definedName name="__________RG2" localSheetId="15">#REF!</definedName>
    <definedName name="__________RG2" localSheetId="14">#REF!</definedName>
    <definedName name="__________RG2" localSheetId="10">#REF!</definedName>
    <definedName name="__________RG2">#REF!</definedName>
    <definedName name="__________RG3" localSheetId="21">#REF!</definedName>
    <definedName name="__________RG3" localSheetId="16">#REF!</definedName>
    <definedName name="__________RG3" localSheetId="27">#REF!</definedName>
    <definedName name="__________RG3" localSheetId="15">#REF!</definedName>
    <definedName name="__________RG3" localSheetId="14">#REF!</definedName>
    <definedName name="__________RG3" localSheetId="10">#REF!</definedName>
    <definedName name="__________RG3">#REF!</definedName>
    <definedName name="__________RG4" localSheetId="21">#REF!</definedName>
    <definedName name="__________RG4" localSheetId="16">#REF!</definedName>
    <definedName name="__________RG4" localSheetId="27">#REF!</definedName>
    <definedName name="__________RG4" localSheetId="15">#REF!</definedName>
    <definedName name="__________RG4" localSheetId="14">#REF!</definedName>
    <definedName name="__________RG4">#REF!</definedName>
    <definedName name="_________ALL2">'[1]A-11a Balance Sheet Recons'!$B$11:$J$42</definedName>
    <definedName name="_________RG1" localSheetId="21">#REF!</definedName>
    <definedName name="_________RG1" localSheetId="16">#REF!</definedName>
    <definedName name="_________RG1" localSheetId="27">#REF!</definedName>
    <definedName name="_________RG1" localSheetId="15">#REF!</definedName>
    <definedName name="_________RG1" localSheetId="14">#REF!</definedName>
    <definedName name="_________RG1" localSheetId="10">#REF!</definedName>
    <definedName name="_________RG1">#REF!</definedName>
    <definedName name="_________RG2" localSheetId="21">#REF!</definedName>
    <definedName name="_________RG2" localSheetId="16">#REF!</definedName>
    <definedName name="_________RG2" localSheetId="27">#REF!</definedName>
    <definedName name="_________RG2" localSheetId="15">#REF!</definedName>
    <definedName name="_________RG2" localSheetId="14">#REF!</definedName>
    <definedName name="_________RG2" localSheetId="10">#REF!</definedName>
    <definedName name="_________RG2">#REF!</definedName>
    <definedName name="_________RG3" localSheetId="21">#REF!</definedName>
    <definedName name="_________RG3" localSheetId="16">#REF!</definedName>
    <definedName name="_________RG3" localSheetId="27">#REF!</definedName>
    <definedName name="_________RG3" localSheetId="15">#REF!</definedName>
    <definedName name="_________RG3" localSheetId="14">#REF!</definedName>
    <definedName name="_________RG3" localSheetId="10">#REF!</definedName>
    <definedName name="_________RG3">#REF!</definedName>
    <definedName name="_________RG4" localSheetId="21">#REF!</definedName>
    <definedName name="_________RG4" localSheetId="16">#REF!</definedName>
    <definedName name="_________RG4" localSheetId="27">#REF!</definedName>
    <definedName name="_________RG4" localSheetId="15">#REF!</definedName>
    <definedName name="_________RG4" localSheetId="14">#REF!</definedName>
    <definedName name="_________RG4">#REF!</definedName>
    <definedName name="________ALL2">'[1]A-11a Balance Sheet Recons'!$B$11:$J$42</definedName>
    <definedName name="________RG1" localSheetId="21">#REF!</definedName>
    <definedName name="________RG1" localSheetId="16">#REF!</definedName>
    <definedName name="________RG1" localSheetId="27">#REF!</definedName>
    <definedName name="________RG1" localSheetId="15">#REF!</definedName>
    <definedName name="________RG1" localSheetId="14">#REF!</definedName>
    <definedName name="________RG1" localSheetId="10">#REF!</definedName>
    <definedName name="________RG1">#REF!</definedName>
    <definedName name="________RG2" localSheetId="21">#REF!</definedName>
    <definedName name="________RG2" localSheetId="16">#REF!</definedName>
    <definedName name="________RG2" localSheetId="27">#REF!</definedName>
    <definedName name="________RG2" localSheetId="15">#REF!</definedName>
    <definedName name="________RG2" localSheetId="14">#REF!</definedName>
    <definedName name="________RG2" localSheetId="10">#REF!</definedName>
    <definedName name="________RG2">#REF!</definedName>
    <definedName name="________RG3" localSheetId="21">#REF!</definedName>
    <definedName name="________RG3" localSheetId="16">#REF!</definedName>
    <definedName name="________RG3" localSheetId="27">#REF!</definedName>
    <definedName name="________RG3" localSheetId="15">#REF!</definedName>
    <definedName name="________RG3" localSheetId="14">#REF!</definedName>
    <definedName name="________RG3" localSheetId="10">#REF!</definedName>
    <definedName name="________RG3">#REF!</definedName>
    <definedName name="________RG4" localSheetId="21">#REF!</definedName>
    <definedName name="________RG4" localSheetId="16">#REF!</definedName>
    <definedName name="________RG4" localSheetId="27">#REF!</definedName>
    <definedName name="________RG4" localSheetId="15">#REF!</definedName>
    <definedName name="________RG4" localSheetId="14">#REF!</definedName>
    <definedName name="________RG4">#REF!</definedName>
    <definedName name="_______ALL2">'[1]A-11a Balance Sheet Recons'!$B$11:$J$42</definedName>
    <definedName name="_______RG1" localSheetId="21">#REF!</definedName>
    <definedName name="_______RG1" localSheetId="16">#REF!</definedName>
    <definedName name="_______RG1" localSheetId="27">#REF!</definedName>
    <definedName name="_______RG1" localSheetId="15">#REF!</definedName>
    <definedName name="_______RG1" localSheetId="14">#REF!</definedName>
    <definedName name="_______RG1" localSheetId="10">#REF!</definedName>
    <definedName name="_______RG1">#REF!</definedName>
    <definedName name="_______RG2" localSheetId="21">#REF!</definedName>
    <definedName name="_______RG2" localSheetId="16">#REF!</definedName>
    <definedName name="_______RG2" localSheetId="27">#REF!</definedName>
    <definedName name="_______RG2" localSheetId="15">#REF!</definedName>
    <definedName name="_______RG2" localSheetId="14">#REF!</definedName>
    <definedName name="_______RG2" localSheetId="10">#REF!</definedName>
    <definedName name="_______RG2">#REF!</definedName>
    <definedName name="_______RG3" localSheetId="21">#REF!</definedName>
    <definedName name="_______RG3" localSheetId="16">#REF!</definedName>
    <definedName name="_______RG3" localSheetId="27">#REF!</definedName>
    <definedName name="_______RG3" localSheetId="15">#REF!</definedName>
    <definedName name="_______RG3" localSheetId="14">#REF!</definedName>
    <definedName name="_______RG3" localSheetId="10">#REF!</definedName>
    <definedName name="_______RG3">#REF!</definedName>
    <definedName name="_______RG4" localSheetId="21">#REF!</definedName>
    <definedName name="_______RG4" localSheetId="16">#REF!</definedName>
    <definedName name="_______RG4" localSheetId="27">#REF!</definedName>
    <definedName name="_______RG4" localSheetId="15">#REF!</definedName>
    <definedName name="_______RG4" localSheetId="14">#REF!</definedName>
    <definedName name="_______RG4">#REF!</definedName>
    <definedName name="______ALL2">'[1]A-11a Balance Sheet Recons'!$B$11:$J$42</definedName>
    <definedName name="______RG1" localSheetId="21">#REF!</definedName>
    <definedName name="______RG1" localSheetId="16">#REF!</definedName>
    <definedName name="______RG1" localSheetId="27">#REF!</definedName>
    <definedName name="______RG1" localSheetId="15">#REF!</definedName>
    <definedName name="______RG1" localSheetId="14">#REF!</definedName>
    <definedName name="______RG1" localSheetId="10">#REF!</definedName>
    <definedName name="______RG1">#REF!</definedName>
    <definedName name="______RG2" localSheetId="21">#REF!</definedName>
    <definedName name="______RG2" localSheetId="16">#REF!</definedName>
    <definedName name="______RG2" localSheetId="27">#REF!</definedName>
    <definedName name="______RG2" localSheetId="15">#REF!</definedName>
    <definedName name="______RG2" localSheetId="14">#REF!</definedName>
    <definedName name="______RG2" localSheetId="10">#REF!</definedName>
    <definedName name="______RG2">#REF!</definedName>
    <definedName name="______RG3" localSheetId="21">#REF!</definedName>
    <definedName name="______RG3" localSheetId="16">#REF!</definedName>
    <definedName name="______RG3" localSheetId="27">#REF!</definedName>
    <definedName name="______RG3" localSheetId="15">#REF!</definedName>
    <definedName name="______RG3" localSheetId="14">#REF!</definedName>
    <definedName name="______RG3" localSheetId="10">#REF!</definedName>
    <definedName name="______RG3">#REF!</definedName>
    <definedName name="______RG4" localSheetId="21">#REF!</definedName>
    <definedName name="______RG4" localSheetId="16">#REF!</definedName>
    <definedName name="______RG4" localSheetId="27">#REF!</definedName>
    <definedName name="______RG4" localSheetId="15">#REF!</definedName>
    <definedName name="______RG4" localSheetId="14">#REF!</definedName>
    <definedName name="______RG4">#REF!</definedName>
    <definedName name="_____ALL2">'[1]A-11a Balance Sheet Recons'!$B$11:$J$42</definedName>
    <definedName name="_____RG1" localSheetId="21">#REF!</definedName>
    <definedName name="_____RG1" localSheetId="16">#REF!</definedName>
    <definedName name="_____RG1" localSheetId="27">#REF!</definedName>
    <definedName name="_____RG1" localSheetId="15">#REF!</definedName>
    <definedName name="_____RG1" localSheetId="14">#REF!</definedName>
    <definedName name="_____RG1" localSheetId="10">#REF!</definedName>
    <definedName name="_____RG1">#REF!</definedName>
    <definedName name="_____RG2" localSheetId="21">#REF!</definedName>
    <definedName name="_____RG2" localSheetId="16">#REF!</definedName>
    <definedName name="_____RG2" localSheetId="27">#REF!</definedName>
    <definedName name="_____RG2" localSheetId="15">#REF!</definedName>
    <definedName name="_____RG2" localSheetId="14">#REF!</definedName>
    <definedName name="_____RG2" localSheetId="10">#REF!</definedName>
    <definedName name="_____RG2">#REF!</definedName>
    <definedName name="_____RG3" localSheetId="21">#REF!</definedName>
    <definedName name="_____RG3" localSheetId="16">#REF!</definedName>
    <definedName name="_____RG3" localSheetId="27">#REF!</definedName>
    <definedName name="_____RG3" localSheetId="15">#REF!</definedName>
    <definedName name="_____RG3" localSheetId="14">#REF!</definedName>
    <definedName name="_____RG3" localSheetId="10">#REF!</definedName>
    <definedName name="_____RG3">#REF!</definedName>
    <definedName name="_____RG4" localSheetId="21">#REF!</definedName>
    <definedName name="_____RG4" localSheetId="16">#REF!</definedName>
    <definedName name="_____RG4" localSheetId="27">#REF!</definedName>
    <definedName name="_____RG4" localSheetId="15">#REF!</definedName>
    <definedName name="_____RG4" localSheetId="14">#REF!</definedName>
    <definedName name="_____RG4">#REF!</definedName>
    <definedName name="____ALL2">'[1]A-11a Balance Sheet Recons'!$B$11:$J$42</definedName>
    <definedName name="____RG1" localSheetId="21">#REF!</definedName>
    <definedName name="____RG1" localSheetId="16">#REF!</definedName>
    <definedName name="____RG1" localSheetId="27">#REF!</definedName>
    <definedName name="____RG1" localSheetId="15">#REF!</definedName>
    <definedName name="____RG1" localSheetId="14">#REF!</definedName>
    <definedName name="____RG1" localSheetId="10">#REF!</definedName>
    <definedName name="____RG1">#REF!</definedName>
    <definedName name="____RG2" localSheetId="21">#REF!</definedName>
    <definedName name="____RG2" localSheetId="16">#REF!</definedName>
    <definedName name="____RG2" localSheetId="27">#REF!</definedName>
    <definedName name="____RG2" localSheetId="15">#REF!</definedName>
    <definedName name="____RG2" localSheetId="14">#REF!</definedName>
    <definedName name="____RG2" localSheetId="10">#REF!</definedName>
    <definedName name="____RG2">#REF!</definedName>
    <definedName name="____RG3" localSheetId="21">#REF!</definedName>
    <definedName name="____RG3" localSheetId="16">#REF!</definedName>
    <definedName name="____RG3" localSheetId="27">#REF!</definedName>
    <definedName name="____RG3" localSheetId="15">#REF!</definedName>
    <definedName name="____RG3" localSheetId="14">#REF!</definedName>
    <definedName name="____RG3" localSheetId="10">#REF!</definedName>
    <definedName name="____RG3">#REF!</definedName>
    <definedName name="____RG4" localSheetId="21">#REF!</definedName>
    <definedName name="____RG4" localSheetId="16">#REF!</definedName>
    <definedName name="____RG4" localSheetId="27">#REF!</definedName>
    <definedName name="____RG4" localSheetId="15">#REF!</definedName>
    <definedName name="____RG4" localSheetId="14">#REF!</definedName>
    <definedName name="____RG4">#REF!</definedName>
    <definedName name="___ALL2">'[1]A-11a Balance Sheet Recons'!$B$11:$J$42</definedName>
    <definedName name="___RG1" localSheetId="21">#REF!</definedName>
    <definedName name="___RG1" localSheetId="16">#REF!</definedName>
    <definedName name="___RG1" localSheetId="27">#REF!</definedName>
    <definedName name="___RG1" localSheetId="15">#REF!</definedName>
    <definedName name="___RG1" localSheetId="14">#REF!</definedName>
    <definedName name="___RG1" localSheetId="10">#REF!</definedName>
    <definedName name="___RG1">#REF!</definedName>
    <definedName name="___RG2" localSheetId="21">#REF!</definedName>
    <definedName name="___RG2" localSheetId="16">#REF!</definedName>
    <definedName name="___RG2" localSheetId="27">#REF!</definedName>
    <definedName name="___RG2" localSheetId="15">#REF!</definedName>
    <definedName name="___RG2" localSheetId="14">#REF!</definedName>
    <definedName name="___RG2" localSheetId="10">#REF!</definedName>
    <definedName name="___RG2">#REF!</definedName>
    <definedName name="___RG3" localSheetId="21">#REF!</definedName>
    <definedName name="___RG3" localSheetId="16">#REF!</definedName>
    <definedName name="___RG3" localSheetId="27">#REF!</definedName>
    <definedName name="___RG3" localSheetId="15">#REF!</definedName>
    <definedName name="___RG3" localSheetId="14">#REF!</definedName>
    <definedName name="___RG3" localSheetId="10">#REF!</definedName>
    <definedName name="___RG3">#REF!</definedName>
    <definedName name="___RG4" localSheetId="21">#REF!</definedName>
    <definedName name="___RG4" localSheetId="16">#REF!</definedName>
    <definedName name="___RG4" localSheetId="27">#REF!</definedName>
    <definedName name="___RG4" localSheetId="15">#REF!</definedName>
    <definedName name="___RG4" localSheetId="14">#REF!</definedName>
    <definedName name="___RG4">#REF!</definedName>
    <definedName name="__ALL2">'[1]A-11a Balance Sheet Recons'!$B$11:$J$42</definedName>
    <definedName name="__RG1" localSheetId="21">#REF!</definedName>
    <definedName name="__RG1" localSheetId="16">#REF!</definedName>
    <definedName name="__RG1" localSheetId="27">#REF!</definedName>
    <definedName name="__RG1" localSheetId="15">#REF!</definedName>
    <definedName name="__RG1" localSheetId="14">#REF!</definedName>
    <definedName name="__RG1" localSheetId="10">#REF!</definedName>
    <definedName name="__RG1">#REF!</definedName>
    <definedName name="__RG2" localSheetId="21">#REF!</definedName>
    <definedName name="__RG2" localSheetId="16">#REF!</definedName>
    <definedName name="__RG2" localSheetId="27">#REF!</definedName>
    <definedName name="__RG2" localSheetId="15">#REF!</definedName>
    <definedName name="__RG2" localSheetId="14">#REF!</definedName>
    <definedName name="__RG2" localSheetId="10">#REF!</definedName>
    <definedName name="__RG2">#REF!</definedName>
    <definedName name="__RG3" localSheetId="21">#REF!</definedName>
    <definedName name="__RG3" localSheetId="16">#REF!</definedName>
    <definedName name="__RG3" localSheetId="27">#REF!</definedName>
    <definedName name="__RG3" localSheetId="15">#REF!</definedName>
    <definedName name="__RG3" localSheetId="14">#REF!</definedName>
    <definedName name="__RG3" localSheetId="10">#REF!</definedName>
    <definedName name="__RG3">#REF!</definedName>
    <definedName name="__RG4" localSheetId="21">#REF!</definedName>
    <definedName name="__RG4" localSheetId="16">#REF!</definedName>
    <definedName name="__RG4" localSheetId="27">#REF!</definedName>
    <definedName name="__RG4" localSheetId="15">#REF!</definedName>
    <definedName name="__RG4" localSheetId="14">#REF!</definedName>
    <definedName name="__RG4">#REF!</definedName>
    <definedName name="_12_MONTHS" localSheetId="21">#REF!</definedName>
    <definedName name="_12_MONTHS" localSheetId="16">#REF!</definedName>
    <definedName name="_12_MONTHS" localSheetId="27">#REF!</definedName>
    <definedName name="_12_MONTHS" localSheetId="15">#REF!</definedName>
    <definedName name="_12_MONTHS" localSheetId="14">#REF!</definedName>
    <definedName name="_12_MONTHS">#REF!</definedName>
    <definedName name="_12_PAGE_25MO" localSheetId="21">#REF!</definedName>
    <definedName name="_12_PAGE_25MO" localSheetId="16">#REF!</definedName>
    <definedName name="_12_PAGE_25MO" localSheetId="27">#REF!</definedName>
    <definedName name="_12_PAGE_25MO" localSheetId="15">#REF!</definedName>
    <definedName name="_12_PAGE_25MO" localSheetId="14">#REF!</definedName>
    <definedName name="_12_PAGE_25MO">#REF!</definedName>
    <definedName name="_ALL2">'[1]A-11a Balance Sheet Recons'!$B$11:$J$42</definedName>
    <definedName name="_COW1" localSheetId="21">#REF!</definedName>
    <definedName name="_COW1" localSheetId="16">#REF!</definedName>
    <definedName name="_COW1" localSheetId="9">#REF!</definedName>
    <definedName name="_COW1" localSheetId="27">#REF!</definedName>
    <definedName name="_COW1" localSheetId="15">#REF!</definedName>
    <definedName name="_COW1" localSheetId="14">#REF!</definedName>
    <definedName name="_COW1">#REF!</definedName>
    <definedName name="_COW2" localSheetId="21">#REF!</definedName>
    <definedName name="_COW2" localSheetId="16">#REF!</definedName>
    <definedName name="_COW2" localSheetId="27">#REF!</definedName>
    <definedName name="_COW2" localSheetId="15">#REF!</definedName>
    <definedName name="_COW2" localSheetId="14">#REF!</definedName>
    <definedName name="_COW2">#REF!</definedName>
    <definedName name="_Fill" localSheetId="21" hidden="1">#REF!</definedName>
    <definedName name="_Fill" localSheetId="16" hidden="1">#REF!</definedName>
    <definedName name="_Fill" localSheetId="27" hidden="1">#REF!</definedName>
    <definedName name="_Fill" localSheetId="15" hidden="1">#REF!</definedName>
    <definedName name="_Fill" localSheetId="14" hidden="1">#REF!</definedName>
    <definedName name="_Fill" hidden="1">#REF!</definedName>
    <definedName name="_ftn1" localSheetId="21">'I-87 Detour Data'!#REF!</definedName>
    <definedName name="_ftnref1" localSheetId="21">'I-87 Detour Data'!#REF!</definedName>
    <definedName name="_Hlk31622396" localSheetId="22">'Overall TTS'!$A$2</definedName>
    <definedName name="_Key1" localSheetId="21" hidden="1">'[2]Journal Entry'!#REF!</definedName>
    <definedName name="_Key1" localSheetId="16" hidden="1">'[2]Journal Entry'!#REF!</definedName>
    <definedName name="_Key1" localSheetId="9" hidden="1">'[3]Journal Entry'!#REF!</definedName>
    <definedName name="_Key1" localSheetId="27" hidden="1">'[2]Journal Entry'!#REF!</definedName>
    <definedName name="_Key1" localSheetId="15" hidden="1">'[2]Journal Entry'!#REF!</definedName>
    <definedName name="_Key1" localSheetId="14" hidden="1">'[2]Journal Entry'!#REF!</definedName>
    <definedName name="_Key1" localSheetId="10" hidden="1">'[4]Journal Entry'!#REF!</definedName>
    <definedName name="_Key1" hidden="1">'[2]Journal Entry'!#REF!</definedName>
    <definedName name="_Key2" localSheetId="21" hidden="1">'[2]Journal Entry'!#REF!</definedName>
    <definedName name="_Key2" localSheetId="16" hidden="1">'[2]Journal Entry'!#REF!</definedName>
    <definedName name="_Key2" localSheetId="9" hidden="1">'[3]Journal Entry'!#REF!</definedName>
    <definedName name="_Key2" localSheetId="27" hidden="1">'[2]Journal Entry'!#REF!</definedName>
    <definedName name="_Key2" localSheetId="14" hidden="1">'[2]Journal Entry'!#REF!</definedName>
    <definedName name="_Key2" localSheetId="10" hidden="1">'[4]Journal Entry'!#REF!</definedName>
    <definedName name="_Key2" hidden="1">'[2]Journal Entry'!#REF!</definedName>
    <definedName name="_Order1" hidden="1">255</definedName>
    <definedName name="_Order2" hidden="1">255</definedName>
    <definedName name="_ppp1" localSheetId="21">#REF!</definedName>
    <definedName name="_ppp1" localSheetId="16">#REF!</definedName>
    <definedName name="_ppp1" localSheetId="9">#REF!</definedName>
    <definedName name="_ppp1" localSheetId="27">#REF!</definedName>
    <definedName name="_ppp1" localSheetId="15">#REF!</definedName>
    <definedName name="_ppp1" localSheetId="14">#REF!</definedName>
    <definedName name="_ppp1">#REF!</definedName>
    <definedName name="_ppp2" localSheetId="21">#REF!</definedName>
    <definedName name="_ppp2" localSheetId="16">#REF!</definedName>
    <definedName name="_ppp2" localSheetId="27">#REF!</definedName>
    <definedName name="_ppp2" localSheetId="15">#REF!</definedName>
    <definedName name="_ppp2" localSheetId="14">#REF!</definedName>
    <definedName name="_ppp2">#REF!</definedName>
    <definedName name="_ppp3" localSheetId="21">#REF!</definedName>
    <definedName name="_ppp3" localSheetId="16">#REF!</definedName>
    <definedName name="_ppp3" localSheetId="27">#REF!</definedName>
    <definedName name="_ppp3" localSheetId="15">#REF!</definedName>
    <definedName name="_ppp3" localSheetId="14">#REF!</definedName>
    <definedName name="_ppp3">#REF!</definedName>
    <definedName name="_RG1" localSheetId="21">#REF!</definedName>
    <definedName name="_RG1" localSheetId="16">#REF!</definedName>
    <definedName name="_RG1" localSheetId="27">#REF!</definedName>
    <definedName name="_RG1" localSheetId="15">#REF!</definedName>
    <definedName name="_RG1" localSheetId="14">#REF!</definedName>
    <definedName name="_RG1" localSheetId="10">#REF!</definedName>
    <definedName name="_RG1">#REF!</definedName>
    <definedName name="_RG2" localSheetId="21">#REF!</definedName>
    <definedName name="_RG2" localSheetId="16">#REF!</definedName>
    <definedName name="_RG2" localSheetId="27">#REF!</definedName>
    <definedName name="_RG2" localSheetId="15">#REF!</definedName>
    <definedName name="_RG2" localSheetId="14">#REF!</definedName>
    <definedName name="_RG2">#REF!</definedName>
    <definedName name="_RG3" localSheetId="21">#REF!</definedName>
    <definedName name="_RG3" localSheetId="16">#REF!</definedName>
    <definedName name="_RG3" localSheetId="27">#REF!</definedName>
    <definedName name="_RG3" localSheetId="15">#REF!</definedName>
    <definedName name="_RG3" localSheetId="14">#REF!</definedName>
    <definedName name="_RG3">#REF!</definedName>
    <definedName name="_RG4" localSheetId="21">#REF!</definedName>
    <definedName name="_RG4" localSheetId="16">#REF!</definedName>
    <definedName name="_RG4" localSheetId="27">#REF!</definedName>
    <definedName name="_RG4" localSheetId="15">#REF!</definedName>
    <definedName name="_RG4" localSheetId="14">#REF!</definedName>
    <definedName name="_RG4">#REF!</definedName>
    <definedName name="_ST1" localSheetId="21">#REF!</definedName>
    <definedName name="_ST1" localSheetId="16">#REF!</definedName>
    <definedName name="_ST1" localSheetId="27">#REF!</definedName>
    <definedName name="_ST1" localSheetId="15">#REF!</definedName>
    <definedName name="_ST1" localSheetId="14">#REF!</definedName>
    <definedName name="_ST1">#REF!</definedName>
    <definedName name="_ST2" localSheetId="21">#REF!</definedName>
    <definedName name="_ST2" localSheetId="16">#REF!</definedName>
    <definedName name="_ST2" localSheetId="27">#REF!</definedName>
    <definedName name="_ST2" localSheetId="15">#REF!</definedName>
    <definedName name="_ST2" localSheetId="14">#REF!</definedName>
    <definedName name="_ST2">#REF!</definedName>
    <definedName name="_SUB1" localSheetId="21">#REF!</definedName>
    <definedName name="_SUB1" localSheetId="16">#REF!</definedName>
    <definedName name="_SUB1" localSheetId="27">#REF!</definedName>
    <definedName name="_SUB1" localSheetId="15">#REF!</definedName>
    <definedName name="_SUB1" localSheetId="14">#REF!</definedName>
    <definedName name="_SUB1">#REF!</definedName>
    <definedName name="_SUB2" localSheetId="21">#REF!</definedName>
    <definedName name="_SUB2" localSheetId="16">#REF!</definedName>
    <definedName name="_SUB2" localSheetId="27">#REF!</definedName>
    <definedName name="_SUB2" localSheetId="15">#REF!</definedName>
    <definedName name="_SUB2" localSheetId="14">#REF!</definedName>
    <definedName name="_SUB2">#REF!</definedName>
    <definedName name="_SUB3" localSheetId="21">#REF!</definedName>
    <definedName name="_SUB3" localSheetId="16">#REF!</definedName>
    <definedName name="_SUB3" localSheetId="27">#REF!</definedName>
    <definedName name="_SUB3" localSheetId="15">#REF!</definedName>
    <definedName name="_SUB3" localSheetId="14">#REF!</definedName>
    <definedName name="_SUB3">#REF!</definedName>
    <definedName name="_SUB4" localSheetId="21">#REF!</definedName>
    <definedName name="_SUB4" localSheetId="16">#REF!</definedName>
    <definedName name="_SUB4" localSheetId="27">#REF!</definedName>
    <definedName name="_SUB4" localSheetId="15">#REF!</definedName>
    <definedName name="_SUB4" localSheetId="14">#REF!</definedName>
    <definedName name="_SUB4">#REF!</definedName>
    <definedName name="_SUB5" localSheetId="21">#REF!</definedName>
    <definedName name="_SUB5" localSheetId="16">#REF!</definedName>
    <definedName name="_SUB5" localSheetId="27">#REF!</definedName>
    <definedName name="_SUB5" localSheetId="15">#REF!</definedName>
    <definedName name="_SUB5" localSheetId="14">#REF!</definedName>
    <definedName name="_SUB5">#REF!</definedName>
    <definedName name="_SUB6" localSheetId="21">#REF!</definedName>
    <definedName name="_SUB6" localSheetId="16">#REF!</definedName>
    <definedName name="_SUB6" localSheetId="27">#REF!</definedName>
    <definedName name="_SUB6" localSheetId="15">#REF!</definedName>
    <definedName name="_SUB6" localSheetId="14">#REF!</definedName>
    <definedName name="_SUB6">#REF!</definedName>
    <definedName name="_SUB8" localSheetId="21">#REF!</definedName>
    <definedName name="_SUB8" localSheetId="16">#REF!</definedName>
    <definedName name="_SUB8" localSheetId="27">#REF!</definedName>
    <definedName name="_SUB8" localSheetId="15">#REF!</definedName>
    <definedName name="_SUB8" localSheetId="14">#REF!</definedName>
    <definedName name="_SUB8">#REF!</definedName>
    <definedName name="_SW1" localSheetId="21">#REF!</definedName>
    <definedName name="_SW1" localSheetId="16">#REF!</definedName>
    <definedName name="_SW1" localSheetId="27">#REF!</definedName>
    <definedName name="_SW1" localSheetId="15">#REF!</definedName>
    <definedName name="_SW1" localSheetId="14">#REF!</definedName>
    <definedName name="_SW1">#REF!</definedName>
    <definedName name="_SW2" localSheetId="21">#REF!</definedName>
    <definedName name="_SW2" localSheetId="16">#REF!</definedName>
    <definedName name="_SW2" localSheetId="27">#REF!</definedName>
    <definedName name="_SW2" localSheetId="15">#REF!</definedName>
    <definedName name="_SW2" localSheetId="14">#REF!</definedName>
    <definedName name="_SW2">#REF!</definedName>
    <definedName name="_Toc436992226" localSheetId="21">'I-87 Detour Data'!#REF!</definedName>
    <definedName name="AADTGrowth" localSheetId="9">[5]Assumptions!$C$3</definedName>
    <definedName name="AADTGrowth" localSheetId="10">[6]Assumptions!$C$3</definedName>
    <definedName name="AADTGrowth">[7]Assumptions!$C$3</definedName>
    <definedName name="ABBREV_DATE" localSheetId="21">#REF!</definedName>
    <definedName name="ABBREV_DATE" localSheetId="16">#REF!</definedName>
    <definedName name="ABBREV_DATE" localSheetId="27">#REF!</definedName>
    <definedName name="ABBREV_DATE" localSheetId="15">#REF!</definedName>
    <definedName name="ABBREV_DATE" localSheetId="14">#REF!</definedName>
    <definedName name="ABBREV_DATE" localSheetId="10">#REF!</definedName>
    <definedName name="ABBREV_DATE">#REF!</definedName>
    <definedName name="Adds" localSheetId="21">#REF!</definedName>
    <definedName name="Adds" localSheetId="16">#REF!</definedName>
    <definedName name="Adds" localSheetId="27">#REF!</definedName>
    <definedName name="Adds" localSheetId="15">#REF!</definedName>
    <definedName name="Adds" localSheetId="14">#REF!</definedName>
    <definedName name="Adds" localSheetId="10">#REF!</definedName>
    <definedName name="Adds">#REF!</definedName>
    <definedName name="ASSIGN" localSheetId="21">#REF!</definedName>
    <definedName name="ASSIGN" localSheetId="16">#REF!</definedName>
    <definedName name="ASSIGN" localSheetId="27">#REF!</definedName>
    <definedName name="ASSIGN" localSheetId="15">#REF!</definedName>
    <definedName name="ASSIGN" localSheetId="14">#REF!</definedName>
    <definedName name="ASSIGN" localSheetId="10">#REF!</definedName>
    <definedName name="ASSIGN">#REF!</definedName>
    <definedName name="B_4" localSheetId="21">#REF!</definedName>
    <definedName name="B_4" localSheetId="16">#REF!</definedName>
    <definedName name="B_4" localSheetId="27">#REF!</definedName>
    <definedName name="B_4" localSheetId="15">#REF!</definedName>
    <definedName name="B_4" localSheetId="14">#REF!</definedName>
    <definedName name="B_4">#REF!</definedName>
    <definedName name="B_5" localSheetId="21">#REF!</definedName>
    <definedName name="B_5" localSheetId="16">#REF!</definedName>
    <definedName name="B_5" localSheetId="27">#REF!</definedName>
    <definedName name="B_5" localSheetId="15">#REF!</definedName>
    <definedName name="B_5" localSheetId="14">#REF!</definedName>
    <definedName name="B_5">#REF!</definedName>
    <definedName name="BEGINNING" localSheetId="21">#REF!</definedName>
    <definedName name="BEGINNING" localSheetId="16">#REF!</definedName>
    <definedName name="BEGINNING" localSheetId="27">#REF!</definedName>
    <definedName name="BEGINNING" localSheetId="15">#REF!</definedName>
    <definedName name="BEGINNING" localSheetId="14">#REF!</definedName>
    <definedName name="BEGINNING">#REF!</definedName>
    <definedName name="BEx3O85IKWARA6NCJOLRBRJFMEWW" localSheetId="21" hidden="1">'[8]Q2 09 Rail BS Leads'!#REF!</definedName>
    <definedName name="BEx3O85IKWARA6NCJOLRBRJFMEWW" localSheetId="16" hidden="1">'[8]Q2 09 Rail BS Leads'!#REF!</definedName>
    <definedName name="BEx3O85IKWARA6NCJOLRBRJFMEWW" localSheetId="27" hidden="1">'[8]Q2 09 Rail BS Leads'!#REF!</definedName>
    <definedName name="BEx3O85IKWARA6NCJOLRBRJFMEWW" localSheetId="15" hidden="1">'[8]Q2 09 Rail BS Leads'!#REF!</definedName>
    <definedName name="BEx3O85IKWARA6NCJOLRBRJFMEWW" localSheetId="14" hidden="1">'[8]Q2 09 Rail BS Leads'!#REF!</definedName>
    <definedName name="BEx3O85IKWARA6NCJOLRBRJFMEWW" hidden="1">'[8]Q2 09 Rail BS Leads'!#REF!</definedName>
    <definedName name="BEx5MLQZM68YQSKARVWTTPINFQ2C" localSheetId="21" hidden="1">'[8]Q2 09 Rail BS Leads'!#REF!</definedName>
    <definedName name="BEx5MLQZM68YQSKARVWTTPINFQ2C" localSheetId="16" hidden="1">'[8]Q2 09 Rail BS Leads'!#REF!</definedName>
    <definedName name="BEx5MLQZM68YQSKARVWTTPINFQ2C" localSheetId="27" hidden="1">'[8]Q2 09 Rail BS Leads'!#REF!</definedName>
    <definedName name="BEx5MLQZM68YQSKARVWTTPINFQ2C" localSheetId="15" hidden="1">'[8]Q2 09 Rail BS Leads'!#REF!</definedName>
    <definedName name="BEx5MLQZM68YQSKARVWTTPINFQ2C" localSheetId="14" hidden="1">'[8]Q2 09 Rail BS Leads'!#REF!</definedName>
    <definedName name="BEx5MLQZM68YQSKARVWTTPINFQ2C" hidden="1">'[8]Q2 09 Rail BS Leads'!#REF!</definedName>
    <definedName name="BExERWCEBKQRYWRQLYJ4UCMMKTHG" localSheetId="21" hidden="1">'[8]Q2 09 Rail BS Leads'!#REF!</definedName>
    <definedName name="BExERWCEBKQRYWRQLYJ4UCMMKTHG" localSheetId="16" hidden="1">'[8]Q2 09 Rail BS Leads'!#REF!</definedName>
    <definedName name="BExERWCEBKQRYWRQLYJ4UCMMKTHG" localSheetId="27" hidden="1">'[8]Q2 09 Rail BS Leads'!#REF!</definedName>
    <definedName name="BExERWCEBKQRYWRQLYJ4UCMMKTHG" localSheetId="14" hidden="1">'[8]Q2 09 Rail BS Leads'!#REF!</definedName>
    <definedName name="BExERWCEBKQRYWRQLYJ4UCMMKTHG" hidden="1">'[8]Q2 09 Rail BS Leads'!#REF!</definedName>
    <definedName name="BExMBYPQDG9AYDQ5E8IECVFREPO6" localSheetId="21" hidden="1">'[8]Q2 09 Rail BS Leads'!#REF!</definedName>
    <definedName name="BExMBYPQDG9AYDQ5E8IECVFREPO6" localSheetId="16" hidden="1">'[8]Q2 09 Rail BS Leads'!#REF!</definedName>
    <definedName name="BExMBYPQDG9AYDQ5E8IECVFREPO6" localSheetId="27" hidden="1">'[8]Q2 09 Rail BS Leads'!#REF!</definedName>
    <definedName name="BExMBYPQDG9AYDQ5E8IECVFREPO6" localSheetId="14" hidden="1">'[8]Q2 09 Rail BS Leads'!#REF!</definedName>
    <definedName name="BExMBYPQDG9AYDQ5E8IECVFREPO6" hidden="1">'[8]Q2 09 Rail BS Leads'!#REF!</definedName>
    <definedName name="BExQ9ZLYHWABXAA9NJDW8ZS0UQ9P" localSheetId="21" hidden="1">'[8]Q2 09 Rail BS Leads'!#REF!</definedName>
    <definedName name="BExQ9ZLYHWABXAA9NJDW8ZS0UQ9P" localSheetId="16" hidden="1">'[8]Q2 09 Rail BS Leads'!#REF!</definedName>
    <definedName name="BExQ9ZLYHWABXAA9NJDW8ZS0UQ9P" localSheetId="27" hidden="1">'[8]Q2 09 Rail BS Leads'!#REF!</definedName>
    <definedName name="BExQ9ZLYHWABXAA9NJDW8ZS0UQ9P" localSheetId="14" hidden="1">'[8]Q2 09 Rail BS Leads'!#REF!</definedName>
    <definedName name="BExQ9ZLYHWABXAA9NJDW8ZS0UQ9P" hidden="1">'[8]Q2 09 Rail BS Leads'!#REF!</definedName>
    <definedName name="BExTUY9WNSJ91GV8CP0SKJTEIV82" localSheetId="21" hidden="1">'[8]Q2 09 Rail BS Leads'!#REF!</definedName>
    <definedName name="BExTUY9WNSJ91GV8CP0SKJTEIV82" localSheetId="16" hidden="1">'[8]Q2 09 Rail BS Leads'!#REF!</definedName>
    <definedName name="BExTUY9WNSJ91GV8CP0SKJTEIV82" localSheetId="27" hidden="1">'[8]Q2 09 Rail BS Leads'!#REF!</definedName>
    <definedName name="BExTUY9WNSJ91GV8CP0SKJTEIV82" localSheetId="14" hidden="1">'[8]Q2 09 Rail BS Leads'!#REF!</definedName>
    <definedName name="BExTUY9WNSJ91GV8CP0SKJTEIV82" hidden="1">'[8]Q2 09 Rail BS Leads'!#REF!</definedName>
    <definedName name="BS_98" localSheetId="21">#REF!</definedName>
    <definedName name="BS_98" localSheetId="16">#REF!</definedName>
    <definedName name="BS_98" localSheetId="27">#REF!</definedName>
    <definedName name="BS_98" localSheetId="15">#REF!</definedName>
    <definedName name="BS_98" localSheetId="14">#REF!</definedName>
    <definedName name="BS_98" localSheetId="10">#REF!</definedName>
    <definedName name="BS_98">#REF!</definedName>
    <definedName name="BS_99" localSheetId="21">#REF!</definedName>
    <definedName name="BS_99" localSheetId="16">#REF!</definedName>
    <definedName name="BS_99" localSheetId="27">#REF!</definedName>
    <definedName name="BS_99" localSheetId="15">#REF!</definedName>
    <definedName name="BS_99" localSheetId="14">#REF!</definedName>
    <definedName name="BS_99" localSheetId="10">#REF!</definedName>
    <definedName name="BS_99">#REF!</definedName>
    <definedName name="BS_SUM_25MO" localSheetId="21">#REF!</definedName>
    <definedName name="BS_SUM_25MO" localSheetId="16">#REF!</definedName>
    <definedName name="BS_SUM_25MO" localSheetId="27">#REF!</definedName>
    <definedName name="BS_SUM_25MO" localSheetId="15">#REF!</definedName>
    <definedName name="BS_SUM_25MO" localSheetId="14">#REF!</definedName>
    <definedName name="BS_SUM_25MO" localSheetId="10">#REF!</definedName>
    <definedName name="BS_SUM_25MO">#REF!</definedName>
    <definedName name="BS_SUM_98" localSheetId="21">#REF!</definedName>
    <definedName name="BS_SUM_98" localSheetId="16">#REF!</definedName>
    <definedName name="BS_SUM_98" localSheetId="27">#REF!</definedName>
    <definedName name="BS_SUM_98" localSheetId="15">#REF!</definedName>
    <definedName name="BS_SUM_98" localSheetId="14">#REF!</definedName>
    <definedName name="BS_SUM_98">#REF!</definedName>
    <definedName name="BS_SUM_99" localSheetId="21">#REF!</definedName>
    <definedName name="BS_SUM_99" localSheetId="16">#REF!</definedName>
    <definedName name="BS_SUM_99" localSheetId="27">#REF!</definedName>
    <definedName name="BS_SUM_99" localSheetId="15">#REF!</definedName>
    <definedName name="BS_SUM_99" localSheetId="14">#REF!</definedName>
    <definedName name="BS_SUM_99">#REF!</definedName>
    <definedName name="CBS" localSheetId="21">#REF!</definedName>
    <definedName name="CBS" localSheetId="16">#REF!</definedName>
    <definedName name="CBS" localSheetId="27">#REF!</definedName>
    <definedName name="CBS" localSheetId="15">#REF!</definedName>
    <definedName name="CBS" localSheetId="14">#REF!</definedName>
    <definedName name="CBS">#REF!</definedName>
    <definedName name="COLE" localSheetId="21">#REF!</definedName>
    <definedName name="COLE" localSheetId="16">#REF!</definedName>
    <definedName name="COLE" localSheetId="27">#REF!</definedName>
    <definedName name="COLE" localSheetId="15">#REF!</definedName>
    <definedName name="COLE" localSheetId="14">#REF!</definedName>
    <definedName name="COLE">#REF!</definedName>
    <definedName name="_xlnm.Criteria" localSheetId="21">#REF!</definedName>
    <definedName name="_xlnm.Criteria" localSheetId="16">#REF!</definedName>
    <definedName name="_xlnm.Criteria" localSheetId="27">#REF!</definedName>
    <definedName name="_xlnm.Criteria" localSheetId="15">#REF!</definedName>
    <definedName name="_xlnm.Criteria" localSheetId="14">#REF!</definedName>
    <definedName name="_xlnm.Criteria">#REF!</definedName>
    <definedName name="CURRENT_DATE" localSheetId="21">#REF!</definedName>
    <definedName name="CURRENT_DATE" localSheetId="16">#REF!</definedName>
    <definedName name="CURRENT_DATE" localSheetId="27">#REF!</definedName>
    <definedName name="CURRENT_DATE" localSheetId="15">#REF!</definedName>
    <definedName name="CURRENT_DATE" localSheetId="14">#REF!</definedName>
    <definedName name="CURRENT_DATE">#REF!</definedName>
    <definedName name="Current_Fiscal_Year">[9]Inputs!$C$5</definedName>
    <definedName name="DATA" localSheetId="21">#REF!</definedName>
    <definedName name="DATA" localSheetId="16">#REF!</definedName>
    <definedName name="DATA" localSheetId="27">#REF!</definedName>
    <definedName name="DATA" localSheetId="15">#REF!</definedName>
    <definedName name="DATA" localSheetId="14">#REF!</definedName>
    <definedName name="DATA">#REF!</definedName>
    <definedName name="_xlnm.Database" localSheetId="32">#REF!</definedName>
    <definedName name="_xlnm.Database" localSheetId="21">#REF!</definedName>
    <definedName name="_xlnm.Database" localSheetId="16">#REF!</definedName>
    <definedName name="_xlnm.Database" localSheetId="27">#REF!</definedName>
    <definedName name="_xlnm.Database" localSheetId="15">#REF!</definedName>
    <definedName name="_xlnm.Database" localSheetId="14">#REF!</definedName>
    <definedName name="_xlnm.Database">#REF!</definedName>
    <definedName name="DecComICC" localSheetId="21">#REF!</definedName>
    <definedName name="DecComICC" localSheetId="16">#REF!</definedName>
    <definedName name="DecComICC" localSheetId="27">#REF!</definedName>
    <definedName name="DecComICC" localSheetId="15">#REF!</definedName>
    <definedName name="DecComICC" localSheetId="14">#REF!</definedName>
    <definedName name="DecComICC">#REF!</definedName>
    <definedName name="DecComInstall" localSheetId="21">#REF!</definedName>
    <definedName name="DecComInstall" localSheetId="16">#REF!</definedName>
    <definedName name="DecComInstall" localSheetId="27">#REF!</definedName>
    <definedName name="DecComInstall" localSheetId="15">#REF!</definedName>
    <definedName name="DecComInstall" localSheetId="14">#REF!</definedName>
    <definedName name="DecComInstall">#REF!</definedName>
    <definedName name="Detail" localSheetId="21">#REF!</definedName>
    <definedName name="Detail" localSheetId="16">#REF!</definedName>
    <definedName name="Detail" localSheetId="27">#REF!</definedName>
    <definedName name="Detail" localSheetId="15">#REF!</definedName>
    <definedName name="Detail" localSheetId="14">#REF!</definedName>
    <definedName name="Detail">#REF!</definedName>
    <definedName name="DISC_RATE" localSheetId="9">[5]Assumptions!$C$5</definedName>
    <definedName name="DISC_RATE" localSheetId="10">[6]Assumptions!$C$5</definedName>
    <definedName name="DISC_RATE">[7]Assumptions!$C$5</definedName>
    <definedName name="ENDING" localSheetId="21">#REF!</definedName>
    <definedName name="ENDING" localSheetId="16">#REF!</definedName>
    <definedName name="ENDING" localSheetId="27">#REF!</definedName>
    <definedName name="ENDING" localSheetId="15">#REF!</definedName>
    <definedName name="ENDING" localSheetId="14">#REF!</definedName>
    <definedName name="ENDING" localSheetId="10">#REF!</definedName>
    <definedName name="ENDING">#REF!</definedName>
    <definedName name="EPR" localSheetId="21">#REF!</definedName>
    <definedName name="EPR" localSheetId="16">#REF!</definedName>
    <definedName name="EPR" localSheetId="27">#REF!</definedName>
    <definedName name="EPR" localSheetId="15">#REF!</definedName>
    <definedName name="EPR" localSheetId="14">#REF!</definedName>
    <definedName name="EPR" localSheetId="10">#REF!</definedName>
    <definedName name="EPR">#REF!</definedName>
    <definedName name="_xlnm.Extract" localSheetId="21">#REF!</definedName>
    <definedName name="_xlnm.Extract" localSheetId="16">#REF!</definedName>
    <definedName name="_xlnm.Extract" localSheetId="27">#REF!</definedName>
    <definedName name="_xlnm.Extract" localSheetId="15">#REF!</definedName>
    <definedName name="_xlnm.Extract" localSheetId="14">#REF!</definedName>
    <definedName name="_xlnm.Extract">#REF!</definedName>
    <definedName name="formula" localSheetId="21">#REF!</definedName>
    <definedName name="formula" localSheetId="16">#REF!</definedName>
    <definedName name="formula" localSheetId="27">#REF!</definedName>
    <definedName name="formula" localSheetId="15">#REF!</definedName>
    <definedName name="formula" localSheetId="14">#REF!</definedName>
    <definedName name="formula">#REF!</definedName>
    <definedName name="furbase" localSheetId="21">#REF!</definedName>
    <definedName name="furbase" localSheetId="16">#REF!</definedName>
    <definedName name="furbase" localSheetId="27">#REF!</definedName>
    <definedName name="furbase" localSheetId="15">#REF!</definedName>
    <definedName name="furbase" localSheetId="14">#REF!</definedName>
    <definedName name="furbase">#REF!</definedName>
    <definedName name="FURN" localSheetId="21">#REF!</definedName>
    <definedName name="FURN" localSheetId="16">#REF!</definedName>
    <definedName name="FURN" localSheetId="27">#REF!</definedName>
    <definedName name="FURN" localSheetId="15">#REF!</definedName>
    <definedName name="FURN" localSheetId="14">#REF!</definedName>
    <definedName name="FURN">#REF!</definedName>
    <definedName name="furnish" localSheetId="21">#REF!</definedName>
    <definedName name="furnish" localSheetId="16">#REF!</definedName>
    <definedName name="furnish" localSheetId="27">#REF!</definedName>
    <definedName name="furnish" localSheetId="15">#REF!</definedName>
    <definedName name="furnish" localSheetId="14">#REF!</definedName>
    <definedName name="furnish">#REF!</definedName>
    <definedName name="furnmat" localSheetId="21">#REF!</definedName>
    <definedName name="furnmat" localSheetId="16">#REF!</definedName>
    <definedName name="furnmat" localSheetId="27">#REF!</definedName>
    <definedName name="furnmat" localSheetId="15">#REF!</definedName>
    <definedName name="furnmat" localSheetId="14">#REF!</definedName>
    <definedName name="furnmat">#REF!</definedName>
    <definedName name="GENERAL" localSheetId="21">#REF!</definedName>
    <definedName name="GENERAL" localSheetId="16">#REF!</definedName>
    <definedName name="GENERAL" localSheetId="27">#REF!</definedName>
    <definedName name="GENERAL" localSheetId="15">#REF!</definedName>
    <definedName name="GENERAL" localSheetId="14">#REF!</definedName>
    <definedName name="GENERAL">#REF!</definedName>
    <definedName name="ICCConv" localSheetId="9">'[10]ICC Conversion'!$A$1:$B$191</definedName>
    <definedName name="ICCConv" localSheetId="10">'[11]ICC Conversion'!$A$1:$B$191</definedName>
    <definedName name="ICCConv">'[12]ICC Conversion'!$A$1:$B$191</definedName>
    <definedName name="IMPORT" localSheetId="21">#REF!</definedName>
    <definedName name="IMPORT" localSheetId="16">#REF!</definedName>
    <definedName name="IMPORT" localSheetId="27">#REF!</definedName>
    <definedName name="IMPORT" localSheetId="15">#REF!</definedName>
    <definedName name="IMPORT" localSheetId="14">#REF!</definedName>
    <definedName name="IMPORT" localSheetId="10">#REF!</definedName>
    <definedName name="IMPORT">#REF!</definedName>
    <definedName name="Inflation_Percentages">[9]Inputs!$C$32:$C$81</definedName>
    <definedName name="Inflation_Years">[9]Inputs!$B$32:$B$81</definedName>
    <definedName name="infor" localSheetId="21">#REF!</definedName>
    <definedName name="infor" localSheetId="16">#REF!</definedName>
    <definedName name="infor" localSheetId="27">#REF!</definedName>
    <definedName name="infor" localSheetId="15">#REF!</definedName>
    <definedName name="infor" localSheetId="14">#REF!</definedName>
    <definedName name="infor">#REF!</definedName>
    <definedName name="item" localSheetId="21">#REF!</definedName>
    <definedName name="item" localSheetId="16">#REF!</definedName>
    <definedName name="item" localSheetId="27">#REF!</definedName>
    <definedName name="item" localSheetId="15">#REF!</definedName>
    <definedName name="item" localSheetId="14">#REF!</definedName>
    <definedName name="item">#REF!</definedName>
    <definedName name="k7." localSheetId="21">#REF!</definedName>
    <definedName name="k7." localSheetId="16">#REF!</definedName>
    <definedName name="k7." localSheetId="27">#REF!</definedName>
    <definedName name="k7." localSheetId="15">#REF!</definedName>
    <definedName name="k7." localSheetId="14">#REF!</definedName>
    <definedName name="k7.">#REF!</definedName>
    <definedName name="LEADS" localSheetId="21">#REF!</definedName>
    <definedName name="LEADS" localSheetId="16">#REF!</definedName>
    <definedName name="LEADS" localSheetId="27">#REF!</definedName>
    <definedName name="LEADS" localSheetId="15">#REF!</definedName>
    <definedName name="LEADS" localSheetId="14">#REF!</definedName>
    <definedName name="LEADS">#REF!</definedName>
    <definedName name="LEADS_25MO" localSheetId="21">#REF!</definedName>
    <definedName name="LEADS_25MO" localSheetId="16">#REF!</definedName>
    <definedName name="LEADS_25MO" localSheetId="27">#REF!</definedName>
    <definedName name="LEADS_25MO" localSheetId="15">#REF!</definedName>
    <definedName name="LEADS_25MO" localSheetId="14">#REF!</definedName>
    <definedName name="LEADS_25MO">#REF!</definedName>
    <definedName name="LEADS_98" localSheetId="21">#REF!</definedName>
    <definedName name="LEADS_98" localSheetId="16">#REF!</definedName>
    <definedName name="LEADS_98" localSheetId="27">#REF!</definedName>
    <definedName name="LEADS_98" localSheetId="15">#REF!</definedName>
    <definedName name="LEADS_98" localSheetId="14">#REF!</definedName>
    <definedName name="LEADS_98">#REF!</definedName>
    <definedName name="LEADS_99" localSheetId="21">#REF!</definedName>
    <definedName name="LEADS_99" localSheetId="16">#REF!</definedName>
    <definedName name="LEADS_99" localSheetId="27">#REF!</definedName>
    <definedName name="LEADS_99" localSheetId="15">#REF!</definedName>
    <definedName name="LEADS_99" localSheetId="14">#REF!</definedName>
    <definedName name="LEADS_99">#REF!</definedName>
    <definedName name="LOLD">1</definedName>
    <definedName name="LOLD_Table">7</definedName>
    <definedName name="mike" localSheetId="21">#REF!</definedName>
    <definedName name="mike" localSheetId="16">#REF!</definedName>
    <definedName name="mike" localSheetId="9">#REF!</definedName>
    <definedName name="mike" localSheetId="27">#REF!</definedName>
    <definedName name="mike" localSheetId="15">#REF!</definedName>
    <definedName name="mike" localSheetId="14">#REF!</definedName>
    <definedName name="mike">#REF!</definedName>
    <definedName name="mobil1" localSheetId="21">#REF!</definedName>
    <definedName name="mobil1" localSheetId="16">#REF!</definedName>
    <definedName name="mobil1" localSheetId="27">#REF!</definedName>
    <definedName name="mobil1" localSheetId="15">#REF!</definedName>
    <definedName name="mobil1" localSheetId="14">#REF!</definedName>
    <definedName name="mobil1">#REF!</definedName>
    <definedName name="NEXT" localSheetId="21">#REF!</definedName>
    <definedName name="NEXT" localSheetId="16">#REF!</definedName>
    <definedName name="NEXT" localSheetId="27">#REF!</definedName>
    <definedName name="NEXT" localSheetId="15">#REF!</definedName>
    <definedName name="NEXT" localSheetId="14">#REF!</definedName>
    <definedName name="NEXT">#REF!</definedName>
    <definedName name="Normal" localSheetId="21">#REF!</definedName>
    <definedName name="Normal" localSheetId="16">#REF!</definedName>
    <definedName name="Normal" localSheetId="27">#REF!</definedName>
    <definedName name="Normal" localSheetId="15">#REF!</definedName>
    <definedName name="Normal" localSheetId="14">#REF!</definedName>
    <definedName name="Normal">#REF!</definedName>
    <definedName name="number" localSheetId="21">#REF!</definedName>
    <definedName name="number" localSheetId="16">#REF!</definedName>
    <definedName name="number" localSheetId="27">#REF!</definedName>
    <definedName name="number" localSheetId="15">#REF!</definedName>
    <definedName name="number" localSheetId="14">#REF!</definedName>
    <definedName name="number">#REF!</definedName>
    <definedName name="OPER1" localSheetId="21">#REF!</definedName>
    <definedName name="OPER1" localSheetId="16">#REF!</definedName>
    <definedName name="OPER1" localSheetId="27">#REF!</definedName>
    <definedName name="OPER1" localSheetId="15">#REF!</definedName>
    <definedName name="OPER1" localSheetId="14">#REF!</definedName>
    <definedName name="OPER1">#REF!</definedName>
    <definedName name="OPER2" localSheetId="21">#REF!</definedName>
    <definedName name="OPER2" localSheetId="16">#REF!</definedName>
    <definedName name="OPER2" localSheetId="27">#REF!</definedName>
    <definedName name="OPER2" localSheetId="15">#REF!</definedName>
    <definedName name="OPER2" localSheetId="14">#REF!</definedName>
    <definedName name="OPER2">#REF!</definedName>
    <definedName name="PAGE_33" localSheetId="21">#REF!</definedName>
    <definedName name="PAGE_33" localSheetId="16">#REF!</definedName>
    <definedName name="PAGE_33" localSheetId="27">#REF!</definedName>
    <definedName name="PAGE_33" localSheetId="15">#REF!</definedName>
    <definedName name="PAGE_33" localSheetId="14">#REF!</definedName>
    <definedName name="PAGE_33">#REF!</definedName>
    <definedName name="PAGE1" localSheetId="21">#REF!</definedName>
    <definedName name="PAGE1" localSheetId="16">#REF!</definedName>
    <definedName name="PAGE1" localSheetId="27">#REF!</definedName>
    <definedName name="PAGE1" localSheetId="15">#REF!</definedName>
    <definedName name="PAGE1" localSheetId="14">#REF!</definedName>
    <definedName name="PAGE1">#REF!</definedName>
    <definedName name="PAGE2" localSheetId="21">#REF!</definedName>
    <definedName name="PAGE2" localSheetId="16">#REF!</definedName>
    <definedName name="PAGE2" localSheetId="27">#REF!</definedName>
    <definedName name="PAGE2" localSheetId="15">#REF!</definedName>
    <definedName name="PAGE2" localSheetId="14">#REF!</definedName>
    <definedName name="PAGE2">#REF!</definedName>
    <definedName name="PAGE32" localSheetId="21">#REF!</definedName>
    <definedName name="PAGE32" localSheetId="16">#REF!</definedName>
    <definedName name="PAGE32" localSheetId="27">#REF!</definedName>
    <definedName name="PAGE32" localSheetId="15">#REF!</definedName>
    <definedName name="PAGE32" localSheetId="14">#REF!</definedName>
    <definedName name="PAGE32">#REF!</definedName>
    <definedName name="PAGE37" localSheetId="21">#REF!</definedName>
    <definedName name="PAGE37" localSheetId="16">#REF!</definedName>
    <definedName name="PAGE37" localSheetId="27">#REF!</definedName>
    <definedName name="PAGE37" localSheetId="15">#REF!</definedName>
    <definedName name="PAGE37" localSheetId="14">#REF!</definedName>
    <definedName name="PAGE37">#REF!</definedName>
    <definedName name="PART_B" localSheetId="21">#REF!</definedName>
    <definedName name="PART_B" localSheetId="16">#REF!</definedName>
    <definedName name="PART_B" localSheetId="27">#REF!</definedName>
    <definedName name="PART_B" localSheetId="15">#REF!</definedName>
    <definedName name="PART_B" localSheetId="14">#REF!</definedName>
    <definedName name="PART_B">#REF!</definedName>
    <definedName name="PARTA" localSheetId="21">#REF!</definedName>
    <definedName name="PARTA" localSheetId="16">#REF!</definedName>
    <definedName name="PARTA" localSheetId="27">#REF!</definedName>
    <definedName name="PARTA" localSheetId="15">#REF!</definedName>
    <definedName name="PARTA" localSheetId="14">#REF!</definedName>
    <definedName name="PARTA">#REF!</definedName>
    <definedName name="PISNU" localSheetId="21">#REF!</definedName>
    <definedName name="PISNU" localSheetId="16">#REF!</definedName>
    <definedName name="PISNU" localSheetId="27">#REF!</definedName>
    <definedName name="PISNU" localSheetId="15">#REF!</definedName>
    <definedName name="PISNU" localSheetId="14">#REF!</definedName>
    <definedName name="PISNU">#REF!</definedName>
    <definedName name="ppp" localSheetId="21">#REF!</definedName>
    <definedName name="ppp" localSheetId="16">#REF!</definedName>
    <definedName name="ppp" localSheetId="27">#REF!</definedName>
    <definedName name="ppp" localSheetId="15">#REF!</definedName>
    <definedName name="ppp" localSheetId="14">#REF!</definedName>
    <definedName name="ppp">#REF!</definedName>
    <definedName name="price" localSheetId="21">#REF!</definedName>
    <definedName name="price" localSheetId="16">#REF!</definedName>
    <definedName name="price" localSheetId="27">#REF!</definedName>
    <definedName name="price" localSheetId="15">#REF!</definedName>
    <definedName name="price" localSheetId="14">#REF!</definedName>
    <definedName name="price">#REF!</definedName>
    <definedName name="PRINT_ALL" localSheetId="21">#REF!</definedName>
    <definedName name="PRINT_ALL" localSheetId="16">#REF!</definedName>
    <definedName name="PRINT_ALL" localSheetId="27">#REF!</definedName>
    <definedName name="PRINT_ALL" localSheetId="15">#REF!</definedName>
    <definedName name="PRINT_ALL" localSheetId="14">#REF!</definedName>
    <definedName name="PRINT_ALL">#REF!</definedName>
    <definedName name="_xlnm.Print_Area" localSheetId="21">#REF!</definedName>
    <definedName name="_xlnm.Print_Area" localSheetId="16">#REF!</definedName>
    <definedName name="_xlnm.Print_Area" localSheetId="27">#REF!</definedName>
    <definedName name="_xlnm.Print_Area" localSheetId="15">#REF!</definedName>
    <definedName name="_xlnm.Print_Area" localSheetId="14">#REF!</definedName>
    <definedName name="_xlnm.Print_Area">#REF!</definedName>
    <definedName name="PRINT_AREA_MI" localSheetId="21">#REF!</definedName>
    <definedName name="PRINT_AREA_MI" localSheetId="16">#REF!</definedName>
    <definedName name="PRINT_AREA_MI" localSheetId="27">#REF!</definedName>
    <definedName name="PRINT_AREA_MI" localSheetId="15">#REF!</definedName>
    <definedName name="PRINT_AREA_MI" localSheetId="14">#REF!</definedName>
    <definedName name="PRINT_AREA_MI" localSheetId="10">#REF!</definedName>
    <definedName name="PRINT_AREA_MI">#REF!</definedName>
    <definedName name="PRINT_CF_9899" localSheetId="21">#REF!</definedName>
    <definedName name="PRINT_CF_9899" localSheetId="16">#REF!</definedName>
    <definedName name="PRINT_CF_9899" localSheetId="27">#REF!</definedName>
    <definedName name="PRINT_CF_9899" localSheetId="15">#REF!</definedName>
    <definedName name="PRINT_CF_9899" localSheetId="14">#REF!</definedName>
    <definedName name="PRINT_CF_9899" localSheetId="10">#REF!</definedName>
    <definedName name="PRINT_CF_9899">#REF!</definedName>
    <definedName name="PRINT_DIFF" localSheetId="21">#REF!</definedName>
    <definedName name="PRINT_DIFF" localSheetId="16">#REF!</definedName>
    <definedName name="PRINT_DIFF" localSheetId="27">#REF!</definedName>
    <definedName name="PRINT_DIFF" localSheetId="15">#REF!</definedName>
    <definedName name="PRINT_DIFF" localSheetId="14">#REF!</definedName>
    <definedName name="PRINT_DIFF" localSheetId="10">#REF!</definedName>
    <definedName name="PRINT_DIFF">#REF!</definedName>
    <definedName name="_xlnm.Print_Titles">#N/A</definedName>
    <definedName name="Print_Titles_MI" localSheetId="9">'[13]PA Run Off'!$A$1:$IV$10,'[13]PA Run Off'!$A$1:$A$16384</definedName>
    <definedName name="Print_Titles_MI" localSheetId="10">'[14]PA Run Off'!$A$1:$IV$10,'[14]PA Run Off'!$A$1:$A$16384</definedName>
    <definedName name="Print_Titles_MI">'[15]PA Run Off'!$A$1:$IV$10,'[15]PA Run Off'!$A$1:$A$16384</definedName>
    <definedName name="PRT_12_PAGE_25M" localSheetId="21">#REF!</definedName>
    <definedName name="PRT_12_PAGE_25M" localSheetId="16">#REF!</definedName>
    <definedName name="PRT_12_PAGE_25M" localSheetId="27">#REF!</definedName>
    <definedName name="PRT_12_PAGE_25M" localSheetId="15">#REF!</definedName>
    <definedName name="PRT_12_PAGE_25M" localSheetId="14">#REF!</definedName>
    <definedName name="PRT_12_PAGE_25M" localSheetId="10">#REF!</definedName>
    <definedName name="PRT_12_PAGE_25M">#REF!</definedName>
    <definedName name="PRT_98_WCRECON" localSheetId="21">#REF!</definedName>
    <definedName name="PRT_98_WCRECON" localSheetId="16">#REF!</definedName>
    <definedName name="PRT_98_WCRECON" localSheetId="27">#REF!</definedName>
    <definedName name="PRT_98_WCRECON" localSheetId="15">#REF!</definedName>
    <definedName name="PRT_98_WCRECON" localSheetId="14">#REF!</definedName>
    <definedName name="PRT_98_WCRECON" localSheetId="10">#REF!</definedName>
    <definedName name="PRT_98_WCRECON">#REF!</definedName>
    <definedName name="PRT_99_WCRECON" localSheetId="21">#REF!</definedName>
    <definedName name="PRT_99_WCRECON" localSheetId="16">#REF!</definedName>
    <definedName name="PRT_99_WCRECON" localSheetId="27">#REF!</definedName>
    <definedName name="PRT_99_WCRECON" localSheetId="15">#REF!</definedName>
    <definedName name="PRT_99_WCRECON" localSheetId="14">#REF!</definedName>
    <definedName name="PRT_99_WCRECON" localSheetId="10">#REF!</definedName>
    <definedName name="PRT_99_WCRECON">#REF!</definedName>
    <definedName name="PRT_BS_98" localSheetId="21">#REF!</definedName>
    <definedName name="PRT_BS_98" localSheetId="16">#REF!</definedName>
    <definedName name="PRT_BS_98" localSheetId="27">#REF!</definedName>
    <definedName name="PRT_BS_98" localSheetId="15">#REF!</definedName>
    <definedName name="PRT_BS_98" localSheetId="14">#REF!</definedName>
    <definedName name="PRT_BS_98">#REF!</definedName>
    <definedName name="PRT_BS_99" localSheetId="21">#REF!</definedName>
    <definedName name="PRT_BS_99" localSheetId="16">#REF!</definedName>
    <definedName name="PRT_BS_99" localSheetId="27">#REF!</definedName>
    <definedName name="PRT_BS_99" localSheetId="15">#REF!</definedName>
    <definedName name="PRT_BS_99" localSheetId="14">#REF!</definedName>
    <definedName name="PRT_BS_99">#REF!</definedName>
    <definedName name="PRT_BS_SUM_25MO" localSheetId="21">#REF!</definedName>
    <definedName name="PRT_BS_SUM_25MO" localSheetId="16">#REF!</definedName>
    <definedName name="PRT_BS_SUM_25MO" localSheetId="27">#REF!</definedName>
    <definedName name="PRT_BS_SUM_25MO" localSheetId="15">#REF!</definedName>
    <definedName name="PRT_BS_SUM_25MO" localSheetId="14">#REF!</definedName>
    <definedName name="PRT_BS_SUM_25MO">#REF!</definedName>
    <definedName name="PRT_BSSUM_98" localSheetId="21">#REF!</definedName>
    <definedName name="PRT_BSSUM_98" localSheetId="16">#REF!</definedName>
    <definedName name="PRT_BSSUM_98" localSheetId="27">#REF!</definedName>
    <definedName name="PRT_BSSUM_98" localSheetId="15">#REF!</definedName>
    <definedName name="PRT_BSSUM_98" localSheetId="14">#REF!</definedName>
    <definedName name="PRT_BSSUM_98">#REF!</definedName>
    <definedName name="PRT_BSSUM_99" localSheetId="21">#REF!</definedName>
    <definedName name="PRT_BSSUM_99" localSheetId="16">#REF!</definedName>
    <definedName name="PRT_BSSUM_99" localSheetId="27">#REF!</definedName>
    <definedName name="PRT_BSSUM_99" localSheetId="15">#REF!</definedName>
    <definedName name="PRT_BSSUM_99" localSheetId="14">#REF!</definedName>
    <definedName name="PRT_BSSUM_99">#REF!</definedName>
    <definedName name="PRT_CF_1998" localSheetId="21">#REF!</definedName>
    <definedName name="PRT_CF_1998" localSheetId="16">#REF!</definedName>
    <definedName name="PRT_CF_1998" localSheetId="27">#REF!</definedName>
    <definedName name="PRT_CF_1998" localSheetId="15">#REF!</definedName>
    <definedName name="PRT_CF_1998" localSheetId="14">#REF!</definedName>
    <definedName name="PRT_CF_1998">#REF!</definedName>
    <definedName name="PRT_CF_1999" localSheetId="21">#REF!</definedName>
    <definedName name="PRT_CF_1999" localSheetId="16">#REF!</definedName>
    <definedName name="PRT_CF_1999" localSheetId="27">#REF!</definedName>
    <definedName name="PRT_CF_1999" localSheetId="15">#REF!</definedName>
    <definedName name="PRT_CF_1999" localSheetId="14">#REF!</definedName>
    <definedName name="PRT_CF_1999">#REF!</definedName>
    <definedName name="PRT_CURR_MO" localSheetId="21">#REF!</definedName>
    <definedName name="PRT_CURR_MO" localSheetId="16">#REF!</definedName>
    <definedName name="PRT_CURR_MO" localSheetId="27">#REF!</definedName>
    <definedName name="PRT_CURR_MO" localSheetId="15">#REF!</definedName>
    <definedName name="PRT_CURR_MO" localSheetId="14">#REF!</definedName>
    <definedName name="PRT_CURR_MO">#REF!</definedName>
    <definedName name="PRT_LEAD_25MO" localSheetId="21">#REF!</definedName>
    <definedName name="PRT_LEAD_25MO" localSheetId="16">#REF!</definedName>
    <definedName name="PRT_LEAD_25MO" localSheetId="27">#REF!</definedName>
    <definedName name="PRT_LEAD_25MO" localSheetId="15">#REF!</definedName>
    <definedName name="PRT_LEAD_25MO" localSheetId="14">#REF!</definedName>
    <definedName name="PRT_LEAD_25MO">#REF!</definedName>
    <definedName name="PRT_LEAD_ACT_98" localSheetId="21">#REF!</definedName>
    <definedName name="PRT_LEAD_ACT_98" localSheetId="16">#REF!</definedName>
    <definedName name="PRT_LEAD_ACT_98" localSheetId="27">#REF!</definedName>
    <definedName name="PRT_LEAD_ACT_98" localSheetId="15">#REF!</definedName>
    <definedName name="PRT_LEAD_ACT_98" localSheetId="14">#REF!</definedName>
    <definedName name="PRT_LEAD_ACT_98">#REF!</definedName>
    <definedName name="PRT_LEAD_PLN_99" localSheetId="21">#REF!</definedName>
    <definedName name="PRT_LEAD_PLN_99" localSheetId="16">#REF!</definedName>
    <definedName name="PRT_LEAD_PLN_99" localSheetId="27">#REF!</definedName>
    <definedName name="PRT_LEAD_PLN_99" localSheetId="15">#REF!</definedName>
    <definedName name="PRT_LEAD_PLN_99" localSheetId="14">#REF!</definedName>
    <definedName name="PRT_LEAD_PLN_99">#REF!</definedName>
    <definedName name="PRT_NCA_98" localSheetId="21">#REF!</definedName>
    <definedName name="PRT_NCA_98" localSheetId="16">#REF!</definedName>
    <definedName name="PRT_NCA_98" localSheetId="27">#REF!</definedName>
    <definedName name="PRT_NCA_98" localSheetId="15">#REF!</definedName>
    <definedName name="PRT_NCA_98" localSheetId="14">#REF!</definedName>
    <definedName name="PRT_NCA_98">#REF!</definedName>
    <definedName name="PRT_NCA_99" localSheetId="21">#REF!</definedName>
    <definedName name="PRT_NCA_99" localSheetId="16">#REF!</definedName>
    <definedName name="PRT_NCA_99" localSheetId="27">#REF!</definedName>
    <definedName name="PRT_NCA_99" localSheetId="15">#REF!</definedName>
    <definedName name="PRT_NCA_99" localSheetId="14">#REF!</definedName>
    <definedName name="PRT_NCA_99">#REF!</definedName>
    <definedName name="PRT_QUARTER" localSheetId="21">#REF!</definedName>
    <definedName name="PRT_QUARTER" localSheetId="16">#REF!</definedName>
    <definedName name="PRT_QUARTER" localSheetId="27">#REF!</definedName>
    <definedName name="PRT_QUARTER" localSheetId="15">#REF!</definedName>
    <definedName name="PRT_QUARTER" localSheetId="14">#REF!</definedName>
    <definedName name="PRT_QUARTER">#REF!</definedName>
    <definedName name="Q1_VS_PLAN" localSheetId="21">#REF!</definedName>
    <definedName name="Q1_VS_PLAN" localSheetId="16">#REF!</definedName>
    <definedName name="Q1_VS_PLAN" localSheetId="27">#REF!</definedName>
    <definedName name="Q1_VS_PLAN" localSheetId="15">#REF!</definedName>
    <definedName name="Q1_VS_PLAN" localSheetId="14">#REF!</definedName>
    <definedName name="Q1_VS_PLAN">#REF!</definedName>
    <definedName name="Q2_VS_PLAN" localSheetId="21">#REF!</definedName>
    <definedName name="Q2_VS_PLAN" localSheetId="16">#REF!</definedName>
    <definedName name="Q2_VS_PLAN" localSheetId="27">#REF!</definedName>
    <definedName name="Q2_VS_PLAN" localSheetId="15">#REF!</definedName>
    <definedName name="Q2_VS_PLAN" localSheetId="14">#REF!</definedName>
    <definedName name="Q2_VS_PLAN">#REF!</definedName>
    <definedName name="Q3_VS_PLAN" localSheetId="21">#REF!</definedName>
    <definedName name="Q3_VS_PLAN" localSheetId="16">#REF!</definedName>
    <definedName name="Q3_VS_PLAN" localSheetId="27">#REF!</definedName>
    <definedName name="Q3_VS_PLAN" localSheetId="15">#REF!</definedName>
    <definedName name="Q3_VS_PLAN" localSheetId="14">#REF!</definedName>
    <definedName name="Q3_VS_PLAN">#REF!</definedName>
    <definedName name="Q4_VS_PLAN" localSheetId="21">#REF!</definedName>
    <definedName name="Q4_VS_PLAN" localSheetId="16">#REF!</definedName>
    <definedName name="Q4_VS_PLAN" localSheetId="27">#REF!</definedName>
    <definedName name="Q4_VS_PLAN" localSheetId="15">#REF!</definedName>
    <definedName name="Q4_VS_PLAN" localSheetId="14">#REF!</definedName>
    <definedName name="Q4_VS_PLAN">#REF!</definedName>
    <definedName name="qty" localSheetId="21">#REF!</definedName>
    <definedName name="qty" localSheetId="16">#REF!</definedName>
    <definedName name="qty" localSheetId="27">#REF!</definedName>
    <definedName name="qty" localSheetId="15">#REF!</definedName>
    <definedName name="qty" localSheetId="14">#REF!</definedName>
    <definedName name="qty">#REF!</definedName>
    <definedName name="Rate" localSheetId="9">[16]LocoRate!$L$2:$P$4</definedName>
    <definedName name="Rate" localSheetId="10">[17]LocoRate!$L$2:$P$4</definedName>
    <definedName name="Rate">[18]LocoRate!$L$2:$P$4</definedName>
    <definedName name="Rates">'[19]Rate file'!$A$6:$F$1250</definedName>
    <definedName name="RETIREMENTS" localSheetId="21">#REF!</definedName>
    <definedName name="RETIREMENTS" localSheetId="16">#REF!</definedName>
    <definedName name="RETIREMENTS" localSheetId="27">#REF!</definedName>
    <definedName name="RETIREMENTS" localSheetId="15">#REF!</definedName>
    <definedName name="RETIREMENTS" localSheetId="14">#REF!</definedName>
    <definedName name="RETIREMENTS" localSheetId="10">#REF!</definedName>
    <definedName name="RETIREMENTS">#REF!</definedName>
    <definedName name="Retires" localSheetId="21">#REF!</definedName>
    <definedName name="Retires" localSheetId="16">#REF!</definedName>
    <definedName name="Retires" localSheetId="27">#REF!</definedName>
    <definedName name="Retires" localSheetId="15">#REF!</definedName>
    <definedName name="Retires" localSheetId="14">#REF!</definedName>
    <definedName name="Retires" localSheetId="10">#REF!</definedName>
    <definedName name="Retires">#REF!</definedName>
    <definedName name="ROSNU" localSheetId="21">#REF!</definedName>
    <definedName name="ROSNU" localSheetId="16">#REF!</definedName>
    <definedName name="ROSNU" localSheetId="27">#REF!</definedName>
    <definedName name="ROSNU" localSheetId="15">#REF!</definedName>
    <definedName name="ROSNU" localSheetId="14">#REF!</definedName>
    <definedName name="ROSNU" localSheetId="10">#REF!</definedName>
    <definedName name="ROSNU">#REF!</definedName>
    <definedName name="SAPBEXhrIndnt" hidden="1">"Wide"</definedName>
    <definedName name="SAPsysID" hidden="1">"708C5W7SBKP804JT78WJ0JNKI"</definedName>
    <definedName name="SAPwbID" hidden="1">"ARS"</definedName>
    <definedName name="SB_5_B_" localSheetId="21">#REF!</definedName>
    <definedName name="SB_5_B_" localSheetId="16">#REF!</definedName>
    <definedName name="SB_5_B_" localSheetId="27">#REF!</definedName>
    <definedName name="SB_5_B_" localSheetId="15">#REF!</definedName>
    <definedName name="SB_5_B_" localSheetId="14">#REF!</definedName>
    <definedName name="SB_5_B_" localSheetId="10">#REF!</definedName>
    <definedName name="SB_5_B_">#REF!</definedName>
    <definedName name="SEC_12R1" localSheetId="21">#REF!</definedName>
    <definedName name="SEC_12R1" localSheetId="16">#REF!</definedName>
    <definedName name="SEC_12R1" localSheetId="27">#REF!</definedName>
    <definedName name="SEC_12R1" localSheetId="15">#REF!</definedName>
    <definedName name="SEC_12R1" localSheetId="14">#REF!</definedName>
    <definedName name="SEC_12R1" localSheetId="10">#REF!</definedName>
    <definedName name="SEC_12R1">#REF!</definedName>
    <definedName name="SEC_12R2" localSheetId="21">#REF!</definedName>
    <definedName name="SEC_12R2" localSheetId="16">#REF!</definedName>
    <definedName name="SEC_12R2" localSheetId="27">#REF!</definedName>
    <definedName name="SEC_12R2" localSheetId="15">#REF!</definedName>
    <definedName name="SEC_12R2" localSheetId="14">#REF!</definedName>
    <definedName name="SEC_12R2" localSheetId="10">#REF!</definedName>
    <definedName name="SEC_12R2">#REF!</definedName>
    <definedName name="SEC_12S" localSheetId="21">#REF!</definedName>
    <definedName name="SEC_12S" localSheetId="16">#REF!</definedName>
    <definedName name="SEC_12S" localSheetId="27">#REF!</definedName>
    <definedName name="SEC_12S" localSheetId="15">#REF!</definedName>
    <definedName name="SEC_12S" localSheetId="14">#REF!</definedName>
    <definedName name="SEC_12S">#REF!</definedName>
    <definedName name="SEC_13T1" localSheetId="21">#REF!</definedName>
    <definedName name="SEC_13T1" localSheetId="16">#REF!</definedName>
    <definedName name="SEC_13T1" localSheetId="27">#REF!</definedName>
    <definedName name="SEC_13T1" localSheetId="15">#REF!</definedName>
    <definedName name="SEC_13T1" localSheetId="14">#REF!</definedName>
    <definedName name="SEC_13T1">#REF!</definedName>
    <definedName name="SEC_13T2" localSheetId="21">#REF!</definedName>
    <definedName name="SEC_13T2" localSheetId="16">#REF!</definedName>
    <definedName name="SEC_13T2" localSheetId="27">#REF!</definedName>
    <definedName name="SEC_13T2" localSheetId="15">#REF!</definedName>
    <definedName name="SEC_13T2" localSheetId="14">#REF!</definedName>
    <definedName name="SEC_13T2">#REF!</definedName>
    <definedName name="SEC_13T2D" localSheetId="21">#REF!</definedName>
    <definedName name="SEC_13T2D" localSheetId="16">#REF!</definedName>
    <definedName name="SEC_13T2D" localSheetId="27">#REF!</definedName>
    <definedName name="SEC_13T2D" localSheetId="15">#REF!</definedName>
    <definedName name="SEC_13T2D" localSheetId="14">#REF!</definedName>
    <definedName name="SEC_13T2D">#REF!</definedName>
    <definedName name="SEC_5E" localSheetId="21">#REF!</definedName>
    <definedName name="SEC_5E" localSheetId="16">#REF!</definedName>
    <definedName name="SEC_5E" localSheetId="27">#REF!</definedName>
    <definedName name="SEC_5E" localSheetId="15">#REF!</definedName>
    <definedName name="SEC_5E" localSheetId="14">#REF!</definedName>
    <definedName name="SEC_5E">#REF!</definedName>
    <definedName name="SEC_5F" localSheetId="21">#REF!</definedName>
    <definedName name="SEC_5F" localSheetId="16">#REF!</definedName>
    <definedName name="SEC_5F" localSheetId="27">#REF!</definedName>
    <definedName name="SEC_5F" localSheetId="15">#REF!</definedName>
    <definedName name="SEC_5F" localSheetId="14">#REF!</definedName>
    <definedName name="SEC_5F">#REF!</definedName>
    <definedName name="SEC_5G" localSheetId="21">#REF!</definedName>
    <definedName name="SEC_5G" localSheetId="16">#REF!</definedName>
    <definedName name="SEC_5G" localSheetId="27">#REF!</definedName>
    <definedName name="SEC_5G" localSheetId="15">#REF!</definedName>
    <definedName name="SEC_5G" localSheetId="14">#REF!</definedName>
    <definedName name="SEC_5G">#REF!</definedName>
    <definedName name="SEC_6H" localSheetId="21">#REF!</definedName>
    <definedName name="SEC_6H" localSheetId="16">#REF!</definedName>
    <definedName name="SEC_6H" localSheetId="27">#REF!</definedName>
    <definedName name="SEC_6H" localSheetId="15">#REF!</definedName>
    <definedName name="SEC_6H" localSheetId="14">#REF!</definedName>
    <definedName name="SEC_6H">#REF!</definedName>
    <definedName name="SEC_6H7" localSheetId="21">#REF!</definedName>
    <definedName name="SEC_6H7" localSheetId="16">#REF!</definedName>
    <definedName name="SEC_6H7" localSheetId="27">#REF!</definedName>
    <definedName name="SEC_6H7" localSheetId="15">#REF!</definedName>
    <definedName name="SEC_6H7" localSheetId="14">#REF!</definedName>
    <definedName name="SEC_6H7">#REF!</definedName>
    <definedName name="SEC_7I1" localSheetId="21">#REF!</definedName>
    <definedName name="SEC_7I1" localSheetId="16">#REF!</definedName>
    <definedName name="SEC_7I1" localSheetId="27">#REF!</definedName>
    <definedName name="SEC_7I1" localSheetId="15">#REF!</definedName>
    <definedName name="SEC_7I1" localSheetId="14">#REF!</definedName>
    <definedName name="SEC_7I1">#REF!</definedName>
    <definedName name="SEC_7I2" localSheetId="21">#REF!</definedName>
    <definedName name="SEC_7I2" localSheetId="16">#REF!</definedName>
    <definedName name="SEC_7I2" localSheetId="27">#REF!</definedName>
    <definedName name="SEC_7I2" localSheetId="15">#REF!</definedName>
    <definedName name="SEC_7I2" localSheetId="14">#REF!</definedName>
    <definedName name="SEC_7I2">#REF!</definedName>
    <definedName name="SEC_7I3" localSheetId="21">#REF!</definedName>
    <definedName name="SEC_7I3" localSheetId="16">#REF!</definedName>
    <definedName name="SEC_7I3" localSheetId="27">#REF!</definedName>
    <definedName name="SEC_7I3" localSheetId="15">#REF!</definedName>
    <definedName name="SEC_7I3" localSheetId="14">#REF!</definedName>
    <definedName name="SEC_7I3">#REF!</definedName>
    <definedName name="SEC_7I4" localSheetId="21">#REF!</definedName>
    <definedName name="SEC_7I4" localSheetId="16">#REF!</definedName>
    <definedName name="SEC_7I4" localSheetId="27">#REF!</definedName>
    <definedName name="SEC_7I4" localSheetId="15">#REF!</definedName>
    <definedName name="SEC_7I4" localSheetId="14">#REF!</definedName>
    <definedName name="SEC_7I4">#REF!</definedName>
    <definedName name="SEC_7I5" localSheetId="21">#REF!</definedName>
    <definedName name="SEC_7I5" localSheetId="16">#REF!</definedName>
    <definedName name="SEC_7I5" localSheetId="27">#REF!</definedName>
    <definedName name="SEC_7I5" localSheetId="15">#REF!</definedName>
    <definedName name="SEC_7I5" localSheetId="14">#REF!</definedName>
    <definedName name="SEC_7I5">#REF!</definedName>
    <definedName name="SEC_7I6" localSheetId="21">#REF!</definedName>
    <definedName name="SEC_7I6" localSheetId="16">#REF!</definedName>
    <definedName name="SEC_7I6" localSheetId="27">#REF!</definedName>
    <definedName name="SEC_7I6" localSheetId="15">#REF!</definedName>
    <definedName name="SEC_7I6" localSheetId="14">#REF!</definedName>
    <definedName name="SEC_7I6">#REF!</definedName>
    <definedName name="SEC_7I7" localSheetId="21">#REF!</definedName>
    <definedName name="SEC_7I7" localSheetId="16">#REF!</definedName>
    <definedName name="SEC_7I7" localSheetId="27">#REF!</definedName>
    <definedName name="SEC_7I7" localSheetId="15">#REF!</definedName>
    <definedName name="SEC_7I7" localSheetId="14">#REF!</definedName>
    <definedName name="SEC_7I7">#REF!</definedName>
    <definedName name="SEC_7I8" localSheetId="21">#REF!</definedName>
    <definedName name="SEC_7I8" localSheetId="16">#REF!</definedName>
    <definedName name="SEC_7I8" localSheetId="27">#REF!</definedName>
    <definedName name="SEC_7I8" localSheetId="15">#REF!</definedName>
    <definedName name="SEC_7I8" localSheetId="14">#REF!</definedName>
    <definedName name="SEC_7I8">#REF!</definedName>
    <definedName name="SEC_8J1" localSheetId="21">#REF!</definedName>
    <definedName name="SEC_8J1" localSheetId="16">#REF!</definedName>
    <definedName name="SEC_8J1" localSheetId="27">#REF!</definedName>
    <definedName name="SEC_8J1" localSheetId="15">#REF!</definedName>
    <definedName name="SEC_8J1" localSheetId="14">#REF!</definedName>
    <definedName name="SEC_8J1">#REF!</definedName>
    <definedName name="SEC_8J2" localSheetId="21">#REF!</definedName>
    <definedName name="SEC_8J2" localSheetId="16">#REF!</definedName>
    <definedName name="SEC_8J2" localSheetId="27">#REF!</definedName>
    <definedName name="SEC_8J2" localSheetId="15">#REF!</definedName>
    <definedName name="SEC_8J2" localSheetId="14">#REF!</definedName>
    <definedName name="SEC_8J2">#REF!</definedName>
    <definedName name="SEC_8K" localSheetId="21">#REF!</definedName>
    <definedName name="SEC_8K" localSheetId="16">#REF!</definedName>
    <definedName name="SEC_8K" localSheetId="27">#REF!</definedName>
    <definedName name="SEC_8K" localSheetId="15">#REF!</definedName>
    <definedName name="SEC_8K" localSheetId="14">#REF!</definedName>
    <definedName name="SEC_8K">#REF!</definedName>
    <definedName name="SEC_8L" localSheetId="21">#REF!</definedName>
    <definedName name="SEC_8L" localSheetId="16">#REF!</definedName>
    <definedName name="SEC_8L" localSheetId="27">#REF!</definedName>
    <definedName name="SEC_8L" localSheetId="15">#REF!</definedName>
    <definedName name="SEC_8L" localSheetId="14">#REF!</definedName>
    <definedName name="SEC_8L">#REF!</definedName>
    <definedName name="select" localSheetId="21">#REF!</definedName>
    <definedName name="select" localSheetId="16">#REF!</definedName>
    <definedName name="select" localSheetId="27">#REF!</definedName>
    <definedName name="select" localSheetId="15">#REF!</definedName>
    <definedName name="select" localSheetId="14">#REF!</definedName>
    <definedName name="select">#REF!</definedName>
    <definedName name="SHEET_CHOICE" localSheetId="21">#REF!</definedName>
    <definedName name="SHEET_CHOICE" localSheetId="16">#REF!</definedName>
    <definedName name="SHEET_CHOICE" localSheetId="27">#REF!</definedName>
    <definedName name="SHEET_CHOICE" localSheetId="15">#REF!</definedName>
    <definedName name="SHEET_CHOICE" localSheetId="14">#REF!</definedName>
    <definedName name="SHEET_CHOICE">#REF!</definedName>
    <definedName name="SHEET1" localSheetId="21">#REF!</definedName>
    <definedName name="SHEET1" localSheetId="16">#REF!</definedName>
    <definedName name="SHEET1" localSheetId="27">#REF!</definedName>
    <definedName name="SHEET1" localSheetId="15">#REF!</definedName>
    <definedName name="SHEET1" localSheetId="14">#REF!</definedName>
    <definedName name="SHEET1">#REF!</definedName>
    <definedName name="SHEET2" localSheetId="21">#REF!</definedName>
    <definedName name="SHEET2" localSheetId="16">#REF!</definedName>
    <definedName name="SHEET2" localSheetId="27">#REF!</definedName>
    <definedName name="SHEET2" localSheetId="15">#REF!</definedName>
    <definedName name="SHEET2" localSheetId="14">#REF!</definedName>
    <definedName name="SHEET2">#REF!</definedName>
    <definedName name="SHEET3" localSheetId="21">#REF!</definedName>
    <definedName name="SHEET3" localSheetId="16">#REF!</definedName>
    <definedName name="SHEET3" localSheetId="27">#REF!</definedName>
    <definedName name="SHEET3" localSheetId="15">#REF!</definedName>
    <definedName name="SHEET3" localSheetId="14">#REF!</definedName>
    <definedName name="SHEET3">#REF!</definedName>
    <definedName name="SHEET4" localSheetId="21">#REF!</definedName>
    <definedName name="SHEET4" localSheetId="16">#REF!</definedName>
    <definedName name="SHEET4" localSheetId="27">#REF!</definedName>
    <definedName name="SHEET4" localSheetId="15">#REF!</definedName>
    <definedName name="SHEET4" localSheetId="14">#REF!</definedName>
    <definedName name="SHEET4">#REF!</definedName>
    <definedName name="SHEET5A" localSheetId="21">#REF!</definedName>
    <definedName name="SHEET5A" localSheetId="16">#REF!</definedName>
    <definedName name="SHEET5A" localSheetId="27">#REF!</definedName>
    <definedName name="SHEET5A" localSheetId="15">#REF!</definedName>
    <definedName name="SHEET5A" localSheetId="14">#REF!</definedName>
    <definedName name="SHEET5A">#REF!</definedName>
    <definedName name="SHEET5B" localSheetId="21">#REF!</definedName>
    <definedName name="SHEET5B" localSheetId="16">#REF!</definedName>
    <definedName name="SHEET5B" localSheetId="27">#REF!</definedName>
    <definedName name="SHEET5B" localSheetId="15">#REF!</definedName>
    <definedName name="SHEET5B" localSheetId="14">#REF!</definedName>
    <definedName name="SHEET5B">#REF!</definedName>
    <definedName name="SHEET5C" localSheetId="21">#REF!</definedName>
    <definedName name="SHEET5C" localSheetId="16">#REF!</definedName>
    <definedName name="SHEET5C" localSheetId="27">#REF!</definedName>
    <definedName name="SHEET5C" localSheetId="15">#REF!</definedName>
    <definedName name="SHEET5C" localSheetId="14">#REF!</definedName>
    <definedName name="SHEET5C">#REF!</definedName>
    <definedName name="SHEET5D" localSheetId="21">#REF!</definedName>
    <definedName name="SHEET5D" localSheetId="16">#REF!</definedName>
    <definedName name="SHEET5D" localSheetId="27">#REF!</definedName>
    <definedName name="SHEET5D" localSheetId="15">#REF!</definedName>
    <definedName name="SHEET5D" localSheetId="14">#REF!</definedName>
    <definedName name="SHEET5D">#REF!</definedName>
    <definedName name="SHEET6" localSheetId="21">#REF!</definedName>
    <definedName name="SHEET6" localSheetId="16">#REF!</definedName>
    <definedName name="SHEET6" localSheetId="27">#REF!</definedName>
    <definedName name="SHEET6" localSheetId="15">#REF!</definedName>
    <definedName name="SHEET6" localSheetId="14">#REF!</definedName>
    <definedName name="SHEET6">#REF!</definedName>
    <definedName name="Spanner_Auto_File">"T:\139407\NDM\ROR\DRAWING\des_road.x2a"</definedName>
    <definedName name="Spanner_Auto_Select" localSheetId="21">#REF!</definedName>
    <definedName name="Spanner_Auto_Select" localSheetId="16">#REF!</definedName>
    <definedName name="Spanner_Auto_Select" localSheetId="9">#REF!</definedName>
    <definedName name="Spanner_Auto_Select" localSheetId="27">#REF!</definedName>
    <definedName name="Spanner_Auto_Select" localSheetId="15">#REF!</definedName>
    <definedName name="Spanner_Auto_Select" localSheetId="14">#REF!</definedName>
    <definedName name="Spanner_Auto_Select">#REF!</definedName>
    <definedName name="Starting_Fiscal_Year">[9]Inputs!$C$6</definedName>
    <definedName name="SUB7L" localSheetId="21">#REF!</definedName>
    <definedName name="SUB7L" localSheetId="16">#REF!</definedName>
    <definedName name="SUB7L" localSheetId="27">#REF!</definedName>
    <definedName name="SUB7L" localSheetId="15">#REF!</definedName>
    <definedName name="SUB7L" localSheetId="14">#REF!</definedName>
    <definedName name="SUB7L">#REF!</definedName>
    <definedName name="supp" localSheetId="21">#REF!</definedName>
    <definedName name="supp" localSheetId="16">#REF!</definedName>
    <definedName name="supp" localSheetId="27">#REF!</definedName>
    <definedName name="supp" localSheetId="15">#REF!</definedName>
    <definedName name="supp" localSheetId="14">#REF!</definedName>
    <definedName name="supp">#REF!</definedName>
    <definedName name="suppbase" localSheetId="21">#REF!</definedName>
    <definedName name="suppbase" localSheetId="16">#REF!</definedName>
    <definedName name="suppbase" localSheetId="27">#REF!</definedName>
    <definedName name="suppbase" localSheetId="15">#REF!</definedName>
    <definedName name="suppbase" localSheetId="14">#REF!</definedName>
    <definedName name="suppbase">#REF!</definedName>
    <definedName name="SUPPL" localSheetId="21">#REF!</definedName>
    <definedName name="SUPPL" localSheetId="16">#REF!</definedName>
    <definedName name="SUPPL" localSheetId="27">#REF!</definedName>
    <definedName name="SUPPL" localSheetId="15">#REF!</definedName>
    <definedName name="SUPPL" localSheetId="14">#REF!</definedName>
    <definedName name="SUPPL">#REF!</definedName>
    <definedName name="supplem" localSheetId="21">#REF!</definedName>
    <definedName name="supplem" localSheetId="16">#REF!</definedName>
    <definedName name="supplem" localSheetId="27">#REF!</definedName>
    <definedName name="supplem" localSheetId="15">#REF!</definedName>
    <definedName name="supplem" localSheetId="14">#REF!</definedName>
    <definedName name="supplem">#REF!</definedName>
    <definedName name="TITLE" localSheetId="21">#REF!</definedName>
    <definedName name="TITLE" localSheetId="16">#REF!</definedName>
    <definedName name="TITLE" localSheetId="27">#REF!</definedName>
    <definedName name="TITLE" localSheetId="15">#REF!</definedName>
    <definedName name="TITLE" localSheetId="14">#REF!</definedName>
    <definedName name="TITLE">#REF!</definedName>
    <definedName name="TOTAL" localSheetId="21">#REF!</definedName>
    <definedName name="TOTAL" localSheetId="16">#REF!</definedName>
    <definedName name="TOTAL" localSheetId="27">#REF!</definedName>
    <definedName name="TOTAL" localSheetId="15">#REF!</definedName>
    <definedName name="TOTAL" localSheetId="14">#REF!</definedName>
    <definedName name="TOTAL">#REF!</definedName>
    <definedName name="UPDATE" localSheetId="21">#REF!</definedName>
    <definedName name="UPDATE" localSheetId="16">#REF!</definedName>
    <definedName name="UPDATE" localSheetId="27">#REF!</definedName>
    <definedName name="UPDATE" localSheetId="15">#REF!</definedName>
    <definedName name="UPDATE" localSheetId="14">#REF!</definedName>
    <definedName name="UPDATE">#REF!</definedName>
    <definedName name="VEH_OCC" localSheetId="9">[5]Assumptions!$C$6</definedName>
    <definedName name="VEH_OCC" localSheetId="10">[6]Assumptions!$C$6</definedName>
    <definedName name="VEH_OCC">[7]Assumptions!$C$6</definedName>
    <definedName name="Version" localSheetId="21">#REF!</definedName>
    <definedName name="Version" localSheetId="16">#REF!</definedName>
    <definedName name="Version" localSheetId="27">#REF!</definedName>
    <definedName name="Version" localSheetId="15">#REF!</definedName>
    <definedName name="Version" localSheetId="14">#REF!</definedName>
    <definedName name="Version" localSheetId="10">#REF!</definedName>
    <definedName name="Version">#REF!</definedName>
    <definedName name="YTD" localSheetId="21">#REF!</definedName>
    <definedName name="YTD" localSheetId="16">#REF!</definedName>
    <definedName name="YTD" localSheetId="27">#REF!</definedName>
    <definedName name="YTD" localSheetId="15">#REF!</definedName>
    <definedName name="YTD" localSheetId="14">#REF!</definedName>
    <definedName name="YTD" localSheetId="10">#REF!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13" i="136" l="1"/>
  <c r="Q113" i="136"/>
  <c r="Q108" i="136"/>
  <c r="Q110" i="136"/>
  <c r="Q111" i="136"/>
  <c r="P110" i="136"/>
  <c r="D47" i="32" l="1"/>
  <c r="D68" i="32" s="1"/>
  <c r="M5" i="136"/>
  <c r="E108" i="136"/>
  <c r="F27" i="136"/>
  <c r="I106" i="136"/>
  <c r="I107" i="136"/>
  <c r="E68" i="32"/>
  <c r="E13" i="148" l="1"/>
  <c r="D14" i="148"/>
  <c r="E6" i="148"/>
  <c r="B6" i="148"/>
  <c r="I19" i="127"/>
  <c r="J19" i="127"/>
  <c r="K19" i="127"/>
  <c r="L19" i="127"/>
  <c r="M19" i="127"/>
  <c r="N19" i="127"/>
  <c r="I20" i="127"/>
  <c r="J20" i="127"/>
  <c r="K20" i="127"/>
  <c r="L20" i="127"/>
  <c r="M20" i="127"/>
  <c r="N20" i="127"/>
  <c r="I21" i="127"/>
  <c r="J21" i="127"/>
  <c r="K21" i="127"/>
  <c r="L21" i="127"/>
  <c r="M21" i="127"/>
  <c r="N21" i="127"/>
  <c r="I22" i="127"/>
  <c r="J22" i="127"/>
  <c r="K22" i="127"/>
  <c r="L22" i="127"/>
  <c r="M22" i="127"/>
  <c r="N22" i="127"/>
  <c r="I23" i="127"/>
  <c r="J23" i="127"/>
  <c r="K23" i="127"/>
  <c r="L23" i="127"/>
  <c r="M23" i="127"/>
  <c r="N23" i="127"/>
  <c r="I24" i="127"/>
  <c r="J24" i="127"/>
  <c r="K24" i="127"/>
  <c r="L24" i="127"/>
  <c r="M24" i="127"/>
  <c r="N24" i="127"/>
  <c r="I25" i="127"/>
  <c r="J25" i="127"/>
  <c r="K25" i="127"/>
  <c r="L25" i="127"/>
  <c r="M25" i="127"/>
  <c r="N25" i="127"/>
  <c r="I26" i="127"/>
  <c r="J26" i="127"/>
  <c r="K26" i="127"/>
  <c r="L26" i="127"/>
  <c r="M26" i="127"/>
  <c r="N26" i="127"/>
  <c r="I27" i="127"/>
  <c r="J27" i="127"/>
  <c r="K27" i="127"/>
  <c r="L27" i="127"/>
  <c r="M27" i="127"/>
  <c r="N27" i="127"/>
  <c r="I28" i="127"/>
  <c r="J28" i="127"/>
  <c r="K28" i="127"/>
  <c r="L28" i="127"/>
  <c r="M28" i="127"/>
  <c r="N28" i="127"/>
  <c r="I29" i="127"/>
  <c r="J29" i="127"/>
  <c r="K29" i="127"/>
  <c r="L29" i="127"/>
  <c r="M29" i="127"/>
  <c r="N29" i="127"/>
  <c r="I30" i="127"/>
  <c r="J30" i="127"/>
  <c r="K30" i="127"/>
  <c r="L30" i="127"/>
  <c r="M30" i="127"/>
  <c r="N30" i="127"/>
  <c r="I31" i="127"/>
  <c r="J31" i="127"/>
  <c r="K31" i="127"/>
  <c r="L31" i="127"/>
  <c r="M31" i="127"/>
  <c r="N31" i="127"/>
  <c r="I32" i="127"/>
  <c r="J32" i="127"/>
  <c r="O32" i="127" s="1"/>
  <c r="K32" i="127"/>
  <c r="L32" i="127"/>
  <c r="M32" i="127"/>
  <c r="N32" i="127"/>
  <c r="I33" i="127"/>
  <c r="J33" i="127"/>
  <c r="K33" i="127"/>
  <c r="L33" i="127"/>
  <c r="M33" i="127"/>
  <c r="N33" i="127"/>
  <c r="I34" i="127"/>
  <c r="J34" i="127"/>
  <c r="O34" i="127" s="1"/>
  <c r="K34" i="127"/>
  <c r="L34" i="127"/>
  <c r="M34" i="127"/>
  <c r="N34" i="127"/>
  <c r="I35" i="127"/>
  <c r="J35" i="127"/>
  <c r="K35" i="127"/>
  <c r="L35" i="127"/>
  <c r="O35" i="127" s="1"/>
  <c r="M35" i="127"/>
  <c r="N35" i="127"/>
  <c r="I36" i="127"/>
  <c r="J36" i="127"/>
  <c r="O36" i="127" s="1"/>
  <c r="K36" i="127"/>
  <c r="L36" i="127"/>
  <c r="M36" i="127"/>
  <c r="N36" i="127"/>
  <c r="I37" i="127"/>
  <c r="J37" i="127"/>
  <c r="K37" i="127"/>
  <c r="L37" i="127"/>
  <c r="M37" i="127"/>
  <c r="N37" i="127"/>
  <c r="I38" i="127"/>
  <c r="J38" i="127"/>
  <c r="O38" i="127" s="1"/>
  <c r="K38" i="127"/>
  <c r="L38" i="127"/>
  <c r="M38" i="127"/>
  <c r="N38" i="127"/>
  <c r="I39" i="127"/>
  <c r="J39" i="127"/>
  <c r="O39" i="127" s="1"/>
  <c r="K39" i="127"/>
  <c r="L39" i="127"/>
  <c r="M39" i="127"/>
  <c r="N39" i="127"/>
  <c r="O33" i="127"/>
  <c r="P33" i="127" s="1"/>
  <c r="O37" i="127"/>
  <c r="P37" i="127" s="1"/>
  <c r="D33" i="127"/>
  <c r="E33" i="127"/>
  <c r="F33" i="127"/>
  <c r="G33" i="127"/>
  <c r="H33" i="127"/>
  <c r="C33" i="127"/>
  <c r="H30" i="127"/>
  <c r="G30" i="127"/>
  <c r="F30" i="127"/>
  <c r="F29" i="127" s="1"/>
  <c r="F28" i="127" s="1"/>
  <c r="F27" i="127" s="1"/>
  <c r="F26" i="127" s="1"/>
  <c r="F25" i="127" s="1"/>
  <c r="F24" i="127" s="1"/>
  <c r="F23" i="127" s="1"/>
  <c r="F22" i="127" s="1"/>
  <c r="F21" i="127" s="1"/>
  <c r="F20" i="127" s="1"/>
  <c r="F19" i="127" s="1"/>
  <c r="E30" i="127"/>
  <c r="E29" i="127" s="1"/>
  <c r="E28" i="127" s="1"/>
  <c r="E27" i="127" s="1"/>
  <c r="E26" i="127" s="1"/>
  <c r="E25" i="127" s="1"/>
  <c r="E24" i="127" s="1"/>
  <c r="E23" i="127" s="1"/>
  <c r="E22" i="127" s="1"/>
  <c r="E21" i="127" s="1"/>
  <c r="E20" i="127" s="1"/>
  <c r="E19" i="127" s="1"/>
  <c r="D30" i="127"/>
  <c r="C30" i="127"/>
  <c r="H29" i="127"/>
  <c r="H28" i="127" s="1"/>
  <c r="H27" i="127" s="1"/>
  <c r="H26" i="127" s="1"/>
  <c r="H25" i="127" s="1"/>
  <c r="H24" i="127" s="1"/>
  <c r="H23" i="127" s="1"/>
  <c r="H22" i="127" s="1"/>
  <c r="H21" i="127" s="1"/>
  <c r="H20" i="127" s="1"/>
  <c r="H19" i="127" s="1"/>
  <c r="G29" i="127"/>
  <c r="G28" i="127" s="1"/>
  <c r="G27" i="127" s="1"/>
  <c r="G26" i="127" s="1"/>
  <c r="G25" i="127" s="1"/>
  <c r="G24" i="127" s="1"/>
  <c r="G23" i="127" s="1"/>
  <c r="G22" i="127" s="1"/>
  <c r="G21" i="127" s="1"/>
  <c r="G20" i="127" s="1"/>
  <c r="G19" i="127" s="1"/>
  <c r="D29" i="127"/>
  <c r="D28" i="127" s="1"/>
  <c r="D27" i="127" s="1"/>
  <c r="D26" i="127" s="1"/>
  <c r="D25" i="127" s="1"/>
  <c r="D24" i="127" s="1"/>
  <c r="D23" i="127" s="1"/>
  <c r="D22" i="127" s="1"/>
  <c r="D21" i="127" s="1"/>
  <c r="D20" i="127" s="1"/>
  <c r="D19" i="127" s="1"/>
  <c r="C29" i="127"/>
  <c r="C28" i="127" s="1"/>
  <c r="C27" i="127" s="1"/>
  <c r="C26" i="127" s="1"/>
  <c r="C25" i="127" s="1"/>
  <c r="C24" i="127" s="1"/>
  <c r="C23" i="127" s="1"/>
  <c r="C22" i="127" s="1"/>
  <c r="C21" i="127" s="1"/>
  <c r="C20" i="127" s="1"/>
  <c r="C19" i="127" s="1"/>
  <c r="D31" i="127"/>
  <c r="E31" i="127"/>
  <c r="F31" i="127"/>
  <c r="G31" i="127"/>
  <c r="H31" i="127"/>
  <c r="C31" i="127"/>
  <c r="Q39" i="127" l="1"/>
  <c r="P39" i="127"/>
  <c r="P38" i="127"/>
  <c r="Q38" i="127"/>
  <c r="P35" i="127"/>
  <c r="Q35" i="127"/>
  <c r="Q36" i="127"/>
  <c r="P36" i="127"/>
  <c r="P34" i="127"/>
  <c r="Q34" i="127"/>
  <c r="Q32" i="127"/>
  <c r="P32" i="127"/>
  <c r="Q37" i="127"/>
  <c r="Q33" i="127"/>
  <c r="B20" i="135" l="1"/>
  <c r="C53" i="135"/>
  <c r="C54" i="135"/>
  <c r="C55" i="135"/>
  <c r="C56" i="135"/>
  <c r="C57" i="135"/>
  <c r="C58" i="135"/>
  <c r="C59" i="135"/>
  <c r="C60" i="135"/>
  <c r="C61" i="135"/>
  <c r="C62" i="135"/>
  <c r="C63" i="135"/>
  <c r="C64" i="135"/>
  <c r="C65" i="135"/>
  <c r="C66" i="135"/>
  <c r="C67" i="135"/>
  <c r="C68" i="135"/>
  <c r="C69" i="135"/>
  <c r="C70" i="135"/>
  <c r="C71" i="135"/>
  <c r="C72" i="135"/>
  <c r="H53" i="135"/>
  <c r="H54" i="135"/>
  <c r="H55" i="135"/>
  <c r="H56" i="135"/>
  <c r="H57" i="135"/>
  <c r="H58" i="135"/>
  <c r="H59" i="135"/>
  <c r="H60" i="135"/>
  <c r="H61" i="135"/>
  <c r="H62" i="135"/>
  <c r="H63" i="135"/>
  <c r="H64" i="135"/>
  <c r="H65" i="135"/>
  <c r="H66" i="135"/>
  <c r="H67" i="135"/>
  <c r="H68" i="135"/>
  <c r="H69" i="135"/>
  <c r="H70" i="135"/>
  <c r="H71" i="135"/>
  <c r="H72" i="135"/>
  <c r="H52" i="135"/>
  <c r="C52" i="135"/>
  <c r="E48" i="135" l="1"/>
  <c r="A20" i="135"/>
  <c r="E16" i="134"/>
  <c r="F16" i="134" s="1"/>
  <c r="E15" i="134"/>
  <c r="F15" i="134" s="1"/>
  <c r="F18" i="134"/>
  <c r="F19" i="134"/>
  <c r="F20" i="134"/>
  <c r="C25" i="134"/>
  <c r="D16" i="134"/>
  <c r="D15" i="134"/>
  <c r="D14" i="134"/>
  <c r="D10" i="134"/>
  <c r="C10" i="134"/>
  <c r="C8" i="134"/>
  <c r="W27" i="134"/>
  <c r="W26" i="134"/>
  <c r="W25" i="134"/>
  <c r="W24" i="134"/>
  <c r="W23" i="134"/>
  <c r="C7" i="134" l="1"/>
  <c r="D17" i="134" s="1"/>
  <c r="E17" i="134" s="1"/>
  <c r="F17" i="134" s="1"/>
  <c r="B19" i="135" l="1"/>
  <c r="L18" i="135"/>
  <c r="M18" i="135"/>
  <c r="B17" i="14"/>
  <c r="H4" i="136" l="1"/>
  <c r="H7" i="136"/>
  <c r="H8" i="136"/>
  <c r="H9" i="136"/>
  <c r="H10" i="136"/>
  <c r="H11" i="136"/>
  <c r="J47" i="32"/>
  <c r="E120" i="136"/>
  <c r="F71" i="136"/>
  <c r="F105" i="136"/>
  <c r="G105" i="136" s="1"/>
  <c r="F109" i="136"/>
  <c r="G109" i="136" s="1"/>
  <c r="F110" i="136"/>
  <c r="G110" i="136" s="1"/>
  <c r="F111" i="136"/>
  <c r="G111" i="136" s="1"/>
  <c r="F112" i="136"/>
  <c r="G112" i="136" s="1"/>
  <c r="F113" i="136"/>
  <c r="G113" i="136" s="1"/>
  <c r="F114" i="136"/>
  <c r="G114" i="136" s="1"/>
  <c r="F115" i="136"/>
  <c r="G115" i="136" s="1"/>
  <c r="F116" i="136"/>
  <c r="G116" i="136" s="1"/>
  <c r="F117" i="136"/>
  <c r="G117" i="136" s="1"/>
  <c r="F118" i="136"/>
  <c r="G118" i="136" s="1"/>
  <c r="F119" i="136"/>
  <c r="G119" i="136" s="1"/>
  <c r="F104" i="136"/>
  <c r="H3" i="136"/>
  <c r="I4" i="136"/>
  <c r="I3" i="136"/>
  <c r="I11" i="136"/>
  <c r="I10" i="136"/>
  <c r="I9" i="136"/>
  <c r="I8" i="136"/>
  <c r="I7" i="136"/>
  <c r="A72" i="116" l="1"/>
  <c r="A73" i="116" s="1"/>
  <c r="A74" i="116" s="1"/>
  <c r="A75" i="116" s="1"/>
  <c r="A76" i="116" s="1"/>
  <c r="A77" i="116" s="1"/>
  <c r="A78" i="116" s="1"/>
  <c r="A79" i="116" s="1"/>
  <c r="A80" i="116" s="1"/>
  <c r="A81" i="116" s="1"/>
  <c r="A82" i="116" s="1"/>
  <c r="A83" i="116" s="1"/>
  <c r="A84" i="116" s="1"/>
  <c r="A85" i="116" s="1"/>
  <c r="A86" i="116" s="1"/>
  <c r="A87" i="116" s="1"/>
  <c r="A88" i="116" s="1"/>
  <c r="A89" i="116" s="1"/>
  <c r="A90" i="116" s="1"/>
  <c r="A91" i="116" s="1"/>
  <c r="A92" i="116" s="1"/>
  <c r="A93" i="116" s="1"/>
  <c r="A94" i="116" s="1"/>
  <c r="A95" i="116" s="1"/>
  <c r="A96" i="116" s="1"/>
  <c r="A97" i="116" s="1"/>
  <c r="A98" i="116" s="1"/>
  <c r="A99" i="116" s="1"/>
  <c r="A100" i="116" s="1"/>
  <c r="A101" i="116" s="1"/>
  <c r="A102" i="116" s="1"/>
  <c r="A103" i="116" s="1"/>
  <c r="A104" i="116" s="1"/>
  <c r="A71" i="116"/>
  <c r="C32" i="148"/>
  <c r="C33" i="148"/>
  <c r="D25" i="123"/>
  <c r="E25" i="123"/>
  <c r="F25" i="123"/>
  <c r="G25" i="123"/>
  <c r="Y25" i="123"/>
  <c r="Z25" i="123"/>
  <c r="AA25" i="123"/>
  <c r="AB25" i="123"/>
  <c r="AT25" i="123"/>
  <c r="AU25" i="123"/>
  <c r="AV25" i="123"/>
  <c r="AW25" i="123"/>
  <c r="D26" i="123"/>
  <c r="E26" i="123"/>
  <c r="F26" i="123"/>
  <c r="G26" i="123"/>
  <c r="Y26" i="123"/>
  <c r="Z26" i="123"/>
  <c r="AA26" i="123"/>
  <c r="AB26" i="123"/>
  <c r="AT26" i="123"/>
  <c r="AU26" i="123"/>
  <c r="AV26" i="123"/>
  <c r="AW26" i="123"/>
  <c r="D25" i="20"/>
  <c r="E25" i="20"/>
  <c r="F25" i="20"/>
  <c r="G25" i="20"/>
  <c r="Y25" i="20"/>
  <c r="Z25" i="20"/>
  <c r="AA25" i="20"/>
  <c r="AB25" i="20"/>
  <c r="AT25" i="20"/>
  <c r="AU25" i="20"/>
  <c r="AV25" i="20"/>
  <c r="AW25" i="20"/>
  <c r="D26" i="20"/>
  <c r="E26" i="20"/>
  <c r="F26" i="20"/>
  <c r="G26" i="20"/>
  <c r="Y26" i="20"/>
  <c r="Z26" i="20"/>
  <c r="AA26" i="20"/>
  <c r="AB26" i="20"/>
  <c r="AT26" i="20"/>
  <c r="AU26" i="20"/>
  <c r="AV26" i="20"/>
  <c r="AW26" i="20"/>
  <c r="B43" i="32"/>
  <c r="B44" i="32" s="1"/>
  <c r="B45" i="32" s="1"/>
  <c r="B46" i="32" s="1"/>
  <c r="B47" i="32" s="1"/>
  <c r="B48" i="32" s="1"/>
  <c r="B49" i="32" s="1"/>
  <c r="B50" i="32" s="1"/>
  <c r="B51" i="32" s="1"/>
  <c r="B52" i="32" s="1"/>
  <c r="B53" i="32" s="1"/>
  <c r="B54" i="32" s="1"/>
  <c r="B55" i="32" s="1"/>
  <c r="B56" i="32" s="1"/>
  <c r="B57" i="32" s="1"/>
  <c r="B58" i="32" s="1"/>
  <c r="B59" i="32" s="1"/>
  <c r="B60" i="32" s="1"/>
  <c r="B61" i="32" s="1"/>
  <c r="B62" i="32" s="1"/>
  <c r="B63" i="32" s="1"/>
  <c r="B64" i="32" s="1"/>
  <c r="B65" i="32" s="1"/>
  <c r="B66" i="32" s="1"/>
  <c r="B67" i="32" s="1"/>
  <c r="K47" i="32"/>
  <c r="L47" i="32" s="1"/>
  <c r="B10" i="14"/>
  <c r="K15" i="32"/>
  <c r="L15" i="32"/>
  <c r="J16" i="32"/>
  <c r="J17" i="32"/>
  <c r="J18" i="32"/>
  <c r="J19" i="32"/>
  <c r="J20" i="32"/>
  <c r="J21" i="32"/>
  <c r="J22" i="32"/>
  <c r="J23" i="32"/>
  <c r="J24" i="32"/>
  <c r="J25" i="32"/>
  <c r="J26" i="32"/>
  <c r="J27" i="32"/>
  <c r="J28" i="32"/>
  <c r="J29" i="32"/>
  <c r="J30" i="32"/>
  <c r="J31" i="32"/>
  <c r="J32" i="32"/>
  <c r="J33" i="32"/>
  <c r="J34" i="32"/>
  <c r="J35" i="32"/>
  <c r="J15" i="32"/>
  <c r="D16" i="110"/>
  <c r="E16" i="110" s="1"/>
  <c r="G16" i="110"/>
  <c r="H16" i="110"/>
  <c r="I16" i="110" s="1"/>
  <c r="K16" i="110"/>
  <c r="L16" i="110"/>
  <c r="M16" i="110"/>
  <c r="O16" i="110"/>
  <c r="P16" i="110"/>
  <c r="Q16" i="110" s="1"/>
  <c r="S16" i="110"/>
  <c r="T16" i="110"/>
  <c r="U16" i="110" s="1"/>
  <c r="B18" i="110"/>
  <c r="B19" i="110"/>
  <c r="B20" i="110" s="1"/>
  <c r="B21" i="110" s="1"/>
  <c r="B22" i="110" s="1"/>
  <c r="B23" i="110" s="1"/>
  <c r="B24" i="110" s="1"/>
  <c r="B25" i="110" s="1"/>
  <c r="B26" i="110" s="1"/>
  <c r="B27" i="110" s="1"/>
  <c r="B28" i="110" s="1"/>
  <c r="B29" i="110" s="1"/>
  <c r="B30" i="110" s="1"/>
  <c r="B31" i="110" s="1"/>
  <c r="B32" i="110" s="1"/>
  <c r="B33" i="110" s="1"/>
  <c r="B34" i="110" s="1"/>
  <c r="B35" i="110" s="1"/>
  <c r="B36" i="110" s="1"/>
  <c r="B37" i="110" s="1"/>
  <c r="B17" i="110"/>
  <c r="C16" i="110"/>
  <c r="C17" i="110"/>
  <c r="D17" i="110"/>
  <c r="E17" i="110"/>
  <c r="G17" i="110"/>
  <c r="H17" i="110"/>
  <c r="K17" i="110"/>
  <c r="L17" i="110"/>
  <c r="M17" i="110" s="1"/>
  <c r="O17" i="110"/>
  <c r="P17" i="110"/>
  <c r="Q17" i="110" s="1"/>
  <c r="S17" i="110"/>
  <c r="T17" i="110"/>
  <c r="U17" i="110" s="1"/>
  <c r="B8" i="14"/>
  <c r="W16" i="110" l="1"/>
  <c r="I17" i="110"/>
  <c r="W17" i="110"/>
  <c r="Y16" i="110" l="1"/>
  <c r="X16" i="110"/>
  <c r="X17" i="110"/>
  <c r="Y17" i="110"/>
  <c r="C32" i="157" l="1"/>
  <c r="D32" i="157"/>
  <c r="E32" i="157" s="1"/>
  <c r="A34" i="157"/>
  <c r="A33" i="157"/>
  <c r="F9" i="159"/>
  <c r="J9" i="159" s="1"/>
  <c r="K9" i="159" s="1"/>
  <c r="F10" i="159"/>
  <c r="J10" i="159" s="1"/>
  <c r="K10" i="159" s="1"/>
  <c r="F11" i="159"/>
  <c r="J11" i="159" s="1"/>
  <c r="K11" i="159" s="1"/>
  <c r="F12" i="159"/>
  <c r="J12" i="159" s="1"/>
  <c r="K12" i="159" s="1"/>
  <c r="F13" i="159"/>
  <c r="J13" i="159" s="1"/>
  <c r="K13" i="159" s="1"/>
  <c r="F14" i="159"/>
  <c r="J14" i="159" s="1"/>
  <c r="K14" i="159" s="1"/>
  <c r="F15" i="159"/>
  <c r="J15" i="159" s="1"/>
  <c r="K15" i="159" s="1"/>
  <c r="F16" i="159"/>
  <c r="J16" i="159" s="1"/>
  <c r="K16" i="159" s="1"/>
  <c r="F17" i="159"/>
  <c r="J17" i="159" s="1"/>
  <c r="K17" i="159" s="1"/>
  <c r="F8" i="159"/>
  <c r="J8" i="159" s="1"/>
  <c r="K8" i="159" s="1"/>
  <c r="E45" i="135"/>
  <c r="B76" i="14" l="1"/>
  <c r="B75" i="14"/>
  <c r="B74" i="14"/>
  <c r="B73" i="14"/>
  <c r="B77" i="14" s="1"/>
  <c r="B68" i="14"/>
  <c r="J48" i="32"/>
  <c r="J49" i="32"/>
  <c r="J50" i="32"/>
  <c r="J51" i="32"/>
  <c r="J52" i="32"/>
  <c r="J53" i="32"/>
  <c r="J54" i="32"/>
  <c r="J55" i="32"/>
  <c r="J56" i="32"/>
  <c r="J57" i="32"/>
  <c r="J58" i="32"/>
  <c r="J59" i="32"/>
  <c r="J60" i="32"/>
  <c r="J61" i="32"/>
  <c r="J62" i="32"/>
  <c r="J63" i="32"/>
  <c r="J64" i="32"/>
  <c r="J65" i="32"/>
  <c r="J66" i="32"/>
  <c r="J67" i="32"/>
  <c r="K48" i="32"/>
  <c r="K49" i="32"/>
  <c r="K50" i="32"/>
  <c r="K51" i="32"/>
  <c r="K52" i="32"/>
  <c r="K53" i="32"/>
  <c r="K54" i="32"/>
  <c r="K55" i="32"/>
  <c r="K56" i="32"/>
  <c r="K57" i="32"/>
  <c r="K58" i="32"/>
  <c r="K59" i="32"/>
  <c r="K60" i="32"/>
  <c r="K61" i="32"/>
  <c r="K62" i="32"/>
  <c r="K63" i="32"/>
  <c r="K64" i="32"/>
  <c r="K65" i="32"/>
  <c r="K66" i="32"/>
  <c r="K67" i="32"/>
  <c r="L17" i="32"/>
  <c r="L18" i="32"/>
  <c r="L19" i="32"/>
  <c r="L20" i="32"/>
  <c r="L21" i="32"/>
  <c r="L22" i="32"/>
  <c r="L23" i="32"/>
  <c r="L24" i="32"/>
  <c r="L25" i="32"/>
  <c r="L26" i="32"/>
  <c r="L27" i="32"/>
  <c r="L28" i="32"/>
  <c r="L29" i="32"/>
  <c r="L30" i="32"/>
  <c r="L31" i="32"/>
  <c r="L32" i="32"/>
  <c r="L33" i="32"/>
  <c r="L34" i="32"/>
  <c r="L35" i="32"/>
  <c r="L16" i="32"/>
  <c r="K17" i="32"/>
  <c r="K18" i="32"/>
  <c r="K19" i="32"/>
  <c r="K20" i="32"/>
  <c r="K21" i="32"/>
  <c r="K22" i="32"/>
  <c r="K23" i="32"/>
  <c r="K24" i="32"/>
  <c r="K25" i="32"/>
  <c r="K26" i="32"/>
  <c r="K27" i="32"/>
  <c r="K28" i="32"/>
  <c r="K29" i="32"/>
  <c r="K30" i="32"/>
  <c r="K31" i="32"/>
  <c r="K32" i="32"/>
  <c r="K33" i="32"/>
  <c r="K34" i="32"/>
  <c r="K35" i="32"/>
  <c r="K16" i="32"/>
  <c r="C35" i="163"/>
  <c r="E28" i="163"/>
  <c r="D27" i="163"/>
  <c r="D26" i="163"/>
  <c r="D25" i="163"/>
  <c r="D24" i="163"/>
  <c r="D23" i="163"/>
  <c r="D22" i="163"/>
  <c r="D28" i="163" s="1"/>
  <c r="O18" i="163"/>
  <c r="M18" i="163"/>
  <c r="L18" i="163"/>
  <c r="K18" i="163"/>
  <c r="J18" i="163"/>
  <c r="I18" i="163"/>
  <c r="H18" i="163"/>
  <c r="N17" i="163"/>
  <c r="N16" i="163"/>
  <c r="N15" i="163"/>
  <c r="N18" i="163" s="1"/>
  <c r="O13" i="163"/>
  <c r="K13" i="163"/>
  <c r="J13" i="163"/>
  <c r="H13" i="163"/>
  <c r="N12" i="163"/>
  <c r="L12" i="163"/>
  <c r="I12" i="163"/>
  <c r="M12" i="163" s="1"/>
  <c r="N11" i="163"/>
  <c r="L11" i="163"/>
  <c r="I11" i="163"/>
  <c r="M11" i="163" s="1"/>
  <c r="N10" i="163"/>
  <c r="L10" i="163"/>
  <c r="I10" i="163"/>
  <c r="M10" i="163" s="1"/>
  <c r="N9" i="163"/>
  <c r="L9" i="163"/>
  <c r="I9" i="163"/>
  <c r="M9" i="163" s="1"/>
  <c r="N8" i="163"/>
  <c r="L8" i="163"/>
  <c r="I8" i="163"/>
  <c r="M8" i="163" s="1"/>
  <c r="N7" i="163"/>
  <c r="L7" i="163"/>
  <c r="I7" i="163"/>
  <c r="M7" i="163" s="1"/>
  <c r="N6" i="163"/>
  <c r="L6" i="163"/>
  <c r="I6" i="163"/>
  <c r="M6" i="163" s="1"/>
  <c r="N5" i="163"/>
  <c r="L5" i="163"/>
  <c r="I5" i="163"/>
  <c r="M5" i="163" s="1"/>
  <c r="N4" i="163"/>
  <c r="I4" i="163"/>
  <c r="M4" i="163" s="1"/>
  <c r="G4" i="163"/>
  <c r="L4" i="163" s="1"/>
  <c r="N3" i="163"/>
  <c r="N13" i="163" s="1"/>
  <c r="L3" i="163"/>
  <c r="I3" i="163"/>
  <c r="I13" i="163" s="1"/>
  <c r="G3" i="163"/>
  <c r="L67" i="32" l="1"/>
  <c r="L13" i="163"/>
  <c r="M3" i="163"/>
  <c r="M13" i="163" s="1"/>
  <c r="J39" i="47" l="1"/>
  <c r="I39" i="47"/>
  <c r="I9" i="162"/>
  <c r="I8" i="162"/>
  <c r="I7" i="162"/>
  <c r="I6" i="162"/>
  <c r="I11" i="162" s="1"/>
  <c r="I12" i="162" s="1"/>
  <c r="I13" i="162" l="1"/>
  <c r="I14" i="162" s="1"/>
  <c r="I16" i="162" s="1"/>
  <c r="I5" i="136"/>
  <c r="D5" i="136" l="1"/>
  <c r="E5" i="136"/>
  <c r="M6" i="136"/>
  <c r="D32" i="127"/>
  <c r="E32" i="127"/>
  <c r="F32" i="127"/>
  <c r="C32" i="127"/>
  <c r="H11" i="127"/>
  <c r="I6" i="136" l="1"/>
  <c r="G28" i="136"/>
  <c r="G27" i="136"/>
  <c r="D6" i="136"/>
  <c r="F6" i="136" s="1"/>
  <c r="H6" i="136" s="1"/>
  <c r="B11" i="72"/>
  <c r="C11" i="72"/>
  <c r="B12" i="72"/>
  <c r="C12" i="72"/>
  <c r="B13" i="72"/>
  <c r="C13" i="72"/>
  <c r="B14" i="72"/>
  <c r="C14" i="72"/>
  <c r="B15" i="72"/>
  <c r="C15" i="72"/>
  <c r="B16" i="72"/>
  <c r="C16" i="72"/>
  <c r="B17" i="72"/>
  <c r="C17" i="72"/>
  <c r="B18" i="72"/>
  <c r="C18" i="72"/>
  <c r="B19" i="72"/>
  <c r="C6" i="20" s="1"/>
  <c r="C19" i="72"/>
  <c r="C6" i="123" s="1"/>
  <c r="B20" i="72"/>
  <c r="C7" i="20" s="1"/>
  <c r="C20" i="72"/>
  <c r="C7" i="123" s="1"/>
  <c r="B21" i="72"/>
  <c r="C8" i="20" s="1"/>
  <c r="C21" i="72"/>
  <c r="C8" i="123" s="1"/>
  <c r="B22" i="72"/>
  <c r="C9" i="20" s="1"/>
  <c r="C22" i="72"/>
  <c r="C9" i="123" s="1"/>
  <c r="B23" i="72"/>
  <c r="C10" i="20" s="1"/>
  <c r="C23" i="72"/>
  <c r="C10" i="123" s="1"/>
  <c r="B24" i="72"/>
  <c r="C11" i="20" s="1"/>
  <c r="C24" i="72"/>
  <c r="C11" i="123" s="1"/>
  <c r="B25" i="72"/>
  <c r="C12" i="20" s="1"/>
  <c r="C25" i="72"/>
  <c r="B14" i="92" s="1"/>
  <c r="B26" i="72"/>
  <c r="C13" i="20" s="1"/>
  <c r="C26" i="72"/>
  <c r="C13" i="123" s="1"/>
  <c r="B27" i="72"/>
  <c r="C14" i="20" s="1"/>
  <c r="C27" i="72"/>
  <c r="C14" i="123" s="1"/>
  <c r="B28" i="72"/>
  <c r="C15" i="20" s="1"/>
  <c r="C28" i="72"/>
  <c r="C15" i="123" s="1"/>
  <c r="B29" i="72"/>
  <c r="C16" i="20" s="1"/>
  <c r="C29" i="72"/>
  <c r="B18" i="92" s="1"/>
  <c r="B30" i="72"/>
  <c r="C17" i="20" s="1"/>
  <c r="C30" i="72"/>
  <c r="C17" i="123" s="1"/>
  <c r="B31" i="72"/>
  <c r="C18" i="20" s="1"/>
  <c r="C31" i="72"/>
  <c r="C18" i="123" s="1"/>
  <c r="B32" i="72"/>
  <c r="C19" i="20" s="1"/>
  <c r="C32" i="72"/>
  <c r="C19" i="123" s="1"/>
  <c r="B33" i="72"/>
  <c r="C20" i="20" s="1"/>
  <c r="C33" i="72"/>
  <c r="C20" i="123" s="1"/>
  <c r="B34" i="72"/>
  <c r="C21" i="20" s="1"/>
  <c r="C34" i="72"/>
  <c r="C21" i="123" s="1"/>
  <c r="B35" i="72"/>
  <c r="C22" i="20" s="1"/>
  <c r="C35" i="72"/>
  <c r="C22" i="123" s="1"/>
  <c r="B36" i="72"/>
  <c r="C23" i="20" s="1"/>
  <c r="C36" i="72"/>
  <c r="C23" i="123" s="1"/>
  <c r="B37" i="72"/>
  <c r="B38" i="72" s="1"/>
  <c r="C37" i="72"/>
  <c r="C38" i="72" s="1"/>
  <c r="C10" i="72"/>
  <c r="B10" i="72"/>
  <c r="U6" i="161"/>
  <c r="U7" i="161"/>
  <c r="U8" i="161"/>
  <c r="U9" i="161"/>
  <c r="U10" i="161"/>
  <c r="U11" i="161"/>
  <c r="U12" i="161"/>
  <c r="U13" i="161"/>
  <c r="U14" i="161"/>
  <c r="U15" i="161"/>
  <c r="U16" i="161"/>
  <c r="U17" i="161"/>
  <c r="U18" i="161"/>
  <c r="U19" i="161"/>
  <c r="U20" i="161"/>
  <c r="U21" i="161"/>
  <c r="U22" i="161"/>
  <c r="U23" i="161"/>
  <c r="U24" i="161"/>
  <c r="U25" i="161"/>
  <c r="U26" i="161"/>
  <c r="U27" i="161"/>
  <c r="U28" i="161"/>
  <c r="U29" i="161"/>
  <c r="U30" i="161"/>
  <c r="U31" i="161"/>
  <c r="U32" i="161"/>
  <c r="U33" i="161"/>
  <c r="U34" i="161"/>
  <c r="U35" i="161"/>
  <c r="U36" i="161"/>
  <c r="U37" i="161"/>
  <c r="U38" i="161"/>
  <c r="U39" i="161"/>
  <c r="U40" i="161"/>
  <c r="U41" i="161"/>
  <c r="U42" i="161"/>
  <c r="U43" i="161"/>
  <c r="U44" i="161"/>
  <c r="U45" i="161"/>
  <c r="U46" i="161"/>
  <c r="U5" i="161"/>
  <c r="Q46" i="161"/>
  <c r="P46" i="161"/>
  <c r="O46" i="161"/>
  <c r="N46" i="161"/>
  <c r="M46" i="161"/>
  <c r="L46" i="161"/>
  <c r="K46" i="161"/>
  <c r="J46" i="161"/>
  <c r="I46" i="161"/>
  <c r="H46" i="161"/>
  <c r="G46" i="161"/>
  <c r="F46" i="161"/>
  <c r="E46" i="161"/>
  <c r="D46" i="161"/>
  <c r="C46" i="161"/>
  <c r="B46" i="161"/>
  <c r="Q45" i="161"/>
  <c r="P45" i="161"/>
  <c r="O45" i="161"/>
  <c r="N45" i="161"/>
  <c r="M45" i="161"/>
  <c r="L45" i="161"/>
  <c r="K45" i="161"/>
  <c r="J45" i="161"/>
  <c r="I45" i="161"/>
  <c r="H45" i="161"/>
  <c r="G45" i="161"/>
  <c r="F45" i="161"/>
  <c r="E45" i="161"/>
  <c r="D45" i="161"/>
  <c r="C45" i="161"/>
  <c r="B45" i="161"/>
  <c r="Q44" i="161"/>
  <c r="P44" i="161"/>
  <c r="O44" i="161"/>
  <c r="N44" i="161"/>
  <c r="M44" i="161"/>
  <c r="L44" i="161"/>
  <c r="K44" i="161"/>
  <c r="J44" i="161"/>
  <c r="I44" i="161"/>
  <c r="H44" i="161"/>
  <c r="G44" i="161"/>
  <c r="F44" i="161"/>
  <c r="E44" i="161"/>
  <c r="D44" i="161"/>
  <c r="C44" i="161"/>
  <c r="B44" i="161"/>
  <c r="S43" i="161"/>
  <c r="Q43" i="161"/>
  <c r="P43" i="161"/>
  <c r="O43" i="161"/>
  <c r="N43" i="161"/>
  <c r="M43" i="161"/>
  <c r="L43" i="161"/>
  <c r="K43" i="161"/>
  <c r="J43" i="161"/>
  <c r="I43" i="161"/>
  <c r="H43" i="161"/>
  <c r="G43" i="161"/>
  <c r="F43" i="161"/>
  <c r="E43" i="161"/>
  <c r="D43" i="161"/>
  <c r="C43" i="161"/>
  <c r="B43" i="161"/>
  <c r="Q42" i="161"/>
  <c r="P42" i="161"/>
  <c r="O42" i="161"/>
  <c r="N42" i="161"/>
  <c r="M42" i="161"/>
  <c r="L42" i="161"/>
  <c r="K42" i="161"/>
  <c r="J42" i="161"/>
  <c r="I42" i="161"/>
  <c r="H42" i="161"/>
  <c r="G42" i="161"/>
  <c r="F42" i="161"/>
  <c r="E42" i="161"/>
  <c r="D42" i="161"/>
  <c r="C42" i="161"/>
  <c r="B42" i="161"/>
  <c r="S41" i="161"/>
  <c r="Q41" i="161"/>
  <c r="P41" i="161"/>
  <c r="O41" i="161"/>
  <c r="N41" i="161"/>
  <c r="M41" i="161"/>
  <c r="L41" i="161"/>
  <c r="K41" i="161"/>
  <c r="J41" i="161"/>
  <c r="I41" i="161"/>
  <c r="H41" i="161"/>
  <c r="G41" i="161"/>
  <c r="F41" i="161"/>
  <c r="E41" i="161"/>
  <c r="D41" i="161"/>
  <c r="C41" i="161"/>
  <c r="B41" i="161"/>
  <c r="Q40" i="161"/>
  <c r="P40" i="161"/>
  <c r="O40" i="161"/>
  <c r="N40" i="161"/>
  <c r="M40" i="161"/>
  <c r="L40" i="161"/>
  <c r="K40" i="161"/>
  <c r="J40" i="161"/>
  <c r="I40" i="161"/>
  <c r="H40" i="161"/>
  <c r="G40" i="161"/>
  <c r="F40" i="161"/>
  <c r="E40" i="161"/>
  <c r="D40" i="161"/>
  <c r="C40" i="161"/>
  <c r="B40" i="161"/>
  <c r="S39" i="161"/>
  <c r="Q39" i="161"/>
  <c r="P39" i="161"/>
  <c r="O39" i="161"/>
  <c r="N39" i="161"/>
  <c r="M39" i="161"/>
  <c r="L39" i="161"/>
  <c r="K39" i="161"/>
  <c r="J39" i="161"/>
  <c r="I39" i="161"/>
  <c r="H39" i="161"/>
  <c r="G39" i="161"/>
  <c r="F39" i="161"/>
  <c r="E39" i="161"/>
  <c r="D39" i="161"/>
  <c r="C39" i="161"/>
  <c r="B39" i="161"/>
  <c r="Q38" i="161"/>
  <c r="P38" i="161"/>
  <c r="O38" i="161"/>
  <c r="N38" i="161"/>
  <c r="M38" i="161"/>
  <c r="L38" i="161"/>
  <c r="K38" i="161"/>
  <c r="J38" i="161"/>
  <c r="I38" i="161"/>
  <c r="H38" i="161"/>
  <c r="G38" i="161"/>
  <c r="F38" i="161"/>
  <c r="E38" i="161"/>
  <c r="D38" i="161"/>
  <c r="C38" i="161"/>
  <c r="B38" i="161"/>
  <c r="S37" i="161"/>
  <c r="Q37" i="161"/>
  <c r="P37" i="161"/>
  <c r="O37" i="161"/>
  <c r="N37" i="161"/>
  <c r="M37" i="161"/>
  <c r="L37" i="161"/>
  <c r="K37" i="161"/>
  <c r="J37" i="161"/>
  <c r="I37" i="161"/>
  <c r="H37" i="161"/>
  <c r="G37" i="161"/>
  <c r="F37" i="161"/>
  <c r="E37" i="161"/>
  <c r="D37" i="161"/>
  <c r="C37" i="161"/>
  <c r="B37" i="161"/>
  <c r="S36" i="161"/>
  <c r="Q36" i="161"/>
  <c r="P36" i="161"/>
  <c r="O36" i="161"/>
  <c r="N36" i="161"/>
  <c r="M36" i="161"/>
  <c r="L36" i="161"/>
  <c r="K36" i="161"/>
  <c r="J36" i="161"/>
  <c r="I36" i="161"/>
  <c r="H36" i="161"/>
  <c r="G36" i="161"/>
  <c r="F36" i="161"/>
  <c r="E36" i="161"/>
  <c r="D36" i="161"/>
  <c r="C36" i="161"/>
  <c r="B36" i="161"/>
  <c r="S35" i="161"/>
  <c r="Q35" i="161"/>
  <c r="P35" i="161"/>
  <c r="O35" i="161"/>
  <c r="N35" i="161"/>
  <c r="M35" i="161"/>
  <c r="L35" i="161"/>
  <c r="K35" i="161"/>
  <c r="J35" i="161"/>
  <c r="I35" i="161"/>
  <c r="H35" i="161"/>
  <c r="G35" i="161"/>
  <c r="F35" i="161"/>
  <c r="E35" i="161"/>
  <c r="D35" i="161"/>
  <c r="C35" i="161"/>
  <c r="B35" i="161"/>
  <c r="S34" i="161"/>
  <c r="Q34" i="161"/>
  <c r="P34" i="161"/>
  <c r="O34" i="161"/>
  <c r="N34" i="161"/>
  <c r="M34" i="161"/>
  <c r="L34" i="161"/>
  <c r="K34" i="161"/>
  <c r="J34" i="161"/>
  <c r="I34" i="161"/>
  <c r="H34" i="161"/>
  <c r="G34" i="161"/>
  <c r="F34" i="161"/>
  <c r="E34" i="161"/>
  <c r="D34" i="161"/>
  <c r="C34" i="161"/>
  <c r="B34" i="161"/>
  <c r="S33" i="161"/>
  <c r="Q33" i="161"/>
  <c r="P33" i="161"/>
  <c r="O33" i="161"/>
  <c r="N33" i="161"/>
  <c r="M33" i="161"/>
  <c r="L33" i="161"/>
  <c r="K33" i="161"/>
  <c r="J33" i="161"/>
  <c r="I33" i="161"/>
  <c r="H33" i="161"/>
  <c r="G33" i="161"/>
  <c r="F33" i="161"/>
  <c r="E33" i="161"/>
  <c r="D33" i="161"/>
  <c r="C33" i="161"/>
  <c r="B33" i="161"/>
  <c r="Y32" i="161"/>
  <c r="Q32" i="161"/>
  <c r="P32" i="161"/>
  <c r="O32" i="161"/>
  <c r="N32" i="161"/>
  <c r="M32" i="161"/>
  <c r="L32" i="161"/>
  <c r="K32" i="161"/>
  <c r="J32" i="161"/>
  <c r="I32" i="161"/>
  <c r="H32" i="161"/>
  <c r="G32" i="161"/>
  <c r="F32" i="161"/>
  <c r="E32" i="161"/>
  <c r="D32" i="161"/>
  <c r="C32" i="161"/>
  <c r="B32" i="161"/>
  <c r="AE31" i="161"/>
  <c r="AD31" i="161"/>
  <c r="Z31" i="161"/>
  <c r="Z46" i="161" s="1"/>
  <c r="Y31" i="161"/>
  <c r="Y46" i="161" s="1"/>
  <c r="W31" i="161"/>
  <c r="W45" i="161" s="1"/>
  <c r="S31" i="161"/>
  <c r="S45" i="161" s="1"/>
  <c r="Y30" i="161"/>
  <c r="Q30" i="161"/>
  <c r="P30" i="161"/>
  <c r="O30" i="161"/>
  <c r="N30" i="161"/>
  <c r="M30" i="161"/>
  <c r="L30" i="161"/>
  <c r="K30" i="161"/>
  <c r="J30" i="161"/>
  <c r="I30" i="161"/>
  <c r="H30" i="161"/>
  <c r="W30" i="161" s="1"/>
  <c r="X30" i="161" s="1"/>
  <c r="AG30" i="161" s="1"/>
  <c r="AI30" i="161" s="1"/>
  <c r="G30" i="161"/>
  <c r="Z30" i="161" s="1"/>
  <c r="F30" i="161"/>
  <c r="E30" i="161"/>
  <c r="D30" i="161"/>
  <c r="S30" i="161" s="1"/>
  <c r="C30" i="161"/>
  <c r="B30" i="161"/>
  <c r="AD29" i="161"/>
  <c r="Z29" i="161"/>
  <c r="Y29" i="161"/>
  <c r="Q29" i="161"/>
  <c r="P29" i="161"/>
  <c r="AE29" i="161" s="1"/>
  <c r="O29" i="161"/>
  <c r="N29" i="161"/>
  <c r="M29" i="161"/>
  <c r="L29" i="161"/>
  <c r="K29" i="161"/>
  <c r="J29" i="161"/>
  <c r="I29" i="161"/>
  <c r="H29" i="161"/>
  <c r="G29" i="161"/>
  <c r="F29" i="161"/>
  <c r="W29" i="161" s="1"/>
  <c r="X29" i="161" s="1"/>
  <c r="AG29" i="161" s="1"/>
  <c r="AI29" i="161" s="1"/>
  <c r="E29" i="161"/>
  <c r="D29" i="161"/>
  <c r="C29" i="161"/>
  <c r="B29" i="161"/>
  <c r="S29" i="161" s="1"/>
  <c r="Q28" i="161"/>
  <c r="P28" i="161"/>
  <c r="AE28" i="161" s="1"/>
  <c r="O28" i="161"/>
  <c r="N28" i="161"/>
  <c r="M28" i="161"/>
  <c r="L28" i="161"/>
  <c r="K28" i="161"/>
  <c r="J28" i="161"/>
  <c r="I28" i="161"/>
  <c r="H28" i="161"/>
  <c r="W28" i="161" s="1"/>
  <c r="X28" i="161" s="1"/>
  <c r="AG28" i="161" s="1"/>
  <c r="AI28" i="161" s="1"/>
  <c r="G28" i="161"/>
  <c r="Z28" i="161" s="1"/>
  <c r="F28" i="161"/>
  <c r="E28" i="161"/>
  <c r="D28" i="161"/>
  <c r="S28" i="161" s="1"/>
  <c r="C28" i="161"/>
  <c r="Y28" i="161" s="1"/>
  <c r="B28" i="161"/>
  <c r="AD27" i="161"/>
  <c r="Z27" i="161"/>
  <c r="W27" i="161"/>
  <c r="X27" i="161" s="1"/>
  <c r="AG27" i="161" s="1"/>
  <c r="AI27" i="161" s="1"/>
  <c r="Q27" i="161"/>
  <c r="P27" i="161"/>
  <c r="AE27" i="161" s="1"/>
  <c r="O27" i="161"/>
  <c r="N27" i="161"/>
  <c r="M27" i="161"/>
  <c r="L27" i="161"/>
  <c r="K27" i="161"/>
  <c r="J27" i="161"/>
  <c r="I27" i="161"/>
  <c r="H27" i="161"/>
  <c r="G27" i="161"/>
  <c r="F27" i="161"/>
  <c r="E27" i="161"/>
  <c r="D27" i="161"/>
  <c r="C27" i="161"/>
  <c r="Y27" i="161" s="1"/>
  <c r="B27" i="161"/>
  <c r="S27" i="161" s="1"/>
  <c r="AE26" i="161"/>
  <c r="T26" i="161"/>
  <c r="AF26" i="161" s="1"/>
  <c r="Q26" i="161"/>
  <c r="P26" i="161"/>
  <c r="O26" i="161"/>
  <c r="N26" i="161"/>
  <c r="M26" i="161"/>
  <c r="L26" i="161"/>
  <c r="K26" i="161"/>
  <c r="J26" i="161"/>
  <c r="I26" i="161"/>
  <c r="H26" i="161"/>
  <c r="W26" i="161" s="1"/>
  <c r="X26" i="161" s="1"/>
  <c r="AG26" i="161" s="1"/>
  <c r="AI26" i="161" s="1"/>
  <c r="G26" i="161"/>
  <c r="Z26" i="161" s="1"/>
  <c r="F26" i="161"/>
  <c r="E26" i="161"/>
  <c r="D26" i="161"/>
  <c r="S26" i="161" s="1"/>
  <c r="V26" i="161" s="1"/>
  <c r="AH26" i="161" s="1"/>
  <c r="C26" i="161"/>
  <c r="Y26" i="161" s="1"/>
  <c r="B26" i="161"/>
  <c r="AD25" i="161"/>
  <c r="Z25" i="161"/>
  <c r="Q25" i="161"/>
  <c r="P25" i="161"/>
  <c r="O25" i="161"/>
  <c r="N25" i="161"/>
  <c r="M25" i="161"/>
  <c r="L25" i="161"/>
  <c r="K25" i="161"/>
  <c r="J25" i="161"/>
  <c r="I25" i="161"/>
  <c r="H25" i="161"/>
  <c r="AE25" i="161" s="1"/>
  <c r="G25" i="161"/>
  <c r="F25" i="161"/>
  <c r="W25" i="161" s="1"/>
  <c r="X25" i="161" s="1"/>
  <c r="AG25" i="161" s="1"/>
  <c r="AI25" i="161" s="1"/>
  <c r="E25" i="161"/>
  <c r="D25" i="161"/>
  <c r="C25" i="161"/>
  <c r="Y25" i="161" s="1"/>
  <c r="B25" i="161"/>
  <c r="S25" i="161" s="1"/>
  <c r="AF24" i="161"/>
  <c r="AE24" i="161"/>
  <c r="Y24" i="161"/>
  <c r="T24" i="161"/>
  <c r="Q24" i="161"/>
  <c r="P24" i="161"/>
  <c r="O24" i="161"/>
  <c r="N24" i="161"/>
  <c r="M24" i="161"/>
  <c r="L24" i="161"/>
  <c r="K24" i="161"/>
  <c r="J24" i="161"/>
  <c r="I24" i="161"/>
  <c r="H24" i="161"/>
  <c r="W24" i="161" s="1"/>
  <c r="X24" i="161" s="1"/>
  <c r="AG24" i="161" s="1"/>
  <c r="AI24" i="161" s="1"/>
  <c r="G24" i="161"/>
  <c r="Z24" i="161" s="1"/>
  <c r="F24" i="161"/>
  <c r="E24" i="161"/>
  <c r="D24" i="161"/>
  <c r="S24" i="161" s="1"/>
  <c r="C24" i="161"/>
  <c r="B24" i="161"/>
  <c r="AE23" i="161"/>
  <c r="AD23" i="161"/>
  <c r="Z23" i="161"/>
  <c r="Q23" i="161"/>
  <c r="P23" i="161"/>
  <c r="O23" i="161"/>
  <c r="N23" i="161"/>
  <c r="M23" i="161"/>
  <c r="L23" i="161"/>
  <c r="K23" i="161"/>
  <c r="J23" i="161"/>
  <c r="I23" i="161"/>
  <c r="H23" i="161"/>
  <c r="G23" i="161"/>
  <c r="F23" i="161"/>
  <c r="W23" i="161" s="1"/>
  <c r="X23" i="161" s="1"/>
  <c r="AG23" i="161" s="1"/>
  <c r="AI23" i="161" s="1"/>
  <c r="E23" i="161"/>
  <c r="D23" i="161"/>
  <c r="C23" i="161"/>
  <c r="Y23" i="161" s="1"/>
  <c r="B23" i="161"/>
  <c r="S23" i="161" s="1"/>
  <c r="Q22" i="161"/>
  <c r="P22" i="161"/>
  <c r="AE22" i="161" s="1"/>
  <c r="O22" i="161"/>
  <c r="N22" i="161"/>
  <c r="M22" i="161"/>
  <c r="L22" i="161"/>
  <c r="K22" i="161"/>
  <c r="J22" i="161"/>
  <c r="I22" i="161"/>
  <c r="H22" i="161"/>
  <c r="W22" i="161" s="1"/>
  <c r="X22" i="161" s="1"/>
  <c r="AG22" i="161" s="1"/>
  <c r="AI22" i="161" s="1"/>
  <c r="G22" i="161"/>
  <c r="Z22" i="161" s="1"/>
  <c r="F22" i="161"/>
  <c r="E22" i="161"/>
  <c r="D22" i="161"/>
  <c r="S22" i="161" s="1"/>
  <c r="V22" i="161" s="1"/>
  <c r="AH22" i="161" s="1"/>
  <c r="C22" i="161"/>
  <c r="Y22" i="161" s="1"/>
  <c r="B22" i="161"/>
  <c r="AE21" i="161"/>
  <c r="AD21" i="161"/>
  <c r="Z21" i="161"/>
  <c r="Q21" i="161"/>
  <c r="P21" i="161"/>
  <c r="O21" i="161"/>
  <c r="N21" i="161"/>
  <c r="M21" i="161"/>
  <c r="L21" i="161"/>
  <c r="K21" i="161"/>
  <c r="J21" i="161"/>
  <c r="I21" i="161"/>
  <c r="H21" i="161"/>
  <c r="G21" i="161"/>
  <c r="F21" i="161"/>
  <c r="W21" i="161" s="1"/>
  <c r="X21" i="161" s="1"/>
  <c r="AG21" i="161" s="1"/>
  <c r="AI21" i="161" s="1"/>
  <c r="E21" i="161"/>
  <c r="D21" i="161"/>
  <c r="C21" i="161"/>
  <c r="Y21" i="161" s="1"/>
  <c r="B21" i="161"/>
  <c r="S21" i="161" s="1"/>
  <c r="Q20" i="161"/>
  <c r="P20" i="161"/>
  <c r="AE20" i="161" s="1"/>
  <c r="O20" i="161"/>
  <c r="N20" i="161"/>
  <c r="M20" i="161"/>
  <c r="L20" i="161"/>
  <c r="K20" i="161"/>
  <c r="J20" i="161"/>
  <c r="I20" i="161"/>
  <c r="H20" i="161"/>
  <c r="W20" i="161" s="1"/>
  <c r="X20" i="161" s="1"/>
  <c r="AG20" i="161" s="1"/>
  <c r="AI20" i="161" s="1"/>
  <c r="G20" i="161"/>
  <c r="Z20" i="161" s="1"/>
  <c r="F20" i="161"/>
  <c r="E20" i="161"/>
  <c r="D20" i="161"/>
  <c r="S20" i="161" s="1"/>
  <c r="C20" i="161"/>
  <c r="Y20" i="161" s="1"/>
  <c r="B20" i="161"/>
  <c r="AE19" i="161"/>
  <c r="AD19" i="161"/>
  <c r="Z19" i="161"/>
  <c r="Q19" i="161"/>
  <c r="P19" i="161"/>
  <c r="O19" i="161"/>
  <c r="N19" i="161"/>
  <c r="M19" i="161"/>
  <c r="L19" i="161"/>
  <c r="K19" i="161"/>
  <c r="J19" i="161"/>
  <c r="I19" i="161"/>
  <c r="H19" i="161"/>
  <c r="G19" i="161"/>
  <c r="F19" i="161"/>
  <c r="W19" i="161" s="1"/>
  <c r="X19" i="161" s="1"/>
  <c r="AG19" i="161" s="1"/>
  <c r="AI19" i="161" s="1"/>
  <c r="E19" i="161"/>
  <c r="D19" i="161"/>
  <c r="C19" i="161"/>
  <c r="Y19" i="161" s="1"/>
  <c r="B19" i="161"/>
  <c r="S19" i="161" s="1"/>
  <c r="AG18" i="161"/>
  <c r="AI18" i="161" s="1"/>
  <c r="X18" i="161"/>
  <c r="T18" i="161"/>
  <c r="AF18" i="161" s="1"/>
  <c r="Q18" i="161"/>
  <c r="P18" i="161"/>
  <c r="AE18" i="161" s="1"/>
  <c r="O18" i="161"/>
  <c r="N18" i="161"/>
  <c r="M18" i="161"/>
  <c r="L18" i="161"/>
  <c r="K18" i="161"/>
  <c r="J18" i="161"/>
  <c r="I18" i="161"/>
  <c r="H18" i="161"/>
  <c r="W18" i="161" s="1"/>
  <c r="G18" i="161"/>
  <c r="Z18" i="161" s="1"/>
  <c r="F18" i="161"/>
  <c r="E18" i="161"/>
  <c r="D18" i="161"/>
  <c r="S18" i="161" s="1"/>
  <c r="V18" i="161" s="1"/>
  <c r="AH18" i="161" s="1"/>
  <c r="C18" i="161"/>
  <c r="Y18" i="161" s="1"/>
  <c r="B18" i="161"/>
  <c r="AE17" i="161"/>
  <c r="AD17" i="161"/>
  <c r="Q17" i="161"/>
  <c r="P17" i="161"/>
  <c r="O17" i="161"/>
  <c r="N17" i="161"/>
  <c r="M17" i="161"/>
  <c r="L17" i="161"/>
  <c r="K17" i="161"/>
  <c r="J17" i="161"/>
  <c r="I17" i="161"/>
  <c r="H17" i="161"/>
  <c r="G17" i="161"/>
  <c r="Z17" i="161" s="1"/>
  <c r="F17" i="161"/>
  <c r="W17" i="161" s="1"/>
  <c r="X17" i="161" s="1"/>
  <c r="AG17" i="161" s="1"/>
  <c r="AI17" i="161" s="1"/>
  <c r="E17" i="161"/>
  <c r="D17" i="161"/>
  <c r="C17" i="161"/>
  <c r="Y17" i="161" s="1"/>
  <c r="B17" i="161"/>
  <c r="S17" i="161" s="1"/>
  <c r="Q16" i="161"/>
  <c r="P16" i="161"/>
  <c r="AE16" i="161" s="1"/>
  <c r="O16" i="161"/>
  <c r="N16" i="161"/>
  <c r="M16" i="161"/>
  <c r="L16" i="161"/>
  <c r="K16" i="161"/>
  <c r="J16" i="161"/>
  <c r="I16" i="161"/>
  <c r="H16" i="161"/>
  <c r="W16" i="161" s="1"/>
  <c r="X16" i="161" s="1"/>
  <c r="AG16" i="161" s="1"/>
  <c r="AI16" i="161" s="1"/>
  <c r="G16" i="161"/>
  <c r="Z16" i="161" s="1"/>
  <c r="F16" i="161"/>
  <c r="E16" i="161"/>
  <c r="D16" i="161"/>
  <c r="S16" i="161" s="1"/>
  <c r="C16" i="161"/>
  <c r="Y16" i="161" s="1"/>
  <c r="B16" i="161"/>
  <c r="AE15" i="161"/>
  <c r="AD15" i="161"/>
  <c r="Z15" i="161"/>
  <c r="Q15" i="161"/>
  <c r="P15" i="161"/>
  <c r="O15" i="161"/>
  <c r="N15" i="161"/>
  <c r="M15" i="161"/>
  <c r="L15" i="161"/>
  <c r="K15" i="161"/>
  <c r="J15" i="161"/>
  <c r="I15" i="161"/>
  <c r="H15" i="161"/>
  <c r="G15" i="161"/>
  <c r="F15" i="161"/>
  <c r="W15" i="161" s="1"/>
  <c r="X15" i="161" s="1"/>
  <c r="AG15" i="161" s="1"/>
  <c r="AI15" i="161" s="1"/>
  <c r="E15" i="161"/>
  <c r="D15" i="161"/>
  <c r="C15" i="161"/>
  <c r="Y15" i="161" s="1"/>
  <c r="B15" i="161"/>
  <c r="S15" i="161" s="1"/>
  <c r="AG14" i="161"/>
  <c r="AI14" i="161" s="1"/>
  <c r="Y14" i="161"/>
  <c r="X14" i="161"/>
  <c r="T14" i="161"/>
  <c r="AF14" i="161" s="1"/>
  <c r="Q14" i="161"/>
  <c r="P14" i="161"/>
  <c r="AE14" i="161" s="1"/>
  <c r="O14" i="161"/>
  <c r="N14" i="161"/>
  <c r="M14" i="161"/>
  <c r="L14" i="161"/>
  <c r="K14" i="161"/>
  <c r="J14" i="161"/>
  <c r="I14" i="161"/>
  <c r="H14" i="161"/>
  <c r="W14" i="161" s="1"/>
  <c r="G14" i="161"/>
  <c r="Z14" i="161" s="1"/>
  <c r="F14" i="161"/>
  <c r="E14" i="161"/>
  <c r="D14" i="161"/>
  <c r="S14" i="161" s="1"/>
  <c r="V14" i="161" s="1"/>
  <c r="AH14" i="161" s="1"/>
  <c r="C14" i="161"/>
  <c r="B14" i="161"/>
  <c r="AD13" i="161"/>
  <c r="Q13" i="161"/>
  <c r="P13" i="161"/>
  <c r="O13" i="161"/>
  <c r="N13" i="161"/>
  <c r="M13" i="161"/>
  <c r="L13" i="161"/>
  <c r="K13" i="161"/>
  <c r="J13" i="161"/>
  <c r="I13" i="161"/>
  <c r="H13" i="161"/>
  <c r="AE13" i="161" s="1"/>
  <c r="G13" i="161"/>
  <c r="Z13" i="161" s="1"/>
  <c r="F13" i="161"/>
  <c r="W13" i="161" s="1"/>
  <c r="X13" i="161" s="1"/>
  <c r="AG13" i="161" s="1"/>
  <c r="AI13" i="161" s="1"/>
  <c r="E13" i="161"/>
  <c r="D13" i="161"/>
  <c r="C13" i="161"/>
  <c r="Y13" i="161" s="1"/>
  <c r="B13" i="161"/>
  <c r="S13" i="161" s="1"/>
  <c r="Z12" i="161"/>
  <c r="Y12" i="161"/>
  <c r="Q12" i="161"/>
  <c r="P12" i="161"/>
  <c r="AE12" i="161" s="1"/>
  <c r="O12" i="161"/>
  <c r="N12" i="161"/>
  <c r="M12" i="161"/>
  <c r="L12" i="161"/>
  <c r="AD12" i="161" s="1"/>
  <c r="K12" i="161"/>
  <c r="J12" i="161"/>
  <c r="I12" i="161"/>
  <c r="H12" i="161"/>
  <c r="W12" i="161" s="1"/>
  <c r="X12" i="161" s="1"/>
  <c r="AG12" i="161" s="1"/>
  <c r="AI12" i="161" s="1"/>
  <c r="G12" i="161"/>
  <c r="F12" i="161"/>
  <c r="E12" i="161"/>
  <c r="D12" i="161"/>
  <c r="S12" i="161" s="1"/>
  <c r="C12" i="161"/>
  <c r="B12" i="161"/>
  <c r="AE11" i="161"/>
  <c r="AD11" i="161"/>
  <c r="Q11" i="161"/>
  <c r="P11" i="161"/>
  <c r="O11" i="161"/>
  <c r="N11" i="161"/>
  <c r="M11" i="161"/>
  <c r="L11" i="161"/>
  <c r="K11" i="161"/>
  <c r="J11" i="161"/>
  <c r="I11" i="161"/>
  <c r="H11" i="161"/>
  <c r="G11" i="161"/>
  <c r="Z11" i="161" s="1"/>
  <c r="F11" i="161"/>
  <c r="W11" i="161" s="1"/>
  <c r="X11" i="161" s="1"/>
  <c r="AG11" i="161" s="1"/>
  <c r="AI11" i="161" s="1"/>
  <c r="E11" i="161"/>
  <c r="D11" i="161"/>
  <c r="C11" i="161"/>
  <c r="Y11" i="161" s="1"/>
  <c r="B11" i="161"/>
  <c r="S11" i="161" s="1"/>
  <c r="Z10" i="161"/>
  <c r="Y10" i="161"/>
  <c r="Q10" i="161"/>
  <c r="P10" i="161"/>
  <c r="AE10" i="161" s="1"/>
  <c r="O10" i="161"/>
  <c r="N10" i="161"/>
  <c r="M10" i="161"/>
  <c r="L10" i="161"/>
  <c r="AD10" i="161" s="1"/>
  <c r="K10" i="161"/>
  <c r="J10" i="161"/>
  <c r="I10" i="161"/>
  <c r="H10" i="161"/>
  <c r="W10" i="161" s="1"/>
  <c r="X10" i="161" s="1"/>
  <c r="AG10" i="161" s="1"/>
  <c r="AI10" i="161" s="1"/>
  <c r="G10" i="161"/>
  <c r="F10" i="161"/>
  <c r="E10" i="161"/>
  <c r="D10" i="161"/>
  <c r="S10" i="161" s="1"/>
  <c r="C10" i="161"/>
  <c r="B10" i="161"/>
  <c r="AE9" i="161"/>
  <c r="AD9" i="161"/>
  <c r="Q9" i="161"/>
  <c r="P9" i="161"/>
  <c r="O9" i="161"/>
  <c r="N9" i="161"/>
  <c r="M9" i="161"/>
  <c r="L9" i="161"/>
  <c r="K9" i="161"/>
  <c r="J9" i="161"/>
  <c r="I9" i="161"/>
  <c r="H9" i="161"/>
  <c r="G9" i="161"/>
  <c r="Z9" i="161" s="1"/>
  <c r="F9" i="161"/>
  <c r="W9" i="161" s="1"/>
  <c r="X9" i="161" s="1"/>
  <c r="AG9" i="161" s="1"/>
  <c r="AI9" i="161" s="1"/>
  <c r="E9" i="161"/>
  <c r="D9" i="161"/>
  <c r="C9" i="161"/>
  <c r="Y9" i="161" s="1"/>
  <c r="B9" i="161"/>
  <c r="S9" i="161" s="1"/>
  <c r="Z8" i="161"/>
  <c r="Y8" i="161"/>
  <c r="Q8" i="161"/>
  <c r="P8" i="161"/>
  <c r="AE8" i="161" s="1"/>
  <c r="O8" i="161"/>
  <c r="N8" i="161"/>
  <c r="M8" i="161"/>
  <c r="L8" i="161"/>
  <c r="AD8" i="161" s="1"/>
  <c r="K8" i="161"/>
  <c r="J8" i="161"/>
  <c r="I8" i="161"/>
  <c r="H8" i="161"/>
  <c r="W8" i="161" s="1"/>
  <c r="X8" i="161" s="1"/>
  <c r="AG8" i="161" s="1"/>
  <c r="AI8" i="161" s="1"/>
  <c r="G8" i="161"/>
  <c r="F8" i="161"/>
  <c r="E8" i="161"/>
  <c r="D8" i="161"/>
  <c r="S8" i="161" s="1"/>
  <c r="C8" i="161"/>
  <c r="B8" i="161"/>
  <c r="AE7" i="161"/>
  <c r="AD7" i="161"/>
  <c r="Q7" i="161"/>
  <c r="P7" i="161"/>
  <c r="O7" i="161"/>
  <c r="N7" i="161"/>
  <c r="M7" i="161"/>
  <c r="L7" i="161"/>
  <c r="K7" i="161"/>
  <c r="J7" i="161"/>
  <c r="I7" i="161"/>
  <c r="H7" i="161"/>
  <c r="G7" i="161"/>
  <c r="Z7" i="161" s="1"/>
  <c r="F7" i="161"/>
  <c r="W7" i="161" s="1"/>
  <c r="X7" i="161" s="1"/>
  <c r="AG7" i="161" s="1"/>
  <c r="AI7" i="161" s="1"/>
  <c r="E7" i="161"/>
  <c r="D7" i="161"/>
  <c r="C7" i="161"/>
  <c r="Y7" i="161" s="1"/>
  <c r="B7" i="161"/>
  <c r="S7" i="161" s="1"/>
  <c r="Q6" i="161"/>
  <c r="P6" i="161"/>
  <c r="AE6" i="161" s="1"/>
  <c r="O6" i="161"/>
  <c r="N6" i="161"/>
  <c r="M6" i="161"/>
  <c r="L6" i="161"/>
  <c r="AD6" i="161" s="1"/>
  <c r="K6" i="161"/>
  <c r="J6" i="161"/>
  <c r="I6" i="161"/>
  <c r="H6" i="161"/>
  <c r="W6" i="161" s="1"/>
  <c r="X6" i="161" s="1"/>
  <c r="AG6" i="161" s="1"/>
  <c r="AI6" i="161" s="1"/>
  <c r="G6" i="161"/>
  <c r="Z6" i="161" s="1"/>
  <c r="F6" i="161"/>
  <c r="E6" i="161"/>
  <c r="D6" i="161"/>
  <c r="S6" i="161" s="1"/>
  <c r="C6" i="161"/>
  <c r="Y6" i="161" s="1"/>
  <c r="B6" i="161"/>
  <c r="AE5" i="161"/>
  <c r="AD5" i="161"/>
  <c r="Z5" i="161"/>
  <c r="Y5" i="161"/>
  <c r="W5" i="161"/>
  <c r="X5" i="161" s="1"/>
  <c r="AG5" i="161" s="1"/>
  <c r="AI5" i="161" s="1"/>
  <c r="S5" i="161"/>
  <c r="T5" i="161" s="1"/>
  <c r="AF5" i="161" s="1"/>
  <c r="C39" i="72" l="1"/>
  <c r="C25" i="123"/>
  <c r="C25" i="20"/>
  <c r="B39" i="72"/>
  <c r="V16" i="161"/>
  <c r="AH16" i="161" s="1"/>
  <c r="V20" i="161"/>
  <c r="AH20" i="161" s="1"/>
  <c r="B26" i="92"/>
  <c r="B10" i="92"/>
  <c r="C16" i="123"/>
  <c r="B22" i="92"/>
  <c r="C24" i="20"/>
  <c r="C12" i="123"/>
  <c r="C24" i="123"/>
  <c r="B27" i="92"/>
  <c r="B25" i="92"/>
  <c r="B21" i="92"/>
  <c r="B17" i="92"/>
  <c r="B13" i="92"/>
  <c r="B9" i="92"/>
  <c r="B8" i="92"/>
  <c r="B24" i="92"/>
  <c r="B20" i="92"/>
  <c r="B16" i="92"/>
  <c r="B12" i="92"/>
  <c r="B23" i="92"/>
  <c r="B19" i="92"/>
  <c r="B15" i="92"/>
  <c r="B11" i="92"/>
  <c r="T11" i="161"/>
  <c r="AF11" i="161" s="1"/>
  <c r="V11" i="161"/>
  <c r="AH11" i="161" s="1"/>
  <c r="T25" i="161"/>
  <c r="AF25" i="161" s="1"/>
  <c r="V25" i="161"/>
  <c r="AH25" i="161" s="1"/>
  <c r="V6" i="161"/>
  <c r="AH6" i="161" s="1"/>
  <c r="T6" i="161"/>
  <c r="AF6" i="161" s="1"/>
  <c r="T8" i="161"/>
  <c r="AF8" i="161" s="1"/>
  <c r="V8" i="161"/>
  <c r="AH8" i="161" s="1"/>
  <c r="V12" i="161"/>
  <c r="AH12" i="161" s="1"/>
  <c r="T12" i="161"/>
  <c r="AF12" i="161" s="1"/>
  <c r="T9" i="161"/>
  <c r="AF9" i="161" s="1"/>
  <c r="V9" i="161"/>
  <c r="AH9" i="161" s="1"/>
  <c r="T13" i="161"/>
  <c r="AF13" i="161" s="1"/>
  <c r="V13" i="161"/>
  <c r="AH13" i="161" s="1"/>
  <c r="V17" i="161"/>
  <c r="AH17" i="161" s="1"/>
  <c r="T17" i="161"/>
  <c r="AF17" i="161" s="1"/>
  <c r="T21" i="161"/>
  <c r="AF21" i="161" s="1"/>
  <c r="V21" i="161"/>
  <c r="AH21" i="161" s="1"/>
  <c r="T27" i="161"/>
  <c r="AF27" i="161" s="1"/>
  <c r="V27" i="161"/>
  <c r="AH27" i="161" s="1"/>
  <c r="T7" i="161"/>
  <c r="AF7" i="161" s="1"/>
  <c r="V7" i="161"/>
  <c r="AH7" i="161" s="1"/>
  <c r="T15" i="161"/>
  <c r="AF15" i="161" s="1"/>
  <c r="V15" i="161"/>
  <c r="AH15" i="161" s="1"/>
  <c r="T19" i="161"/>
  <c r="AF19" i="161" s="1"/>
  <c r="V19" i="161"/>
  <c r="AH19" i="161" s="1"/>
  <c r="V10" i="161"/>
  <c r="AH10" i="161" s="1"/>
  <c r="T10" i="161"/>
  <c r="AF10" i="161" s="1"/>
  <c r="T23" i="161"/>
  <c r="AF23" i="161" s="1"/>
  <c r="V23" i="161"/>
  <c r="AH23" i="161" s="1"/>
  <c r="T29" i="161"/>
  <c r="AF29" i="161" s="1"/>
  <c r="V29" i="161"/>
  <c r="AH29" i="161" s="1"/>
  <c r="T30" i="161"/>
  <c r="AF30" i="161" s="1"/>
  <c r="V30" i="161"/>
  <c r="AH30" i="161" s="1"/>
  <c r="AD30" i="161"/>
  <c r="AE30" i="161"/>
  <c r="V5" i="161"/>
  <c r="AH5" i="161" s="1"/>
  <c r="AD14" i="161"/>
  <c r="T16" i="161"/>
  <c r="AF16" i="161" s="1"/>
  <c r="AD18" i="161"/>
  <c r="T20" i="161"/>
  <c r="AF20" i="161" s="1"/>
  <c r="T22" i="161"/>
  <c r="AF22" i="161" s="1"/>
  <c r="V28" i="161"/>
  <c r="AH28" i="161" s="1"/>
  <c r="AD28" i="161"/>
  <c r="V31" i="161"/>
  <c r="S32" i="161"/>
  <c r="T31" i="161"/>
  <c r="W33" i="161"/>
  <c r="W35" i="161"/>
  <c r="W37" i="161"/>
  <c r="W39" i="161"/>
  <c r="W41" i="161"/>
  <c r="W43" i="161"/>
  <c r="AD26" i="161"/>
  <c r="S38" i="161"/>
  <c r="S40" i="161"/>
  <c r="S42" i="161"/>
  <c r="S44" i="161"/>
  <c r="S46" i="161"/>
  <c r="AD16" i="161"/>
  <c r="AD20" i="161"/>
  <c r="AD22" i="161"/>
  <c r="V24" i="161"/>
  <c r="AH24" i="161" s="1"/>
  <c r="AD24" i="161"/>
  <c r="T28" i="161"/>
  <c r="AF28" i="161" s="1"/>
  <c r="W32" i="161"/>
  <c r="X31" i="161"/>
  <c r="AD32" i="161"/>
  <c r="AE32" i="161"/>
  <c r="W34" i="161"/>
  <c r="W36" i="161"/>
  <c r="W38" i="161"/>
  <c r="W40" i="161"/>
  <c r="W42" i="161"/>
  <c r="W44" i="161"/>
  <c r="W46" i="161"/>
  <c r="Z32" i="161"/>
  <c r="Y33" i="161"/>
  <c r="Y34" i="161"/>
  <c r="Y35" i="161"/>
  <c r="Y36" i="161"/>
  <c r="Y37" i="161"/>
  <c r="Y38" i="161"/>
  <c r="Y39" i="161"/>
  <c r="Y40" i="161"/>
  <c r="Y41" i="161"/>
  <c r="Y42" i="161"/>
  <c r="Y43" i="161"/>
  <c r="Y44" i="161"/>
  <c r="Y45" i="161"/>
  <c r="Z33" i="161"/>
  <c r="Z34" i="161"/>
  <c r="Z35" i="161"/>
  <c r="Z36" i="161"/>
  <c r="Z37" i="161"/>
  <c r="Z38" i="161"/>
  <c r="Z39" i="161"/>
  <c r="Z40" i="161"/>
  <c r="Z41" i="161"/>
  <c r="Z42" i="161"/>
  <c r="Z43" i="161"/>
  <c r="Z44" i="161"/>
  <c r="Z45" i="161"/>
  <c r="C26" i="20" l="1"/>
  <c r="H25" i="20"/>
  <c r="L25" i="20" s="1"/>
  <c r="J25" i="20"/>
  <c r="N25" i="20" s="1"/>
  <c r="K25" i="20"/>
  <c r="O25" i="20" s="1"/>
  <c r="I25" i="20"/>
  <c r="M25" i="20" s="1"/>
  <c r="J25" i="123"/>
  <c r="N25" i="123" s="1"/>
  <c r="K25" i="123"/>
  <c r="O25" i="123" s="1"/>
  <c r="H25" i="123"/>
  <c r="L25" i="123" s="1"/>
  <c r="R25" i="123" s="1"/>
  <c r="I25" i="123"/>
  <c r="M25" i="123" s="1"/>
  <c r="C26" i="123"/>
  <c r="B28" i="92"/>
  <c r="X32" i="161"/>
  <c r="AG32" i="161" s="1"/>
  <c r="AI32" i="161" s="1"/>
  <c r="AG31" i="161"/>
  <c r="AI31" i="161" s="1"/>
  <c r="X46" i="161"/>
  <c r="X45" i="161"/>
  <c r="X44" i="161"/>
  <c r="X43" i="161"/>
  <c r="X42" i="161"/>
  <c r="X41" i="161"/>
  <c r="X40" i="161"/>
  <c r="X39" i="161"/>
  <c r="X38" i="161"/>
  <c r="X37" i="161"/>
  <c r="X36" i="161"/>
  <c r="X35" i="161"/>
  <c r="X34" i="161"/>
  <c r="X33" i="161"/>
  <c r="T32" i="161"/>
  <c r="AF32" i="161" s="1"/>
  <c r="AF31" i="161"/>
  <c r="T46" i="161"/>
  <c r="T45" i="161"/>
  <c r="T44" i="161"/>
  <c r="T43" i="161"/>
  <c r="T42" i="161"/>
  <c r="T41" i="161"/>
  <c r="T40" i="161"/>
  <c r="T39" i="161"/>
  <c r="T38" i="161"/>
  <c r="T37" i="161"/>
  <c r="T36" i="161"/>
  <c r="T35" i="161"/>
  <c r="T34" i="161"/>
  <c r="T33" i="161"/>
  <c r="V46" i="161"/>
  <c r="V45" i="161"/>
  <c r="V44" i="161"/>
  <c r="V43" i="161"/>
  <c r="V42" i="161"/>
  <c r="V41" i="161"/>
  <c r="V40" i="161"/>
  <c r="V39" i="161"/>
  <c r="V38" i="161"/>
  <c r="V37" i="161"/>
  <c r="V36" i="161"/>
  <c r="V35" i="161"/>
  <c r="V34" i="161"/>
  <c r="V33" i="161"/>
  <c r="V32" i="161"/>
  <c r="AH32" i="161" s="1"/>
  <c r="AH31" i="161"/>
  <c r="R25" i="20" l="1"/>
  <c r="H26" i="20"/>
  <c r="L26" i="20" s="1"/>
  <c r="K26" i="20"/>
  <c r="O26" i="20" s="1"/>
  <c r="J26" i="20"/>
  <c r="N26" i="20" s="1"/>
  <c r="I26" i="20"/>
  <c r="M26" i="20" s="1"/>
  <c r="H26" i="123"/>
  <c r="L26" i="123" s="1"/>
  <c r="K26" i="123"/>
  <c r="O26" i="123" s="1"/>
  <c r="I26" i="123"/>
  <c r="M26" i="123" s="1"/>
  <c r="J26" i="123"/>
  <c r="N26" i="123" s="1"/>
  <c r="A11" i="72"/>
  <c r="A12" i="72" s="1"/>
  <c r="A13" i="72" s="1"/>
  <c r="A14" i="72" s="1"/>
  <c r="A15" i="72" s="1"/>
  <c r="A16" i="72" s="1"/>
  <c r="A17" i="72" s="1"/>
  <c r="A18" i="72" s="1"/>
  <c r="R26" i="20" l="1"/>
  <c r="R26" i="123"/>
  <c r="D34" i="157"/>
  <c r="D33" i="157"/>
  <c r="C34" i="157"/>
  <c r="C33" i="157"/>
  <c r="A29" i="116" l="1"/>
  <c r="A30" i="116" s="1"/>
  <c r="A31" i="116" s="1"/>
  <c r="A32" i="116" s="1"/>
  <c r="A33" i="116" s="1"/>
  <c r="A34" i="116" s="1"/>
  <c r="A35" i="116" s="1"/>
  <c r="A36" i="116" s="1"/>
  <c r="A37" i="116" s="1"/>
  <c r="A38" i="116" s="1"/>
  <c r="A39" i="116" s="1"/>
  <c r="A40" i="116" s="1"/>
  <c r="A41" i="116" s="1"/>
  <c r="A42" i="116" s="1"/>
  <c r="A43" i="116" s="1"/>
  <c r="A44" i="116" s="1"/>
  <c r="A45" i="116" s="1"/>
  <c r="A46" i="116" s="1"/>
  <c r="A47" i="116" s="1"/>
  <c r="A48" i="116" s="1"/>
  <c r="A49" i="116" s="1"/>
  <c r="A50" i="116" s="1"/>
  <c r="A51" i="116" s="1"/>
  <c r="A52" i="116" s="1"/>
  <c r="A53" i="116" s="1"/>
  <c r="A54" i="116" s="1"/>
  <c r="A55" i="116" s="1"/>
  <c r="A56" i="116" s="1"/>
  <c r="A57" i="116" s="1"/>
  <c r="A58" i="116" s="1"/>
  <c r="A59" i="116" s="1"/>
  <c r="A60" i="116" s="1"/>
  <c r="A61" i="116" s="1"/>
  <c r="A62" i="116" s="1"/>
  <c r="A63" i="116" s="1"/>
  <c r="A64" i="116" s="1"/>
  <c r="A65" i="116" s="1"/>
  <c r="X3" i="116"/>
  <c r="W3" i="116"/>
  <c r="V3" i="116"/>
  <c r="S3" i="116"/>
  <c r="B28" i="116" s="1"/>
  <c r="L4" i="116"/>
  <c r="L5" i="116" s="1"/>
  <c r="L6" i="116" s="1"/>
  <c r="L7" i="116" s="1"/>
  <c r="L8" i="116" s="1"/>
  <c r="L9" i="116" s="1"/>
  <c r="L10" i="116" s="1"/>
  <c r="L11" i="116" s="1"/>
  <c r="L12" i="116" s="1"/>
  <c r="L13" i="116" s="1"/>
  <c r="L14" i="116" s="1"/>
  <c r="L15" i="116" s="1"/>
  <c r="L16" i="116" s="1"/>
  <c r="L17" i="116" s="1"/>
  <c r="L18" i="116" s="1"/>
  <c r="L19" i="116" s="1"/>
  <c r="L20" i="116" s="1"/>
  <c r="L21" i="116" s="1"/>
  <c r="L22" i="116" s="1"/>
  <c r="L23" i="116" s="1"/>
  <c r="L24" i="116" s="1"/>
  <c r="L25" i="116" s="1"/>
  <c r="L26" i="116" s="1"/>
  <c r="L27" i="116" s="1"/>
  <c r="L28" i="116" s="1"/>
  <c r="L29" i="116" s="1"/>
  <c r="L30" i="116" s="1"/>
  <c r="L31" i="116" s="1"/>
  <c r="L32" i="116" s="1"/>
  <c r="L33" i="116" s="1"/>
  <c r="L34" i="116" s="1"/>
  <c r="L35" i="116" s="1"/>
  <c r="L36" i="116" s="1"/>
  <c r="L37" i="116" s="1"/>
  <c r="L38" i="116" s="1"/>
  <c r="L39" i="116" s="1"/>
  <c r="L40" i="116" s="1"/>
  <c r="M12" i="135"/>
  <c r="L12" i="135"/>
  <c r="D108" i="136" l="1"/>
  <c r="D107" i="136"/>
  <c r="F107" i="136" s="1"/>
  <c r="G107" i="136" s="1"/>
  <c r="D106" i="136"/>
  <c r="F106" i="136" s="1"/>
  <c r="G106" i="136" s="1"/>
  <c r="F67" i="32"/>
  <c r="G67" i="32" s="1"/>
  <c r="I108" i="136" l="1"/>
  <c r="F108" i="136"/>
  <c r="G108" i="136" s="1"/>
  <c r="N67" i="32"/>
  <c r="H67" i="32"/>
  <c r="H6" i="127"/>
  <c r="H7" i="127"/>
  <c r="H8" i="127"/>
  <c r="H9" i="127"/>
  <c r="H10" i="127"/>
  <c r="M67" i="32" l="1"/>
  <c r="F66" i="32"/>
  <c r="F65" i="32"/>
  <c r="F64" i="32"/>
  <c r="F63" i="32"/>
  <c r="F62" i="32"/>
  <c r="F61" i="32"/>
  <c r="F60" i="32"/>
  <c r="F59" i="32"/>
  <c r="F58" i="32"/>
  <c r="F57" i="32"/>
  <c r="F56" i="32"/>
  <c r="F55" i="32"/>
  <c r="F54" i="32"/>
  <c r="F53" i="32"/>
  <c r="F23" i="32"/>
  <c r="F24" i="32"/>
  <c r="F25" i="32"/>
  <c r="F26" i="32"/>
  <c r="F27" i="32"/>
  <c r="F28" i="32"/>
  <c r="F29" i="32"/>
  <c r="F30" i="32"/>
  <c r="F31" i="32"/>
  <c r="F32" i="32"/>
  <c r="F33" i="32"/>
  <c r="F34" i="32"/>
  <c r="F35" i="32"/>
  <c r="E20" i="134" l="1"/>
  <c r="E19" i="134"/>
  <c r="E18" i="134"/>
  <c r="D26" i="134" l="1"/>
  <c r="D45" i="134"/>
  <c r="E45" i="134" s="1"/>
  <c r="M35" i="32" s="1"/>
  <c r="D13" i="32"/>
  <c r="D40" i="134"/>
  <c r="D25" i="134"/>
  <c r="D37" i="134"/>
  <c r="D29" i="134"/>
  <c r="D32" i="134"/>
  <c r="D44" i="134"/>
  <c r="D36" i="134"/>
  <c r="D28" i="134"/>
  <c r="D41" i="134"/>
  <c r="D33" i="134"/>
  <c r="D43" i="134"/>
  <c r="D39" i="134"/>
  <c r="D35" i="134"/>
  <c r="D31" i="134"/>
  <c r="D27" i="134"/>
  <c r="D42" i="134"/>
  <c r="D38" i="134"/>
  <c r="D34" i="134"/>
  <c r="D30" i="134"/>
  <c r="O9" i="160"/>
  <c r="O10" i="160" s="1"/>
  <c r="O11" i="160" s="1"/>
  <c r="O12" i="160" s="1"/>
  <c r="O13" i="160" s="1"/>
  <c r="O14" i="160" s="1"/>
  <c r="O15" i="160" s="1"/>
  <c r="O16" i="160" s="1"/>
  <c r="O17" i="160" s="1"/>
  <c r="O18" i="160" s="1"/>
  <c r="O19" i="160" s="1"/>
  <c r="O20" i="160" s="1"/>
  <c r="O21" i="160" s="1"/>
  <c r="O22" i="160" s="1"/>
  <c r="O23" i="160" s="1"/>
  <c r="O24" i="160" s="1"/>
  <c r="O25" i="160" s="1"/>
  <c r="O26" i="160" s="1"/>
  <c r="O27" i="160" s="1"/>
  <c r="O28" i="160" s="1"/>
  <c r="O29" i="160" s="1"/>
  <c r="O30" i="160" s="1"/>
  <c r="O31" i="160" s="1"/>
  <c r="O32" i="160" s="1"/>
  <c r="O33" i="160" s="1"/>
  <c r="O34" i="160" s="1"/>
  <c r="O35" i="160" s="1"/>
  <c r="O8" i="160"/>
  <c r="S19" i="110" l="1"/>
  <c r="T19" i="110"/>
  <c r="S20" i="110"/>
  <c r="T20" i="110"/>
  <c r="S21" i="110"/>
  <c r="T21" i="110"/>
  <c r="S22" i="110"/>
  <c r="T22" i="110"/>
  <c r="S23" i="110"/>
  <c r="T23" i="110"/>
  <c r="S24" i="110"/>
  <c r="T24" i="110"/>
  <c r="S25" i="110"/>
  <c r="T25" i="110"/>
  <c r="S26" i="110"/>
  <c r="T26" i="110"/>
  <c r="S27" i="110"/>
  <c r="T27" i="110"/>
  <c r="S28" i="110"/>
  <c r="T28" i="110"/>
  <c r="S29" i="110"/>
  <c r="T29" i="110"/>
  <c r="S30" i="110"/>
  <c r="T30" i="110"/>
  <c r="S31" i="110"/>
  <c r="T31" i="110"/>
  <c r="S32" i="110"/>
  <c r="T32" i="110"/>
  <c r="S33" i="110"/>
  <c r="T33" i="110"/>
  <c r="S34" i="110"/>
  <c r="T34" i="110"/>
  <c r="S35" i="110"/>
  <c r="T35" i="110"/>
  <c r="S36" i="110"/>
  <c r="T36" i="110"/>
  <c r="S37" i="110"/>
  <c r="T37" i="110"/>
  <c r="O19" i="110"/>
  <c r="P19" i="110"/>
  <c r="O20" i="110"/>
  <c r="P20" i="110"/>
  <c r="O21" i="110"/>
  <c r="P21" i="110"/>
  <c r="O22" i="110"/>
  <c r="P22" i="110"/>
  <c r="O23" i="110"/>
  <c r="P23" i="110"/>
  <c r="O24" i="110"/>
  <c r="P24" i="110"/>
  <c r="O25" i="110"/>
  <c r="P25" i="110"/>
  <c r="O26" i="110"/>
  <c r="P26" i="110"/>
  <c r="O27" i="110"/>
  <c r="P27" i="110"/>
  <c r="O28" i="110"/>
  <c r="P28" i="110"/>
  <c r="O29" i="110"/>
  <c r="P29" i="110"/>
  <c r="O30" i="110"/>
  <c r="P30" i="110"/>
  <c r="O31" i="110"/>
  <c r="P31" i="110"/>
  <c r="O32" i="110"/>
  <c r="P32" i="110"/>
  <c r="O33" i="110"/>
  <c r="P33" i="110"/>
  <c r="O34" i="110"/>
  <c r="P34" i="110"/>
  <c r="O35" i="110"/>
  <c r="P35" i="110"/>
  <c r="O36" i="110"/>
  <c r="P36" i="110"/>
  <c r="O37" i="110"/>
  <c r="P37" i="110"/>
  <c r="K19" i="110"/>
  <c r="L19" i="110"/>
  <c r="K20" i="110"/>
  <c r="L20" i="110"/>
  <c r="K21" i="110"/>
  <c r="L21" i="110"/>
  <c r="K22" i="110"/>
  <c r="L22" i="110"/>
  <c r="K23" i="110"/>
  <c r="L23" i="110"/>
  <c r="K24" i="110"/>
  <c r="L24" i="110"/>
  <c r="K25" i="110"/>
  <c r="L25" i="110"/>
  <c r="K26" i="110"/>
  <c r="L26" i="110"/>
  <c r="K27" i="110"/>
  <c r="L27" i="110"/>
  <c r="K28" i="110"/>
  <c r="L28" i="110"/>
  <c r="K29" i="110"/>
  <c r="L29" i="110"/>
  <c r="K30" i="110"/>
  <c r="L30" i="110"/>
  <c r="K31" i="110"/>
  <c r="L31" i="110"/>
  <c r="K32" i="110"/>
  <c r="L32" i="110"/>
  <c r="K33" i="110"/>
  <c r="L33" i="110"/>
  <c r="K34" i="110"/>
  <c r="L34" i="110"/>
  <c r="K35" i="110"/>
  <c r="L35" i="110"/>
  <c r="K36" i="110"/>
  <c r="L36" i="110"/>
  <c r="K37" i="110"/>
  <c r="L37" i="110"/>
  <c r="G19" i="110"/>
  <c r="H19" i="110"/>
  <c r="G20" i="110"/>
  <c r="H20" i="110"/>
  <c r="G21" i="110"/>
  <c r="H21" i="110"/>
  <c r="G22" i="110"/>
  <c r="H22" i="110"/>
  <c r="G23" i="110"/>
  <c r="H23" i="110"/>
  <c r="G24" i="110"/>
  <c r="H24" i="110"/>
  <c r="G25" i="110"/>
  <c r="H25" i="110"/>
  <c r="G26" i="110"/>
  <c r="H26" i="110"/>
  <c r="G27" i="110"/>
  <c r="H27" i="110"/>
  <c r="G28" i="110"/>
  <c r="H28" i="110"/>
  <c r="G29" i="110"/>
  <c r="H29" i="110"/>
  <c r="G30" i="110"/>
  <c r="H30" i="110"/>
  <c r="G31" i="110"/>
  <c r="H31" i="110"/>
  <c r="G32" i="110"/>
  <c r="H32" i="110"/>
  <c r="G33" i="110"/>
  <c r="H33" i="110"/>
  <c r="G34" i="110"/>
  <c r="H34" i="110"/>
  <c r="G35" i="110"/>
  <c r="H35" i="110"/>
  <c r="G36" i="110"/>
  <c r="H36" i="110"/>
  <c r="G37" i="110"/>
  <c r="H37" i="110"/>
  <c r="C19" i="110"/>
  <c r="D19" i="110"/>
  <c r="C20" i="110"/>
  <c r="D20" i="110"/>
  <c r="C21" i="110"/>
  <c r="D21" i="110"/>
  <c r="C22" i="110"/>
  <c r="D22" i="110"/>
  <c r="C23" i="110"/>
  <c r="D23" i="110"/>
  <c r="C24" i="110"/>
  <c r="D24" i="110"/>
  <c r="C25" i="110"/>
  <c r="D25" i="110"/>
  <c r="C26" i="110"/>
  <c r="D26" i="110"/>
  <c r="C27" i="110"/>
  <c r="D27" i="110"/>
  <c r="C28" i="110"/>
  <c r="D28" i="110"/>
  <c r="C29" i="110"/>
  <c r="D29" i="110"/>
  <c r="C30" i="110"/>
  <c r="D30" i="110"/>
  <c r="C31" i="110"/>
  <c r="D31" i="110"/>
  <c r="C32" i="110"/>
  <c r="D32" i="110"/>
  <c r="C33" i="110"/>
  <c r="D33" i="110"/>
  <c r="C34" i="110"/>
  <c r="D34" i="110"/>
  <c r="C35" i="110"/>
  <c r="D35" i="110"/>
  <c r="C36" i="110"/>
  <c r="D36" i="110"/>
  <c r="C37" i="110"/>
  <c r="D37" i="110"/>
  <c r="T18" i="110"/>
  <c r="S18" i="110"/>
  <c r="P18" i="110"/>
  <c r="O18" i="110"/>
  <c r="L18" i="110"/>
  <c r="K18" i="110"/>
  <c r="H18" i="110"/>
  <c r="G18" i="110"/>
  <c r="D18" i="110"/>
  <c r="C18" i="110"/>
  <c r="C18" i="157"/>
  <c r="D18" i="157"/>
  <c r="E18" i="157" s="1"/>
  <c r="C44" i="32"/>
  <c r="F44" i="32" s="1"/>
  <c r="C45" i="32"/>
  <c r="C46" i="32"/>
  <c r="F46" i="32" s="1"/>
  <c r="C49" i="32"/>
  <c r="F49" i="32" s="1"/>
  <c r="C50" i="32"/>
  <c r="F50" i="32" s="1"/>
  <c r="C51" i="32"/>
  <c r="F51" i="32" s="1"/>
  <c r="C52" i="32"/>
  <c r="F52" i="32" s="1"/>
  <c r="C43" i="32"/>
  <c r="F43" i="32" s="1"/>
  <c r="B8" i="32"/>
  <c r="B9" i="32" s="1"/>
  <c r="B10" i="32" s="1"/>
  <c r="B11" i="32" s="1"/>
  <c r="B12" i="32" s="1"/>
  <c r="B13" i="32" s="1"/>
  <c r="B14" i="32" s="1"/>
  <c r="B15" i="32" s="1"/>
  <c r="B16" i="32" s="1"/>
  <c r="B17" i="32" s="1"/>
  <c r="B18" i="32" s="1"/>
  <c r="B19" i="32" s="1"/>
  <c r="B20" i="32" s="1"/>
  <c r="B21" i="32" s="1"/>
  <c r="B22" i="32" s="1"/>
  <c r="B23" i="32" s="1"/>
  <c r="B24" i="32" s="1"/>
  <c r="B25" i="32" s="1"/>
  <c r="B26" i="32" s="1"/>
  <c r="B27" i="32" s="1"/>
  <c r="B28" i="32" s="1"/>
  <c r="B29" i="32" s="1"/>
  <c r="B30" i="32" s="1"/>
  <c r="B31" i="32" s="1"/>
  <c r="B32" i="32" s="1"/>
  <c r="B33" i="32" s="1"/>
  <c r="B34" i="32" s="1"/>
  <c r="B35" i="32" s="1"/>
  <c r="D92" i="136"/>
  <c r="E92" i="136"/>
  <c r="F92" i="136"/>
  <c r="G92" i="136"/>
  <c r="H92" i="136"/>
  <c r="I92" i="136"/>
  <c r="J92" i="136"/>
  <c r="K92" i="136"/>
  <c r="L92" i="136"/>
  <c r="F91" i="136"/>
  <c r="I72" i="136"/>
  <c r="K52" i="136"/>
  <c r="L52" i="136"/>
  <c r="J52" i="136"/>
  <c r="I52" i="136"/>
  <c r="C126" i="136"/>
  <c r="P8" i="160"/>
  <c r="P9" i="160" s="1"/>
  <c r="P10" i="160" s="1"/>
  <c r="P11" i="160" s="1"/>
  <c r="P12" i="160" s="1"/>
  <c r="P13" i="160" s="1"/>
  <c r="P14" i="160" s="1"/>
  <c r="P15" i="160" s="1"/>
  <c r="P16" i="160" s="1"/>
  <c r="P17" i="160" s="1"/>
  <c r="P18" i="160" s="1"/>
  <c r="P19" i="160" s="1"/>
  <c r="P20" i="160" s="1"/>
  <c r="P21" i="160" s="1"/>
  <c r="P22" i="160" s="1"/>
  <c r="P23" i="160" s="1"/>
  <c r="P24" i="160" s="1"/>
  <c r="P25" i="160" s="1"/>
  <c r="P26" i="160" s="1"/>
  <c r="P27" i="160" s="1"/>
  <c r="P28" i="160" s="1"/>
  <c r="P29" i="160" s="1"/>
  <c r="P30" i="160" s="1"/>
  <c r="P31" i="160" s="1"/>
  <c r="P32" i="160" s="1"/>
  <c r="P33" i="160" s="1"/>
  <c r="P34" i="160" s="1"/>
  <c r="F45" i="32" l="1"/>
  <c r="A13" i="157"/>
  <c r="A14" i="157" l="1"/>
  <c r="C44" i="136"/>
  <c r="C64" i="136" s="1"/>
  <c r="C84" i="136" s="1"/>
  <c r="C104" i="136" s="1"/>
  <c r="A15" i="157" l="1"/>
  <c r="G26" i="136"/>
  <c r="M24" i="136"/>
  <c r="M31" i="136"/>
  <c r="M32" i="136"/>
  <c r="M33" i="136"/>
  <c r="M34" i="136"/>
  <c r="M35" i="136"/>
  <c r="M36" i="136"/>
  <c r="M37" i="136"/>
  <c r="M38" i="136"/>
  <c r="G39" i="136"/>
  <c r="L30" i="136"/>
  <c r="L29" i="136"/>
  <c r="L28" i="136"/>
  <c r="K30" i="136"/>
  <c r="K29" i="136"/>
  <c r="K28" i="136"/>
  <c r="A16" i="157" l="1"/>
  <c r="G129" i="136"/>
  <c r="G47" i="136" s="1"/>
  <c r="G130" i="136"/>
  <c r="G48" i="136" s="1"/>
  <c r="G133" i="136"/>
  <c r="G128" i="136"/>
  <c r="G131" i="136"/>
  <c r="G49" i="136" s="1"/>
  <c r="G132" i="136"/>
  <c r="G50" i="136" s="1"/>
  <c r="J29" i="136"/>
  <c r="J28" i="136"/>
  <c r="J27" i="136"/>
  <c r="J26" i="136"/>
  <c r="I30" i="136"/>
  <c r="I29" i="136"/>
  <c r="I28" i="136"/>
  <c r="I27" i="136"/>
  <c r="I26" i="136"/>
  <c r="H30" i="136"/>
  <c r="H29" i="136"/>
  <c r="H28" i="136"/>
  <c r="H27" i="136"/>
  <c r="H26" i="136"/>
  <c r="D26" i="136"/>
  <c r="E26" i="136"/>
  <c r="D27" i="136"/>
  <c r="E27" i="136"/>
  <c r="E29" i="136"/>
  <c r="E28" i="136"/>
  <c r="D29" i="136"/>
  <c r="D28" i="136"/>
  <c r="F25" i="136"/>
  <c r="F26" i="136"/>
  <c r="M26" i="136" l="1"/>
  <c r="H39" i="136"/>
  <c r="H128" i="136" s="1"/>
  <c r="H133" i="136"/>
  <c r="M30" i="136"/>
  <c r="M29" i="136"/>
  <c r="H130" i="136"/>
  <c r="I39" i="136"/>
  <c r="I128" i="136" s="1"/>
  <c r="M28" i="136"/>
  <c r="M25" i="136"/>
  <c r="F39" i="136"/>
  <c r="E39" i="136"/>
  <c r="E132" i="136" s="1"/>
  <c r="J39" i="136"/>
  <c r="A17" i="157"/>
  <c r="G51" i="136"/>
  <c r="G91" i="136"/>
  <c r="G71" i="136"/>
  <c r="G46" i="136"/>
  <c r="G66" i="136"/>
  <c r="G142" i="136"/>
  <c r="G86" i="136"/>
  <c r="I132" i="136" l="1"/>
  <c r="I50" i="136" s="1"/>
  <c r="I129" i="136"/>
  <c r="I131" i="136"/>
  <c r="I49" i="136" s="1"/>
  <c r="I130" i="136"/>
  <c r="I48" i="136" s="1"/>
  <c r="F129" i="136"/>
  <c r="H131" i="136"/>
  <c r="H132" i="136"/>
  <c r="J133" i="136"/>
  <c r="J128" i="136"/>
  <c r="E128" i="136"/>
  <c r="E133" i="136"/>
  <c r="J132" i="136"/>
  <c r="J50" i="136" s="1"/>
  <c r="H86" i="136"/>
  <c r="F130" i="136"/>
  <c r="J129" i="136"/>
  <c r="E129" i="136"/>
  <c r="I133" i="136"/>
  <c r="H129" i="136"/>
  <c r="J131" i="136"/>
  <c r="J49" i="136" s="1"/>
  <c r="F132" i="136"/>
  <c r="F131" i="136"/>
  <c r="F133" i="136"/>
  <c r="E131" i="136"/>
  <c r="F128" i="136"/>
  <c r="I66" i="136"/>
  <c r="I46" i="136"/>
  <c r="I86" i="136"/>
  <c r="J130" i="136"/>
  <c r="J48" i="136" s="1"/>
  <c r="E130" i="136"/>
  <c r="A18" i="157"/>
  <c r="B65" i="14"/>
  <c r="B64" i="14"/>
  <c r="B63" i="14"/>
  <c r="B62" i="14"/>
  <c r="B61" i="14"/>
  <c r="B60" i="14"/>
  <c r="B59" i="14"/>
  <c r="B58" i="14"/>
  <c r="H142" i="136" l="1"/>
  <c r="I142" i="136"/>
  <c r="F142" i="136"/>
  <c r="E66" i="136"/>
  <c r="E86" i="136"/>
  <c r="J86" i="136"/>
  <c r="J46" i="136"/>
  <c r="J66" i="136"/>
  <c r="J142" i="136"/>
  <c r="I91" i="136"/>
  <c r="I51" i="136"/>
  <c r="I71" i="136"/>
  <c r="J91" i="136"/>
  <c r="J51" i="136"/>
  <c r="J71" i="136"/>
  <c r="B44" i="14"/>
  <c r="B43" i="14"/>
  <c r="B42" i="14"/>
  <c r="B41" i="14"/>
  <c r="B40" i="14"/>
  <c r="B39" i="14"/>
  <c r="B38" i="14"/>
  <c r="B37" i="14"/>
  <c r="B36" i="14"/>
  <c r="B35" i="14"/>
  <c r="B20" i="159" l="1"/>
  <c r="L15" i="159" l="1"/>
  <c r="L14" i="159"/>
  <c r="L17" i="159"/>
  <c r="L11" i="159"/>
  <c r="L10" i="159"/>
  <c r="L9" i="159"/>
  <c r="L16" i="159"/>
  <c r="L13" i="159"/>
  <c r="L8" i="159"/>
  <c r="L12" i="159"/>
  <c r="AW24" i="123" l="1"/>
  <c r="AV24" i="123"/>
  <c r="AU24" i="123"/>
  <c r="AT24" i="123"/>
  <c r="AW23" i="123"/>
  <c r="AV23" i="123"/>
  <c r="AU23" i="123"/>
  <c r="AT23" i="123"/>
  <c r="AW22" i="123"/>
  <c r="AV22" i="123"/>
  <c r="AU22" i="123"/>
  <c r="AT22" i="123"/>
  <c r="AW21" i="123"/>
  <c r="AV21" i="123"/>
  <c r="AU21" i="123"/>
  <c r="AT21" i="123"/>
  <c r="AW20" i="123"/>
  <c r="AV20" i="123"/>
  <c r="AU20" i="123"/>
  <c r="AT20" i="123"/>
  <c r="AW19" i="123"/>
  <c r="AV19" i="123"/>
  <c r="AU19" i="123"/>
  <c r="AT19" i="123"/>
  <c r="AW18" i="123"/>
  <c r="AV18" i="123"/>
  <c r="AU18" i="123"/>
  <c r="AT18" i="123"/>
  <c r="AW17" i="123"/>
  <c r="AV17" i="123"/>
  <c r="AU17" i="123"/>
  <c r="AT17" i="123"/>
  <c r="AW16" i="123"/>
  <c r="AV16" i="123"/>
  <c r="AU16" i="123"/>
  <c r="AT16" i="123"/>
  <c r="AW15" i="123"/>
  <c r="AV15" i="123"/>
  <c r="AU15" i="123"/>
  <c r="AT15" i="123"/>
  <c r="AW14" i="123"/>
  <c r="AV14" i="123"/>
  <c r="AU14" i="123"/>
  <c r="AT14" i="123"/>
  <c r="AW13" i="123"/>
  <c r="AV13" i="123"/>
  <c r="AU13" i="123"/>
  <c r="AT13" i="123"/>
  <c r="AW12" i="123"/>
  <c r="AV12" i="123"/>
  <c r="AU12" i="123"/>
  <c r="AT12" i="123"/>
  <c r="AW11" i="123"/>
  <c r="AV11" i="123"/>
  <c r="AU11" i="123"/>
  <c r="AT11" i="123"/>
  <c r="AW10" i="123"/>
  <c r="AV10" i="123"/>
  <c r="AU10" i="123"/>
  <c r="AT10" i="123"/>
  <c r="AW9" i="123"/>
  <c r="AV9" i="123"/>
  <c r="AU9" i="123"/>
  <c r="AT9" i="123"/>
  <c r="AW8" i="123"/>
  <c r="AV8" i="123"/>
  <c r="AU8" i="123"/>
  <c r="AT8" i="123"/>
  <c r="AW7" i="123"/>
  <c r="AV7" i="123"/>
  <c r="AU7" i="123"/>
  <c r="AT7" i="123"/>
  <c r="AW6" i="123"/>
  <c r="AV6" i="123"/>
  <c r="AU6" i="123"/>
  <c r="AT6" i="123"/>
  <c r="AB24" i="123"/>
  <c r="AA24" i="123"/>
  <c r="Z24" i="123"/>
  <c r="Y24" i="123"/>
  <c r="AB23" i="123"/>
  <c r="AA23" i="123"/>
  <c r="Z23" i="123"/>
  <c r="Y23" i="123"/>
  <c r="AB22" i="123"/>
  <c r="AA22" i="123"/>
  <c r="Z22" i="123"/>
  <c r="Y22" i="123"/>
  <c r="AB21" i="123"/>
  <c r="AA21" i="123"/>
  <c r="Z21" i="123"/>
  <c r="Y21" i="123"/>
  <c r="AB20" i="123"/>
  <c r="AA20" i="123"/>
  <c r="Z20" i="123"/>
  <c r="Y20" i="123"/>
  <c r="AB19" i="123"/>
  <c r="AA19" i="123"/>
  <c r="Z19" i="123"/>
  <c r="Y19" i="123"/>
  <c r="AB18" i="123"/>
  <c r="AA18" i="123"/>
  <c r="Z18" i="123"/>
  <c r="Y18" i="123"/>
  <c r="AB17" i="123"/>
  <c r="AA17" i="123"/>
  <c r="Z17" i="123"/>
  <c r="Y17" i="123"/>
  <c r="AB16" i="123"/>
  <c r="AA16" i="123"/>
  <c r="Z16" i="123"/>
  <c r="Y16" i="123"/>
  <c r="AB15" i="123"/>
  <c r="AA15" i="123"/>
  <c r="Z15" i="123"/>
  <c r="Y15" i="123"/>
  <c r="AB14" i="123"/>
  <c r="AA14" i="123"/>
  <c r="Z14" i="123"/>
  <c r="Y14" i="123"/>
  <c r="AB13" i="123"/>
  <c r="AA13" i="123"/>
  <c r="Z13" i="123"/>
  <c r="Y13" i="123"/>
  <c r="AB12" i="123"/>
  <c r="AA12" i="123"/>
  <c r="Z12" i="123"/>
  <c r="Y12" i="123"/>
  <c r="AB11" i="123"/>
  <c r="AA11" i="123"/>
  <c r="Z11" i="123"/>
  <c r="Y11" i="123"/>
  <c r="AB10" i="123"/>
  <c r="AA10" i="123"/>
  <c r="Z10" i="123"/>
  <c r="Y10" i="123"/>
  <c r="AB9" i="123"/>
  <c r="AA9" i="123"/>
  <c r="Z9" i="123"/>
  <c r="Y9" i="123"/>
  <c r="AB8" i="123"/>
  <c r="AA8" i="123"/>
  <c r="Z8" i="123"/>
  <c r="Y8" i="123"/>
  <c r="AB7" i="123"/>
  <c r="AA7" i="123"/>
  <c r="Z7" i="123"/>
  <c r="Y7" i="123"/>
  <c r="AB6" i="123"/>
  <c r="AA6" i="123"/>
  <c r="Z6" i="123"/>
  <c r="Y6" i="123"/>
  <c r="D7" i="123"/>
  <c r="E7" i="123"/>
  <c r="F7" i="123"/>
  <c r="G7" i="123"/>
  <c r="D8" i="123"/>
  <c r="E8" i="123"/>
  <c r="F8" i="123"/>
  <c r="G8" i="123"/>
  <c r="D9" i="123"/>
  <c r="E9" i="123"/>
  <c r="F9" i="123"/>
  <c r="G9" i="123"/>
  <c r="D10" i="123"/>
  <c r="E10" i="123"/>
  <c r="F10" i="123"/>
  <c r="G10" i="123"/>
  <c r="D11" i="123"/>
  <c r="E11" i="123"/>
  <c r="F11" i="123"/>
  <c r="G11" i="123"/>
  <c r="D12" i="123"/>
  <c r="E12" i="123"/>
  <c r="F12" i="123"/>
  <c r="G12" i="123"/>
  <c r="D13" i="123"/>
  <c r="E13" i="123"/>
  <c r="F13" i="123"/>
  <c r="G13" i="123"/>
  <c r="D14" i="123"/>
  <c r="E14" i="123"/>
  <c r="F14" i="123"/>
  <c r="G14" i="123"/>
  <c r="D15" i="123"/>
  <c r="E15" i="123"/>
  <c r="F15" i="123"/>
  <c r="G15" i="123"/>
  <c r="D16" i="123"/>
  <c r="E16" i="123"/>
  <c r="F16" i="123"/>
  <c r="G16" i="123"/>
  <c r="D17" i="123"/>
  <c r="E17" i="123"/>
  <c r="F17" i="123"/>
  <c r="G17" i="123"/>
  <c r="D18" i="123"/>
  <c r="E18" i="123"/>
  <c r="F18" i="123"/>
  <c r="G18" i="123"/>
  <c r="D19" i="123"/>
  <c r="E19" i="123"/>
  <c r="F19" i="123"/>
  <c r="G19" i="123"/>
  <c r="D20" i="123"/>
  <c r="E20" i="123"/>
  <c r="F20" i="123"/>
  <c r="G20" i="123"/>
  <c r="D21" i="123"/>
  <c r="E21" i="123"/>
  <c r="F21" i="123"/>
  <c r="G21" i="123"/>
  <c r="D22" i="123"/>
  <c r="E22" i="123"/>
  <c r="F22" i="123"/>
  <c r="G22" i="123"/>
  <c r="D23" i="123"/>
  <c r="E23" i="123"/>
  <c r="F23" i="123"/>
  <c r="G23" i="123"/>
  <c r="D24" i="123"/>
  <c r="E24" i="123"/>
  <c r="F24" i="123"/>
  <c r="G24" i="123"/>
  <c r="G6" i="123"/>
  <c r="F6" i="123"/>
  <c r="E6" i="123"/>
  <c r="D6" i="123"/>
  <c r="AW24" i="20"/>
  <c r="AV24" i="20"/>
  <c r="AU24" i="20"/>
  <c r="AT24" i="20"/>
  <c r="AW23" i="20"/>
  <c r="AV23" i="20"/>
  <c r="AU23" i="20"/>
  <c r="AT23" i="20"/>
  <c r="AW22" i="20"/>
  <c r="AV22" i="20"/>
  <c r="AU22" i="20"/>
  <c r="AT22" i="20"/>
  <c r="AW21" i="20"/>
  <c r="AV21" i="20"/>
  <c r="AU21" i="20"/>
  <c r="AT21" i="20"/>
  <c r="AW20" i="20"/>
  <c r="AV20" i="20"/>
  <c r="AU20" i="20"/>
  <c r="AT20" i="20"/>
  <c r="AW19" i="20"/>
  <c r="AV19" i="20"/>
  <c r="AU19" i="20"/>
  <c r="AT19" i="20"/>
  <c r="AW18" i="20"/>
  <c r="AV18" i="20"/>
  <c r="AU18" i="20"/>
  <c r="AT18" i="20"/>
  <c r="AW17" i="20"/>
  <c r="AV17" i="20"/>
  <c r="AU17" i="20"/>
  <c r="AT17" i="20"/>
  <c r="AW16" i="20"/>
  <c r="AV16" i="20"/>
  <c r="AU16" i="20"/>
  <c r="AT16" i="20"/>
  <c r="AW15" i="20"/>
  <c r="AV15" i="20"/>
  <c r="AU15" i="20"/>
  <c r="AT15" i="20"/>
  <c r="AW14" i="20"/>
  <c r="AV14" i="20"/>
  <c r="AU14" i="20"/>
  <c r="AT14" i="20"/>
  <c r="AW13" i="20"/>
  <c r="AV13" i="20"/>
  <c r="AU13" i="20"/>
  <c r="AT13" i="20"/>
  <c r="AW12" i="20"/>
  <c r="AV12" i="20"/>
  <c r="AU12" i="20"/>
  <c r="AT12" i="20"/>
  <c r="AW11" i="20"/>
  <c r="AV11" i="20"/>
  <c r="AU11" i="20"/>
  <c r="AT11" i="20"/>
  <c r="AW10" i="20"/>
  <c r="AV10" i="20"/>
  <c r="AU10" i="20"/>
  <c r="AT10" i="20"/>
  <c r="AW9" i="20"/>
  <c r="AV9" i="20"/>
  <c r="AU9" i="20"/>
  <c r="AT9" i="20"/>
  <c r="AW8" i="20"/>
  <c r="AV8" i="20"/>
  <c r="AU8" i="20"/>
  <c r="AT8" i="20"/>
  <c r="AW7" i="20"/>
  <c r="AV7" i="20"/>
  <c r="AU7" i="20"/>
  <c r="AT7" i="20"/>
  <c r="AW6" i="20"/>
  <c r="AV6" i="20"/>
  <c r="AU6" i="20"/>
  <c r="AT6" i="20"/>
  <c r="AB24" i="20"/>
  <c r="AA24" i="20"/>
  <c r="Z24" i="20"/>
  <c r="Y24" i="20"/>
  <c r="AB23" i="20"/>
  <c r="AA23" i="20"/>
  <c r="Z23" i="20"/>
  <c r="Y23" i="20"/>
  <c r="AB22" i="20"/>
  <c r="AA22" i="20"/>
  <c r="Z22" i="20"/>
  <c r="Y22" i="20"/>
  <c r="AB21" i="20"/>
  <c r="AA21" i="20"/>
  <c r="Z21" i="20"/>
  <c r="Y21" i="20"/>
  <c r="AB20" i="20"/>
  <c r="AA20" i="20"/>
  <c r="Z20" i="20"/>
  <c r="Y20" i="20"/>
  <c r="AB19" i="20"/>
  <c r="AA19" i="20"/>
  <c r="Z19" i="20"/>
  <c r="Y19" i="20"/>
  <c r="AB18" i="20"/>
  <c r="AA18" i="20"/>
  <c r="Z18" i="20"/>
  <c r="Y18" i="20"/>
  <c r="AB17" i="20"/>
  <c r="AA17" i="20"/>
  <c r="Z17" i="20"/>
  <c r="Y17" i="20"/>
  <c r="AB16" i="20"/>
  <c r="AA16" i="20"/>
  <c r="Z16" i="20"/>
  <c r="Y16" i="20"/>
  <c r="AB15" i="20"/>
  <c r="AA15" i="20"/>
  <c r="Z15" i="20"/>
  <c r="Y15" i="20"/>
  <c r="AB14" i="20"/>
  <c r="AA14" i="20"/>
  <c r="Z14" i="20"/>
  <c r="Y14" i="20"/>
  <c r="AB13" i="20"/>
  <c r="AA13" i="20"/>
  <c r="Z13" i="20"/>
  <c r="Y13" i="20"/>
  <c r="AB12" i="20"/>
  <c r="AA12" i="20"/>
  <c r="Z12" i="20"/>
  <c r="Y12" i="20"/>
  <c r="AB11" i="20"/>
  <c r="AA11" i="20"/>
  <c r="Z11" i="20"/>
  <c r="Y11" i="20"/>
  <c r="AB10" i="20"/>
  <c r="AA10" i="20"/>
  <c r="Z10" i="20"/>
  <c r="Y10" i="20"/>
  <c r="AB9" i="20"/>
  <c r="AA9" i="20"/>
  <c r="Z9" i="20"/>
  <c r="Y9" i="20"/>
  <c r="AB8" i="20"/>
  <c r="AA8" i="20"/>
  <c r="Z8" i="20"/>
  <c r="Y8" i="20"/>
  <c r="AB7" i="20"/>
  <c r="AA7" i="20"/>
  <c r="Z7" i="20"/>
  <c r="Y7" i="20"/>
  <c r="AB6" i="20"/>
  <c r="AA6" i="20"/>
  <c r="Z6" i="20"/>
  <c r="Y6" i="20"/>
  <c r="D7" i="20"/>
  <c r="E7" i="20"/>
  <c r="F7" i="20"/>
  <c r="G7" i="20"/>
  <c r="D8" i="20"/>
  <c r="E8" i="20"/>
  <c r="F8" i="20"/>
  <c r="G8" i="20"/>
  <c r="D9" i="20"/>
  <c r="E9" i="20"/>
  <c r="F9" i="20"/>
  <c r="G9" i="20"/>
  <c r="D10" i="20"/>
  <c r="E10" i="20"/>
  <c r="F10" i="20"/>
  <c r="G10" i="20"/>
  <c r="D11" i="20"/>
  <c r="E11" i="20"/>
  <c r="F11" i="20"/>
  <c r="G11" i="20"/>
  <c r="D12" i="20"/>
  <c r="E12" i="20"/>
  <c r="F12" i="20"/>
  <c r="G12" i="20"/>
  <c r="D13" i="20"/>
  <c r="E13" i="20"/>
  <c r="F13" i="20"/>
  <c r="G13" i="20"/>
  <c r="D14" i="20"/>
  <c r="E14" i="20"/>
  <c r="F14" i="20"/>
  <c r="G14" i="20"/>
  <c r="D15" i="20"/>
  <c r="E15" i="20"/>
  <c r="F15" i="20"/>
  <c r="G15" i="20"/>
  <c r="D16" i="20"/>
  <c r="E16" i="20"/>
  <c r="F16" i="20"/>
  <c r="G16" i="20"/>
  <c r="D17" i="20"/>
  <c r="E17" i="20"/>
  <c r="F17" i="20"/>
  <c r="G17" i="20"/>
  <c r="D18" i="20"/>
  <c r="E18" i="20"/>
  <c r="F18" i="20"/>
  <c r="G18" i="20"/>
  <c r="D19" i="20"/>
  <c r="E19" i="20"/>
  <c r="F19" i="20"/>
  <c r="G19" i="20"/>
  <c r="D20" i="20"/>
  <c r="E20" i="20"/>
  <c r="F20" i="20"/>
  <c r="G20" i="20"/>
  <c r="D21" i="20"/>
  <c r="E21" i="20"/>
  <c r="F21" i="20"/>
  <c r="G21" i="20"/>
  <c r="D22" i="20"/>
  <c r="E22" i="20"/>
  <c r="F22" i="20"/>
  <c r="G22" i="20"/>
  <c r="D23" i="20"/>
  <c r="E23" i="20"/>
  <c r="F23" i="20"/>
  <c r="G23" i="20"/>
  <c r="D24" i="20"/>
  <c r="E24" i="20"/>
  <c r="F24" i="20"/>
  <c r="G24" i="20"/>
  <c r="G6" i="20"/>
  <c r="F6" i="20"/>
  <c r="E6" i="20"/>
  <c r="D6" i="20"/>
  <c r="B2" i="116" l="1"/>
  <c r="G104" i="136"/>
  <c r="N24" i="136"/>
  <c r="N31" i="136"/>
  <c r="N32" i="136"/>
  <c r="N33" i="136"/>
  <c r="N34" i="136"/>
  <c r="N35" i="136"/>
  <c r="N36" i="136"/>
  <c r="N37" i="136"/>
  <c r="N38" i="136"/>
  <c r="P38" i="136" s="1"/>
  <c r="C17" i="32" l="1"/>
  <c r="F17" i="32" s="1"/>
  <c r="P32" i="136"/>
  <c r="C16" i="32"/>
  <c r="F16" i="32" s="1"/>
  <c r="P31" i="136"/>
  <c r="P34" i="136"/>
  <c r="C19" i="32"/>
  <c r="F19" i="32" s="1"/>
  <c r="P24" i="136"/>
  <c r="C9" i="32"/>
  <c r="F9" i="32" s="1"/>
  <c r="C21" i="32"/>
  <c r="F21" i="32" s="1"/>
  <c r="P36" i="136"/>
  <c r="C20" i="32"/>
  <c r="F20" i="32" s="1"/>
  <c r="P35" i="136"/>
  <c r="P37" i="136"/>
  <c r="C22" i="32"/>
  <c r="F22" i="32" s="1"/>
  <c r="C18" i="32"/>
  <c r="F18" i="32" s="1"/>
  <c r="P33" i="136"/>
  <c r="B81" i="14"/>
  <c r="C93" i="65"/>
  <c r="E43" i="136" l="1"/>
  <c r="E63" i="136" s="1"/>
  <c r="F43" i="136"/>
  <c r="F63" i="136" s="1"/>
  <c r="G43" i="136"/>
  <c r="G63" i="136" s="1"/>
  <c r="H43" i="136"/>
  <c r="H63" i="136" s="1"/>
  <c r="I43" i="136"/>
  <c r="I63" i="136" s="1"/>
  <c r="K43" i="136"/>
  <c r="K63" i="136" s="1"/>
  <c r="L43" i="136"/>
  <c r="L63" i="136" s="1"/>
  <c r="D43" i="136"/>
  <c r="D63" i="136" s="1"/>
  <c r="M53" i="136" l="1"/>
  <c r="N53" i="136" s="1"/>
  <c r="P53" i="136" s="1"/>
  <c r="M54" i="136"/>
  <c r="N54" i="136" s="1"/>
  <c r="P54" i="136" s="1"/>
  <c r="M55" i="136"/>
  <c r="N55" i="136" s="1"/>
  <c r="P55" i="136" s="1"/>
  <c r="M56" i="136"/>
  <c r="N56" i="136" s="1"/>
  <c r="P56" i="136" s="1"/>
  <c r="M57" i="136"/>
  <c r="N57" i="136" s="1"/>
  <c r="P57" i="136" s="1"/>
  <c r="M58" i="136"/>
  <c r="N58" i="136" s="1"/>
  <c r="P58" i="136" s="1"/>
  <c r="M59" i="136"/>
  <c r="N59" i="136" s="1"/>
  <c r="P59" i="136" s="1"/>
  <c r="M73" i="136"/>
  <c r="N73" i="136" s="1"/>
  <c r="P73" i="136" s="1"/>
  <c r="M74" i="136"/>
  <c r="N74" i="136" s="1"/>
  <c r="P74" i="136" s="1"/>
  <c r="M75" i="136"/>
  <c r="N75" i="136" s="1"/>
  <c r="P75" i="136" s="1"/>
  <c r="M76" i="136"/>
  <c r="N76" i="136" s="1"/>
  <c r="P76" i="136" s="1"/>
  <c r="M77" i="136"/>
  <c r="N77" i="136" s="1"/>
  <c r="P77" i="136" s="1"/>
  <c r="M78" i="136"/>
  <c r="N78" i="136" s="1"/>
  <c r="P78" i="136" s="1"/>
  <c r="M79" i="136"/>
  <c r="N79" i="136" s="1"/>
  <c r="P79" i="136" s="1"/>
  <c r="M93" i="136"/>
  <c r="N93" i="136" s="1"/>
  <c r="P93" i="136" s="1"/>
  <c r="M94" i="136"/>
  <c r="N94" i="136" s="1"/>
  <c r="P94" i="136" s="1"/>
  <c r="M95" i="136"/>
  <c r="N95" i="136" s="1"/>
  <c r="P95" i="136" s="1"/>
  <c r="M96" i="136"/>
  <c r="N96" i="136" s="1"/>
  <c r="P96" i="136" s="1"/>
  <c r="M97" i="136"/>
  <c r="N97" i="136" s="1"/>
  <c r="P97" i="136" s="1"/>
  <c r="M98" i="136"/>
  <c r="N98" i="136" s="1"/>
  <c r="P98" i="136" s="1"/>
  <c r="M99" i="136"/>
  <c r="N99" i="136" s="1"/>
  <c r="P99" i="136" s="1"/>
  <c r="D126" i="136" l="1"/>
  <c r="E126" i="136"/>
  <c r="F126" i="136"/>
  <c r="G126" i="136"/>
  <c r="C127" i="136"/>
  <c r="C128" i="136" s="1"/>
  <c r="C129" i="136" s="1"/>
  <c r="C130" i="136" s="1"/>
  <c r="C131" i="136" s="1"/>
  <c r="C132" i="136" s="1"/>
  <c r="C133" i="136" s="1"/>
  <c r="C134" i="136" s="1"/>
  <c r="C135" i="136" s="1"/>
  <c r="C136" i="136" s="1"/>
  <c r="C137" i="136" s="1"/>
  <c r="C138" i="136" s="1"/>
  <c r="C139" i="136" s="1"/>
  <c r="C140" i="136" s="1"/>
  <c r="C141" i="136" s="1"/>
  <c r="N25" i="136"/>
  <c r="P25" i="136" s="1"/>
  <c r="I110" i="136"/>
  <c r="I14" i="134"/>
  <c r="I25" i="134" s="1"/>
  <c r="D21" i="134"/>
  <c r="M12" i="136" s="1"/>
  <c r="M13" i="136" s="1"/>
  <c r="M16" i="136" s="1"/>
  <c r="I12" i="136" l="1"/>
  <c r="D12" i="136" s="1"/>
  <c r="E12" i="136" s="1"/>
  <c r="C47" i="32"/>
  <c r="J17" i="134"/>
  <c r="J28" i="134" s="1"/>
  <c r="J14" i="134"/>
  <c r="J18" i="134"/>
  <c r="J29" i="134" s="1"/>
  <c r="J19" i="134"/>
  <c r="J30" i="134" s="1"/>
  <c r="J15" i="134"/>
  <c r="J16" i="134"/>
  <c r="J20" i="134"/>
  <c r="J31" i="134" s="1"/>
  <c r="N30" i="136"/>
  <c r="I109" i="136"/>
  <c r="J26" i="134" l="1"/>
  <c r="J27" i="134"/>
  <c r="J25" i="134"/>
  <c r="F47" i="32"/>
  <c r="J109" i="136"/>
  <c r="J110" i="136"/>
  <c r="P30" i="136"/>
  <c r="C15" i="32"/>
  <c r="J106" i="136"/>
  <c r="J108" i="136"/>
  <c r="C48" i="32"/>
  <c r="F48" i="32" s="1"/>
  <c r="J107" i="136"/>
  <c r="F12" i="136"/>
  <c r="H12" i="136" s="1"/>
  <c r="K12" i="134"/>
  <c r="M84" i="136"/>
  <c r="N84" i="136" s="1"/>
  <c r="P84" i="136" s="1"/>
  <c r="L126" i="136"/>
  <c r="K126" i="136"/>
  <c r="J126" i="136"/>
  <c r="I126" i="136"/>
  <c r="H126" i="136"/>
  <c r="J125" i="136"/>
  <c r="H69" i="136"/>
  <c r="H70" i="136"/>
  <c r="H71" i="136"/>
  <c r="M92" i="136"/>
  <c r="N92" i="136" s="1"/>
  <c r="P92" i="136" s="1"/>
  <c r="M85" i="136"/>
  <c r="N85" i="136" s="1"/>
  <c r="P85" i="136" s="1"/>
  <c r="C85" i="136"/>
  <c r="C86" i="136" s="1"/>
  <c r="C87" i="136" s="1"/>
  <c r="C88" i="136" s="1"/>
  <c r="C89" i="136" s="1"/>
  <c r="C90" i="136" s="1"/>
  <c r="C91" i="136" s="1"/>
  <c r="C92" i="136" s="1"/>
  <c r="C93" i="136" s="1"/>
  <c r="C94" i="136" s="1"/>
  <c r="C95" i="136" s="1"/>
  <c r="C96" i="136" s="1"/>
  <c r="C97" i="136" s="1"/>
  <c r="C98" i="136" s="1"/>
  <c r="C99" i="136" s="1"/>
  <c r="J83" i="136"/>
  <c r="M72" i="136"/>
  <c r="N72" i="136" s="1"/>
  <c r="P72" i="136" s="1"/>
  <c r="M65" i="136"/>
  <c r="N65" i="136" s="1"/>
  <c r="P65" i="136" s="1"/>
  <c r="C65" i="136"/>
  <c r="C66" i="136" s="1"/>
  <c r="C67" i="136" s="1"/>
  <c r="C68" i="136" s="1"/>
  <c r="C69" i="136" s="1"/>
  <c r="C70" i="136" s="1"/>
  <c r="C71" i="136" s="1"/>
  <c r="C72" i="136" s="1"/>
  <c r="C73" i="136" s="1"/>
  <c r="C74" i="136" s="1"/>
  <c r="C75" i="136" s="1"/>
  <c r="C76" i="136" s="1"/>
  <c r="C77" i="136" s="1"/>
  <c r="C78" i="136" s="1"/>
  <c r="C79" i="136" s="1"/>
  <c r="M52" i="136"/>
  <c r="N52" i="136" s="1"/>
  <c r="P52" i="136" s="1"/>
  <c r="D60" i="136"/>
  <c r="M45" i="136"/>
  <c r="N45" i="136" s="1"/>
  <c r="P45" i="136" s="1"/>
  <c r="C45" i="136"/>
  <c r="C46" i="136" s="1"/>
  <c r="C47" i="136" s="1"/>
  <c r="C48" i="136" s="1"/>
  <c r="C49" i="136" s="1"/>
  <c r="C50" i="136" s="1"/>
  <c r="C51" i="136" s="1"/>
  <c r="C52" i="136" s="1"/>
  <c r="C53" i="136" s="1"/>
  <c r="C54" i="136" s="1"/>
  <c r="C55" i="136" s="1"/>
  <c r="C56" i="136" s="1"/>
  <c r="C57" i="136" s="1"/>
  <c r="C58" i="136" s="1"/>
  <c r="C59" i="136" s="1"/>
  <c r="H60" i="136"/>
  <c r="K14" i="134" l="1"/>
  <c r="L14" i="134" s="1"/>
  <c r="C68" i="32"/>
  <c r="F68" i="32"/>
  <c r="F89" i="136"/>
  <c r="F86" i="136"/>
  <c r="F87" i="136"/>
  <c r="K23" i="134"/>
  <c r="K17" i="134"/>
  <c r="L17" i="134" s="1"/>
  <c r="K16" i="134"/>
  <c r="L16" i="134" s="1"/>
  <c r="K20" i="134"/>
  <c r="L20" i="134" s="1"/>
  <c r="K18" i="134"/>
  <c r="L18" i="134" s="1"/>
  <c r="K19" i="134"/>
  <c r="L19" i="134" s="1"/>
  <c r="K15" i="134"/>
  <c r="L15" i="134" s="1"/>
  <c r="E13" i="136"/>
  <c r="E16" i="136" s="1"/>
  <c r="F90" i="136"/>
  <c r="M44" i="136"/>
  <c r="N44" i="136" s="1"/>
  <c r="P44" i="136" s="1"/>
  <c r="F88" i="136"/>
  <c r="H80" i="136"/>
  <c r="M64" i="136"/>
  <c r="N64" i="136" s="1"/>
  <c r="P64" i="136" s="1"/>
  <c r="E60" i="136"/>
  <c r="D12" i="32"/>
  <c r="F15" i="32" s="1"/>
  <c r="D11" i="32"/>
  <c r="C15" i="134"/>
  <c r="C16" i="134" l="1"/>
  <c r="I15" i="134"/>
  <c r="I26" i="134" s="1"/>
  <c r="K21" i="134"/>
  <c r="K25" i="134"/>
  <c r="L25" i="134" s="1"/>
  <c r="K31" i="134"/>
  <c r="L31" i="134" s="1"/>
  <c r="K29" i="134"/>
  <c r="L29" i="134" s="1"/>
  <c r="K30" i="134"/>
  <c r="L30" i="134" s="1"/>
  <c r="K28" i="134"/>
  <c r="L28" i="134" s="1"/>
  <c r="K27" i="134"/>
  <c r="L27" i="134" s="1"/>
  <c r="K26" i="134"/>
  <c r="L26" i="134" s="1"/>
  <c r="C14" i="157"/>
  <c r="C15" i="157"/>
  <c r="C16" i="157"/>
  <c r="C17" i="157"/>
  <c r="C17" i="134" l="1"/>
  <c r="I16" i="134"/>
  <c r="I27" i="134" s="1"/>
  <c r="K32" i="134"/>
  <c r="E32" i="134"/>
  <c r="M22" i="32" s="1"/>
  <c r="E36" i="134"/>
  <c r="M26" i="32" s="1"/>
  <c r="E40" i="134"/>
  <c r="M30" i="32" s="1"/>
  <c r="E44" i="134"/>
  <c r="E29" i="134"/>
  <c r="M19" i="32" s="1"/>
  <c r="E33" i="134"/>
  <c r="M23" i="32" s="1"/>
  <c r="E37" i="134"/>
  <c r="M27" i="32" s="1"/>
  <c r="E41" i="134"/>
  <c r="M31" i="32" s="1"/>
  <c r="E25" i="134"/>
  <c r="M15" i="32" s="1"/>
  <c r="E26" i="134"/>
  <c r="M16" i="32" s="1"/>
  <c r="E30" i="134"/>
  <c r="M20" i="32" s="1"/>
  <c r="E34" i="134"/>
  <c r="M24" i="32" s="1"/>
  <c r="E38" i="134"/>
  <c r="M28" i="32" s="1"/>
  <c r="E42" i="134"/>
  <c r="M32" i="32" s="1"/>
  <c r="E27" i="134"/>
  <c r="M17" i="32" s="1"/>
  <c r="E31" i="134"/>
  <c r="M21" i="32" s="1"/>
  <c r="E35" i="134"/>
  <c r="M25" i="32" s="1"/>
  <c r="E39" i="134"/>
  <c r="M29" i="32" s="1"/>
  <c r="E43" i="134"/>
  <c r="M33" i="32" s="1"/>
  <c r="E28" i="134"/>
  <c r="M18" i="32" s="1"/>
  <c r="N35" i="32" l="1"/>
  <c r="M34" i="32"/>
  <c r="M36" i="32" s="1"/>
  <c r="C18" i="134"/>
  <c r="C19" i="134" s="1"/>
  <c r="I17" i="134"/>
  <c r="I28" i="134" s="1"/>
  <c r="L23" i="136"/>
  <c r="J23" i="136"/>
  <c r="I23" i="136"/>
  <c r="G23" i="136"/>
  <c r="F23" i="136"/>
  <c r="J22" i="136"/>
  <c r="J43" i="136" s="1"/>
  <c r="J63" i="136" s="1"/>
  <c r="I18" i="134" l="1"/>
  <c r="I29" i="134" s="1"/>
  <c r="C20" i="134"/>
  <c r="I20" i="134" s="1"/>
  <c r="I31" i="134" s="1"/>
  <c r="I19" i="134"/>
  <c r="I30" i="134" s="1"/>
  <c r="L27" i="136"/>
  <c r="K27" i="136"/>
  <c r="H23" i="136"/>
  <c r="K39" i="136" l="1"/>
  <c r="K130" i="136" s="1"/>
  <c r="M27" i="136"/>
  <c r="L39" i="136"/>
  <c r="L130" i="136" s="1"/>
  <c r="N29" i="136"/>
  <c r="J68" i="136"/>
  <c r="J88" i="136"/>
  <c r="N28" i="136"/>
  <c r="K128" i="136" l="1"/>
  <c r="K129" i="136"/>
  <c r="K133" i="136"/>
  <c r="K131" i="136"/>
  <c r="K132" i="136"/>
  <c r="L129" i="136"/>
  <c r="L128" i="136"/>
  <c r="L133" i="136"/>
  <c r="L132" i="136"/>
  <c r="L131" i="136"/>
  <c r="P29" i="136"/>
  <c r="C14" i="32"/>
  <c r="F14" i="32" s="1"/>
  <c r="P28" i="136"/>
  <c r="C13" i="32"/>
  <c r="F13" i="32" s="1"/>
  <c r="I67" i="136"/>
  <c r="I68" i="136"/>
  <c r="L88" i="136"/>
  <c r="L48" i="136"/>
  <c r="L68" i="136"/>
  <c r="J67" i="136"/>
  <c r="J87" i="136"/>
  <c r="J47" i="136"/>
  <c r="I89" i="136"/>
  <c r="I69" i="136"/>
  <c r="I87" i="136"/>
  <c r="I47" i="136"/>
  <c r="K88" i="136"/>
  <c r="K68" i="136"/>
  <c r="K48" i="136"/>
  <c r="J89" i="136"/>
  <c r="J69" i="136"/>
  <c r="J90" i="136"/>
  <c r="J70" i="136"/>
  <c r="A97" i="65"/>
  <c r="L46" i="136" l="1"/>
  <c r="L142" i="136"/>
  <c r="L66" i="136"/>
  <c r="L86" i="136"/>
  <c r="L87" i="136"/>
  <c r="L67" i="136"/>
  <c r="L47" i="136"/>
  <c r="K47" i="136"/>
  <c r="K67" i="136"/>
  <c r="K87" i="136"/>
  <c r="K66" i="136"/>
  <c r="K142" i="136"/>
  <c r="K86" i="136"/>
  <c r="K46" i="136"/>
  <c r="I88" i="136"/>
  <c r="L21" i="134"/>
  <c r="L32" i="134"/>
  <c r="J80" i="136"/>
  <c r="L51" i="136"/>
  <c r="L91" i="136"/>
  <c r="L71" i="136"/>
  <c r="I70" i="136"/>
  <c r="I80" i="136" s="1"/>
  <c r="I90" i="136"/>
  <c r="L90" i="136"/>
  <c r="L70" i="136"/>
  <c r="L50" i="136"/>
  <c r="K70" i="136"/>
  <c r="K90" i="136"/>
  <c r="K50" i="136"/>
  <c r="J100" i="136"/>
  <c r="K51" i="136"/>
  <c r="K71" i="136"/>
  <c r="K91" i="136"/>
  <c r="K69" i="136"/>
  <c r="K49" i="136"/>
  <c r="K89" i="136"/>
  <c r="J60" i="136"/>
  <c r="L49" i="136"/>
  <c r="L89" i="136"/>
  <c r="L69" i="136"/>
  <c r="C94" i="65"/>
  <c r="H32" i="127"/>
  <c r="G32" i="127"/>
  <c r="H12" i="127"/>
  <c r="H13" i="127"/>
  <c r="I100" i="136" l="1"/>
  <c r="I60" i="136"/>
  <c r="L60" i="136"/>
  <c r="K60" i="136"/>
  <c r="L80" i="136"/>
  <c r="K100" i="136"/>
  <c r="K80" i="136"/>
  <c r="L100" i="136"/>
  <c r="M51" i="136"/>
  <c r="N51" i="136" s="1"/>
  <c r="P51" i="136" s="1"/>
  <c r="C95" i="65"/>
  <c r="A249" i="152"/>
  <c r="C96" i="65" l="1"/>
  <c r="E37" i="110"/>
  <c r="C7" i="158"/>
  <c r="K23" i="136"/>
  <c r="D23" i="136"/>
  <c r="E23" i="136"/>
  <c r="W6" i="123" l="1"/>
  <c r="W7" i="123" s="1"/>
  <c r="W8" i="123" s="1"/>
  <c r="W9" i="123" s="1"/>
  <c r="W10" i="123" s="1"/>
  <c r="W11" i="123" s="1"/>
  <c r="W12" i="123" s="1"/>
  <c r="W13" i="123" s="1"/>
  <c r="W14" i="123" s="1"/>
  <c r="W15" i="123" s="1"/>
  <c r="W16" i="123" s="1"/>
  <c r="W17" i="123" s="1"/>
  <c r="W18" i="123" s="1"/>
  <c r="W19" i="123" s="1"/>
  <c r="W20" i="123" s="1"/>
  <c r="W21" i="123" s="1"/>
  <c r="W22" i="123" s="1"/>
  <c r="W23" i="123" s="1"/>
  <c r="W24" i="123" s="1"/>
  <c r="W25" i="123" s="1"/>
  <c r="W26" i="123" s="1"/>
  <c r="A22" i="159"/>
  <c r="A139" i="152"/>
  <c r="M23" i="136"/>
  <c r="E68" i="136"/>
  <c r="N26" i="136"/>
  <c r="D39" i="136"/>
  <c r="H88" i="136"/>
  <c r="Q37" i="110"/>
  <c r="I37" i="110"/>
  <c r="U37" i="110"/>
  <c r="M37" i="110"/>
  <c r="U13" i="136"/>
  <c r="O116" i="136" s="1"/>
  <c r="N23" i="136" l="1"/>
  <c r="P23" i="136" s="1"/>
  <c r="P116" i="136" s="1"/>
  <c r="M39" i="136"/>
  <c r="A23" i="159"/>
  <c r="A24" i="159" s="1"/>
  <c r="A25" i="159" s="1"/>
  <c r="A26" i="159" s="1"/>
  <c r="A27" i="159" s="1"/>
  <c r="A28" i="159" s="1"/>
  <c r="A29" i="159" s="1"/>
  <c r="A30" i="159" s="1"/>
  <c r="A31" i="159" s="1"/>
  <c r="A32" i="159" s="1"/>
  <c r="A33" i="159" s="1"/>
  <c r="A34" i="159" s="1"/>
  <c r="A35" i="159" s="1"/>
  <c r="A36" i="159" s="1"/>
  <c r="A37" i="159" s="1"/>
  <c r="A38" i="159" s="1"/>
  <c r="A39" i="159" s="1"/>
  <c r="A40" i="159" s="1"/>
  <c r="A41" i="159" s="1"/>
  <c r="A42" i="159" s="1"/>
  <c r="D133" i="136"/>
  <c r="D128" i="136"/>
  <c r="D130" i="136"/>
  <c r="D131" i="136"/>
  <c r="D132" i="136"/>
  <c r="P26" i="136"/>
  <c r="C11" i="32"/>
  <c r="F11" i="32" s="1"/>
  <c r="C26" i="134"/>
  <c r="E88" i="136"/>
  <c r="E8" i="32"/>
  <c r="E36" i="32" s="1"/>
  <c r="H90" i="136"/>
  <c r="H91" i="136"/>
  <c r="H89" i="136"/>
  <c r="D129" i="136"/>
  <c r="W37" i="110"/>
  <c r="I13" i="136"/>
  <c r="I16" i="136" s="1"/>
  <c r="J13" i="136"/>
  <c r="J16" i="136" s="1"/>
  <c r="K13" i="136"/>
  <c r="K16" i="136" s="1"/>
  <c r="L13" i="136"/>
  <c r="L16" i="136" s="1"/>
  <c r="C6" i="158" l="1"/>
  <c r="C9" i="158"/>
  <c r="G6" i="158"/>
  <c r="F8" i="32"/>
  <c r="D86" i="136"/>
  <c r="M86" i="136" s="1"/>
  <c r="N86" i="136" s="1"/>
  <c r="P86" i="136" s="1"/>
  <c r="D66" i="136"/>
  <c r="C27" i="134"/>
  <c r="E87" i="136"/>
  <c r="E142" i="136"/>
  <c r="E67" i="136"/>
  <c r="E89" i="136"/>
  <c r="E69" i="136"/>
  <c r="D67" i="136"/>
  <c r="D142" i="136"/>
  <c r="D87" i="136"/>
  <c r="H87" i="136"/>
  <c r="H100" i="136" s="1"/>
  <c r="D88" i="136"/>
  <c r="D68" i="136"/>
  <c r="D89" i="136"/>
  <c r="D69" i="136"/>
  <c r="E70" i="136"/>
  <c r="E90" i="136"/>
  <c r="D71" i="136"/>
  <c r="D91" i="136"/>
  <c r="E91" i="136"/>
  <c r="E71" i="136"/>
  <c r="D70" i="136"/>
  <c r="D90" i="136"/>
  <c r="C13" i="148"/>
  <c r="C28" i="134" l="1"/>
  <c r="D100" i="136"/>
  <c r="E80" i="136"/>
  <c r="M91" i="136"/>
  <c r="N91" i="136" s="1"/>
  <c r="P91" i="136" s="1"/>
  <c r="D80" i="136"/>
  <c r="M71" i="136"/>
  <c r="N71" i="136" s="1"/>
  <c r="P71" i="136" s="1"/>
  <c r="E100" i="136"/>
  <c r="C29" i="134" l="1"/>
  <c r="C30" i="134" l="1"/>
  <c r="N40" i="153"/>
  <c r="M40" i="153"/>
  <c r="J11" i="127"/>
  <c r="K11" i="127"/>
  <c r="J12" i="127"/>
  <c r="K12" i="127"/>
  <c r="J13" i="127"/>
  <c r="K13" i="127"/>
  <c r="H11" i="54"/>
  <c r="H12" i="54" s="1"/>
  <c r="B13" i="148"/>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K100" i="153"/>
  <c r="A100" i="153"/>
  <c r="Y74" i="153"/>
  <c r="L74" i="153"/>
  <c r="A74" i="153"/>
  <c r="Q48" i="153"/>
  <c r="A48" i="153"/>
  <c r="I12" i="153"/>
  <c r="A12" i="153"/>
  <c r="A13" i="153" s="1"/>
  <c r="A14" i="153" s="1"/>
  <c r="A15" i="153" s="1"/>
  <c r="A16" i="153" s="1"/>
  <c r="A17" i="153" s="1"/>
  <c r="A18" i="153" s="1"/>
  <c r="A19" i="153" s="1"/>
  <c r="A20" i="153" s="1"/>
  <c r="A21" i="153" s="1"/>
  <c r="A22" i="153" s="1"/>
  <c r="A23" i="153" s="1"/>
  <c r="A24" i="153" s="1"/>
  <c r="A25" i="153" s="1"/>
  <c r="A26" i="153" s="1"/>
  <c r="A27" i="153" s="1"/>
  <c r="A28" i="153" s="1"/>
  <c r="A29" i="153" s="1"/>
  <c r="A30" i="153" s="1"/>
  <c r="A31" i="153" s="1"/>
  <c r="A32" i="153" s="1"/>
  <c r="B19" i="127"/>
  <c r="B20" i="127" s="1"/>
  <c r="AR6" i="123"/>
  <c r="B6" i="123"/>
  <c r="AR6" i="20"/>
  <c r="W6" i="20"/>
  <c r="B6" i="20"/>
  <c r="B7" i="20" s="1"/>
  <c r="B8" i="20" s="1"/>
  <c r="B9" i="20" s="1"/>
  <c r="B10" i="20" s="1"/>
  <c r="B11" i="20" s="1"/>
  <c r="B12" i="20" s="1"/>
  <c r="B13" i="20" s="1"/>
  <c r="B14" i="20" s="1"/>
  <c r="B15" i="20" s="1"/>
  <c r="B16" i="20" s="1"/>
  <c r="B17" i="20" s="1"/>
  <c r="B18" i="20" s="1"/>
  <c r="B19" i="20" s="1"/>
  <c r="B20" i="20" s="1"/>
  <c r="B21" i="20" s="1"/>
  <c r="B22" i="20" s="1"/>
  <c r="B23" i="20" s="1"/>
  <c r="B24" i="20" s="1"/>
  <c r="B25" i="20" s="1"/>
  <c r="A8" i="92"/>
  <c r="A19" i="72"/>
  <c r="P25" i="20" l="1"/>
  <c r="Q25" i="20" s="1"/>
  <c r="S25" i="20"/>
  <c r="W25" i="20"/>
  <c r="AR25" i="20" s="1"/>
  <c r="B26" i="20"/>
  <c r="C31" i="134"/>
  <c r="H18" i="32"/>
  <c r="G19" i="32"/>
  <c r="H20" i="32"/>
  <c r="S26" i="20" l="1"/>
  <c r="P26" i="20"/>
  <c r="Q26" i="20" s="1"/>
  <c r="T25" i="20"/>
  <c r="U25" i="20"/>
  <c r="W26" i="20"/>
  <c r="AR26" i="20" s="1"/>
  <c r="C32" i="134"/>
  <c r="C33" i="134" s="1"/>
  <c r="C34" i="134" s="1"/>
  <c r="C35" i="134" s="1"/>
  <c r="C36" i="134" s="1"/>
  <c r="C37" i="134" s="1"/>
  <c r="C38" i="134" s="1"/>
  <c r="C39" i="134" s="1"/>
  <c r="C40" i="134" s="1"/>
  <c r="C41" i="134" s="1"/>
  <c r="C42" i="134" s="1"/>
  <c r="C43" i="134" s="1"/>
  <c r="C44" i="134" s="1"/>
  <c r="C45" i="134" s="1"/>
  <c r="H19" i="32"/>
  <c r="G20" i="32"/>
  <c r="G18" i="32"/>
  <c r="T26" i="20" l="1"/>
  <c r="U26" i="20"/>
  <c r="H21" i="32"/>
  <c r="G21" i="32"/>
  <c r="C13" i="157" l="1"/>
  <c r="A5" i="157"/>
  <c r="A24" i="157" s="1"/>
  <c r="D16" i="157" l="1"/>
  <c r="E16" i="157" s="1"/>
  <c r="D15" i="157"/>
  <c r="E15" i="157" s="1"/>
  <c r="D17" i="157"/>
  <c r="E17" i="157" s="1"/>
  <c r="D14" i="157"/>
  <c r="E14" i="157" s="1"/>
  <c r="E33" i="157"/>
  <c r="E34" i="157"/>
  <c r="D13" i="157"/>
  <c r="E13" i="157" s="1"/>
  <c r="A4" i="72"/>
  <c r="A130" i="152" l="1"/>
  <c r="A131" i="152" s="1"/>
  <c r="A180" i="152" l="1"/>
  <c r="A213" i="152"/>
  <c r="J68" i="32" l="1"/>
  <c r="K36" i="32"/>
  <c r="C10" i="32" l="1"/>
  <c r="K68" i="32" l="1"/>
  <c r="AR7" i="123"/>
  <c r="AR8" i="123" s="1"/>
  <c r="AR9" i="123" s="1"/>
  <c r="AR10" i="123" s="1"/>
  <c r="AR11" i="123" s="1"/>
  <c r="AR12" i="123" s="1"/>
  <c r="AR13" i="123" s="1"/>
  <c r="AR14" i="123" s="1"/>
  <c r="AR15" i="123" s="1"/>
  <c r="AR16" i="123" s="1"/>
  <c r="AR17" i="123" s="1"/>
  <c r="AR18" i="123" s="1"/>
  <c r="AR19" i="123" s="1"/>
  <c r="AR20" i="123" s="1"/>
  <c r="AR21" i="123" s="1"/>
  <c r="AR22" i="123" s="1"/>
  <c r="AR23" i="123" s="1"/>
  <c r="AR24" i="123" s="1"/>
  <c r="AR25" i="123" s="1"/>
  <c r="AR26" i="123" s="1"/>
  <c r="A216" i="152" l="1"/>
  <c r="A140" i="152"/>
  <c r="B16" i="14"/>
  <c r="V214" i="152"/>
  <c r="Q214" i="152"/>
  <c r="L214" i="152"/>
  <c r="G214" i="152"/>
  <c r="B214" i="152"/>
  <c r="B133" i="152"/>
  <c r="H126" i="152"/>
  <c r="L104" i="152"/>
  <c r="N104" i="152"/>
  <c r="A256" i="152" l="1"/>
  <c r="A141" i="152"/>
  <c r="A181" i="152"/>
  <c r="A217" i="152"/>
  <c r="A257" i="152" l="1"/>
  <c r="A142" i="152"/>
  <c r="A182" i="152"/>
  <c r="A218" i="152"/>
  <c r="AJ74" i="153"/>
  <c r="A258" i="152" l="1"/>
  <c r="A126" i="153"/>
  <c r="K126" i="153" s="1"/>
  <c r="A143" i="152"/>
  <c r="A183" i="152"/>
  <c r="A219" i="152"/>
  <c r="Y95" i="153"/>
  <c r="J41" i="153"/>
  <c r="I41" i="153"/>
  <c r="H41" i="153"/>
  <c r="N39" i="153"/>
  <c r="M39" i="153"/>
  <c r="G39" i="153"/>
  <c r="G40" i="153" s="1"/>
  <c r="N38" i="153"/>
  <c r="M38" i="153"/>
  <c r="A76" i="153"/>
  <c r="A77" i="153" s="1"/>
  <c r="C8" i="153"/>
  <c r="A8" i="153"/>
  <c r="C7" i="153"/>
  <c r="A7" i="153"/>
  <c r="A6" i="153"/>
  <c r="L109" i="152"/>
  <c r="E128" i="152" s="1"/>
  <c r="L108" i="152"/>
  <c r="E127" i="152" s="1"/>
  <c r="L69" i="152"/>
  <c r="N69" i="152"/>
  <c r="I46" i="152"/>
  <c r="G46" i="152"/>
  <c r="T14" i="152"/>
  <c r="E129" i="152" s="1"/>
  <c r="T12" i="152"/>
  <c r="D129" i="152" s="1"/>
  <c r="I22" i="152"/>
  <c r="G22" i="152"/>
  <c r="L74" i="152"/>
  <c r="D128" i="152" s="1"/>
  <c r="G51" i="152"/>
  <c r="C128" i="152" s="1"/>
  <c r="G27" i="152"/>
  <c r="B128" i="152" s="1"/>
  <c r="B129" i="152"/>
  <c r="D6" i="153"/>
  <c r="A259" i="152" l="1"/>
  <c r="G26" i="152"/>
  <c r="B127" i="152" s="1"/>
  <c r="A144" i="152"/>
  <c r="A184" i="152"/>
  <c r="A220" i="152"/>
  <c r="H42" i="153"/>
  <c r="I42" i="153"/>
  <c r="Y76" i="153"/>
  <c r="G50" i="152"/>
  <c r="C127" i="152" s="1"/>
  <c r="L73" i="152"/>
  <c r="D127" i="152" s="1"/>
  <c r="A50" i="153"/>
  <c r="A51" i="153" s="1"/>
  <c r="A52" i="153" s="1"/>
  <c r="A53" i="153" s="1"/>
  <c r="A54" i="153" s="1"/>
  <c r="A55" i="153" s="1"/>
  <c r="A56" i="153" s="1"/>
  <c r="A57" i="153" s="1"/>
  <c r="A58" i="153" s="1"/>
  <c r="A59" i="153" s="1"/>
  <c r="A60" i="153" s="1"/>
  <c r="A61" i="153" s="1"/>
  <c r="A62" i="153" s="1"/>
  <c r="A63" i="153" s="1"/>
  <c r="A64" i="153" s="1"/>
  <c r="A65" i="153" s="1"/>
  <c r="A66" i="153" s="1"/>
  <c r="A67" i="153" s="1"/>
  <c r="A68" i="153" s="1"/>
  <c r="I14" i="153"/>
  <c r="I15" i="153" s="1"/>
  <c r="I16" i="153" s="1"/>
  <c r="I17" i="153" s="1"/>
  <c r="I18" i="153" s="1"/>
  <c r="I19" i="153" s="1"/>
  <c r="I20" i="153" s="1"/>
  <c r="I21" i="153" s="1"/>
  <c r="I22" i="153" s="1"/>
  <c r="I23" i="153" s="1"/>
  <c r="I24" i="153" s="1"/>
  <c r="I25" i="153" s="1"/>
  <c r="I26" i="153" s="1"/>
  <c r="I27" i="153" s="1"/>
  <c r="I28" i="153" s="1"/>
  <c r="I29" i="153" s="1"/>
  <c r="I30" i="153" s="1"/>
  <c r="I31" i="153" s="1"/>
  <c r="I32" i="153" s="1"/>
  <c r="I13" i="153"/>
  <c r="A75" i="153"/>
  <c r="L75" i="153" s="1"/>
  <c r="A49" i="153"/>
  <c r="Q49" i="153" s="1"/>
  <c r="A78" i="153"/>
  <c r="Y77" i="153"/>
  <c r="A102" i="153"/>
  <c r="A128" i="153" s="1"/>
  <c r="J42" i="153"/>
  <c r="A260" i="152" l="1"/>
  <c r="L76" i="153"/>
  <c r="A145" i="152"/>
  <c r="A185" i="152"/>
  <c r="A221" i="152"/>
  <c r="A129" i="153"/>
  <c r="A130" i="153" s="1"/>
  <c r="A131" i="153" s="1"/>
  <c r="A132" i="153" s="1"/>
  <c r="A133" i="153" s="1"/>
  <c r="A134" i="153" s="1"/>
  <c r="A135" i="153" s="1"/>
  <c r="A136" i="153" s="1"/>
  <c r="A137" i="153" s="1"/>
  <c r="A138" i="153" s="1"/>
  <c r="A139" i="153" s="1"/>
  <c r="A140" i="153" s="1"/>
  <c r="A141" i="153" s="1"/>
  <c r="A142" i="153" s="1"/>
  <c r="A143" i="153" s="1"/>
  <c r="A144" i="153" s="1"/>
  <c r="A145" i="153" s="1"/>
  <c r="A146" i="153" s="1"/>
  <c r="K128" i="153"/>
  <c r="K129" i="153" s="1"/>
  <c r="K130" i="153" s="1"/>
  <c r="K131" i="153" s="1"/>
  <c r="K132" i="153" s="1"/>
  <c r="K133" i="153" s="1"/>
  <c r="K134" i="153" s="1"/>
  <c r="K135" i="153" s="1"/>
  <c r="K136" i="153" s="1"/>
  <c r="K137" i="153" s="1"/>
  <c r="K138" i="153" s="1"/>
  <c r="K139" i="153" s="1"/>
  <c r="K140" i="153" s="1"/>
  <c r="K141" i="153" s="1"/>
  <c r="K142" i="153" s="1"/>
  <c r="K143" i="153" s="1"/>
  <c r="K144" i="153" s="1"/>
  <c r="K145" i="153" s="1"/>
  <c r="K146" i="153" s="1"/>
  <c r="Q50" i="153"/>
  <c r="Q51" i="153" s="1"/>
  <c r="Q52" i="153" s="1"/>
  <c r="Q53" i="153" s="1"/>
  <c r="Q54" i="153" s="1"/>
  <c r="Q55" i="153" s="1"/>
  <c r="Q56" i="153" s="1"/>
  <c r="Q57" i="153" s="1"/>
  <c r="Q58" i="153" s="1"/>
  <c r="Q59" i="153" s="1"/>
  <c r="Q60" i="153" s="1"/>
  <c r="Q61" i="153" s="1"/>
  <c r="Q62" i="153" s="1"/>
  <c r="Q63" i="153" s="1"/>
  <c r="Q64" i="153" s="1"/>
  <c r="Q65" i="153" s="1"/>
  <c r="Q66" i="153" s="1"/>
  <c r="Q67" i="153" s="1"/>
  <c r="Q68" i="153" s="1"/>
  <c r="K102" i="153"/>
  <c r="K103" i="153" s="1"/>
  <c r="K104" i="153" s="1"/>
  <c r="K105" i="153" s="1"/>
  <c r="K106" i="153" s="1"/>
  <c r="K107" i="153" s="1"/>
  <c r="K108" i="153" s="1"/>
  <c r="K109" i="153" s="1"/>
  <c r="K110" i="153" s="1"/>
  <c r="K111" i="153" s="1"/>
  <c r="K112" i="153" s="1"/>
  <c r="K113" i="153" s="1"/>
  <c r="K114" i="153" s="1"/>
  <c r="K115" i="153" s="1"/>
  <c r="K116" i="153" s="1"/>
  <c r="K117" i="153" s="1"/>
  <c r="K118" i="153" s="1"/>
  <c r="K119" i="153" s="1"/>
  <c r="K120" i="153" s="1"/>
  <c r="A103" i="153"/>
  <c r="A104" i="153" s="1"/>
  <c r="A105" i="153" s="1"/>
  <c r="A106" i="153" s="1"/>
  <c r="A107" i="153" s="1"/>
  <c r="A108" i="153" s="1"/>
  <c r="A109" i="153" s="1"/>
  <c r="A110" i="153" s="1"/>
  <c r="A111" i="153" s="1"/>
  <c r="A112" i="153" s="1"/>
  <c r="A113" i="153" s="1"/>
  <c r="A114" i="153" s="1"/>
  <c r="A115" i="153" s="1"/>
  <c r="A116" i="153" s="1"/>
  <c r="A117" i="153" s="1"/>
  <c r="A118" i="153" s="1"/>
  <c r="A119" i="153" s="1"/>
  <c r="A120" i="153" s="1"/>
  <c r="A79" i="153"/>
  <c r="Y78" i="153"/>
  <c r="A101" i="153"/>
  <c r="Y75" i="153"/>
  <c r="AJ75" i="153" s="1"/>
  <c r="C105" i="136"/>
  <c r="D5" i="153" l="1"/>
  <c r="A261" i="152"/>
  <c r="C106" i="136"/>
  <c r="D120" i="136"/>
  <c r="AJ76" i="153"/>
  <c r="L77" i="153"/>
  <c r="A146" i="152"/>
  <c r="A186" i="152"/>
  <c r="A222" i="152"/>
  <c r="K101" i="153"/>
  <c r="A127" i="153"/>
  <c r="K127" i="153" s="1"/>
  <c r="A80" i="153"/>
  <c r="Y79" i="153"/>
  <c r="D33" i="148" l="1"/>
  <c r="D32" i="148"/>
  <c r="D13" i="148"/>
  <c r="A262" i="152"/>
  <c r="C107" i="136"/>
  <c r="G120" i="136"/>
  <c r="M22" i="54"/>
  <c r="M23" i="54" s="1"/>
  <c r="N24" i="54" s="1"/>
  <c r="F120" i="136"/>
  <c r="F40" i="136" s="1"/>
  <c r="AJ77" i="153"/>
  <c r="L78" i="153"/>
  <c r="A147" i="152"/>
  <c r="A187" i="152"/>
  <c r="A223" i="152"/>
  <c r="Y80" i="153"/>
  <c r="A81" i="153"/>
  <c r="B7" i="158" l="1"/>
  <c r="F7" i="158" s="1"/>
  <c r="E32" i="148"/>
  <c r="F32" i="148"/>
  <c r="E33" i="148"/>
  <c r="F33" i="148"/>
  <c r="A263" i="152"/>
  <c r="C108" i="136"/>
  <c r="M29" i="54"/>
  <c r="AJ78" i="153"/>
  <c r="L79" i="153"/>
  <c r="A148" i="152"/>
  <c r="A188" i="152"/>
  <c r="A224" i="152"/>
  <c r="A82" i="153"/>
  <c r="Y81" i="153"/>
  <c r="B5" i="72"/>
  <c r="A5" i="72"/>
  <c r="D39" i="72" s="1"/>
  <c r="B21" i="127"/>
  <c r="B22" i="127" s="1"/>
  <c r="B23" i="127" s="1"/>
  <c r="B24" i="127" s="1"/>
  <c r="B25" i="127" s="1"/>
  <c r="B26" i="127" s="1"/>
  <c r="B27" i="127" s="1"/>
  <c r="B28" i="127" s="1"/>
  <c r="B29" i="127" s="1"/>
  <c r="B30" i="127" s="1"/>
  <c r="B31" i="127" s="1"/>
  <c r="K10" i="127"/>
  <c r="J10" i="127"/>
  <c r="K5" i="127"/>
  <c r="J5" i="127"/>
  <c r="K6" i="127"/>
  <c r="J6" i="127"/>
  <c r="K7" i="127"/>
  <c r="J7" i="127"/>
  <c r="K8" i="127"/>
  <c r="J8" i="127"/>
  <c r="K9" i="127"/>
  <c r="J9" i="127"/>
  <c r="J4" i="127"/>
  <c r="K4" i="127"/>
  <c r="D7" i="158" l="1"/>
  <c r="D36" i="72"/>
  <c r="D19" i="72"/>
  <c r="D20" i="72"/>
  <c r="D37" i="72"/>
  <c r="D38" i="72"/>
  <c r="D21" i="72"/>
  <c r="D22" i="72"/>
  <c r="D23" i="72"/>
  <c r="D24" i="72"/>
  <c r="D25" i="72"/>
  <c r="D26" i="72"/>
  <c r="D27" i="72"/>
  <c r="D28" i="72"/>
  <c r="D29" i="72"/>
  <c r="D30" i="72"/>
  <c r="D31" i="72"/>
  <c r="D32" i="72"/>
  <c r="D33" i="72"/>
  <c r="D34" i="72"/>
  <c r="D35" i="72"/>
  <c r="A264" i="152"/>
  <c r="B32" i="127"/>
  <c r="C109" i="136"/>
  <c r="AJ79" i="153"/>
  <c r="L80" i="153"/>
  <c r="A149" i="152"/>
  <c r="A189" i="152"/>
  <c r="A225" i="152"/>
  <c r="A83" i="153"/>
  <c r="Y82" i="153"/>
  <c r="L13" i="135"/>
  <c r="L14" i="135"/>
  <c r="L15" i="135"/>
  <c r="L16" i="135"/>
  <c r="L17" i="135"/>
  <c r="M13" i="135"/>
  <c r="M14" i="135"/>
  <c r="M15" i="135"/>
  <c r="M16" i="135"/>
  <c r="M17" i="135"/>
  <c r="W7" i="20"/>
  <c r="AR7" i="20" s="1"/>
  <c r="C14" i="148"/>
  <c r="C15" i="148"/>
  <c r="C16" i="148"/>
  <c r="C17" i="148"/>
  <c r="C18" i="148"/>
  <c r="C19" i="148"/>
  <c r="C20" i="148"/>
  <c r="C21" i="148"/>
  <c r="C22" i="148"/>
  <c r="C23" i="148"/>
  <c r="C24" i="148"/>
  <c r="C25" i="148"/>
  <c r="C26" i="148"/>
  <c r="C27" i="148"/>
  <c r="C28" i="148"/>
  <c r="C29" i="148"/>
  <c r="C30" i="148"/>
  <c r="C31" i="148"/>
  <c r="E7" i="148"/>
  <c r="I70" i="135" l="1"/>
  <c r="I71" i="135"/>
  <c r="I72" i="135"/>
  <c r="D52" i="135"/>
  <c r="D71" i="135"/>
  <c r="D72" i="135"/>
  <c r="D70" i="135"/>
  <c r="I52" i="135"/>
  <c r="O31" i="127"/>
  <c r="S31" i="127" s="1"/>
  <c r="I68" i="135"/>
  <c r="I64" i="135"/>
  <c r="I60" i="135"/>
  <c r="I56" i="135"/>
  <c r="I63" i="135"/>
  <c r="I59" i="135"/>
  <c r="I55" i="135"/>
  <c r="I69" i="135"/>
  <c r="I61" i="135"/>
  <c r="I53" i="135"/>
  <c r="I67" i="135"/>
  <c r="I66" i="135"/>
  <c r="I62" i="135"/>
  <c r="I58" i="135"/>
  <c r="I54" i="135"/>
  <c r="I65" i="135"/>
  <c r="I57" i="135"/>
  <c r="A265" i="152"/>
  <c r="B33" i="127"/>
  <c r="A47" i="159"/>
  <c r="C110" i="136"/>
  <c r="C34" i="148"/>
  <c r="L81" i="153"/>
  <c r="AJ80" i="153"/>
  <c r="A150" i="152"/>
  <c r="A190" i="152"/>
  <c r="A226" i="152"/>
  <c r="A84" i="153"/>
  <c r="Y83" i="153"/>
  <c r="F13" i="148"/>
  <c r="W8" i="20"/>
  <c r="AR8" i="20" s="1"/>
  <c r="D19" i="148"/>
  <c r="E19" i="148" s="1"/>
  <c r="D21" i="148"/>
  <c r="E21" i="148" s="1"/>
  <c r="D29" i="148"/>
  <c r="E29" i="148" s="1"/>
  <c r="D27" i="148"/>
  <c r="E27" i="148" s="1"/>
  <c r="D31" i="148"/>
  <c r="E31" i="148" s="1"/>
  <c r="D23" i="148"/>
  <c r="E23" i="148" s="1"/>
  <c r="D15" i="148"/>
  <c r="E15" i="148" s="1"/>
  <c r="D25" i="148"/>
  <c r="E25" i="148" s="1"/>
  <c r="D17" i="148"/>
  <c r="E17" i="148" s="1"/>
  <c r="D30" i="148"/>
  <c r="E30" i="148" s="1"/>
  <c r="D28" i="148"/>
  <c r="E28" i="148" s="1"/>
  <c r="D26" i="148"/>
  <c r="E26" i="148" s="1"/>
  <c r="D24" i="148"/>
  <c r="E24" i="148" s="1"/>
  <c r="D22" i="148"/>
  <c r="E22" i="148" s="1"/>
  <c r="D20" i="148"/>
  <c r="E20" i="148" s="1"/>
  <c r="D18" i="148"/>
  <c r="E18" i="148" s="1"/>
  <c r="D16" i="148"/>
  <c r="E16" i="148" s="1"/>
  <c r="T31" i="127" l="1"/>
  <c r="U31" i="127"/>
  <c r="Q31" i="127"/>
  <c r="P31" i="127"/>
  <c r="A48" i="159"/>
  <c r="A49" i="159" s="1"/>
  <c r="A50" i="159" s="1"/>
  <c r="A51" i="159" s="1"/>
  <c r="A52" i="159" s="1"/>
  <c r="A53" i="159" s="1"/>
  <c r="A54" i="159" s="1"/>
  <c r="A55" i="159" s="1"/>
  <c r="A56" i="159" s="1"/>
  <c r="A57" i="159" s="1"/>
  <c r="A58" i="159" s="1"/>
  <c r="A59" i="159" s="1"/>
  <c r="A60" i="159" s="1"/>
  <c r="A61" i="159" s="1"/>
  <c r="A62" i="159" s="1"/>
  <c r="A63" i="159" s="1"/>
  <c r="A64" i="159" s="1"/>
  <c r="A65" i="159" s="1"/>
  <c r="A66" i="159" s="1"/>
  <c r="A67" i="159" s="1"/>
  <c r="A266" i="152"/>
  <c r="B34" i="127"/>
  <c r="B35" i="127" s="1"/>
  <c r="B36" i="127" s="1"/>
  <c r="B37" i="127" s="1"/>
  <c r="B38" i="127" s="1"/>
  <c r="B39" i="127" s="1"/>
  <c r="C111" i="136"/>
  <c r="H73" i="135"/>
  <c r="C73" i="135"/>
  <c r="D34" i="148"/>
  <c r="AJ81" i="153"/>
  <c r="L82" i="153"/>
  <c r="A151" i="152"/>
  <c r="A191" i="152"/>
  <c r="A227" i="152"/>
  <c r="F31" i="148"/>
  <c r="Y84" i="153"/>
  <c r="A85" i="153"/>
  <c r="W9" i="20"/>
  <c r="AR9" i="20" s="1"/>
  <c r="F29" i="148"/>
  <c r="F19" i="148"/>
  <c r="F21" i="148"/>
  <c r="F23" i="148"/>
  <c r="F18" i="148"/>
  <c r="F17" i="148"/>
  <c r="F25" i="148"/>
  <c r="D57" i="135"/>
  <c r="D61" i="135"/>
  <c r="D65" i="135"/>
  <c r="D69" i="135"/>
  <c r="D58" i="135"/>
  <c r="D62" i="135"/>
  <c r="D66" i="135"/>
  <c r="D59" i="135"/>
  <c r="D63" i="135"/>
  <c r="D67" i="135"/>
  <c r="D60" i="135"/>
  <c r="D64" i="135"/>
  <c r="D68" i="135"/>
  <c r="F27" i="148"/>
  <c r="F15" i="148"/>
  <c r="E14" i="148"/>
  <c r="E34" i="148" s="1"/>
  <c r="F35" i="47" s="1"/>
  <c r="F26" i="148"/>
  <c r="F20" i="148"/>
  <c r="F28" i="148"/>
  <c r="F14" i="148"/>
  <c r="F22" i="148"/>
  <c r="F30" i="148"/>
  <c r="F16" i="148"/>
  <c r="F24" i="148"/>
  <c r="U18" i="110"/>
  <c r="U22" i="110"/>
  <c r="U25" i="110"/>
  <c r="U26" i="110"/>
  <c r="U30" i="110"/>
  <c r="U33" i="110"/>
  <c r="A267" i="152" l="1"/>
  <c r="B52" i="135"/>
  <c r="B53" i="135" s="1"/>
  <c r="B54" i="135" s="1"/>
  <c r="B55" i="135" s="1"/>
  <c r="B56" i="135" s="1"/>
  <c r="B57" i="135" s="1"/>
  <c r="B58" i="135" s="1"/>
  <c r="B59" i="135" s="1"/>
  <c r="B60" i="135" s="1"/>
  <c r="B61" i="135" s="1"/>
  <c r="B62" i="135" s="1"/>
  <c r="B63" i="135" s="1"/>
  <c r="B64" i="135" s="1"/>
  <c r="B65" i="135" s="1"/>
  <c r="B66" i="135" s="1"/>
  <c r="B67" i="135" s="1"/>
  <c r="B68" i="135" s="1"/>
  <c r="B69" i="135" s="1"/>
  <c r="B70" i="135" s="1"/>
  <c r="M11" i="54"/>
  <c r="M12" i="54" s="1"/>
  <c r="C112" i="136"/>
  <c r="I73" i="135"/>
  <c r="Q32" i="110"/>
  <c r="Q35" i="110"/>
  <c r="Q33" i="110"/>
  <c r="Q31" i="110"/>
  <c r="Q29" i="110"/>
  <c r="Q27" i="110"/>
  <c r="Q25" i="110"/>
  <c r="Q23" i="110"/>
  <c r="Q21" i="110"/>
  <c r="Q19" i="110"/>
  <c r="F34" i="148"/>
  <c r="G35" i="47" s="1"/>
  <c r="D35" i="47" s="1"/>
  <c r="L83" i="153"/>
  <c r="AJ82" i="153"/>
  <c r="A152" i="152"/>
  <c r="A192" i="152"/>
  <c r="A228" i="152"/>
  <c r="A86" i="153"/>
  <c r="Y85" i="153"/>
  <c r="W10" i="20"/>
  <c r="AR10" i="20" s="1"/>
  <c r="C35" i="47"/>
  <c r="E17" i="154" s="1"/>
  <c r="U21" i="110"/>
  <c r="U34" i="110"/>
  <c r="U29" i="110"/>
  <c r="U19" i="110"/>
  <c r="U24" i="110"/>
  <c r="U27" i="110"/>
  <c r="U32" i="110"/>
  <c r="U35" i="110"/>
  <c r="U20" i="110"/>
  <c r="U23" i="110"/>
  <c r="U28" i="110"/>
  <c r="U31" i="110"/>
  <c r="U36" i="110"/>
  <c r="Q36" i="110"/>
  <c r="Q28" i="110"/>
  <c r="Q24" i="110"/>
  <c r="Q20" i="110"/>
  <c r="Q18" i="110"/>
  <c r="Q26" i="110"/>
  <c r="Q22" i="110"/>
  <c r="Q30" i="110"/>
  <c r="Q34" i="110"/>
  <c r="B71" i="135" l="1"/>
  <c r="K70" i="135"/>
  <c r="F70" i="135"/>
  <c r="J70" i="135"/>
  <c r="E70" i="135"/>
  <c r="K52" i="135"/>
  <c r="F64" i="135"/>
  <c r="F66" i="135"/>
  <c r="F58" i="135"/>
  <c r="F60" i="135"/>
  <c r="F62" i="135"/>
  <c r="E60" i="135"/>
  <c r="E64" i="135"/>
  <c r="E58" i="135"/>
  <c r="E68" i="135"/>
  <c r="E62" i="135"/>
  <c r="K54" i="135"/>
  <c r="J59" i="135"/>
  <c r="F63" i="135"/>
  <c r="F67" i="135"/>
  <c r="F61" i="135"/>
  <c r="F65" i="135"/>
  <c r="F59" i="135"/>
  <c r="K61" i="135"/>
  <c r="K57" i="135"/>
  <c r="F68" i="135"/>
  <c r="E66" i="135"/>
  <c r="F69" i="135"/>
  <c r="F57" i="135"/>
  <c r="E69" i="135"/>
  <c r="E63" i="135"/>
  <c r="E57" i="135"/>
  <c r="E67" i="135"/>
  <c r="E61" i="135"/>
  <c r="E65" i="135"/>
  <c r="E59" i="135"/>
  <c r="J64" i="135"/>
  <c r="K58" i="135"/>
  <c r="K67" i="135"/>
  <c r="J56" i="135"/>
  <c r="J53" i="135"/>
  <c r="J68" i="135"/>
  <c r="J67" i="135"/>
  <c r="K55" i="135"/>
  <c r="J65" i="135"/>
  <c r="K53" i="135"/>
  <c r="J61" i="135"/>
  <c r="K68" i="135"/>
  <c r="J62" i="135"/>
  <c r="K59" i="135"/>
  <c r="J57" i="135"/>
  <c r="K63" i="135"/>
  <c r="J54" i="135"/>
  <c r="J58" i="135"/>
  <c r="K64" i="135"/>
  <c r="K62" i="135"/>
  <c r="J55" i="135"/>
  <c r="K56" i="135"/>
  <c r="J69" i="135"/>
  <c r="J66" i="135"/>
  <c r="A268" i="152"/>
  <c r="K65" i="135"/>
  <c r="J52" i="135"/>
  <c r="K69" i="135"/>
  <c r="J63" i="135"/>
  <c r="K66" i="135"/>
  <c r="J60" i="135"/>
  <c r="K60" i="135"/>
  <c r="C113" i="136"/>
  <c r="N26" i="54"/>
  <c r="M31" i="54" s="1"/>
  <c r="I19" i="47" s="1"/>
  <c r="N25" i="54"/>
  <c r="M30" i="54" s="1"/>
  <c r="J19" i="47" s="1"/>
  <c r="L84" i="153"/>
  <c r="AJ83" i="153"/>
  <c r="A153" i="152"/>
  <c r="A193" i="152"/>
  <c r="A229" i="152"/>
  <c r="Y86" i="153"/>
  <c r="A87" i="153"/>
  <c r="W11" i="20"/>
  <c r="AR11" i="20" s="1"/>
  <c r="B72" i="135" l="1"/>
  <c r="E71" i="135"/>
  <c r="F71" i="135"/>
  <c r="J71" i="135"/>
  <c r="K71" i="135"/>
  <c r="A269" i="152"/>
  <c r="C114" i="136"/>
  <c r="C115" i="136" s="1"/>
  <c r="C116" i="136" s="1"/>
  <c r="C117" i="136" s="1"/>
  <c r="C118" i="136" s="1"/>
  <c r="C119" i="136" s="1"/>
  <c r="AJ84" i="153"/>
  <c r="L85" i="153"/>
  <c r="A154" i="152"/>
  <c r="A194" i="152"/>
  <c r="A230" i="152"/>
  <c r="A88" i="153"/>
  <c r="Y87" i="153"/>
  <c r="W12" i="20"/>
  <c r="AR12" i="20" s="1"/>
  <c r="M36" i="110"/>
  <c r="I36" i="110"/>
  <c r="E36" i="110"/>
  <c r="M35" i="110"/>
  <c r="I35" i="110"/>
  <c r="E35" i="110"/>
  <c r="M34" i="110"/>
  <c r="I34" i="110"/>
  <c r="E34" i="110"/>
  <c r="M33" i="110"/>
  <c r="I33" i="110"/>
  <c r="E33" i="110"/>
  <c r="M32" i="110"/>
  <c r="I32" i="110"/>
  <c r="E32" i="110"/>
  <c r="W32" i="110" s="1"/>
  <c r="M31" i="110"/>
  <c r="I31" i="110"/>
  <c r="E31" i="110"/>
  <c r="M30" i="110"/>
  <c r="I30" i="110"/>
  <c r="E30" i="110"/>
  <c r="M29" i="110"/>
  <c r="I29" i="110"/>
  <c r="E29" i="110"/>
  <c r="M28" i="110"/>
  <c r="I28" i="110"/>
  <c r="E28" i="110"/>
  <c r="W28" i="110" s="1"/>
  <c r="M27" i="110"/>
  <c r="I27" i="110"/>
  <c r="E27" i="110"/>
  <c r="M26" i="110"/>
  <c r="I26" i="110"/>
  <c r="E26" i="110"/>
  <c r="M25" i="110"/>
  <c r="I25" i="110"/>
  <c r="E25" i="110"/>
  <c r="M24" i="110"/>
  <c r="I24" i="110"/>
  <c r="E24" i="110"/>
  <c r="W24" i="110" s="1"/>
  <c r="M23" i="110"/>
  <c r="I23" i="110"/>
  <c r="E23" i="110"/>
  <c r="M22" i="110"/>
  <c r="I22" i="110"/>
  <c r="E22" i="110"/>
  <c r="M21" i="110"/>
  <c r="I21" i="110"/>
  <c r="E21" i="110"/>
  <c r="M20" i="110"/>
  <c r="I20" i="110"/>
  <c r="E20" i="110"/>
  <c r="W20" i="110" s="1"/>
  <c r="M19" i="110"/>
  <c r="I19" i="110"/>
  <c r="E19" i="110"/>
  <c r="M18" i="110"/>
  <c r="I18" i="110"/>
  <c r="E18" i="110"/>
  <c r="E72" i="135" l="1"/>
  <c r="F72" i="135"/>
  <c r="K72" i="135"/>
  <c r="K73" i="135" s="1"/>
  <c r="J72" i="135"/>
  <c r="J73" i="135" s="1"/>
  <c r="W21" i="110"/>
  <c r="W25" i="110"/>
  <c r="W29" i="110"/>
  <c r="A270" i="152"/>
  <c r="W36" i="110"/>
  <c r="W33" i="110"/>
  <c r="W18" i="110"/>
  <c r="X18" i="110" s="1"/>
  <c r="X37" i="110"/>
  <c r="Y37" i="110"/>
  <c r="W19" i="110"/>
  <c r="W23" i="110"/>
  <c r="W27" i="110"/>
  <c r="W31" i="110"/>
  <c r="W35" i="110"/>
  <c r="N15" i="32"/>
  <c r="W22" i="110"/>
  <c r="W26" i="110"/>
  <c r="W30" i="110"/>
  <c r="W34" i="110"/>
  <c r="L86" i="153"/>
  <c r="AJ85" i="153"/>
  <c r="A155" i="152"/>
  <c r="A195" i="152"/>
  <c r="A231" i="152"/>
  <c r="Y88" i="153"/>
  <c r="A89" i="153"/>
  <c r="W13" i="20"/>
  <c r="AR13" i="20" s="1"/>
  <c r="J16" i="47" l="1"/>
  <c r="D16" i="47" s="1"/>
  <c r="I16" i="47"/>
  <c r="C16" i="47" s="1"/>
  <c r="A271" i="152"/>
  <c r="AJ86" i="153"/>
  <c r="L87" i="153"/>
  <c r="A156" i="152"/>
  <c r="A196" i="152"/>
  <c r="A232" i="152"/>
  <c r="A90" i="153"/>
  <c r="Y89" i="153"/>
  <c r="W14" i="20"/>
  <c r="AR14" i="20" s="1"/>
  <c r="X23" i="110"/>
  <c r="Y23" i="110"/>
  <c r="Y19" i="110"/>
  <c r="Y31" i="110"/>
  <c r="Y35" i="110"/>
  <c r="X31" i="110"/>
  <c r="Y21" i="110"/>
  <c r="X19" i="110"/>
  <c r="X27" i="110"/>
  <c r="Y25" i="110"/>
  <c r="X35" i="110"/>
  <c r="X25" i="110"/>
  <c r="X33" i="110"/>
  <c r="X29" i="110"/>
  <c r="Y33" i="110"/>
  <c r="Y29" i="110"/>
  <c r="X21" i="110"/>
  <c r="Y27" i="110"/>
  <c r="Y36" i="110"/>
  <c r="X36" i="110"/>
  <c r="Y32" i="110"/>
  <c r="X32" i="110"/>
  <c r="Y26" i="110"/>
  <c r="X26" i="110"/>
  <c r="Y22" i="110"/>
  <c r="X22" i="110"/>
  <c r="Y34" i="110"/>
  <c r="X34" i="110"/>
  <c r="Y18" i="110"/>
  <c r="Y20" i="110"/>
  <c r="X20" i="110"/>
  <c r="Y30" i="110"/>
  <c r="X30" i="110"/>
  <c r="Y24" i="110"/>
  <c r="X24" i="110"/>
  <c r="Y28" i="110"/>
  <c r="X28" i="110"/>
  <c r="J36" i="32" l="1"/>
  <c r="A272" i="152"/>
  <c r="G17" i="32"/>
  <c r="H17" i="32"/>
  <c r="AJ87" i="153"/>
  <c r="L88" i="153"/>
  <c r="A157" i="152"/>
  <c r="A197" i="152"/>
  <c r="A233" i="152"/>
  <c r="Y90" i="153"/>
  <c r="A91" i="153"/>
  <c r="W15" i="20"/>
  <c r="AR15" i="20" s="1"/>
  <c r="A273" i="152" l="1"/>
  <c r="AJ88" i="153"/>
  <c r="L89" i="153"/>
  <c r="A158" i="152"/>
  <c r="A198" i="152"/>
  <c r="A234" i="152"/>
  <c r="A92" i="153"/>
  <c r="A93" i="153" s="1"/>
  <c r="Y91" i="153"/>
  <c r="W16" i="20"/>
  <c r="AR16" i="20" s="1"/>
  <c r="A94" i="153" l="1"/>
  <c r="Y93" i="153"/>
  <c r="A274" i="152"/>
  <c r="AJ89" i="153"/>
  <c r="L90" i="153"/>
  <c r="A159" i="152"/>
  <c r="A199" i="152"/>
  <c r="A235" i="152"/>
  <c r="Y92" i="153"/>
  <c r="W17" i="20"/>
  <c r="AR17" i="20" s="1"/>
  <c r="C24" i="136"/>
  <c r="C25" i="136" s="1"/>
  <c r="H21" i="54"/>
  <c r="Y94" i="153" l="1"/>
  <c r="A160" i="152"/>
  <c r="A275" i="152"/>
  <c r="N27" i="136"/>
  <c r="C26" i="136"/>
  <c r="C27" i="136" s="1"/>
  <c r="H20" i="54"/>
  <c r="H16" i="32"/>
  <c r="G16" i="32"/>
  <c r="H16" i="54"/>
  <c r="A161" i="152"/>
  <c r="A201" i="152"/>
  <c r="L91" i="153"/>
  <c r="AJ90" i="153"/>
  <c r="A236" i="152"/>
  <c r="A200" i="152"/>
  <c r="W18" i="20"/>
  <c r="AR18" i="20" s="1"/>
  <c r="N39" i="136" l="1"/>
  <c r="A276" i="152"/>
  <c r="A237" i="152"/>
  <c r="P27" i="136"/>
  <c r="T23" i="136" s="1"/>
  <c r="C12" i="32"/>
  <c r="F12" i="32" s="1"/>
  <c r="C28" i="136"/>
  <c r="C29" i="136" s="1"/>
  <c r="C30" i="136" s="1"/>
  <c r="C31" i="136" s="1"/>
  <c r="C32" i="136" s="1"/>
  <c r="C33" i="136" s="1"/>
  <c r="C34" i="136" s="1"/>
  <c r="C35" i="136" s="1"/>
  <c r="C36" i="136" s="1"/>
  <c r="C37" i="136" s="1"/>
  <c r="C38" i="136" s="1"/>
  <c r="A202" i="152"/>
  <c r="A238" i="152"/>
  <c r="A162" i="152"/>
  <c r="L92" i="153"/>
  <c r="L93" i="153" s="1"/>
  <c r="AJ91" i="153"/>
  <c r="W19" i="20"/>
  <c r="AR19" i="20" s="1"/>
  <c r="L94" i="153" l="1"/>
  <c r="A278" i="152"/>
  <c r="A277" i="152"/>
  <c r="G67" i="136"/>
  <c r="G87" i="136"/>
  <c r="G89" i="136"/>
  <c r="G69" i="136"/>
  <c r="G90" i="136"/>
  <c r="G70" i="136"/>
  <c r="G88" i="136"/>
  <c r="G68" i="136"/>
  <c r="A163" i="152"/>
  <c r="A239" i="152"/>
  <c r="G15" i="32"/>
  <c r="H15" i="32"/>
  <c r="A203" i="152"/>
  <c r="AJ92" i="153"/>
  <c r="AJ93" i="153" s="1"/>
  <c r="W20" i="20"/>
  <c r="AR20" i="20" s="1"/>
  <c r="AJ94" i="153" l="1"/>
  <c r="A240" i="152"/>
  <c r="A279" i="152"/>
  <c r="G60" i="136"/>
  <c r="G80" i="136"/>
  <c r="G100" i="136"/>
  <c r="A204" i="152"/>
  <c r="A164" i="152"/>
  <c r="W21" i="20"/>
  <c r="AR21" i="20" s="1"/>
  <c r="H10" i="116"/>
  <c r="J13" i="116"/>
  <c r="I13" i="116"/>
  <c r="X4" i="116" s="1"/>
  <c r="X5" i="116" s="1"/>
  <c r="X6" i="116" s="1"/>
  <c r="X7" i="116" s="1"/>
  <c r="X8" i="116" s="1"/>
  <c r="X9" i="116" s="1"/>
  <c r="X10" i="116" s="1"/>
  <c r="X11" i="116" s="1"/>
  <c r="X12" i="116" s="1"/>
  <c r="X13" i="116" s="1"/>
  <c r="X14" i="116" s="1"/>
  <c r="X15" i="116" s="1"/>
  <c r="X16" i="116" s="1"/>
  <c r="X17" i="116" s="1"/>
  <c r="X18" i="116" s="1"/>
  <c r="X19" i="116" s="1"/>
  <c r="X20" i="116" s="1"/>
  <c r="X21" i="116" s="1"/>
  <c r="X22" i="116" s="1"/>
  <c r="X23" i="116" s="1"/>
  <c r="J12" i="116"/>
  <c r="I12" i="116"/>
  <c r="W4" i="116" s="1"/>
  <c r="W5" i="116" s="1"/>
  <c r="W6" i="116" s="1"/>
  <c r="W7" i="116" s="1"/>
  <c r="W8" i="116" s="1"/>
  <c r="W9" i="116" s="1"/>
  <c r="W10" i="116" s="1"/>
  <c r="W11" i="116" s="1"/>
  <c r="W12" i="116" s="1"/>
  <c r="W13" i="116" s="1"/>
  <c r="W14" i="116" s="1"/>
  <c r="W15" i="116" s="1"/>
  <c r="W16" i="116" s="1"/>
  <c r="W17" i="116" s="1"/>
  <c r="W18" i="116" s="1"/>
  <c r="W19" i="116" s="1"/>
  <c r="W20" i="116" s="1"/>
  <c r="W21" i="116" s="1"/>
  <c r="W22" i="116" s="1"/>
  <c r="W23" i="116" s="1"/>
  <c r="W24" i="116" s="1"/>
  <c r="W25" i="116" s="1"/>
  <c r="W26" i="116" s="1"/>
  <c r="W27" i="116" s="1"/>
  <c r="W28" i="116" s="1"/>
  <c r="W29" i="116" s="1"/>
  <c r="W30" i="116" s="1"/>
  <c r="W31" i="116" s="1"/>
  <c r="W32" i="116" s="1"/>
  <c r="W33" i="116" s="1"/>
  <c r="W34" i="116" s="1"/>
  <c r="W35" i="116" s="1"/>
  <c r="W36" i="116" s="1"/>
  <c r="W37" i="116" s="1"/>
  <c r="W38" i="116" s="1"/>
  <c r="W39" i="116" s="1"/>
  <c r="W40" i="116" s="1"/>
  <c r="J11" i="116"/>
  <c r="I11" i="116"/>
  <c r="V4" i="116" s="1"/>
  <c r="V5" i="116" s="1"/>
  <c r="V6" i="116" s="1"/>
  <c r="V7" i="116" s="1"/>
  <c r="V8" i="116" s="1"/>
  <c r="V9" i="116" s="1"/>
  <c r="V10" i="116" s="1"/>
  <c r="V11" i="116" s="1"/>
  <c r="V12" i="116" s="1"/>
  <c r="V13" i="116" s="1"/>
  <c r="V14" i="116" s="1"/>
  <c r="V15" i="116" s="1"/>
  <c r="V16" i="116" s="1"/>
  <c r="V17" i="116" s="1"/>
  <c r="V18" i="116" s="1"/>
  <c r="V19" i="116" s="1"/>
  <c r="V20" i="116" s="1"/>
  <c r="V21" i="116" s="1"/>
  <c r="V22" i="116" s="1"/>
  <c r="V23" i="116" s="1"/>
  <c r="V24" i="116" s="1"/>
  <c r="V25" i="116" s="1"/>
  <c r="V26" i="116" s="1"/>
  <c r="V27" i="116" s="1"/>
  <c r="V28" i="116" s="1"/>
  <c r="V29" i="116" s="1"/>
  <c r="V30" i="116" s="1"/>
  <c r="V31" i="116" s="1"/>
  <c r="V32" i="116" s="1"/>
  <c r="V33" i="116" s="1"/>
  <c r="V34" i="116" s="1"/>
  <c r="V35" i="116" s="1"/>
  <c r="V36" i="116" s="1"/>
  <c r="V37" i="116" s="1"/>
  <c r="V38" i="116" s="1"/>
  <c r="V39" i="116" s="1"/>
  <c r="V40" i="116" s="1"/>
  <c r="J10" i="116"/>
  <c r="I10" i="116"/>
  <c r="B47" i="14"/>
  <c r="B57" i="14"/>
  <c r="H66" i="32"/>
  <c r="G65" i="32"/>
  <c r="H64" i="32"/>
  <c r="G63" i="32"/>
  <c r="H62" i="32"/>
  <c r="G61" i="32"/>
  <c r="H60" i="32"/>
  <c r="G59" i="32"/>
  <c r="H58" i="32"/>
  <c r="G57" i="32"/>
  <c r="H56" i="32"/>
  <c r="G55" i="32"/>
  <c r="H54" i="32"/>
  <c r="G52" i="32"/>
  <c r="H48" i="32"/>
  <c r="N47" i="32"/>
  <c r="L46" i="32"/>
  <c r="N46" i="32" s="1"/>
  <c r="L45" i="32"/>
  <c r="M45" i="32" s="1"/>
  <c r="L44" i="32"/>
  <c r="N44" i="32" s="1"/>
  <c r="G44" i="32"/>
  <c r="L43" i="32"/>
  <c r="B70" i="116" l="1"/>
  <c r="U3" i="116"/>
  <c r="X24" i="116"/>
  <c r="X25" i="116" s="1"/>
  <c r="X26" i="116" s="1"/>
  <c r="X27" i="116" s="1"/>
  <c r="X28" i="116" s="1"/>
  <c r="X29" i="116" s="1"/>
  <c r="X30" i="116" s="1"/>
  <c r="X31" i="116" s="1"/>
  <c r="X32" i="116" s="1"/>
  <c r="X33" i="116" s="1"/>
  <c r="X34" i="116" s="1"/>
  <c r="X35" i="116" s="1"/>
  <c r="X36" i="116" s="1"/>
  <c r="X37" i="116" s="1"/>
  <c r="X38" i="116" s="1"/>
  <c r="X39" i="116" s="1"/>
  <c r="X40" i="116" s="1"/>
  <c r="B67" i="14"/>
  <c r="A26" i="157" s="1"/>
  <c r="A241" i="152"/>
  <c r="M43" i="32"/>
  <c r="A280" i="152"/>
  <c r="A25" i="157"/>
  <c r="A205" i="152"/>
  <c r="A165" i="152"/>
  <c r="L49" i="32"/>
  <c r="L50" i="32"/>
  <c r="N50" i="32" s="1"/>
  <c r="J14" i="116"/>
  <c r="I14" i="116"/>
  <c r="B71" i="116" s="1"/>
  <c r="B72" i="116" s="1"/>
  <c r="B73" i="116" s="1"/>
  <c r="B74" i="116" s="1"/>
  <c r="B75" i="116" s="1"/>
  <c r="B76" i="116" s="1"/>
  <c r="B77" i="116" s="1"/>
  <c r="B78" i="116" s="1"/>
  <c r="B79" i="116" s="1"/>
  <c r="B80" i="116" s="1"/>
  <c r="B81" i="116" s="1"/>
  <c r="B82" i="116" s="1"/>
  <c r="B83" i="116" s="1"/>
  <c r="B84" i="116" s="1"/>
  <c r="C84" i="116" s="1"/>
  <c r="W22" i="20"/>
  <c r="AR22" i="20" s="1"/>
  <c r="H57" i="32"/>
  <c r="H65" i="32"/>
  <c r="H59" i="32"/>
  <c r="H61" i="32"/>
  <c r="H55" i="32"/>
  <c r="H63" i="32"/>
  <c r="H51" i="32"/>
  <c r="M44" i="32"/>
  <c r="N45" i="32"/>
  <c r="L65" i="32"/>
  <c r="N65" i="32" s="1"/>
  <c r="L57" i="32"/>
  <c r="M57" i="32" s="1"/>
  <c r="L63" i="32"/>
  <c r="N63" i="32" s="1"/>
  <c r="L55" i="32"/>
  <c r="N55" i="32" s="1"/>
  <c r="L61" i="32"/>
  <c r="N61" i="32" s="1"/>
  <c r="L53" i="32"/>
  <c r="N53" i="32" s="1"/>
  <c r="L59" i="32"/>
  <c r="N59" i="32" s="1"/>
  <c r="L51" i="32"/>
  <c r="N51" i="32" s="1"/>
  <c r="L64" i="32"/>
  <c r="N64" i="32" s="1"/>
  <c r="L60" i="32"/>
  <c r="N60" i="32" s="1"/>
  <c r="L56" i="32"/>
  <c r="L66" i="32"/>
  <c r="N66" i="32" s="1"/>
  <c r="L62" i="32"/>
  <c r="M62" i="32" s="1"/>
  <c r="L58" i="32"/>
  <c r="M58" i="32" s="1"/>
  <c r="L54" i="32"/>
  <c r="N54" i="32" s="1"/>
  <c r="G50" i="32"/>
  <c r="H50" i="32"/>
  <c r="H45" i="32"/>
  <c r="G45" i="32"/>
  <c r="H49" i="32"/>
  <c r="G49" i="32"/>
  <c r="G46" i="32"/>
  <c r="H46" i="32"/>
  <c r="H43" i="32"/>
  <c r="G43" i="32"/>
  <c r="H47" i="32"/>
  <c r="G47" i="32"/>
  <c r="H53" i="32"/>
  <c r="G53" i="32"/>
  <c r="M47" i="32"/>
  <c r="G48" i="32"/>
  <c r="N43" i="32"/>
  <c r="H44" i="32"/>
  <c r="M46" i="32"/>
  <c r="H52" i="32"/>
  <c r="G54" i="32"/>
  <c r="G56" i="32"/>
  <c r="G58" i="32"/>
  <c r="G60" i="32"/>
  <c r="G62" i="32"/>
  <c r="G64" i="32"/>
  <c r="G66" i="32"/>
  <c r="B32" i="157" l="1"/>
  <c r="F32" i="157" s="1"/>
  <c r="Y3" i="116"/>
  <c r="U4" i="116"/>
  <c r="H32" i="157"/>
  <c r="J32" i="157" s="1"/>
  <c r="O32" i="157" s="1"/>
  <c r="G32" i="157"/>
  <c r="I32" i="157" s="1"/>
  <c r="H16" i="159"/>
  <c r="M16" i="159" s="1"/>
  <c r="H17" i="159"/>
  <c r="M17" i="159" s="1"/>
  <c r="B34" i="157"/>
  <c r="F34" i="157" s="1"/>
  <c r="G34" i="157" s="1"/>
  <c r="I34" i="157" s="1"/>
  <c r="A242" i="152"/>
  <c r="A281" i="152"/>
  <c r="H68" i="32"/>
  <c r="J6" i="47" s="1"/>
  <c r="M49" i="32"/>
  <c r="N49" i="32"/>
  <c r="B33" i="157"/>
  <c r="F33" i="157" s="1"/>
  <c r="A206" i="152"/>
  <c r="A166" i="152"/>
  <c r="B85" i="116"/>
  <c r="M50" i="32"/>
  <c r="L48" i="32"/>
  <c r="W23" i="20"/>
  <c r="AR23" i="20" s="1"/>
  <c r="G51" i="32"/>
  <c r="G68" i="32" s="1"/>
  <c r="M66" i="32"/>
  <c r="N62" i="32"/>
  <c r="M61" i="32"/>
  <c r="M51" i="32"/>
  <c r="M59" i="32"/>
  <c r="M65" i="32"/>
  <c r="M63" i="32"/>
  <c r="N58" i="32"/>
  <c r="N56" i="32"/>
  <c r="M56" i="32"/>
  <c r="M55" i="32"/>
  <c r="M53" i="32"/>
  <c r="N57" i="32"/>
  <c r="M54" i="32"/>
  <c r="L52" i="32"/>
  <c r="M60" i="32"/>
  <c r="M64" i="32"/>
  <c r="K32" i="157" l="1"/>
  <c r="U5" i="116"/>
  <c r="Y4" i="116"/>
  <c r="L32" i="157"/>
  <c r="M32" i="157"/>
  <c r="P32" i="157"/>
  <c r="Q32" i="157"/>
  <c r="H34" i="157"/>
  <c r="J34" i="157" s="1"/>
  <c r="B47" i="159"/>
  <c r="C47" i="159" s="1"/>
  <c r="E47" i="159" s="1"/>
  <c r="K47" i="159" s="1"/>
  <c r="L68" i="32"/>
  <c r="A243" i="152"/>
  <c r="A282" i="152"/>
  <c r="H33" i="157"/>
  <c r="J33" i="157" s="1"/>
  <c r="O33" i="157" s="1"/>
  <c r="G33" i="157"/>
  <c r="I33" i="157" s="1"/>
  <c r="A207" i="152"/>
  <c r="A167" i="152"/>
  <c r="B86" i="116"/>
  <c r="N48" i="32"/>
  <c r="M48" i="32"/>
  <c r="I6" i="47"/>
  <c r="C83" i="116"/>
  <c r="W24" i="20"/>
  <c r="AR24" i="20" s="1"/>
  <c r="M52" i="32"/>
  <c r="N52" i="32"/>
  <c r="N8" i="32"/>
  <c r="N9" i="32"/>
  <c r="N10" i="32"/>
  <c r="N11" i="32"/>
  <c r="N12" i="32"/>
  <c r="N13" i="32"/>
  <c r="N14" i="32"/>
  <c r="O34" i="157" l="1"/>
  <c r="O35" i="157" s="1"/>
  <c r="K34" i="157"/>
  <c r="L34" i="157" s="1"/>
  <c r="U6" i="116"/>
  <c r="Y5" i="116"/>
  <c r="D47" i="159"/>
  <c r="F47" i="159" s="1"/>
  <c r="B48" i="159"/>
  <c r="D48" i="159" s="1"/>
  <c r="F48" i="159" s="1"/>
  <c r="Q33" i="157"/>
  <c r="P33" i="157"/>
  <c r="M68" i="32"/>
  <c r="I44" i="47" s="1"/>
  <c r="A283" i="152"/>
  <c r="A244" i="152"/>
  <c r="N68" i="32"/>
  <c r="J44" i="47" s="1"/>
  <c r="K33" i="157"/>
  <c r="A208" i="152"/>
  <c r="A168" i="152"/>
  <c r="B87" i="116"/>
  <c r="B88" i="116" s="1"/>
  <c r="B89" i="116" s="1"/>
  <c r="B90" i="116" s="1"/>
  <c r="B91" i="116" s="1"/>
  <c r="B92" i="116" s="1"/>
  <c r="B93" i="116" s="1"/>
  <c r="B94" i="116" s="1"/>
  <c r="B95" i="116" s="1"/>
  <c r="B96" i="116" s="1"/>
  <c r="B97" i="116" s="1"/>
  <c r="B98" i="116" s="1"/>
  <c r="B99" i="116" s="1"/>
  <c r="B100" i="116" s="1"/>
  <c r="B101" i="116" s="1"/>
  <c r="B102" i="116" s="1"/>
  <c r="B103" i="116" s="1"/>
  <c r="B104" i="116" s="1"/>
  <c r="C104" i="116" s="1"/>
  <c r="E83" i="116"/>
  <c r="D83" i="116"/>
  <c r="Q34" i="157" l="1"/>
  <c r="Q35" i="157"/>
  <c r="P34" i="157"/>
  <c r="P35" i="157" s="1"/>
  <c r="G47" i="159"/>
  <c r="I47" i="159" s="1"/>
  <c r="E104" i="116"/>
  <c r="D104" i="116"/>
  <c r="U7" i="116"/>
  <c r="Y6" i="116"/>
  <c r="M34" i="157"/>
  <c r="C48" i="159"/>
  <c r="E48" i="159" s="1"/>
  <c r="G48" i="159" s="1"/>
  <c r="B49" i="159"/>
  <c r="B50" i="159" s="1"/>
  <c r="M47" i="159"/>
  <c r="L47" i="159"/>
  <c r="A284" i="152"/>
  <c r="A245" i="152"/>
  <c r="M33" i="157"/>
  <c r="M35" i="157" s="1"/>
  <c r="B105" i="116"/>
  <c r="L33" i="157"/>
  <c r="L35" i="157" s="1"/>
  <c r="A209" i="152"/>
  <c r="A169" i="152"/>
  <c r="H47" i="159" l="1"/>
  <c r="U8" i="116"/>
  <c r="Y7" i="116"/>
  <c r="D49" i="159"/>
  <c r="F49" i="159" s="1"/>
  <c r="C49" i="159"/>
  <c r="E49" i="159" s="1"/>
  <c r="K49" i="159" s="1"/>
  <c r="K48" i="159"/>
  <c r="B51" i="159"/>
  <c r="D50" i="159"/>
  <c r="F50" i="159" s="1"/>
  <c r="C50" i="159"/>
  <c r="E50" i="159" s="1"/>
  <c r="H48" i="159"/>
  <c r="I48" i="159"/>
  <c r="A285" i="152"/>
  <c r="A210" i="152"/>
  <c r="I23" i="47"/>
  <c r="J23" i="47"/>
  <c r="A246" i="152"/>
  <c r="N17" i="32"/>
  <c r="N16" i="32"/>
  <c r="G11" i="32"/>
  <c r="J45" i="47"/>
  <c r="I45" i="47"/>
  <c r="M48" i="159" l="1"/>
  <c r="U9" i="116"/>
  <c r="Y8" i="116"/>
  <c r="L48" i="159"/>
  <c r="G49" i="159"/>
  <c r="H49" i="159" s="1"/>
  <c r="G50" i="159"/>
  <c r="K50" i="159"/>
  <c r="L49" i="159"/>
  <c r="M49" i="159"/>
  <c r="B52" i="159"/>
  <c r="D51" i="159"/>
  <c r="F51" i="159" s="1"/>
  <c r="C51" i="159"/>
  <c r="E51" i="159" s="1"/>
  <c r="I49" i="159"/>
  <c r="A286" i="152"/>
  <c r="J22" i="47"/>
  <c r="I22" i="47"/>
  <c r="H11" i="32"/>
  <c r="U10" i="116" l="1"/>
  <c r="Y9" i="116"/>
  <c r="G51" i="159"/>
  <c r="K51" i="159"/>
  <c r="M50" i="159"/>
  <c r="L50" i="159"/>
  <c r="B53" i="159"/>
  <c r="D52" i="159"/>
  <c r="F52" i="159" s="1"/>
  <c r="C52" i="159"/>
  <c r="E52" i="159" s="1"/>
  <c r="H50" i="159"/>
  <c r="I50" i="159"/>
  <c r="U11" i="116" l="1"/>
  <c r="Y10" i="116"/>
  <c r="G52" i="159"/>
  <c r="K52" i="159"/>
  <c r="M51" i="159"/>
  <c r="L51" i="159"/>
  <c r="B54" i="159"/>
  <c r="D53" i="159"/>
  <c r="F53" i="159" s="1"/>
  <c r="C53" i="159"/>
  <c r="E53" i="159" s="1"/>
  <c r="H51" i="159"/>
  <c r="I51" i="159"/>
  <c r="D53" i="135"/>
  <c r="E52" i="135"/>
  <c r="F52" i="135"/>
  <c r="U12" i="116" l="1"/>
  <c r="Y11" i="116"/>
  <c r="G53" i="159"/>
  <c r="K53" i="159"/>
  <c r="M52" i="159"/>
  <c r="L52" i="159"/>
  <c r="B55" i="159"/>
  <c r="D54" i="159"/>
  <c r="F54" i="159" s="1"/>
  <c r="C54" i="159"/>
  <c r="E54" i="159" s="1"/>
  <c r="I52" i="159"/>
  <c r="H52" i="159"/>
  <c r="D54" i="135"/>
  <c r="F53" i="135"/>
  <c r="E53" i="135"/>
  <c r="U13" i="116" l="1"/>
  <c r="Y12" i="116"/>
  <c r="G54" i="159"/>
  <c r="K54" i="159"/>
  <c r="L53" i="159"/>
  <c r="M53" i="159"/>
  <c r="B56" i="159"/>
  <c r="D55" i="159"/>
  <c r="F55" i="159" s="1"/>
  <c r="C55" i="159"/>
  <c r="E55" i="159" s="1"/>
  <c r="H53" i="159"/>
  <c r="I53" i="159"/>
  <c r="D55" i="135"/>
  <c r="F54" i="135"/>
  <c r="E54" i="135"/>
  <c r="U14" i="116" l="1"/>
  <c r="Y13" i="116"/>
  <c r="G55" i="159"/>
  <c r="K55" i="159"/>
  <c r="M54" i="159"/>
  <c r="L54" i="159"/>
  <c r="B57" i="159"/>
  <c r="D56" i="159"/>
  <c r="F56" i="159" s="1"/>
  <c r="C56" i="159"/>
  <c r="E56" i="159" s="1"/>
  <c r="H54" i="159"/>
  <c r="I54" i="159"/>
  <c r="D56" i="135"/>
  <c r="D73" i="135" s="1"/>
  <c r="F55" i="135"/>
  <c r="E55" i="135"/>
  <c r="U15" i="116" l="1"/>
  <c r="Y14" i="116"/>
  <c r="M55" i="159"/>
  <c r="L55" i="159"/>
  <c r="B58" i="159"/>
  <c r="D57" i="159"/>
  <c r="F57" i="159" s="1"/>
  <c r="C57" i="159"/>
  <c r="E57" i="159" s="1"/>
  <c r="G56" i="159"/>
  <c r="K56" i="159"/>
  <c r="H55" i="159"/>
  <c r="I55" i="159"/>
  <c r="F56" i="135"/>
  <c r="F73" i="135" s="1"/>
  <c r="J15" i="47" s="1"/>
  <c r="E56" i="135"/>
  <c r="E73" i="135" s="1"/>
  <c r="E5" i="72"/>
  <c r="F5" i="72"/>
  <c r="U16" i="116" l="1"/>
  <c r="Y15" i="116"/>
  <c r="G57" i="159"/>
  <c r="K57" i="159"/>
  <c r="H56" i="159"/>
  <c r="I56" i="159"/>
  <c r="M56" i="159"/>
  <c r="L56" i="159"/>
  <c r="B59" i="159"/>
  <c r="D58" i="159"/>
  <c r="F58" i="159" s="1"/>
  <c r="C58" i="159"/>
  <c r="E58" i="159" s="1"/>
  <c r="D15" i="47"/>
  <c r="J17" i="47"/>
  <c r="B3" i="92"/>
  <c r="U17" i="116" l="1"/>
  <c r="Y16" i="116"/>
  <c r="B60" i="159"/>
  <c r="D59" i="159"/>
  <c r="F59" i="159" s="1"/>
  <c r="C59" i="159"/>
  <c r="E59" i="159" s="1"/>
  <c r="G58" i="159"/>
  <c r="K58" i="159"/>
  <c r="L57" i="159"/>
  <c r="M57" i="159"/>
  <c r="I57" i="159"/>
  <c r="H57" i="159"/>
  <c r="I15" i="47"/>
  <c r="I17" i="47" s="1"/>
  <c r="U18" i="116" l="1"/>
  <c r="Y17" i="116"/>
  <c r="G59" i="159"/>
  <c r="K59" i="159"/>
  <c r="I58" i="159"/>
  <c r="H58" i="159"/>
  <c r="M58" i="159"/>
  <c r="L58" i="159"/>
  <c r="B61" i="159"/>
  <c r="D60" i="159"/>
  <c r="F60" i="159" s="1"/>
  <c r="C60" i="159"/>
  <c r="E60" i="159" s="1"/>
  <c r="C15" i="47"/>
  <c r="E6" i="154" s="1"/>
  <c r="U19" i="116" l="1"/>
  <c r="Y18" i="116"/>
  <c r="G60" i="159"/>
  <c r="K60" i="159"/>
  <c r="H59" i="159"/>
  <c r="I59" i="159"/>
  <c r="B62" i="159"/>
  <c r="D61" i="159"/>
  <c r="F61" i="159" s="1"/>
  <c r="C61" i="159"/>
  <c r="E61" i="159" s="1"/>
  <c r="M59" i="159"/>
  <c r="L59" i="159"/>
  <c r="B6" i="72"/>
  <c r="A6" i="72"/>
  <c r="E39" i="72" s="1"/>
  <c r="J39" i="72" l="1"/>
  <c r="F39" i="72"/>
  <c r="U20" i="116"/>
  <c r="Y19" i="116"/>
  <c r="H60" i="159"/>
  <c r="I60" i="159"/>
  <c r="G61" i="159"/>
  <c r="K61" i="159"/>
  <c r="B63" i="159"/>
  <c r="C62" i="159"/>
  <c r="E62" i="159" s="1"/>
  <c r="D62" i="159"/>
  <c r="F62" i="159" s="1"/>
  <c r="M60" i="159"/>
  <c r="L60" i="159"/>
  <c r="E31" i="72"/>
  <c r="E27" i="72"/>
  <c r="E35" i="72"/>
  <c r="E23" i="72"/>
  <c r="E38" i="72"/>
  <c r="E26" i="72"/>
  <c r="E21" i="72"/>
  <c r="E29" i="72"/>
  <c r="E32" i="72"/>
  <c r="E37" i="72"/>
  <c r="E28" i="72"/>
  <c r="E34" i="72"/>
  <c r="E24" i="72"/>
  <c r="E30" i="72"/>
  <c r="E25" i="72"/>
  <c r="E19" i="72"/>
  <c r="E33" i="72"/>
  <c r="E22" i="72"/>
  <c r="E20" i="72"/>
  <c r="E36" i="72"/>
  <c r="A9" i="92"/>
  <c r="A20" i="72"/>
  <c r="B7" i="123"/>
  <c r="B8" i="123" s="1"/>
  <c r="B9" i="123" s="1"/>
  <c r="B10" i="123" s="1"/>
  <c r="B11" i="123" s="1"/>
  <c r="B12" i="123" s="1"/>
  <c r="B13" i="123" s="1"/>
  <c r="B14" i="123" s="1"/>
  <c r="B15" i="123" s="1"/>
  <c r="B16" i="123" s="1"/>
  <c r="B17" i="123" s="1"/>
  <c r="B18" i="123" s="1"/>
  <c r="B19" i="123" s="1"/>
  <c r="B20" i="123" s="1"/>
  <c r="B21" i="123" s="1"/>
  <c r="B22" i="123" s="1"/>
  <c r="B23" i="123" s="1"/>
  <c r="B24" i="123" s="1"/>
  <c r="B25" i="123" s="1"/>
  <c r="S25" i="123" l="1"/>
  <c r="P25" i="123"/>
  <c r="Q25" i="123" s="1"/>
  <c r="B26" i="123"/>
  <c r="J19" i="72"/>
  <c r="F19" i="72"/>
  <c r="U21" i="116"/>
  <c r="Y20" i="116"/>
  <c r="L61" i="159"/>
  <c r="M61" i="159"/>
  <c r="I61" i="159"/>
  <c r="H61" i="159"/>
  <c r="G62" i="159"/>
  <c r="K62" i="159"/>
  <c r="B64" i="159"/>
  <c r="C63" i="159"/>
  <c r="E63" i="159" s="1"/>
  <c r="D63" i="159"/>
  <c r="F63" i="159" s="1"/>
  <c r="J36" i="72"/>
  <c r="F36" i="72"/>
  <c r="J34" i="72"/>
  <c r="F34" i="72"/>
  <c r="J29" i="72"/>
  <c r="F29" i="72"/>
  <c r="J23" i="72"/>
  <c r="F23" i="72"/>
  <c r="J20" i="72"/>
  <c r="F20" i="72"/>
  <c r="J25" i="72"/>
  <c r="F25" i="72"/>
  <c r="J28" i="72"/>
  <c r="F28" i="72"/>
  <c r="J21" i="72"/>
  <c r="F21" i="72"/>
  <c r="J35" i="72"/>
  <c r="F35" i="72"/>
  <c r="J22" i="72"/>
  <c r="F22" i="72"/>
  <c r="J30" i="72"/>
  <c r="F30" i="72"/>
  <c r="J37" i="72"/>
  <c r="F37" i="72"/>
  <c r="J26" i="72"/>
  <c r="F26" i="72"/>
  <c r="J27" i="72"/>
  <c r="F27" i="72"/>
  <c r="J33" i="72"/>
  <c r="F33" i="72"/>
  <c r="J24" i="72"/>
  <c r="F24" i="72"/>
  <c r="J32" i="72"/>
  <c r="F32" i="72"/>
  <c r="J38" i="72"/>
  <c r="F38" i="72"/>
  <c r="J31" i="72"/>
  <c r="F31" i="72"/>
  <c r="A10" i="92"/>
  <c r="A21" i="72"/>
  <c r="H35" i="32"/>
  <c r="G35" i="32"/>
  <c r="H34" i="32"/>
  <c r="G34" i="32"/>
  <c r="H33" i="32"/>
  <c r="G33" i="32"/>
  <c r="H32" i="32"/>
  <c r="G32" i="32"/>
  <c r="H31" i="32"/>
  <c r="G31" i="32"/>
  <c r="H30" i="32"/>
  <c r="G30" i="32"/>
  <c r="H29" i="32"/>
  <c r="G29" i="32"/>
  <c r="H28" i="32"/>
  <c r="G28" i="32"/>
  <c r="H27" i="32"/>
  <c r="G27" i="32"/>
  <c r="H26" i="32"/>
  <c r="G26" i="32"/>
  <c r="H25" i="32"/>
  <c r="G25" i="32"/>
  <c r="H24" i="32"/>
  <c r="G24" i="32"/>
  <c r="H23" i="32"/>
  <c r="G23" i="32"/>
  <c r="H22" i="32"/>
  <c r="G22" i="32"/>
  <c r="H8" i="32"/>
  <c r="G8" i="32"/>
  <c r="B23" i="14"/>
  <c r="T25" i="123" l="1"/>
  <c r="U25" i="123"/>
  <c r="S26" i="123"/>
  <c r="P26" i="123"/>
  <c r="Q26" i="123" s="1"/>
  <c r="J40" i="72"/>
  <c r="U22" i="116"/>
  <c r="Y21" i="116"/>
  <c r="B65" i="159"/>
  <c r="D64" i="159"/>
  <c r="F64" i="159" s="1"/>
  <c r="C64" i="159"/>
  <c r="E64" i="159" s="1"/>
  <c r="M62" i="159"/>
  <c r="L62" i="159"/>
  <c r="I62" i="159"/>
  <c r="H62" i="159"/>
  <c r="G63" i="159"/>
  <c r="K63" i="159"/>
  <c r="H20" i="72"/>
  <c r="G20" i="72"/>
  <c r="H19" i="72"/>
  <c r="G19" i="72"/>
  <c r="K20" i="72"/>
  <c r="L20" i="72"/>
  <c r="L19" i="72"/>
  <c r="K19" i="72"/>
  <c r="H21" i="72"/>
  <c r="G21" i="72"/>
  <c r="L21" i="72"/>
  <c r="K21" i="72"/>
  <c r="A11" i="92"/>
  <c r="A22" i="72"/>
  <c r="H22" i="72" s="1"/>
  <c r="K6" i="123"/>
  <c r="H6" i="123"/>
  <c r="I6" i="123"/>
  <c r="J6" i="123"/>
  <c r="I20" i="20"/>
  <c r="M20" i="20" s="1"/>
  <c r="K20" i="20"/>
  <c r="O20" i="20" s="1"/>
  <c r="P20" i="20" s="1"/>
  <c r="Q20" i="20" s="1"/>
  <c r="J20" i="20"/>
  <c r="N20" i="20" s="1"/>
  <c r="H20" i="20"/>
  <c r="I12" i="20"/>
  <c r="M12" i="20" s="1"/>
  <c r="K12" i="20"/>
  <c r="O12" i="20" s="1"/>
  <c r="P12" i="20" s="1"/>
  <c r="Q12" i="20" s="1"/>
  <c r="J12" i="20"/>
  <c r="N12" i="20" s="1"/>
  <c r="H12" i="20"/>
  <c r="I15" i="20"/>
  <c r="M15" i="20" s="1"/>
  <c r="J15" i="20"/>
  <c r="N15" i="20" s="1"/>
  <c r="K15" i="20"/>
  <c r="O15" i="20" s="1"/>
  <c r="P15" i="20" s="1"/>
  <c r="Q15" i="20" s="1"/>
  <c r="H15" i="20"/>
  <c r="I17" i="20"/>
  <c r="M17" i="20" s="1"/>
  <c r="J17" i="20"/>
  <c r="N17" i="20" s="1"/>
  <c r="K17" i="20"/>
  <c r="O17" i="20" s="1"/>
  <c r="P17" i="20" s="1"/>
  <c r="Q17" i="20" s="1"/>
  <c r="H17" i="20"/>
  <c r="I14" i="20"/>
  <c r="M14" i="20" s="1"/>
  <c r="K14" i="20"/>
  <c r="O14" i="20" s="1"/>
  <c r="P14" i="20" s="1"/>
  <c r="Q14" i="20" s="1"/>
  <c r="J14" i="20"/>
  <c r="N14" i="20" s="1"/>
  <c r="H14" i="20"/>
  <c r="I19" i="20"/>
  <c r="M19" i="20" s="1"/>
  <c r="J19" i="20"/>
  <c r="N19" i="20" s="1"/>
  <c r="K19" i="20"/>
  <c r="O19" i="20" s="1"/>
  <c r="P19" i="20" s="1"/>
  <c r="Q19" i="20" s="1"/>
  <c r="H19" i="20"/>
  <c r="I21" i="20"/>
  <c r="M21" i="20" s="1"/>
  <c r="J21" i="20"/>
  <c r="N21" i="20" s="1"/>
  <c r="K21" i="20"/>
  <c r="O21" i="20" s="1"/>
  <c r="P21" i="20" s="1"/>
  <c r="Q21" i="20" s="1"/>
  <c r="H21" i="20"/>
  <c r="I11" i="20"/>
  <c r="M11" i="20" s="1"/>
  <c r="J11" i="20"/>
  <c r="N11" i="20" s="1"/>
  <c r="K11" i="20"/>
  <c r="O11" i="20" s="1"/>
  <c r="P11" i="20" s="1"/>
  <c r="Q11" i="20" s="1"/>
  <c r="H11" i="20"/>
  <c r="I13" i="20"/>
  <c r="M13" i="20" s="1"/>
  <c r="J13" i="20"/>
  <c r="N13" i="20" s="1"/>
  <c r="K13" i="20"/>
  <c r="O13" i="20" s="1"/>
  <c r="P13" i="20" s="1"/>
  <c r="Q13" i="20" s="1"/>
  <c r="H13" i="20"/>
  <c r="I16" i="20"/>
  <c r="M16" i="20" s="1"/>
  <c r="K16" i="20"/>
  <c r="O16" i="20" s="1"/>
  <c r="P16" i="20" s="1"/>
  <c r="Q16" i="20" s="1"/>
  <c r="J16" i="20"/>
  <c r="N16" i="20" s="1"/>
  <c r="H16" i="20"/>
  <c r="I18" i="20"/>
  <c r="M18" i="20" s="1"/>
  <c r="K18" i="20"/>
  <c r="O18" i="20" s="1"/>
  <c r="P18" i="20" s="1"/>
  <c r="Q18" i="20" s="1"/>
  <c r="J18" i="20"/>
  <c r="N18" i="20" s="1"/>
  <c r="H18" i="20"/>
  <c r="A3" i="92"/>
  <c r="B34" i="14"/>
  <c r="U26" i="123" l="1"/>
  <c r="T26" i="123"/>
  <c r="C27" i="92"/>
  <c r="C28" i="92"/>
  <c r="U23" i="116"/>
  <c r="Y22" i="116"/>
  <c r="C8" i="92"/>
  <c r="G64" i="159"/>
  <c r="K64" i="159"/>
  <c r="I63" i="159"/>
  <c r="H63" i="159"/>
  <c r="M63" i="159"/>
  <c r="L63" i="159"/>
  <c r="B66" i="159"/>
  <c r="B67" i="159" s="1"/>
  <c r="C65" i="159"/>
  <c r="E65" i="159" s="1"/>
  <c r="D65" i="159"/>
  <c r="F65" i="159" s="1"/>
  <c r="L22" i="72"/>
  <c r="K22" i="72"/>
  <c r="G22" i="72"/>
  <c r="A12" i="92"/>
  <c r="A23" i="72"/>
  <c r="B45" i="14"/>
  <c r="L18" i="20"/>
  <c r="R18" i="20" s="1"/>
  <c r="S18" i="20" s="1"/>
  <c r="L13" i="20"/>
  <c r="R13" i="20" s="1"/>
  <c r="S13" i="20" s="1"/>
  <c r="L21" i="20"/>
  <c r="R21" i="20" s="1"/>
  <c r="S21" i="20" s="1"/>
  <c r="L14" i="20"/>
  <c r="R14" i="20" s="1"/>
  <c r="S14" i="20" s="1"/>
  <c r="L12" i="20"/>
  <c r="R12" i="20" s="1"/>
  <c r="S12" i="20" s="1"/>
  <c r="L16" i="20"/>
  <c r="R16" i="20" s="1"/>
  <c r="S16" i="20" s="1"/>
  <c r="L11" i="20"/>
  <c r="R11" i="20" s="1"/>
  <c r="S11" i="20" s="1"/>
  <c r="L19" i="20"/>
  <c r="R19" i="20" s="1"/>
  <c r="S19" i="20" s="1"/>
  <c r="L17" i="20"/>
  <c r="R17" i="20" s="1"/>
  <c r="S17" i="20" s="1"/>
  <c r="L15" i="20"/>
  <c r="R15" i="20" s="1"/>
  <c r="S15" i="20" s="1"/>
  <c r="L20" i="20"/>
  <c r="R20" i="20" s="1"/>
  <c r="S20" i="20" s="1"/>
  <c r="M6" i="123"/>
  <c r="L6" i="123"/>
  <c r="N6" i="123"/>
  <c r="O6" i="123"/>
  <c r="P6" i="123" s="1"/>
  <c r="A6" i="157"/>
  <c r="C22" i="92"/>
  <c r="C11" i="116"/>
  <c r="C12" i="116"/>
  <c r="C13" i="116"/>
  <c r="C14" i="116"/>
  <c r="M4" i="116" s="1"/>
  <c r="C15" i="116"/>
  <c r="N4" i="116" s="1"/>
  <c r="N5" i="116" s="1"/>
  <c r="N6" i="116" s="1"/>
  <c r="N7" i="116" s="1"/>
  <c r="N8" i="116" s="1"/>
  <c r="N9" i="116" s="1"/>
  <c r="N10" i="116" s="1"/>
  <c r="N11" i="116" s="1"/>
  <c r="N12" i="116" s="1"/>
  <c r="N13" i="116" s="1"/>
  <c r="N14" i="116" s="1"/>
  <c r="N15" i="116" s="1"/>
  <c r="N16" i="116" s="1"/>
  <c r="N17" i="116" s="1"/>
  <c r="N18" i="116" s="1"/>
  <c r="N19" i="116" s="1"/>
  <c r="N20" i="116" s="1"/>
  <c r="N21" i="116" s="1"/>
  <c r="N22" i="116" s="1"/>
  <c r="N23" i="116" s="1"/>
  <c r="C16" i="116"/>
  <c r="O4" i="116" s="1"/>
  <c r="O5" i="116" s="1"/>
  <c r="O6" i="116" s="1"/>
  <c r="O7" i="116" s="1"/>
  <c r="O8" i="116" s="1"/>
  <c r="O9" i="116" s="1"/>
  <c r="O10" i="116" s="1"/>
  <c r="O11" i="116" s="1"/>
  <c r="O12" i="116" s="1"/>
  <c r="O13" i="116" s="1"/>
  <c r="O14" i="116" s="1"/>
  <c r="O15" i="116" s="1"/>
  <c r="O16" i="116" s="1"/>
  <c r="O17" i="116" s="1"/>
  <c r="O18" i="116" s="1"/>
  <c r="O19" i="116" s="1"/>
  <c r="O20" i="116" s="1"/>
  <c r="O21" i="116" s="1"/>
  <c r="O22" i="116" s="1"/>
  <c r="O23" i="116" s="1"/>
  <c r="C17" i="116"/>
  <c r="P4" i="116" s="1"/>
  <c r="P5" i="116" s="1"/>
  <c r="P6" i="116" s="1"/>
  <c r="P7" i="116" s="1"/>
  <c r="P8" i="116" s="1"/>
  <c r="P9" i="116" s="1"/>
  <c r="P10" i="116" s="1"/>
  <c r="P11" i="116" s="1"/>
  <c r="P12" i="116" s="1"/>
  <c r="P13" i="116" s="1"/>
  <c r="P14" i="116" s="1"/>
  <c r="P15" i="116" s="1"/>
  <c r="P16" i="116" s="1"/>
  <c r="P17" i="116" s="1"/>
  <c r="P18" i="116" s="1"/>
  <c r="P19" i="116" s="1"/>
  <c r="P20" i="116" s="1"/>
  <c r="P21" i="116" s="1"/>
  <c r="P22" i="116" s="1"/>
  <c r="P23" i="116" s="1"/>
  <c r="C18" i="116"/>
  <c r="Q4" i="116" s="1"/>
  <c r="Q5" i="116" s="1"/>
  <c r="Q6" i="116" s="1"/>
  <c r="Q7" i="116" s="1"/>
  <c r="Q8" i="116" s="1"/>
  <c r="Q9" i="116" s="1"/>
  <c r="Q10" i="116" s="1"/>
  <c r="Q11" i="116" s="1"/>
  <c r="Q12" i="116" s="1"/>
  <c r="Q13" i="116" s="1"/>
  <c r="Q14" i="116" s="1"/>
  <c r="Q15" i="116" s="1"/>
  <c r="Q16" i="116" s="1"/>
  <c r="Q17" i="116" s="1"/>
  <c r="Q18" i="116" s="1"/>
  <c r="Q19" i="116" s="1"/>
  <c r="Q20" i="116" s="1"/>
  <c r="Q21" i="116" s="1"/>
  <c r="Q22" i="116" s="1"/>
  <c r="Q23" i="116" s="1"/>
  <c r="C19" i="116"/>
  <c r="R4" i="116" s="1"/>
  <c r="R5" i="116" s="1"/>
  <c r="R6" i="116" s="1"/>
  <c r="R7" i="116" s="1"/>
  <c r="R8" i="116" s="1"/>
  <c r="R9" i="116" s="1"/>
  <c r="R10" i="116" s="1"/>
  <c r="R11" i="116" s="1"/>
  <c r="R12" i="116" s="1"/>
  <c r="R13" i="116" s="1"/>
  <c r="R14" i="116" s="1"/>
  <c r="R15" i="116" s="1"/>
  <c r="R16" i="116" s="1"/>
  <c r="R17" i="116" s="1"/>
  <c r="R18" i="116" s="1"/>
  <c r="R19" i="116" s="1"/>
  <c r="R20" i="116" s="1"/>
  <c r="R21" i="116" s="1"/>
  <c r="R22" i="116" s="1"/>
  <c r="R23" i="116" s="1"/>
  <c r="D12" i="116"/>
  <c r="U15" i="20" l="1"/>
  <c r="T15" i="20"/>
  <c r="T16" i="20"/>
  <c r="U16" i="20"/>
  <c r="U13" i="20"/>
  <c r="T13" i="20"/>
  <c r="U17" i="20"/>
  <c r="T17" i="20"/>
  <c r="T12" i="20"/>
  <c r="U12" i="20"/>
  <c r="T18" i="20"/>
  <c r="U18" i="20"/>
  <c r="T19" i="20"/>
  <c r="U19" i="20"/>
  <c r="T14" i="20"/>
  <c r="U14" i="20"/>
  <c r="T20" i="20"/>
  <c r="U20" i="20"/>
  <c r="U11" i="20"/>
  <c r="T11" i="20"/>
  <c r="U21" i="20"/>
  <c r="T21" i="20"/>
  <c r="Q6" i="123"/>
  <c r="R6" i="123"/>
  <c r="D67" i="159"/>
  <c r="F67" i="159" s="1"/>
  <c r="C67" i="159"/>
  <c r="E67" i="159" s="1"/>
  <c r="K67" i="159" s="1"/>
  <c r="U24" i="116"/>
  <c r="Y23" i="116"/>
  <c r="G65" i="159"/>
  <c r="K65" i="159"/>
  <c r="D66" i="159"/>
  <c r="F66" i="159" s="1"/>
  <c r="C66" i="159"/>
  <c r="E66" i="159" s="1"/>
  <c r="M64" i="159"/>
  <c r="L64" i="159"/>
  <c r="I9" i="159"/>
  <c r="N9" i="159" s="1"/>
  <c r="I13" i="159"/>
  <c r="N13" i="159" s="1"/>
  <c r="I11" i="159"/>
  <c r="N11" i="159" s="1"/>
  <c r="I10" i="159"/>
  <c r="N10" i="159" s="1"/>
  <c r="I14" i="159"/>
  <c r="N14" i="159" s="1"/>
  <c r="I15" i="159"/>
  <c r="N15" i="159" s="1"/>
  <c r="I12" i="159"/>
  <c r="N12" i="159" s="1"/>
  <c r="I8" i="159"/>
  <c r="N8" i="159" s="1"/>
  <c r="I64" i="159"/>
  <c r="H64" i="159"/>
  <c r="K23" i="72"/>
  <c r="G23" i="72"/>
  <c r="H23" i="72"/>
  <c r="L23" i="72"/>
  <c r="A13" i="92"/>
  <c r="M5" i="116"/>
  <c r="S4" i="116"/>
  <c r="B29" i="116" s="1"/>
  <c r="A24" i="72"/>
  <c r="A133" i="152"/>
  <c r="A7" i="157"/>
  <c r="B15" i="157" s="1"/>
  <c r="C20" i="116"/>
  <c r="S6" i="123" l="1"/>
  <c r="G67" i="159"/>
  <c r="M67" i="159"/>
  <c r="L67" i="159"/>
  <c r="F68" i="159"/>
  <c r="F69" i="159" s="1"/>
  <c r="U25" i="116"/>
  <c r="Y24" i="116"/>
  <c r="G66" i="159"/>
  <c r="G68" i="159" s="1"/>
  <c r="K66" i="159"/>
  <c r="K68" i="159" s="1"/>
  <c r="B22" i="159"/>
  <c r="L65" i="159"/>
  <c r="M65" i="159"/>
  <c r="I65" i="159"/>
  <c r="H65" i="159"/>
  <c r="B16" i="157"/>
  <c r="F15" i="157"/>
  <c r="G15" i="157" s="1"/>
  <c r="I15" i="157" s="1"/>
  <c r="B18" i="157"/>
  <c r="F18" i="157" s="1"/>
  <c r="B14" i="157"/>
  <c r="F14" i="157" s="1"/>
  <c r="H14" i="157" s="1"/>
  <c r="J14" i="157" s="1"/>
  <c r="O14" i="157" s="1"/>
  <c r="L139" i="152"/>
  <c r="M139" i="152" s="1"/>
  <c r="Q140" i="152"/>
  <c r="R140" i="152" s="1"/>
  <c r="L216" i="152"/>
  <c r="M216" i="152" s="1"/>
  <c r="H256" i="152" s="1"/>
  <c r="I256" i="152" s="1"/>
  <c r="G216" i="152"/>
  <c r="H216" i="152" s="1"/>
  <c r="E256" i="152" s="1"/>
  <c r="F256" i="152" s="1"/>
  <c r="L140" i="152"/>
  <c r="M140" i="152" s="1"/>
  <c r="H181" i="152" s="1"/>
  <c r="I181" i="152" s="1"/>
  <c r="B139" i="152"/>
  <c r="B140" i="152" s="1"/>
  <c r="G139" i="152"/>
  <c r="G140" i="152"/>
  <c r="H140" i="152" s="1"/>
  <c r="E181" i="152" s="1"/>
  <c r="F181" i="152" s="1"/>
  <c r="Q216" i="152"/>
  <c r="Q139" i="152"/>
  <c r="R139" i="152" s="1"/>
  <c r="K180" i="152" s="1"/>
  <c r="L180" i="152" s="1"/>
  <c r="B216" i="152"/>
  <c r="C216" i="152" s="1"/>
  <c r="B256" i="152" s="1"/>
  <c r="C256" i="152" s="1"/>
  <c r="G217" i="152"/>
  <c r="H217" i="152" s="1"/>
  <c r="E257" i="152" s="1"/>
  <c r="F257" i="152" s="1"/>
  <c r="L217" i="152"/>
  <c r="M217" i="152" s="1"/>
  <c r="H257" i="152" s="1"/>
  <c r="I257" i="152" s="1"/>
  <c r="L141" i="152"/>
  <c r="M141" i="152" s="1"/>
  <c r="H182" i="152" s="1"/>
  <c r="I182" i="152" s="1"/>
  <c r="Q217" i="152"/>
  <c r="B217" i="152"/>
  <c r="Q141" i="152"/>
  <c r="R141" i="152" s="1"/>
  <c r="K182" i="152" s="1"/>
  <c r="L182" i="152" s="1"/>
  <c r="G141" i="152"/>
  <c r="H141" i="152" s="1"/>
  <c r="E182" i="152" s="1"/>
  <c r="F182" i="152" s="1"/>
  <c r="B218" i="152"/>
  <c r="Q218" i="152"/>
  <c r="R218" i="152" s="1"/>
  <c r="K258" i="152" s="1"/>
  <c r="L258" i="152" s="1"/>
  <c r="L142" i="152"/>
  <c r="M142" i="152" s="1"/>
  <c r="H183" i="152" s="1"/>
  <c r="I183" i="152" s="1"/>
  <c r="G218" i="152"/>
  <c r="H218" i="152" s="1"/>
  <c r="E258" i="152" s="1"/>
  <c r="F258" i="152" s="1"/>
  <c r="Q142" i="152"/>
  <c r="R142" i="152" s="1"/>
  <c r="K183" i="152" s="1"/>
  <c r="L183" i="152" s="1"/>
  <c r="L218" i="152"/>
  <c r="M218" i="152" s="1"/>
  <c r="H258" i="152" s="1"/>
  <c r="I258" i="152" s="1"/>
  <c r="G142" i="152"/>
  <c r="H142" i="152" s="1"/>
  <c r="E183" i="152" s="1"/>
  <c r="F183" i="152" s="1"/>
  <c r="Q143" i="152"/>
  <c r="R143" i="152" s="1"/>
  <c r="K184" i="152" s="1"/>
  <c r="L184" i="152" s="1"/>
  <c r="Q219" i="152"/>
  <c r="R219" i="152" s="1"/>
  <c r="K259" i="152" s="1"/>
  <c r="L259" i="152" s="1"/>
  <c r="G143" i="152"/>
  <c r="H143" i="152" s="1"/>
  <c r="E184" i="152" s="1"/>
  <c r="F184" i="152" s="1"/>
  <c r="G219" i="152"/>
  <c r="B219" i="152"/>
  <c r="L143" i="152"/>
  <c r="L219" i="152"/>
  <c r="M219" i="152" s="1"/>
  <c r="H259" i="152" s="1"/>
  <c r="I259" i="152" s="1"/>
  <c r="G220" i="152"/>
  <c r="H220" i="152" s="1"/>
  <c r="E260" i="152" s="1"/>
  <c r="F260" i="152" s="1"/>
  <c r="L220" i="152"/>
  <c r="M220" i="152" s="1"/>
  <c r="H260" i="152" s="1"/>
  <c r="I260" i="152" s="1"/>
  <c r="Q144" i="152"/>
  <c r="R144" i="152" s="1"/>
  <c r="K185" i="152" s="1"/>
  <c r="L185" i="152" s="1"/>
  <c r="Q220" i="152"/>
  <c r="R220" i="152" s="1"/>
  <c r="K260" i="152" s="1"/>
  <c r="L260" i="152" s="1"/>
  <c r="L144" i="152"/>
  <c r="M144" i="152" s="1"/>
  <c r="H185" i="152" s="1"/>
  <c r="I185" i="152" s="1"/>
  <c r="B220" i="152"/>
  <c r="G144" i="152"/>
  <c r="G221" i="152"/>
  <c r="H221" i="152" s="1"/>
  <c r="E261" i="152" s="1"/>
  <c r="F261" i="152" s="1"/>
  <c r="Q145" i="152"/>
  <c r="G145" i="152"/>
  <c r="H145" i="152" s="1"/>
  <c r="E186" i="152" s="1"/>
  <c r="F186" i="152" s="1"/>
  <c r="L221" i="152"/>
  <c r="L145" i="152"/>
  <c r="M145" i="152" s="1"/>
  <c r="H186" i="152" s="1"/>
  <c r="I186" i="152" s="1"/>
  <c r="Q221" i="152"/>
  <c r="B221" i="152"/>
  <c r="B222" i="152"/>
  <c r="Q222" i="152"/>
  <c r="R222" i="152" s="1"/>
  <c r="K262" i="152" s="1"/>
  <c r="L262" i="152" s="1"/>
  <c r="L146" i="152"/>
  <c r="M146" i="152" s="1"/>
  <c r="H187" i="152" s="1"/>
  <c r="I187" i="152" s="1"/>
  <c r="Q146" i="152"/>
  <c r="R146" i="152" s="1"/>
  <c r="K187" i="152" s="1"/>
  <c r="L187" i="152" s="1"/>
  <c r="G222" i="152"/>
  <c r="H222" i="152" s="1"/>
  <c r="E262" i="152" s="1"/>
  <c r="F262" i="152" s="1"/>
  <c r="G146" i="152"/>
  <c r="H146" i="152" s="1"/>
  <c r="E187" i="152" s="1"/>
  <c r="F187" i="152" s="1"/>
  <c r="L222" i="152"/>
  <c r="M222" i="152" s="1"/>
  <c r="H262" i="152" s="1"/>
  <c r="I262" i="152" s="1"/>
  <c r="Q147" i="152"/>
  <c r="R147" i="152" s="1"/>
  <c r="K188" i="152" s="1"/>
  <c r="L188" i="152" s="1"/>
  <c r="Q223" i="152"/>
  <c r="R223" i="152" s="1"/>
  <c r="K263" i="152" s="1"/>
  <c r="L263" i="152" s="1"/>
  <c r="L223" i="152"/>
  <c r="M223" i="152" s="1"/>
  <c r="H263" i="152" s="1"/>
  <c r="I263" i="152" s="1"/>
  <c r="G147" i="152"/>
  <c r="G223" i="152"/>
  <c r="H223" i="152" s="1"/>
  <c r="E263" i="152" s="1"/>
  <c r="F263" i="152" s="1"/>
  <c r="L147" i="152"/>
  <c r="M147" i="152" s="1"/>
  <c r="H188" i="152" s="1"/>
  <c r="I188" i="152" s="1"/>
  <c r="B223" i="152"/>
  <c r="G224" i="152"/>
  <c r="H224" i="152" s="1"/>
  <c r="E264" i="152" s="1"/>
  <c r="F264" i="152" s="1"/>
  <c r="Q224" i="152"/>
  <c r="R224" i="152" s="1"/>
  <c r="K264" i="152" s="1"/>
  <c r="L264" i="152" s="1"/>
  <c r="Q148" i="152"/>
  <c r="R148" i="152" s="1"/>
  <c r="K189" i="152" s="1"/>
  <c r="L189" i="152" s="1"/>
  <c r="L224" i="152"/>
  <c r="M224" i="152" s="1"/>
  <c r="H264" i="152" s="1"/>
  <c r="I264" i="152" s="1"/>
  <c r="L148" i="152"/>
  <c r="G148" i="152"/>
  <c r="H148" i="152" s="1"/>
  <c r="E189" i="152" s="1"/>
  <c r="F189" i="152" s="1"/>
  <c r="B224" i="152"/>
  <c r="L149" i="152"/>
  <c r="M149" i="152" s="1"/>
  <c r="H190" i="152" s="1"/>
  <c r="I190" i="152" s="1"/>
  <c r="L225" i="152"/>
  <c r="M225" i="152" s="1"/>
  <c r="H265" i="152" s="1"/>
  <c r="I265" i="152" s="1"/>
  <c r="G225" i="152"/>
  <c r="H225" i="152" s="1"/>
  <c r="E265" i="152" s="1"/>
  <c r="F265" i="152" s="1"/>
  <c r="Q149" i="152"/>
  <c r="R149" i="152" s="1"/>
  <c r="K190" i="152" s="1"/>
  <c r="L190" i="152" s="1"/>
  <c r="B225" i="152"/>
  <c r="G149" i="152"/>
  <c r="H149" i="152" s="1"/>
  <c r="E190" i="152" s="1"/>
  <c r="F190" i="152" s="1"/>
  <c r="Q225" i="152"/>
  <c r="R225" i="152" s="1"/>
  <c r="K265" i="152" s="1"/>
  <c r="L265" i="152" s="1"/>
  <c r="G150" i="152"/>
  <c r="H150" i="152" s="1"/>
  <c r="E191" i="152" s="1"/>
  <c r="F191" i="152" s="1"/>
  <c r="L226" i="152"/>
  <c r="M226" i="152" s="1"/>
  <c r="H266" i="152" s="1"/>
  <c r="I266" i="152" s="1"/>
  <c r="B226" i="152"/>
  <c r="L150" i="152"/>
  <c r="M150" i="152" s="1"/>
  <c r="H191" i="152" s="1"/>
  <c r="I191" i="152" s="1"/>
  <c r="Q226" i="152"/>
  <c r="R226" i="152" s="1"/>
  <c r="K266" i="152" s="1"/>
  <c r="L266" i="152" s="1"/>
  <c r="Q150" i="152"/>
  <c r="R150" i="152" s="1"/>
  <c r="K191" i="152" s="1"/>
  <c r="L191" i="152" s="1"/>
  <c r="G226" i="152"/>
  <c r="G227" i="152"/>
  <c r="H227" i="152" s="1"/>
  <c r="E267" i="152" s="1"/>
  <c r="F267" i="152" s="1"/>
  <c r="G151" i="152"/>
  <c r="H151" i="152" s="1"/>
  <c r="E192" i="152" s="1"/>
  <c r="F192" i="152" s="1"/>
  <c r="Q227" i="152"/>
  <c r="R227" i="152" s="1"/>
  <c r="K267" i="152" s="1"/>
  <c r="L267" i="152" s="1"/>
  <c r="L227" i="152"/>
  <c r="M227" i="152" s="1"/>
  <c r="H267" i="152" s="1"/>
  <c r="I267" i="152" s="1"/>
  <c r="L151" i="152"/>
  <c r="M151" i="152" s="1"/>
  <c r="H192" i="152" s="1"/>
  <c r="I192" i="152" s="1"/>
  <c r="B227" i="152"/>
  <c r="Q151" i="152"/>
  <c r="R151" i="152" s="1"/>
  <c r="K192" i="152" s="1"/>
  <c r="L192" i="152" s="1"/>
  <c r="Q228" i="152"/>
  <c r="R228" i="152" s="1"/>
  <c r="K268" i="152" s="1"/>
  <c r="L268" i="152" s="1"/>
  <c r="G152" i="152"/>
  <c r="H152" i="152" s="1"/>
  <c r="E193" i="152" s="1"/>
  <c r="F193" i="152" s="1"/>
  <c r="B228" i="152"/>
  <c r="G228" i="152"/>
  <c r="H228" i="152" s="1"/>
  <c r="E268" i="152" s="1"/>
  <c r="F268" i="152" s="1"/>
  <c r="L152" i="152"/>
  <c r="M152" i="152" s="1"/>
  <c r="H193" i="152" s="1"/>
  <c r="I193" i="152" s="1"/>
  <c r="L228" i="152"/>
  <c r="M228" i="152" s="1"/>
  <c r="H268" i="152" s="1"/>
  <c r="I268" i="152" s="1"/>
  <c r="Q152" i="152"/>
  <c r="R152" i="152" s="1"/>
  <c r="K193" i="152" s="1"/>
  <c r="L193" i="152" s="1"/>
  <c r="Q153" i="152"/>
  <c r="R153" i="152" s="1"/>
  <c r="K194" i="152" s="1"/>
  <c r="L194" i="152" s="1"/>
  <c r="B229" i="152"/>
  <c r="G153" i="152"/>
  <c r="H153" i="152" s="1"/>
  <c r="E194" i="152" s="1"/>
  <c r="F194" i="152" s="1"/>
  <c r="Q229" i="152"/>
  <c r="R229" i="152" s="1"/>
  <c r="K269" i="152" s="1"/>
  <c r="L269" i="152" s="1"/>
  <c r="L229" i="152"/>
  <c r="M229" i="152" s="1"/>
  <c r="H269" i="152" s="1"/>
  <c r="I269" i="152" s="1"/>
  <c r="G229" i="152"/>
  <c r="L153" i="152"/>
  <c r="M153" i="152" s="1"/>
  <c r="H194" i="152" s="1"/>
  <c r="I194" i="152" s="1"/>
  <c r="Q154" i="152"/>
  <c r="L230" i="152"/>
  <c r="M230" i="152" s="1"/>
  <c r="H270" i="152" s="1"/>
  <c r="I270" i="152" s="1"/>
  <c r="B230" i="152"/>
  <c r="G154" i="152"/>
  <c r="H154" i="152" s="1"/>
  <c r="E195" i="152" s="1"/>
  <c r="F195" i="152" s="1"/>
  <c r="L154" i="152"/>
  <c r="M154" i="152" s="1"/>
  <c r="H195" i="152" s="1"/>
  <c r="I195" i="152" s="1"/>
  <c r="Q230" i="152"/>
  <c r="R230" i="152" s="1"/>
  <c r="K270" i="152" s="1"/>
  <c r="L270" i="152" s="1"/>
  <c r="G230" i="152"/>
  <c r="H230" i="152" s="1"/>
  <c r="E270" i="152" s="1"/>
  <c r="F270" i="152" s="1"/>
  <c r="Q231" i="152"/>
  <c r="R231" i="152" s="1"/>
  <c r="K271" i="152" s="1"/>
  <c r="L271" i="152" s="1"/>
  <c r="Q155" i="152"/>
  <c r="R155" i="152" s="1"/>
  <c r="K196" i="152" s="1"/>
  <c r="L196" i="152" s="1"/>
  <c r="G231" i="152"/>
  <c r="H231" i="152" s="1"/>
  <c r="E271" i="152" s="1"/>
  <c r="F271" i="152" s="1"/>
  <c r="G155" i="152"/>
  <c r="H155" i="152" s="1"/>
  <c r="E196" i="152" s="1"/>
  <c r="F196" i="152" s="1"/>
  <c r="L231" i="152"/>
  <c r="M231" i="152" s="1"/>
  <c r="H271" i="152" s="1"/>
  <c r="I271" i="152" s="1"/>
  <c r="L155" i="152"/>
  <c r="M155" i="152" s="1"/>
  <c r="H196" i="152" s="1"/>
  <c r="I196" i="152" s="1"/>
  <c r="B231" i="152"/>
  <c r="G156" i="152"/>
  <c r="H156" i="152" s="1"/>
  <c r="E197" i="152" s="1"/>
  <c r="F197" i="152" s="1"/>
  <c r="B232" i="152"/>
  <c r="L156" i="152"/>
  <c r="M156" i="152" s="1"/>
  <c r="H197" i="152" s="1"/>
  <c r="I197" i="152" s="1"/>
  <c r="Q232" i="152"/>
  <c r="R232" i="152" s="1"/>
  <c r="K272" i="152" s="1"/>
  <c r="L272" i="152" s="1"/>
  <c r="L232" i="152"/>
  <c r="M232" i="152" s="1"/>
  <c r="H272" i="152" s="1"/>
  <c r="I272" i="152" s="1"/>
  <c r="G232" i="152"/>
  <c r="H232" i="152" s="1"/>
  <c r="E272" i="152" s="1"/>
  <c r="F272" i="152" s="1"/>
  <c r="Q156" i="152"/>
  <c r="R156" i="152" s="1"/>
  <c r="K197" i="152" s="1"/>
  <c r="L197" i="152" s="1"/>
  <c r="Q233" i="152"/>
  <c r="R233" i="152" s="1"/>
  <c r="K273" i="152" s="1"/>
  <c r="L273" i="152" s="1"/>
  <c r="G233" i="152"/>
  <c r="H233" i="152" s="1"/>
  <c r="E273" i="152" s="1"/>
  <c r="F273" i="152" s="1"/>
  <c r="L233" i="152"/>
  <c r="M233" i="152" s="1"/>
  <c r="H273" i="152" s="1"/>
  <c r="I273" i="152" s="1"/>
  <c r="L157" i="152"/>
  <c r="M157" i="152" s="1"/>
  <c r="H198" i="152" s="1"/>
  <c r="I198" i="152" s="1"/>
  <c r="G157" i="152"/>
  <c r="H157" i="152" s="1"/>
  <c r="E198" i="152" s="1"/>
  <c r="F198" i="152" s="1"/>
  <c r="B233" i="152"/>
  <c r="Q157" i="152"/>
  <c r="G158" i="152"/>
  <c r="H158" i="152" s="1"/>
  <c r="E199" i="152" s="1"/>
  <c r="F199" i="152" s="1"/>
  <c r="L234" i="152"/>
  <c r="M234" i="152" s="1"/>
  <c r="H274" i="152" s="1"/>
  <c r="I274" i="152" s="1"/>
  <c r="Q158" i="152"/>
  <c r="R158" i="152" s="1"/>
  <c r="K199" i="152" s="1"/>
  <c r="L199" i="152" s="1"/>
  <c r="B234" i="152"/>
  <c r="Q234" i="152"/>
  <c r="R234" i="152" s="1"/>
  <c r="K274" i="152" s="1"/>
  <c r="L274" i="152" s="1"/>
  <c r="G234" i="152"/>
  <c r="H234" i="152" s="1"/>
  <c r="E274" i="152" s="1"/>
  <c r="F274" i="152" s="1"/>
  <c r="L158" i="152"/>
  <c r="M158" i="152" s="1"/>
  <c r="H199" i="152" s="1"/>
  <c r="I199" i="152" s="1"/>
  <c r="L159" i="152"/>
  <c r="M159" i="152" s="1"/>
  <c r="H200" i="152" s="1"/>
  <c r="I200" i="152" s="1"/>
  <c r="L235" i="152"/>
  <c r="M235" i="152" s="1"/>
  <c r="H275" i="152" s="1"/>
  <c r="I275" i="152" s="1"/>
  <c r="G159" i="152"/>
  <c r="H159" i="152" s="1"/>
  <c r="E200" i="152" s="1"/>
  <c r="F200" i="152" s="1"/>
  <c r="B235" i="152"/>
  <c r="Q235" i="152"/>
  <c r="R235" i="152" s="1"/>
  <c r="K275" i="152" s="1"/>
  <c r="L275" i="152" s="1"/>
  <c r="G235" i="152"/>
  <c r="H235" i="152" s="1"/>
  <c r="E275" i="152" s="1"/>
  <c r="F275" i="152" s="1"/>
  <c r="Q159" i="152"/>
  <c r="R159" i="152" s="1"/>
  <c r="K200" i="152" s="1"/>
  <c r="L200" i="152" s="1"/>
  <c r="G236" i="152"/>
  <c r="H236" i="152" s="1"/>
  <c r="E276" i="152" s="1"/>
  <c r="F276" i="152" s="1"/>
  <c r="L160" i="152"/>
  <c r="M160" i="152" s="1"/>
  <c r="H201" i="152" s="1"/>
  <c r="I201" i="152" s="1"/>
  <c r="L236" i="152"/>
  <c r="Q236" i="152"/>
  <c r="R236" i="152" s="1"/>
  <c r="K276" i="152" s="1"/>
  <c r="L276" i="152" s="1"/>
  <c r="L161" i="152"/>
  <c r="M161" i="152" s="1"/>
  <c r="H202" i="152" s="1"/>
  <c r="I202" i="152" s="1"/>
  <c r="G161" i="152"/>
  <c r="H161" i="152" s="1"/>
  <c r="E202" i="152" s="1"/>
  <c r="F202" i="152" s="1"/>
  <c r="Q161" i="152"/>
  <c r="R161" i="152" s="1"/>
  <c r="K202" i="152" s="1"/>
  <c r="L202" i="152" s="1"/>
  <c r="B236" i="152"/>
  <c r="Q160" i="152"/>
  <c r="R160" i="152" s="1"/>
  <c r="K201" i="152" s="1"/>
  <c r="L201" i="152" s="1"/>
  <c r="G160" i="152"/>
  <c r="H160" i="152" s="1"/>
  <c r="E201" i="152" s="1"/>
  <c r="F201" i="152" s="1"/>
  <c r="B238" i="152"/>
  <c r="G237" i="152"/>
  <c r="H237" i="152" s="1"/>
  <c r="Q237" i="152"/>
  <c r="R237" i="152" s="1"/>
  <c r="S237" i="152" s="1"/>
  <c r="Q162" i="152"/>
  <c r="R162" i="152" s="1"/>
  <c r="K203" i="152" s="1"/>
  <c r="L203" i="152" s="1"/>
  <c r="B237" i="152"/>
  <c r="L162" i="152"/>
  <c r="M162" i="152" s="1"/>
  <c r="H203" i="152" s="1"/>
  <c r="I203" i="152" s="1"/>
  <c r="Q238" i="152"/>
  <c r="R238" i="152" s="1"/>
  <c r="T238" i="152" s="1"/>
  <c r="G162" i="152"/>
  <c r="H162" i="152" s="1"/>
  <c r="E203" i="152" s="1"/>
  <c r="F203" i="152" s="1"/>
  <c r="G238" i="152"/>
  <c r="H238" i="152" s="1"/>
  <c r="I238" i="152" s="1"/>
  <c r="L237" i="152"/>
  <c r="M237" i="152" s="1"/>
  <c r="H277" i="152" s="1"/>
  <c r="I277" i="152" s="1"/>
  <c r="L238" i="152"/>
  <c r="M238" i="152" s="1"/>
  <c r="H278" i="152" s="1"/>
  <c r="I278" i="152" s="1"/>
  <c r="Q163" i="152"/>
  <c r="R163" i="152" s="1"/>
  <c r="K204" i="152" s="1"/>
  <c r="L204" i="152" s="1"/>
  <c r="Q239" i="152"/>
  <c r="R239" i="152" s="1"/>
  <c r="S239" i="152" s="1"/>
  <c r="B239" i="152"/>
  <c r="G163" i="152"/>
  <c r="H163" i="152" s="1"/>
  <c r="E204" i="152" s="1"/>
  <c r="F204" i="152" s="1"/>
  <c r="G239" i="152"/>
  <c r="H239" i="152" s="1"/>
  <c r="J239" i="152" s="1"/>
  <c r="L163" i="152"/>
  <c r="M163" i="152" s="1"/>
  <c r="H204" i="152" s="1"/>
  <c r="I204" i="152" s="1"/>
  <c r="L239" i="152"/>
  <c r="M239" i="152" s="1"/>
  <c r="H279" i="152" s="1"/>
  <c r="I279" i="152" s="1"/>
  <c r="L164" i="152"/>
  <c r="M164" i="152" s="1"/>
  <c r="H205" i="152" s="1"/>
  <c r="I205" i="152" s="1"/>
  <c r="B240" i="152"/>
  <c r="Q240" i="152"/>
  <c r="R240" i="152" s="1"/>
  <c r="T240" i="152" s="1"/>
  <c r="Q164" i="152"/>
  <c r="R164" i="152" s="1"/>
  <c r="K205" i="152" s="1"/>
  <c r="L205" i="152" s="1"/>
  <c r="G240" i="152"/>
  <c r="H240" i="152" s="1"/>
  <c r="E280" i="152" s="1"/>
  <c r="F280" i="152" s="1"/>
  <c r="G164" i="152"/>
  <c r="H164" i="152" s="1"/>
  <c r="E205" i="152" s="1"/>
  <c r="F205" i="152" s="1"/>
  <c r="L240" i="152"/>
  <c r="M240" i="152" s="1"/>
  <c r="Q165" i="152"/>
  <c r="R165" i="152" s="1"/>
  <c r="K206" i="152" s="1"/>
  <c r="L206" i="152" s="1"/>
  <c r="Q241" i="152"/>
  <c r="R241" i="152" s="1"/>
  <c r="K281" i="152" s="1"/>
  <c r="L281" i="152" s="1"/>
  <c r="B241" i="152"/>
  <c r="G241" i="152"/>
  <c r="H241" i="152" s="1"/>
  <c r="E281" i="152" s="1"/>
  <c r="F281" i="152" s="1"/>
  <c r="G165" i="152"/>
  <c r="H165" i="152" s="1"/>
  <c r="E206" i="152" s="1"/>
  <c r="F206" i="152" s="1"/>
  <c r="L165" i="152"/>
  <c r="M165" i="152" s="1"/>
  <c r="H206" i="152" s="1"/>
  <c r="I206" i="152" s="1"/>
  <c r="L241" i="152"/>
  <c r="M241" i="152" s="1"/>
  <c r="N241" i="152" s="1"/>
  <c r="L166" i="152"/>
  <c r="M166" i="152" s="1"/>
  <c r="H207" i="152" s="1"/>
  <c r="I207" i="152" s="1"/>
  <c r="Q242" i="152"/>
  <c r="R242" i="152" s="1"/>
  <c r="K282" i="152" s="1"/>
  <c r="L282" i="152" s="1"/>
  <c r="G242" i="152"/>
  <c r="H242" i="152" s="1"/>
  <c r="G166" i="152"/>
  <c r="H166" i="152" s="1"/>
  <c r="E207" i="152" s="1"/>
  <c r="F207" i="152" s="1"/>
  <c r="Q166" i="152"/>
  <c r="R166" i="152" s="1"/>
  <c r="K207" i="152" s="1"/>
  <c r="L207" i="152" s="1"/>
  <c r="L242" i="152"/>
  <c r="M242" i="152" s="1"/>
  <c r="H282" i="152" s="1"/>
  <c r="I282" i="152" s="1"/>
  <c r="B242" i="152"/>
  <c r="B243" i="152"/>
  <c r="L167" i="152"/>
  <c r="M167" i="152" s="1"/>
  <c r="H208" i="152" s="1"/>
  <c r="I208" i="152" s="1"/>
  <c r="G167" i="152"/>
  <c r="H167" i="152" s="1"/>
  <c r="E208" i="152" s="1"/>
  <c r="F208" i="152" s="1"/>
  <c r="Q243" i="152"/>
  <c r="R243" i="152" s="1"/>
  <c r="T243" i="152" s="1"/>
  <c r="Q167" i="152"/>
  <c r="R167" i="152" s="1"/>
  <c r="K208" i="152" s="1"/>
  <c r="L208" i="152" s="1"/>
  <c r="G243" i="152"/>
  <c r="H243" i="152" s="1"/>
  <c r="I243" i="152" s="1"/>
  <c r="L243" i="152"/>
  <c r="M243" i="152" s="1"/>
  <c r="N243" i="152" s="1"/>
  <c r="L244" i="152"/>
  <c r="M244" i="152" s="1"/>
  <c r="N244" i="152" s="1"/>
  <c r="Q168" i="152"/>
  <c r="R168" i="152" s="1"/>
  <c r="K209" i="152" s="1"/>
  <c r="L209" i="152" s="1"/>
  <c r="L168" i="152"/>
  <c r="M168" i="152" s="1"/>
  <c r="H209" i="152" s="1"/>
  <c r="I209" i="152" s="1"/>
  <c r="B244" i="152"/>
  <c r="G244" i="152"/>
  <c r="H244" i="152" s="1"/>
  <c r="E284" i="152" s="1"/>
  <c r="F284" i="152" s="1"/>
  <c r="Q244" i="152"/>
  <c r="R244" i="152" s="1"/>
  <c r="T244" i="152" s="1"/>
  <c r="G168" i="152"/>
  <c r="H168" i="152" s="1"/>
  <c r="E209" i="152" s="1"/>
  <c r="F209" i="152" s="1"/>
  <c r="B245" i="152"/>
  <c r="L169" i="152"/>
  <c r="M169" i="152" s="1"/>
  <c r="H210" i="152" s="1"/>
  <c r="I210" i="152" s="1"/>
  <c r="L245" i="152"/>
  <c r="M245" i="152" s="1"/>
  <c r="O245" i="152" s="1"/>
  <c r="Q245" i="152"/>
  <c r="R245" i="152" s="1"/>
  <c r="K285" i="152" s="1"/>
  <c r="L285" i="152" s="1"/>
  <c r="Q169" i="152"/>
  <c r="R169" i="152" s="1"/>
  <c r="K210" i="152" s="1"/>
  <c r="L210" i="152" s="1"/>
  <c r="G245" i="152"/>
  <c r="H245" i="152" s="1"/>
  <c r="E285" i="152" s="1"/>
  <c r="F285" i="152" s="1"/>
  <c r="G169" i="152"/>
  <c r="H169" i="152" s="1"/>
  <c r="E210" i="152" s="1"/>
  <c r="F210" i="152" s="1"/>
  <c r="B246" i="152"/>
  <c r="Q246" i="152"/>
  <c r="R246" i="152" s="1"/>
  <c r="T246" i="152" s="1"/>
  <c r="G246" i="152"/>
  <c r="H246" i="152" s="1"/>
  <c r="I246" i="152" s="1"/>
  <c r="L246" i="152"/>
  <c r="M246" i="152" s="1"/>
  <c r="N246" i="152" s="1"/>
  <c r="B17" i="157"/>
  <c r="F17" i="157" s="1"/>
  <c r="B13" i="157"/>
  <c r="F13" i="157" s="1"/>
  <c r="H24" i="72"/>
  <c r="L24" i="72"/>
  <c r="G24" i="72"/>
  <c r="K24" i="72"/>
  <c r="A14" i="92"/>
  <c r="M6" i="116"/>
  <c r="S5" i="116"/>
  <c r="B30" i="116" s="1"/>
  <c r="A25" i="72"/>
  <c r="I22" i="20"/>
  <c r="M22" i="20" s="1"/>
  <c r="K22" i="20"/>
  <c r="O22" i="20" s="1"/>
  <c r="P22" i="20" s="1"/>
  <c r="Q22" i="20" s="1"/>
  <c r="J22" i="20"/>
  <c r="N22" i="20" s="1"/>
  <c r="H22" i="20"/>
  <c r="F16" i="157"/>
  <c r="M143" i="152"/>
  <c r="H184" i="152" s="1"/>
  <c r="I184" i="152" s="1"/>
  <c r="H144" i="152"/>
  <c r="E185" i="152" s="1"/>
  <c r="F185" i="152" s="1"/>
  <c r="R221" i="152"/>
  <c r="K261" i="152" s="1"/>
  <c r="L261" i="152" s="1"/>
  <c r="R154" i="152"/>
  <c r="K195" i="152" s="1"/>
  <c r="L195" i="152" s="1"/>
  <c r="H147" i="152"/>
  <c r="E188" i="152" s="1"/>
  <c r="F188" i="152" s="1"/>
  <c r="M221" i="152"/>
  <c r="H261" i="152" s="1"/>
  <c r="I261" i="152" s="1"/>
  <c r="M148" i="152"/>
  <c r="H189" i="152" s="1"/>
  <c r="I189" i="152" s="1"/>
  <c r="H229" i="152"/>
  <c r="E269" i="152" s="1"/>
  <c r="F269" i="152" s="1"/>
  <c r="R217" i="152"/>
  <c r="K257" i="152" s="1"/>
  <c r="L257" i="152" s="1"/>
  <c r="H219" i="152"/>
  <c r="E259" i="152" s="1"/>
  <c r="F259" i="152" s="1"/>
  <c r="R145" i="152"/>
  <c r="K186" i="152" s="1"/>
  <c r="L186" i="152" s="1"/>
  <c r="R216" i="152"/>
  <c r="K256" i="152" s="1"/>
  <c r="L256" i="152" s="1"/>
  <c r="R157" i="152"/>
  <c r="K198" i="152" s="1"/>
  <c r="L198" i="152" s="1"/>
  <c r="M236" i="152"/>
  <c r="H276" i="152" s="1"/>
  <c r="I276" i="152" s="1"/>
  <c r="H139" i="152"/>
  <c r="E180" i="152" s="1"/>
  <c r="F180" i="152" s="1"/>
  <c r="H226" i="152"/>
  <c r="E266" i="152" s="1"/>
  <c r="F266" i="152" s="1"/>
  <c r="U6" i="123" l="1"/>
  <c r="T6" i="123"/>
  <c r="I67" i="159"/>
  <c r="H67" i="159"/>
  <c r="U26" i="116"/>
  <c r="Y25" i="116"/>
  <c r="H15" i="157"/>
  <c r="J15" i="157" s="1"/>
  <c r="O15" i="157" s="1"/>
  <c r="P15" i="157" s="1"/>
  <c r="M66" i="159"/>
  <c r="M68" i="159" s="1"/>
  <c r="L66" i="159"/>
  <c r="L68" i="159" s="1"/>
  <c r="O69" i="159"/>
  <c r="H66" i="159"/>
  <c r="I66" i="159"/>
  <c r="G69" i="159"/>
  <c r="B23" i="159"/>
  <c r="C23" i="159" s="1"/>
  <c r="E23" i="159" s="1"/>
  <c r="K23" i="159" s="1"/>
  <c r="D22" i="159"/>
  <c r="F22" i="159" s="1"/>
  <c r="C22" i="159"/>
  <c r="E22" i="159" s="1"/>
  <c r="S32" i="127"/>
  <c r="O160" i="152"/>
  <c r="G18" i="157"/>
  <c r="I18" i="157" s="1"/>
  <c r="H18" i="157"/>
  <c r="J18" i="157" s="1"/>
  <c r="O18" i="157" s="1"/>
  <c r="K279" i="152"/>
  <c r="L279" i="152" s="1"/>
  <c r="S220" i="152"/>
  <c r="S158" i="152"/>
  <c r="G25" i="72"/>
  <c r="L25" i="72"/>
  <c r="K25" i="72"/>
  <c r="H25" i="72"/>
  <c r="A15" i="92"/>
  <c r="I146" i="152"/>
  <c r="M7" i="116"/>
  <c r="S6" i="116"/>
  <c r="B31" i="116" s="1"/>
  <c r="N142" i="152"/>
  <c r="O234" i="152"/>
  <c r="S235" i="152"/>
  <c r="I155" i="152"/>
  <c r="M15" i="157"/>
  <c r="L15" i="157"/>
  <c r="I154" i="152"/>
  <c r="O233" i="152"/>
  <c r="S153" i="152"/>
  <c r="S241" i="152"/>
  <c r="J154" i="152"/>
  <c r="N233" i="152"/>
  <c r="J155" i="152"/>
  <c r="N160" i="152"/>
  <c r="P14" i="157"/>
  <c r="Q14" i="157"/>
  <c r="S157" i="152"/>
  <c r="T220" i="152"/>
  <c r="J231" i="152"/>
  <c r="I150" i="152"/>
  <c r="O219" i="152"/>
  <c r="S229" i="152"/>
  <c r="N141" i="152"/>
  <c r="T163" i="152"/>
  <c r="O229" i="152"/>
  <c r="T235" i="152"/>
  <c r="N150" i="152"/>
  <c r="T144" i="152"/>
  <c r="T229" i="152"/>
  <c r="O141" i="152"/>
  <c r="T239" i="152"/>
  <c r="N229" i="152"/>
  <c r="I231" i="152"/>
  <c r="T158" i="152"/>
  <c r="O150" i="152"/>
  <c r="S144" i="152"/>
  <c r="N234" i="152"/>
  <c r="T153" i="152"/>
  <c r="N226" i="152"/>
  <c r="T241" i="152"/>
  <c r="N235" i="152"/>
  <c r="J235" i="152"/>
  <c r="O226" i="152"/>
  <c r="N224" i="152"/>
  <c r="A26" i="72"/>
  <c r="J158" i="152"/>
  <c r="T148" i="152"/>
  <c r="J150" i="152"/>
  <c r="I216" i="152"/>
  <c r="N231" i="152"/>
  <c r="O148" i="152"/>
  <c r="G14" i="157"/>
  <c r="I14" i="157" s="1"/>
  <c r="T217" i="152"/>
  <c r="S222" i="152"/>
  <c r="T236" i="152"/>
  <c r="S245" i="152"/>
  <c r="T227" i="152"/>
  <c r="N146" i="152"/>
  <c r="O236" i="152"/>
  <c r="T157" i="152"/>
  <c r="S231" i="152"/>
  <c r="J227" i="152"/>
  <c r="O157" i="152"/>
  <c r="S150" i="152"/>
  <c r="N152" i="152"/>
  <c r="O142" i="152"/>
  <c r="T145" i="152"/>
  <c r="I227" i="152"/>
  <c r="N157" i="152"/>
  <c r="S148" i="152"/>
  <c r="T143" i="152"/>
  <c r="O235" i="152"/>
  <c r="N219" i="152"/>
  <c r="J146" i="152"/>
  <c r="T154" i="152"/>
  <c r="N236" i="152"/>
  <c r="O146" i="152"/>
  <c r="I233" i="152"/>
  <c r="I235" i="152"/>
  <c r="O152" i="152"/>
  <c r="S163" i="152"/>
  <c r="I145" i="152"/>
  <c r="T146" i="152"/>
  <c r="O231" i="152"/>
  <c r="O217" i="152"/>
  <c r="I148" i="152"/>
  <c r="S143" i="152"/>
  <c r="S217" i="152"/>
  <c r="N220" i="152"/>
  <c r="N143" i="152"/>
  <c r="J224" i="152"/>
  <c r="J234" i="152"/>
  <c r="T245" i="152"/>
  <c r="L22" i="20"/>
  <c r="R22" i="20" s="1"/>
  <c r="S22" i="20" s="1"/>
  <c r="I23" i="20"/>
  <c r="M23" i="20" s="1"/>
  <c r="J23" i="20"/>
  <c r="N23" i="20" s="1"/>
  <c r="K23" i="20"/>
  <c r="O23" i="20" s="1"/>
  <c r="P23" i="20" s="1"/>
  <c r="Q23" i="20" s="1"/>
  <c r="H23" i="20"/>
  <c r="L23" i="20" s="1"/>
  <c r="N256" i="152"/>
  <c r="AK74" i="153" s="1"/>
  <c r="AL74" i="153" s="1"/>
  <c r="S155" i="152"/>
  <c r="N158" i="152"/>
  <c r="I223" i="152"/>
  <c r="J143" i="152"/>
  <c r="H281" i="152"/>
  <c r="I281" i="152" s="1"/>
  <c r="K181" i="152"/>
  <c r="L181" i="152" s="1"/>
  <c r="T140" i="152"/>
  <c r="S216" i="152"/>
  <c r="J151" i="152"/>
  <c r="J159" i="152"/>
  <c r="T216" i="152"/>
  <c r="J145" i="152"/>
  <c r="O145" i="152"/>
  <c r="O224" i="152"/>
  <c r="J152" i="152"/>
  <c r="O155" i="152"/>
  <c r="S146" i="152"/>
  <c r="I230" i="152"/>
  <c r="J221" i="152"/>
  <c r="T225" i="152"/>
  <c r="O227" i="152"/>
  <c r="I229" i="152"/>
  <c r="S232" i="152"/>
  <c r="J236" i="152"/>
  <c r="O220" i="152"/>
  <c r="T150" i="152"/>
  <c r="O143" i="152"/>
  <c r="S227" i="152"/>
  <c r="J233" i="152"/>
  <c r="S236" i="152"/>
  <c r="N168" i="152"/>
  <c r="J168" i="152"/>
  <c r="N145" i="152"/>
  <c r="J223" i="152"/>
  <c r="S166" i="152"/>
  <c r="N217" i="152"/>
  <c r="J216" i="152"/>
  <c r="S145" i="152"/>
  <c r="J148" i="152"/>
  <c r="N149" i="152"/>
  <c r="I152" i="152"/>
  <c r="S233" i="152"/>
  <c r="J230" i="152"/>
  <c r="I221" i="152"/>
  <c r="S225" i="152"/>
  <c r="N227" i="152"/>
  <c r="J229" i="152"/>
  <c r="T232" i="152"/>
  <c r="I236" i="152"/>
  <c r="N148" i="152"/>
  <c r="S154" i="152"/>
  <c r="T222" i="152"/>
  <c r="I224" i="152"/>
  <c r="T231" i="152"/>
  <c r="I234" i="152"/>
  <c r="T159" i="152"/>
  <c r="O168" i="152"/>
  <c r="I168" i="152"/>
  <c r="O241" i="152"/>
  <c r="N144" i="152"/>
  <c r="O232" i="152"/>
  <c r="O149" i="152"/>
  <c r="N155" i="152"/>
  <c r="T151" i="152"/>
  <c r="T166" i="152"/>
  <c r="J225" i="152"/>
  <c r="O240" i="152"/>
  <c r="H280" i="152"/>
  <c r="I280" i="152" s="1"/>
  <c r="S221" i="152"/>
  <c r="T156" i="152"/>
  <c r="T162" i="152"/>
  <c r="S168" i="152"/>
  <c r="J243" i="152"/>
  <c r="O216" i="152"/>
  <c r="T141" i="152"/>
  <c r="N223" i="152"/>
  <c r="S149" i="152"/>
  <c r="N153" i="152"/>
  <c r="I156" i="152"/>
  <c r="N159" i="152"/>
  <c r="I151" i="152"/>
  <c r="T155" i="152"/>
  <c r="I222" i="152"/>
  <c r="T224" i="152"/>
  <c r="N154" i="152"/>
  <c r="J141" i="152"/>
  <c r="I143" i="152"/>
  <c r="I228" i="152"/>
  <c r="S228" i="152"/>
  <c r="J157" i="152"/>
  <c r="N216" i="152"/>
  <c r="I144" i="152"/>
  <c r="O225" i="152"/>
  <c r="T149" i="152"/>
  <c r="O153" i="152"/>
  <c r="T233" i="152"/>
  <c r="S234" i="152"/>
  <c r="O159" i="152"/>
  <c r="T223" i="152"/>
  <c r="S224" i="152"/>
  <c r="S230" i="152"/>
  <c r="O154" i="152"/>
  <c r="I159" i="152"/>
  <c r="C139" i="152"/>
  <c r="B180" i="152" s="1"/>
  <c r="C180" i="152" s="1"/>
  <c r="T226" i="152"/>
  <c r="T228" i="152"/>
  <c r="O230" i="152"/>
  <c r="S159" i="152"/>
  <c r="O147" i="152"/>
  <c r="S162" i="152"/>
  <c r="T160" i="152"/>
  <c r="E283" i="152"/>
  <c r="F283" i="152" s="1"/>
  <c r="H180" i="152"/>
  <c r="I180" i="152" s="1"/>
  <c r="O139" i="152"/>
  <c r="J237" i="152"/>
  <c r="E277" i="152"/>
  <c r="F277" i="152" s="1"/>
  <c r="I237" i="152"/>
  <c r="J242" i="152"/>
  <c r="E282" i="152"/>
  <c r="F282" i="152" s="1"/>
  <c r="H16" i="157"/>
  <c r="J16" i="157" s="1"/>
  <c r="O16" i="157" s="1"/>
  <c r="G16" i="157"/>
  <c r="I16" i="157" s="1"/>
  <c r="T218" i="152"/>
  <c r="N225" i="152"/>
  <c r="O151" i="152"/>
  <c r="T234" i="152"/>
  <c r="N221" i="152"/>
  <c r="S223" i="152"/>
  <c r="N228" i="152"/>
  <c r="T152" i="152"/>
  <c r="O156" i="152"/>
  <c r="I147" i="152"/>
  <c r="I153" i="152"/>
  <c r="S156" i="152"/>
  <c r="S226" i="152"/>
  <c r="S151" i="152"/>
  <c r="N230" i="152"/>
  <c r="N232" i="152"/>
  <c r="N147" i="152"/>
  <c r="I157" i="152"/>
  <c r="T168" i="152"/>
  <c r="O242" i="152"/>
  <c r="G17" i="157"/>
  <c r="I17" i="157" s="1"/>
  <c r="H17" i="157"/>
  <c r="J17" i="157" s="1"/>
  <c r="O17" i="157" s="1"/>
  <c r="N222" i="152"/>
  <c r="S218" i="152"/>
  <c r="N151" i="152"/>
  <c r="O221" i="152"/>
  <c r="O228" i="152"/>
  <c r="S152" i="152"/>
  <c r="N156" i="152"/>
  <c r="J147" i="152"/>
  <c r="J153" i="152"/>
  <c r="S147" i="152"/>
  <c r="I149" i="152"/>
  <c r="J226" i="152"/>
  <c r="J232" i="152"/>
  <c r="J163" i="152"/>
  <c r="N242" i="152"/>
  <c r="S141" i="152"/>
  <c r="J144" i="152"/>
  <c r="O223" i="152"/>
  <c r="J156" i="152"/>
  <c r="J222" i="152"/>
  <c r="I225" i="152"/>
  <c r="T230" i="152"/>
  <c r="I158" i="152"/>
  <c r="I141" i="152"/>
  <c r="T221" i="152"/>
  <c r="J228" i="152"/>
  <c r="O144" i="152"/>
  <c r="O222" i="152"/>
  <c r="T147" i="152"/>
  <c r="J149" i="152"/>
  <c r="I226" i="152"/>
  <c r="I232" i="152"/>
  <c r="O158" i="152"/>
  <c r="I163" i="152"/>
  <c r="I245" i="152"/>
  <c r="N165" i="152"/>
  <c r="I162" i="152"/>
  <c r="N140" i="152"/>
  <c r="T139" i="152"/>
  <c r="I239" i="152"/>
  <c r="N238" i="152"/>
  <c r="T142" i="152"/>
  <c r="T164" i="152"/>
  <c r="O244" i="152"/>
  <c r="N237" i="152"/>
  <c r="J241" i="152"/>
  <c r="T219" i="152"/>
  <c r="O164" i="152"/>
  <c r="T237" i="152"/>
  <c r="J217" i="152"/>
  <c r="J161" i="152"/>
  <c r="S161" i="152"/>
  <c r="K283" i="152"/>
  <c r="L283" i="152" s="1"/>
  <c r="K286" i="152"/>
  <c r="L286" i="152" s="1"/>
  <c r="O238" i="152"/>
  <c r="I242" i="152"/>
  <c r="N240" i="152"/>
  <c r="I220" i="152"/>
  <c r="O169" i="152"/>
  <c r="O163" i="152"/>
  <c r="E279" i="152"/>
  <c r="F279" i="152" s="1"/>
  <c r="I240" i="152"/>
  <c r="K277" i="152"/>
  <c r="L277" i="152" s="1"/>
  <c r="S242" i="152"/>
  <c r="I241" i="152"/>
  <c r="J167" i="152"/>
  <c r="O237" i="152"/>
  <c r="O239" i="152"/>
  <c r="O140" i="152"/>
  <c r="S139" i="152"/>
  <c r="J165" i="152"/>
  <c r="N163" i="152"/>
  <c r="S246" i="152"/>
  <c r="J245" i="152"/>
  <c r="N239" i="152"/>
  <c r="I165" i="152"/>
  <c r="H284" i="152"/>
  <c r="I284" i="152" s="1"/>
  <c r="J220" i="152"/>
  <c r="N169" i="152"/>
  <c r="I161" i="152"/>
  <c r="O165" i="152"/>
  <c r="I167" i="152"/>
  <c r="S243" i="152"/>
  <c r="T242" i="152"/>
  <c r="I217" i="152"/>
  <c r="S142" i="152"/>
  <c r="N139" i="152"/>
  <c r="S219" i="152"/>
  <c r="S164" i="152"/>
  <c r="N164" i="152"/>
  <c r="J162" i="152"/>
  <c r="S160" i="152"/>
  <c r="T161" i="152"/>
  <c r="I219" i="152"/>
  <c r="N161" i="152"/>
  <c r="T165" i="152"/>
  <c r="E286" i="152"/>
  <c r="F286" i="152" s="1"/>
  <c r="J139" i="152"/>
  <c r="I142" i="152"/>
  <c r="S167" i="152"/>
  <c r="J166" i="152"/>
  <c r="I244" i="152"/>
  <c r="I140" i="152"/>
  <c r="T169" i="152"/>
  <c r="H285" i="152"/>
  <c r="I285" i="152" s="1"/>
  <c r="E278" i="152"/>
  <c r="F278" i="152" s="1"/>
  <c r="O218" i="152"/>
  <c r="O243" i="152"/>
  <c r="S238" i="152"/>
  <c r="K280" i="152"/>
  <c r="L280" i="152" s="1"/>
  <c r="O246" i="152"/>
  <c r="K284" i="152"/>
  <c r="L284" i="152" s="1"/>
  <c r="I218" i="152"/>
  <c r="O162" i="152"/>
  <c r="I164" i="152"/>
  <c r="O166" i="152"/>
  <c r="I169" i="152"/>
  <c r="I160" i="152"/>
  <c r="O167" i="152"/>
  <c r="H283" i="152"/>
  <c r="I283" i="152" s="1"/>
  <c r="K278" i="152"/>
  <c r="L278" i="152" s="1"/>
  <c r="J140" i="152"/>
  <c r="J219" i="152"/>
  <c r="J218" i="152"/>
  <c r="N162" i="152"/>
  <c r="J164" i="152"/>
  <c r="N166" i="152"/>
  <c r="J169" i="152"/>
  <c r="J160" i="152"/>
  <c r="N167" i="152"/>
  <c r="N245" i="152"/>
  <c r="J244" i="152"/>
  <c r="J246" i="152"/>
  <c r="J240" i="152"/>
  <c r="J238" i="152"/>
  <c r="S240" i="152"/>
  <c r="H286" i="152"/>
  <c r="I286" i="152" s="1"/>
  <c r="S244" i="152"/>
  <c r="S140" i="152"/>
  <c r="N218" i="152"/>
  <c r="I139" i="152"/>
  <c r="J142" i="152"/>
  <c r="T167" i="152"/>
  <c r="S169" i="152"/>
  <c r="O161" i="152"/>
  <c r="S165" i="152"/>
  <c r="I166" i="152"/>
  <c r="G13" i="157"/>
  <c r="I13" i="157" s="1"/>
  <c r="H13" i="157"/>
  <c r="J13" i="157" s="1"/>
  <c r="O13" i="157" s="1"/>
  <c r="C217" i="152"/>
  <c r="B257" i="152" s="1"/>
  <c r="C257" i="152" s="1"/>
  <c r="N257" i="152" s="1"/>
  <c r="AK75" i="153" s="1"/>
  <c r="AL75" i="153" s="1"/>
  <c r="C140" i="152"/>
  <c r="B181" i="152" s="1"/>
  <c r="C181" i="152" s="1"/>
  <c r="B141" i="152"/>
  <c r="D216" i="152"/>
  <c r="E216" i="152"/>
  <c r="C23" i="92"/>
  <c r="K15" i="157" l="1"/>
  <c r="Q15" i="157"/>
  <c r="R23" i="20"/>
  <c r="S23" i="20" s="1"/>
  <c r="T23" i="20" s="1"/>
  <c r="T22" i="20"/>
  <c r="U22" i="20"/>
  <c r="K18" i="157"/>
  <c r="U32" i="127"/>
  <c r="T32" i="127"/>
  <c r="H68" i="159"/>
  <c r="H69" i="159" s="1"/>
  <c r="I68" i="159"/>
  <c r="I69" i="159" s="1"/>
  <c r="U27" i="116"/>
  <c r="Y26" i="116"/>
  <c r="G22" i="159"/>
  <c r="K22" i="159"/>
  <c r="B24" i="159"/>
  <c r="C24" i="159" s="1"/>
  <c r="E24" i="159" s="1"/>
  <c r="K24" i="159" s="1"/>
  <c r="D23" i="159"/>
  <c r="F23" i="159" s="1"/>
  <c r="G23" i="159" s="1"/>
  <c r="I26" i="47"/>
  <c r="P69" i="159"/>
  <c r="J26" i="47"/>
  <c r="Q69" i="159"/>
  <c r="L23" i="159"/>
  <c r="M23" i="159"/>
  <c r="P18" i="157"/>
  <c r="Q18" i="157"/>
  <c r="M18" i="157"/>
  <c r="L18" i="157"/>
  <c r="G26" i="72"/>
  <c r="K26" i="72"/>
  <c r="H26" i="72"/>
  <c r="L26" i="72"/>
  <c r="A16" i="92"/>
  <c r="M8" i="116"/>
  <c r="S7" i="116"/>
  <c r="B32" i="116" s="1"/>
  <c r="Q13" i="157"/>
  <c r="P13" i="157"/>
  <c r="L17" i="157"/>
  <c r="M17" i="157"/>
  <c r="L13" i="157"/>
  <c r="M13" i="157"/>
  <c r="M16" i="157"/>
  <c r="L16" i="157"/>
  <c r="P16" i="157"/>
  <c r="Q16" i="157"/>
  <c r="K14" i="157"/>
  <c r="M14" i="157"/>
  <c r="L14" i="157"/>
  <c r="P17" i="157"/>
  <c r="Q17" i="157"/>
  <c r="A27" i="72"/>
  <c r="N181" i="152"/>
  <c r="M75" i="153" s="1"/>
  <c r="N75" i="153" s="1"/>
  <c r="O75" i="153" s="1"/>
  <c r="E139" i="152"/>
  <c r="W139" i="152" s="1"/>
  <c r="C12" i="153" s="1"/>
  <c r="N180" i="152"/>
  <c r="M74" i="153" s="1"/>
  <c r="N74" i="153" s="1"/>
  <c r="O74" i="153" s="1"/>
  <c r="I24" i="20"/>
  <c r="M24" i="20" s="1"/>
  <c r="K24" i="20"/>
  <c r="O24" i="20" s="1"/>
  <c r="P24" i="20" s="1"/>
  <c r="Q24" i="20" s="1"/>
  <c r="J24" i="20"/>
  <c r="N24" i="20" s="1"/>
  <c r="H24" i="20"/>
  <c r="L24" i="20" s="1"/>
  <c r="V216" i="152"/>
  <c r="J12" i="153" s="1"/>
  <c r="L12" i="153" s="1"/>
  <c r="L126" i="153" s="1"/>
  <c r="D139" i="152"/>
  <c r="V139" i="152" s="1"/>
  <c r="B12" i="153" s="1"/>
  <c r="D12" i="153" s="1"/>
  <c r="B126" i="153" s="1"/>
  <c r="W216" i="152"/>
  <c r="K12" i="153" s="1"/>
  <c r="M12" i="153" s="1"/>
  <c r="K17" i="157"/>
  <c r="K16" i="157"/>
  <c r="K13" i="157"/>
  <c r="AN75" i="153"/>
  <c r="AS75" i="153" s="1"/>
  <c r="AM75" i="153"/>
  <c r="AN74" i="153"/>
  <c r="AS74" i="153" s="1"/>
  <c r="AM74" i="153"/>
  <c r="AO74" i="153" s="1"/>
  <c r="E140" i="152"/>
  <c r="D140" i="152"/>
  <c r="V140" i="152" s="1"/>
  <c r="B13" i="153" s="1"/>
  <c r="D13" i="153" s="1"/>
  <c r="B127" i="153" s="1"/>
  <c r="E217" i="152"/>
  <c r="W217" i="152" s="1"/>
  <c r="K13" i="153" s="1"/>
  <c r="M13" i="153" s="1"/>
  <c r="D217" i="152"/>
  <c r="V217" i="152" s="1"/>
  <c r="J13" i="153" s="1"/>
  <c r="L13" i="153" s="1"/>
  <c r="L127" i="153" s="1"/>
  <c r="C141" i="152"/>
  <c r="B182" i="152" s="1"/>
  <c r="C182" i="152" s="1"/>
  <c r="N182" i="152" s="1"/>
  <c r="M76" i="153" s="1"/>
  <c r="N76" i="153" s="1"/>
  <c r="B142" i="152"/>
  <c r="C218" i="152"/>
  <c r="B258" i="152" s="1"/>
  <c r="C258" i="152" s="1"/>
  <c r="N258" i="152" s="1"/>
  <c r="AK76" i="153" s="1"/>
  <c r="AL76" i="153" s="1"/>
  <c r="C24" i="92"/>
  <c r="U23" i="20" l="1"/>
  <c r="R24" i="20"/>
  <c r="S24" i="20" s="1"/>
  <c r="U28" i="116"/>
  <c r="Y27" i="116"/>
  <c r="J25" i="47"/>
  <c r="J51" i="47"/>
  <c r="B25" i="159"/>
  <c r="C25" i="159" s="1"/>
  <c r="E25" i="159" s="1"/>
  <c r="K25" i="159" s="1"/>
  <c r="D24" i="159"/>
  <c r="F24" i="159" s="1"/>
  <c r="G24" i="159" s="1"/>
  <c r="I22" i="159"/>
  <c r="H22" i="159"/>
  <c r="M22" i="159"/>
  <c r="L22" i="159"/>
  <c r="I25" i="47"/>
  <c r="I51" i="47"/>
  <c r="M24" i="159"/>
  <c r="L24" i="159"/>
  <c r="H27" i="72"/>
  <c r="K27" i="72"/>
  <c r="L27" i="72"/>
  <c r="G27" i="72"/>
  <c r="P19" i="157"/>
  <c r="A17" i="92"/>
  <c r="M9" i="116"/>
  <c r="S8" i="116"/>
  <c r="B33" i="116" s="1"/>
  <c r="P75" i="153"/>
  <c r="Q19" i="157"/>
  <c r="O19" i="157"/>
  <c r="P74" i="153"/>
  <c r="U74" i="153" s="1"/>
  <c r="A28" i="72"/>
  <c r="H23" i="159"/>
  <c r="I23" i="159"/>
  <c r="E12" i="153"/>
  <c r="G12" i="153" s="1"/>
  <c r="X6" i="123" s="1"/>
  <c r="O76" i="153"/>
  <c r="P76" i="153"/>
  <c r="U76" i="153" s="1"/>
  <c r="AN76" i="153"/>
  <c r="AS76" i="153" s="1"/>
  <c r="AM76" i="153"/>
  <c r="AO75" i="153"/>
  <c r="W140" i="152"/>
  <c r="C13" i="153" s="1"/>
  <c r="E13" i="153" s="1"/>
  <c r="G13" i="153" s="1"/>
  <c r="X7" i="123" s="1"/>
  <c r="B143" i="152"/>
  <c r="C142" i="152"/>
  <c r="B183" i="152" s="1"/>
  <c r="C183" i="152" s="1"/>
  <c r="N183" i="152" s="1"/>
  <c r="M77" i="153" s="1"/>
  <c r="N77" i="153" s="1"/>
  <c r="E218" i="152"/>
  <c r="W218" i="152" s="1"/>
  <c r="K14" i="153" s="1"/>
  <c r="D218" i="152"/>
  <c r="V218" i="152" s="1"/>
  <c r="J14" i="153" s="1"/>
  <c r="E141" i="152"/>
  <c r="D141" i="152"/>
  <c r="V141" i="152" s="1"/>
  <c r="B14" i="153" s="1"/>
  <c r="N12" i="153"/>
  <c r="O12" i="153"/>
  <c r="M127" i="153"/>
  <c r="N127" i="153" s="1"/>
  <c r="R49" i="153"/>
  <c r="C127" i="153"/>
  <c r="D127" i="153" s="1"/>
  <c r="B49" i="153"/>
  <c r="C219" i="152"/>
  <c r="B259" i="152" s="1"/>
  <c r="C259" i="152" s="1"/>
  <c r="N259" i="152" s="1"/>
  <c r="AK77" i="153" s="1"/>
  <c r="AL77" i="153" s="1"/>
  <c r="R48" i="153"/>
  <c r="N13" i="153"/>
  <c r="AS7" i="20" s="1"/>
  <c r="O13" i="153"/>
  <c r="AS7" i="123" s="1"/>
  <c r="B48" i="153"/>
  <c r="C25" i="92"/>
  <c r="T24" i="20" l="1"/>
  <c r="U24" i="20"/>
  <c r="U29" i="116"/>
  <c r="Y28" i="116"/>
  <c r="Q74" i="153"/>
  <c r="B26" i="159"/>
  <c r="C26" i="159" s="1"/>
  <c r="E26" i="159" s="1"/>
  <c r="K26" i="159" s="1"/>
  <c r="D25" i="159"/>
  <c r="F25" i="159" s="1"/>
  <c r="G25" i="159" s="1"/>
  <c r="H25" i="159" s="1"/>
  <c r="O27" i="127"/>
  <c r="L25" i="159"/>
  <c r="M25" i="159"/>
  <c r="P127" i="153"/>
  <c r="O127" i="153"/>
  <c r="R74" i="153"/>
  <c r="W74" i="153"/>
  <c r="Q75" i="153"/>
  <c r="S75" i="153" s="1"/>
  <c r="U75" i="153"/>
  <c r="V75" i="153" s="1"/>
  <c r="F127" i="153"/>
  <c r="E127" i="153"/>
  <c r="O28" i="127"/>
  <c r="S28" i="127" s="1"/>
  <c r="G28" i="72"/>
  <c r="K28" i="72"/>
  <c r="H28" i="72"/>
  <c r="L28" i="72"/>
  <c r="A18" i="92"/>
  <c r="M10" i="116"/>
  <c r="S9" i="116"/>
  <c r="B34" i="116" s="1"/>
  <c r="I24" i="159"/>
  <c r="L19" i="157"/>
  <c r="F22" i="47" s="1"/>
  <c r="G23" i="47"/>
  <c r="D23" i="47" s="1"/>
  <c r="M19" i="157"/>
  <c r="G22" i="47" s="1"/>
  <c r="A29" i="72"/>
  <c r="H24" i="159"/>
  <c r="AU74" i="153"/>
  <c r="AT74" i="153"/>
  <c r="F23" i="47"/>
  <c r="C23" i="47" s="1"/>
  <c r="AT75" i="153"/>
  <c r="AU75" i="153"/>
  <c r="AE6" i="123"/>
  <c r="AF6" i="123"/>
  <c r="AD6" i="123"/>
  <c r="AC6" i="123"/>
  <c r="AF7" i="123"/>
  <c r="AJ7" i="123" s="1"/>
  <c r="AK7" i="123" s="1"/>
  <c r="AL7" i="123" s="1"/>
  <c r="AE7" i="123"/>
  <c r="AI7" i="123" s="1"/>
  <c r="AD7" i="123"/>
  <c r="AH7" i="123" s="1"/>
  <c r="AC7" i="123"/>
  <c r="AG7" i="123" s="1"/>
  <c r="BA7" i="123"/>
  <c r="BE7" i="123" s="1"/>
  <c r="BF7" i="123" s="1"/>
  <c r="BG7" i="123" s="1"/>
  <c r="AX7" i="123"/>
  <c r="BB7" i="123" s="1"/>
  <c r="AZ7" i="123"/>
  <c r="BD7" i="123" s="1"/>
  <c r="AY7" i="123"/>
  <c r="BC7" i="123" s="1"/>
  <c r="G34" i="127"/>
  <c r="F34" i="127"/>
  <c r="D34" i="127"/>
  <c r="C34" i="127"/>
  <c r="H34" i="127"/>
  <c r="E34" i="127"/>
  <c r="AO76" i="153"/>
  <c r="B100" i="153"/>
  <c r="C100" i="153" s="1"/>
  <c r="C74" i="153"/>
  <c r="H74" i="153" s="1"/>
  <c r="F12" i="153"/>
  <c r="AS6" i="123"/>
  <c r="D14" i="153"/>
  <c r="R75" i="153"/>
  <c r="AQ75" i="153"/>
  <c r="AP75" i="153"/>
  <c r="F13" i="153"/>
  <c r="X7" i="20" s="1"/>
  <c r="AN77" i="153"/>
  <c r="AS77" i="153" s="1"/>
  <c r="AM77" i="153"/>
  <c r="O77" i="153"/>
  <c r="P77" i="153"/>
  <c r="U77" i="153" s="1"/>
  <c r="AP74" i="153"/>
  <c r="AQ74" i="153"/>
  <c r="Q76" i="153"/>
  <c r="W141" i="152"/>
  <c r="C14" i="153" s="1"/>
  <c r="E14" i="153" s="1"/>
  <c r="F14" i="153" s="1"/>
  <c r="X8" i="20" s="1"/>
  <c r="L14" i="153"/>
  <c r="L128" i="153" s="1"/>
  <c r="M126" i="153"/>
  <c r="N126" i="153" s="1"/>
  <c r="M14" i="153"/>
  <c r="T48" i="153"/>
  <c r="S48" i="153"/>
  <c r="D219" i="152"/>
  <c r="V219" i="152" s="1"/>
  <c r="J15" i="153" s="1"/>
  <c r="E219" i="152"/>
  <c r="W219" i="152" s="1"/>
  <c r="K15" i="153" s="1"/>
  <c r="T49" i="153"/>
  <c r="W49" i="153" s="1"/>
  <c r="S49" i="153"/>
  <c r="E142" i="152"/>
  <c r="D142" i="152"/>
  <c r="V142" i="152" s="1"/>
  <c r="B15" i="153" s="1"/>
  <c r="C126" i="153"/>
  <c r="D126" i="153" s="1"/>
  <c r="Z75" i="153"/>
  <c r="C49" i="153"/>
  <c r="D49" i="153"/>
  <c r="G49" i="153" s="1"/>
  <c r="AA74" i="153"/>
  <c r="AF74" i="153" s="1"/>
  <c r="L100" i="153"/>
  <c r="M100" i="153" s="1"/>
  <c r="C75" i="153"/>
  <c r="H75" i="153" s="1"/>
  <c r="B101" i="153"/>
  <c r="C101" i="153" s="1"/>
  <c r="C220" i="152"/>
  <c r="B260" i="152" s="1"/>
  <c r="C260" i="152" s="1"/>
  <c r="N260" i="152" s="1"/>
  <c r="AK78" i="153" s="1"/>
  <c r="Z74" i="153"/>
  <c r="AB74" i="153" s="1"/>
  <c r="AS6" i="20"/>
  <c r="D48" i="153"/>
  <c r="C48" i="153"/>
  <c r="F48" i="153" s="1"/>
  <c r="AA75" i="153"/>
  <c r="AF75" i="153" s="1"/>
  <c r="L101" i="153"/>
  <c r="M101" i="153" s="1"/>
  <c r="C143" i="152"/>
  <c r="B184" i="152" s="1"/>
  <c r="C184" i="152" s="1"/>
  <c r="N184" i="152" s="1"/>
  <c r="M78" i="153" s="1"/>
  <c r="B144" i="152"/>
  <c r="C26" i="92"/>
  <c r="Q28" i="127" l="1"/>
  <c r="AM7" i="123"/>
  <c r="AN7" i="123" s="1"/>
  <c r="P28" i="127"/>
  <c r="BH7" i="123"/>
  <c r="BI7" i="123" s="1"/>
  <c r="U28" i="127"/>
  <c r="T28" i="127"/>
  <c r="U30" i="116"/>
  <c r="Y29" i="116"/>
  <c r="O26" i="127"/>
  <c r="S27" i="127"/>
  <c r="P27" i="127"/>
  <c r="Q27" i="127"/>
  <c r="B27" i="159"/>
  <c r="D26" i="159"/>
  <c r="F26" i="159" s="1"/>
  <c r="S33" i="127"/>
  <c r="M26" i="159"/>
  <c r="L26" i="159"/>
  <c r="V74" i="153"/>
  <c r="D101" i="153"/>
  <c r="E101" i="153"/>
  <c r="N101" i="153"/>
  <c r="O101" i="153"/>
  <c r="P126" i="153"/>
  <c r="O126" i="153"/>
  <c r="S74" i="153"/>
  <c r="W75" i="153"/>
  <c r="F126" i="153"/>
  <c r="E126" i="153"/>
  <c r="O29" i="127"/>
  <c r="S29" i="127" s="1"/>
  <c r="H29" i="72"/>
  <c r="L29" i="72"/>
  <c r="G29" i="72"/>
  <c r="K29" i="72"/>
  <c r="A19" i="92"/>
  <c r="M11" i="116"/>
  <c r="S10" i="116"/>
  <c r="B35" i="116" s="1"/>
  <c r="A30" i="72"/>
  <c r="I25" i="159"/>
  <c r="C27" i="159"/>
  <c r="E27" i="159" s="1"/>
  <c r="K27" i="159" s="1"/>
  <c r="AQ76" i="153"/>
  <c r="C22" i="47"/>
  <c r="V76" i="153"/>
  <c r="W76" i="153"/>
  <c r="D22" i="47"/>
  <c r="AG6" i="123"/>
  <c r="AH6" i="123"/>
  <c r="AJ6" i="123"/>
  <c r="AK6" i="123" s="1"/>
  <c r="AI6" i="123"/>
  <c r="AY7" i="20"/>
  <c r="BC7" i="20" s="1"/>
  <c r="AZ7" i="20"/>
  <c r="BD7" i="20" s="1"/>
  <c r="BA7" i="20"/>
  <c r="BE7" i="20" s="1"/>
  <c r="BF7" i="20" s="1"/>
  <c r="BG7" i="20" s="1"/>
  <c r="AX7" i="20"/>
  <c r="BB7" i="20" s="1"/>
  <c r="BA6" i="20"/>
  <c r="AX6" i="20"/>
  <c r="AY6" i="20"/>
  <c r="AZ6" i="20"/>
  <c r="AD7" i="20"/>
  <c r="AH7" i="20" s="1"/>
  <c r="AF7" i="20"/>
  <c r="AJ7" i="20" s="1"/>
  <c r="AK7" i="20" s="1"/>
  <c r="AL7" i="20" s="1"/>
  <c r="AE7" i="20"/>
  <c r="AI7" i="20" s="1"/>
  <c r="AC7" i="20"/>
  <c r="AG7" i="20" s="1"/>
  <c r="AZ6" i="123"/>
  <c r="AX6" i="123"/>
  <c r="BA6" i="123"/>
  <c r="AY6" i="123"/>
  <c r="C35" i="127"/>
  <c r="F35" i="127"/>
  <c r="E35" i="127"/>
  <c r="D35" i="127"/>
  <c r="H35" i="127"/>
  <c r="G35" i="127"/>
  <c r="B50" i="153"/>
  <c r="C50" i="153" s="1"/>
  <c r="B128" i="153"/>
  <c r="AP76" i="153"/>
  <c r="AO77" i="153"/>
  <c r="L15" i="153"/>
  <c r="M15" i="153"/>
  <c r="N15" i="153" s="1"/>
  <c r="AS9" i="20" s="1"/>
  <c r="X6" i="20"/>
  <c r="B74" i="153"/>
  <c r="D74" i="153" s="1"/>
  <c r="B75" i="153"/>
  <c r="D75" i="153" s="1"/>
  <c r="N78" i="153"/>
  <c r="AL78" i="153"/>
  <c r="Q77" i="153"/>
  <c r="S76" i="153"/>
  <c r="R76" i="153"/>
  <c r="G14" i="153"/>
  <c r="X8" i="123" s="1"/>
  <c r="W142" i="152"/>
  <c r="C15" i="153" s="1"/>
  <c r="E15" i="153" s="1"/>
  <c r="B76" i="153"/>
  <c r="B145" i="152"/>
  <c r="C144" i="152"/>
  <c r="B185" i="152" s="1"/>
  <c r="C185" i="152" s="1"/>
  <c r="N185" i="152" s="1"/>
  <c r="M79" i="153" s="1"/>
  <c r="N79" i="153" s="1"/>
  <c r="E49" i="153"/>
  <c r="H49" i="153" s="1"/>
  <c r="F49" i="153"/>
  <c r="V49" i="153"/>
  <c r="U49" i="153"/>
  <c r="X49" i="153" s="1"/>
  <c r="R50" i="153"/>
  <c r="E143" i="152"/>
  <c r="D143" i="152"/>
  <c r="V143" i="152" s="1"/>
  <c r="B16" i="153" s="1"/>
  <c r="D220" i="152"/>
  <c r="V220" i="152" s="1"/>
  <c r="J16" i="153" s="1"/>
  <c r="L16" i="153" s="1"/>
  <c r="L130" i="153" s="1"/>
  <c r="E220" i="152"/>
  <c r="W220" i="152" s="1"/>
  <c r="K16" i="153" s="1"/>
  <c r="M16" i="153" s="1"/>
  <c r="AB75" i="153"/>
  <c r="D15" i="153"/>
  <c r="B129" i="153" s="1"/>
  <c r="V48" i="153"/>
  <c r="U48" i="153"/>
  <c r="G48" i="153"/>
  <c r="E48" i="153"/>
  <c r="C221" i="152"/>
  <c r="B261" i="152" s="1"/>
  <c r="C261" i="152" s="1"/>
  <c r="N261" i="152" s="1"/>
  <c r="AK79" i="153" s="1"/>
  <c r="AL79" i="153" s="1"/>
  <c r="W48" i="153"/>
  <c r="O14" i="153"/>
  <c r="N14" i="153"/>
  <c r="AS8" i="20" s="1"/>
  <c r="BJ7" i="123" l="1"/>
  <c r="BK7" i="123"/>
  <c r="AP7" i="123"/>
  <c r="AO7" i="123"/>
  <c r="AM6" i="123"/>
  <c r="AN6" i="123" s="1"/>
  <c r="AL6" i="123"/>
  <c r="AM7" i="20"/>
  <c r="AN7" i="20" s="1"/>
  <c r="BH7" i="20"/>
  <c r="T33" i="127"/>
  <c r="U33" i="127"/>
  <c r="T27" i="127"/>
  <c r="U27" i="127"/>
  <c r="T29" i="127"/>
  <c r="U29" i="127"/>
  <c r="G26" i="159"/>
  <c r="H26" i="159" s="1"/>
  <c r="U31" i="116"/>
  <c r="Y30" i="116"/>
  <c r="O25" i="127"/>
  <c r="Q25" i="127" s="1"/>
  <c r="B28" i="159"/>
  <c r="D27" i="159"/>
  <c r="F27" i="159" s="1"/>
  <c r="G27" i="159" s="1"/>
  <c r="S26" i="127"/>
  <c r="Q26" i="127"/>
  <c r="P26" i="127"/>
  <c r="M27" i="159"/>
  <c r="L27" i="159"/>
  <c r="E100" i="153"/>
  <c r="D100" i="153"/>
  <c r="O100" i="153"/>
  <c r="N100" i="153"/>
  <c r="P29" i="127"/>
  <c r="O30" i="127"/>
  <c r="S30" i="127" s="1"/>
  <c r="Q29" i="127"/>
  <c r="G30" i="72"/>
  <c r="K30" i="72"/>
  <c r="H30" i="72"/>
  <c r="L30" i="72"/>
  <c r="A20" i="92"/>
  <c r="M12" i="116"/>
  <c r="S11" i="116"/>
  <c r="B36" i="116" s="1"/>
  <c r="A31" i="72"/>
  <c r="AG75" i="153"/>
  <c r="AH75" i="153"/>
  <c r="AH74" i="153"/>
  <c r="AG74" i="153"/>
  <c r="I75" i="153"/>
  <c r="J75" i="153"/>
  <c r="V77" i="153"/>
  <c r="W77" i="153"/>
  <c r="AQ77" i="153"/>
  <c r="AT76" i="153"/>
  <c r="AU76" i="153"/>
  <c r="AC8" i="123"/>
  <c r="AE8" i="123"/>
  <c r="AF8" i="123"/>
  <c r="AD8" i="123"/>
  <c r="AD8" i="20"/>
  <c r="AH8" i="20" s="1"/>
  <c r="AE8" i="20"/>
  <c r="AI8" i="20" s="1"/>
  <c r="AF8" i="20"/>
  <c r="AJ8" i="20" s="1"/>
  <c r="AK8" i="20" s="1"/>
  <c r="AL8" i="20" s="1"/>
  <c r="AC8" i="20"/>
  <c r="AG8" i="20" s="1"/>
  <c r="BC6" i="20"/>
  <c r="BB6" i="20"/>
  <c r="AF6" i="20"/>
  <c r="AJ6" i="20" s="1"/>
  <c r="AK6" i="20" s="1"/>
  <c r="AC6" i="20"/>
  <c r="AG6" i="20" s="1"/>
  <c r="AD6" i="20"/>
  <c r="AH6" i="20" s="1"/>
  <c r="AE6" i="20"/>
  <c r="AI6" i="20" s="1"/>
  <c r="BD6" i="20"/>
  <c r="BE6" i="20"/>
  <c r="BF6" i="20" s="1"/>
  <c r="BG6" i="20" s="1"/>
  <c r="BC6" i="123"/>
  <c r="BB6" i="123"/>
  <c r="BE6" i="123"/>
  <c r="BF6" i="123" s="1"/>
  <c r="BD6" i="123"/>
  <c r="D50" i="153"/>
  <c r="G50" i="153" s="1"/>
  <c r="S34" i="127"/>
  <c r="G36" i="127"/>
  <c r="E36" i="127"/>
  <c r="C36" i="127"/>
  <c r="H36" i="127"/>
  <c r="D36" i="127"/>
  <c r="F36" i="127"/>
  <c r="L129" i="153"/>
  <c r="M129" i="153" s="1"/>
  <c r="N129" i="153" s="1"/>
  <c r="AP77" i="153"/>
  <c r="O15" i="153"/>
  <c r="AS9" i="123" s="1"/>
  <c r="C128" i="153"/>
  <c r="D128" i="153" s="1"/>
  <c r="AD74" i="153"/>
  <c r="F75" i="153"/>
  <c r="E75" i="153"/>
  <c r="R51" i="153"/>
  <c r="T51" i="153" s="1"/>
  <c r="W51" i="153" s="1"/>
  <c r="AS8" i="123"/>
  <c r="D16" i="153"/>
  <c r="F15" i="153"/>
  <c r="X9" i="20" s="1"/>
  <c r="G15" i="153"/>
  <c r="X9" i="123" s="1"/>
  <c r="P79" i="153"/>
  <c r="U79" i="153" s="1"/>
  <c r="O79" i="153"/>
  <c r="AM78" i="153"/>
  <c r="AN78" i="153"/>
  <c r="AS78" i="153" s="1"/>
  <c r="AM79" i="153"/>
  <c r="AN79" i="153"/>
  <c r="AS79" i="153" s="1"/>
  <c r="R77" i="153"/>
  <c r="S77" i="153"/>
  <c r="P78" i="153"/>
  <c r="U78" i="153" s="1"/>
  <c r="O78" i="153"/>
  <c r="B102" i="153"/>
  <c r="C76" i="153"/>
  <c r="H76" i="153" s="1"/>
  <c r="W143" i="152"/>
  <c r="C16" i="153" s="1"/>
  <c r="AC74" i="153"/>
  <c r="Z77" i="153"/>
  <c r="AA76" i="153"/>
  <c r="AF76" i="153" s="1"/>
  <c r="L102" i="153"/>
  <c r="X48" i="153"/>
  <c r="Y48" i="153" s="1"/>
  <c r="B51" i="153"/>
  <c r="D221" i="152"/>
  <c r="V221" i="152" s="1"/>
  <c r="J17" i="153" s="1"/>
  <c r="E221" i="152"/>
  <c r="W221" i="152" s="1"/>
  <c r="K17" i="153" s="1"/>
  <c r="H48" i="153"/>
  <c r="I48" i="153" s="1"/>
  <c r="M48" i="153" s="1"/>
  <c r="AD75" i="153"/>
  <c r="AC75" i="153"/>
  <c r="R52" i="153"/>
  <c r="M130" i="153"/>
  <c r="N130" i="153" s="1"/>
  <c r="T50" i="153"/>
  <c r="S50" i="153"/>
  <c r="Y49" i="153"/>
  <c r="AC49" i="153" s="1"/>
  <c r="E144" i="152"/>
  <c r="D144" i="152"/>
  <c r="V144" i="152" s="1"/>
  <c r="B17" i="153" s="1"/>
  <c r="Z76" i="153"/>
  <c r="C222" i="152"/>
  <c r="B262" i="152" s="1"/>
  <c r="C262" i="152" s="1"/>
  <c r="N262" i="152" s="1"/>
  <c r="AK80" i="153" s="1"/>
  <c r="AL80" i="153" s="1"/>
  <c r="O16" i="153"/>
  <c r="AS10" i="123" s="1"/>
  <c r="N16" i="153"/>
  <c r="AS10" i="20" s="1"/>
  <c r="M128" i="153"/>
  <c r="N128" i="153" s="1"/>
  <c r="I49" i="153"/>
  <c r="M49" i="153" s="1"/>
  <c r="F50" i="153"/>
  <c r="B146" i="152"/>
  <c r="C145" i="152"/>
  <c r="B186" i="152" s="1"/>
  <c r="C186" i="152" s="1"/>
  <c r="N186" i="152" s="1"/>
  <c r="M80" i="153" s="1"/>
  <c r="N80" i="153" s="1"/>
  <c r="C16" i="92"/>
  <c r="I26" i="159" l="1"/>
  <c r="AO6" i="123"/>
  <c r="AP6" i="123"/>
  <c r="BG6" i="123"/>
  <c r="BH6" i="123"/>
  <c r="AM6" i="20"/>
  <c r="AM8" i="20"/>
  <c r="AN8" i="20" s="1"/>
  <c r="AL6" i="20"/>
  <c r="AO7" i="20"/>
  <c r="AP7" i="20"/>
  <c r="BH6" i="20"/>
  <c r="P25" i="127"/>
  <c r="U30" i="127"/>
  <c r="T30" i="127"/>
  <c r="Q30" i="127"/>
  <c r="S25" i="127"/>
  <c r="U26" i="127"/>
  <c r="T26" i="127"/>
  <c r="U34" i="127"/>
  <c r="T34" i="127"/>
  <c r="U32" i="116"/>
  <c r="Y31" i="116"/>
  <c r="O24" i="127"/>
  <c r="B29" i="159"/>
  <c r="C29" i="159" s="1"/>
  <c r="E29" i="159" s="1"/>
  <c r="K29" i="159" s="1"/>
  <c r="D28" i="159"/>
  <c r="F28" i="159" s="1"/>
  <c r="C28" i="159"/>
  <c r="E28" i="159" s="1"/>
  <c r="K28" i="159" s="1"/>
  <c r="M28" i="159" s="1"/>
  <c r="P129" i="153"/>
  <c r="O129" i="153"/>
  <c r="P130" i="153"/>
  <c r="O130" i="153"/>
  <c r="F128" i="153"/>
  <c r="E128" i="153"/>
  <c r="P128" i="153"/>
  <c r="O128" i="153"/>
  <c r="P30" i="127"/>
  <c r="G31" i="72"/>
  <c r="K31" i="72"/>
  <c r="H31" i="72"/>
  <c r="L31" i="72"/>
  <c r="E16" i="92"/>
  <c r="D16" i="92"/>
  <c r="A21" i="92"/>
  <c r="M13" i="116"/>
  <c r="S12" i="116"/>
  <c r="B37" i="116" s="1"/>
  <c r="E50" i="153"/>
  <c r="H50" i="153" s="1"/>
  <c r="I50" i="153" s="1"/>
  <c r="A32" i="72"/>
  <c r="I20" i="123"/>
  <c r="M20" i="123" s="1"/>
  <c r="H20" i="123"/>
  <c r="L20" i="123" s="1"/>
  <c r="J20" i="123"/>
  <c r="N20" i="123" s="1"/>
  <c r="K20" i="123"/>
  <c r="O20" i="123" s="1"/>
  <c r="P20" i="123" s="1"/>
  <c r="Q20" i="123" s="1"/>
  <c r="H27" i="159"/>
  <c r="I27" i="159"/>
  <c r="AE49" i="153"/>
  <c r="AD49" i="153"/>
  <c r="O49" i="153"/>
  <c r="N49" i="153"/>
  <c r="F74" i="153"/>
  <c r="AT77" i="153"/>
  <c r="AU77" i="153"/>
  <c r="AJ8" i="123"/>
  <c r="AK8" i="123" s="1"/>
  <c r="AH8" i="123"/>
  <c r="AI8" i="123"/>
  <c r="AD9" i="123"/>
  <c r="AH9" i="123" s="1"/>
  <c r="AE9" i="123"/>
  <c r="AI9" i="123" s="1"/>
  <c r="AC9" i="123"/>
  <c r="AG9" i="123" s="1"/>
  <c r="AF9" i="123"/>
  <c r="AJ9" i="123" s="1"/>
  <c r="AK9" i="123" s="1"/>
  <c r="AL9" i="123" s="1"/>
  <c r="AG8" i="123"/>
  <c r="AY8" i="20"/>
  <c r="AZ8" i="20"/>
  <c r="BA8" i="20"/>
  <c r="AX8" i="20"/>
  <c r="AZ9" i="20"/>
  <c r="BD9" i="20" s="1"/>
  <c r="AX9" i="20"/>
  <c r="BB9" i="20" s="1"/>
  <c r="BA9" i="20"/>
  <c r="BE9" i="20" s="1"/>
  <c r="BF9" i="20" s="1"/>
  <c r="BG9" i="20" s="1"/>
  <c r="AY9" i="20"/>
  <c r="BC9" i="20" s="1"/>
  <c r="AZ10" i="123"/>
  <c r="BD10" i="123" s="1"/>
  <c r="BA10" i="123"/>
  <c r="BE10" i="123" s="1"/>
  <c r="BF10" i="123" s="1"/>
  <c r="BG10" i="123" s="1"/>
  <c r="AY10" i="123"/>
  <c r="BC10" i="123" s="1"/>
  <c r="AX10" i="123"/>
  <c r="BB10" i="123" s="1"/>
  <c r="AX8" i="123"/>
  <c r="BA8" i="123"/>
  <c r="AZ8" i="123"/>
  <c r="AY8" i="123"/>
  <c r="AY9" i="123"/>
  <c r="BC9" i="123" s="1"/>
  <c r="BA9" i="123"/>
  <c r="BE9" i="123" s="1"/>
  <c r="BF9" i="123" s="1"/>
  <c r="BG9" i="123" s="1"/>
  <c r="AZ9" i="123"/>
  <c r="BD9" i="123" s="1"/>
  <c r="AX9" i="123"/>
  <c r="BB9" i="123" s="1"/>
  <c r="K14" i="123"/>
  <c r="O14" i="123" s="1"/>
  <c r="P14" i="123" s="1"/>
  <c r="Q14" i="123" s="1"/>
  <c r="J14" i="123"/>
  <c r="N14" i="123" s="1"/>
  <c r="H14" i="123"/>
  <c r="L14" i="123" s="1"/>
  <c r="I14" i="123"/>
  <c r="M14" i="123" s="1"/>
  <c r="C37" i="127"/>
  <c r="G37" i="127"/>
  <c r="F37" i="127"/>
  <c r="H37" i="127"/>
  <c r="S35" i="127"/>
  <c r="D37" i="127"/>
  <c r="E37" i="127"/>
  <c r="B130" i="153"/>
  <c r="C130" i="153" s="1"/>
  <c r="D130" i="153" s="1"/>
  <c r="B52" i="153"/>
  <c r="C52" i="153" s="1"/>
  <c r="AA77" i="153"/>
  <c r="L103" i="153"/>
  <c r="M103" i="153" s="1"/>
  <c r="B103" i="153"/>
  <c r="C103" i="153" s="1"/>
  <c r="S51" i="153"/>
  <c r="U51" i="153" s="1"/>
  <c r="X51" i="153" s="1"/>
  <c r="C102" i="153"/>
  <c r="D76" i="153"/>
  <c r="E74" i="153"/>
  <c r="B77" i="153"/>
  <c r="E16" i="153"/>
  <c r="F16" i="153" s="1"/>
  <c r="C77" i="153"/>
  <c r="H77" i="153" s="1"/>
  <c r="Q78" i="153"/>
  <c r="AO78" i="153"/>
  <c r="O80" i="153"/>
  <c r="P80" i="153"/>
  <c r="U80" i="153" s="1"/>
  <c r="AO79" i="153"/>
  <c r="Q79" i="153"/>
  <c r="AN80" i="153"/>
  <c r="AS80" i="153" s="1"/>
  <c r="AM80" i="153"/>
  <c r="W144" i="152"/>
  <c r="C17" i="153" s="1"/>
  <c r="E17" i="153" s="1"/>
  <c r="G17" i="153" s="1"/>
  <c r="X11" i="123" s="1"/>
  <c r="AB76" i="153"/>
  <c r="K49" i="153"/>
  <c r="J49" i="153"/>
  <c r="T52" i="153"/>
  <c r="W52" i="153" s="1"/>
  <c r="S52" i="153"/>
  <c r="D145" i="152"/>
  <c r="V145" i="152" s="1"/>
  <c r="B18" i="153" s="1"/>
  <c r="D18" i="153" s="1"/>
  <c r="B132" i="153" s="1"/>
  <c r="E145" i="152"/>
  <c r="C223" i="152"/>
  <c r="B263" i="152" s="1"/>
  <c r="C263" i="152" s="1"/>
  <c r="N263" i="152" s="1"/>
  <c r="AK81" i="153" s="1"/>
  <c r="AL81" i="153" s="1"/>
  <c r="D17" i="153"/>
  <c r="B131" i="153" s="1"/>
  <c r="V50" i="153"/>
  <c r="U50" i="153"/>
  <c r="D51" i="153"/>
  <c r="C51" i="153"/>
  <c r="Z78" i="153"/>
  <c r="AA49" i="153"/>
  <c r="Z49" i="153"/>
  <c r="M17" i="153"/>
  <c r="AA78" i="153"/>
  <c r="AF78" i="153" s="1"/>
  <c r="L104" i="153"/>
  <c r="M104" i="153" s="1"/>
  <c r="L17" i="153"/>
  <c r="L131" i="153" s="1"/>
  <c r="M102" i="153"/>
  <c r="B147" i="152"/>
  <c r="C146" i="152"/>
  <c r="B187" i="152" s="1"/>
  <c r="C187" i="152" s="1"/>
  <c r="N187" i="152" s="1"/>
  <c r="M81" i="153" s="1"/>
  <c r="N81" i="153" s="1"/>
  <c r="E222" i="152"/>
  <c r="W222" i="152" s="1"/>
  <c r="K18" i="153" s="1"/>
  <c r="M18" i="153" s="1"/>
  <c r="D222" i="152"/>
  <c r="V222" i="152" s="1"/>
  <c r="J18" i="153" s="1"/>
  <c r="L18" i="153" s="1"/>
  <c r="L132" i="153" s="1"/>
  <c r="W50" i="153"/>
  <c r="C129" i="153"/>
  <c r="D129" i="153" s="1"/>
  <c r="C17" i="92"/>
  <c r="C15" i="92"/>
  <c r="BH10" i="123" l="1"/>
  <c r="BI10" i="123" s="1"/>
  <c r="BI6" i="123"/>
  <c r="BH9" i="123"/>
  <c r="BI9" i="123" s="1"/>
  <c r="AM8" i="123"/>
  <c r="AN8" i="123" s="1"/>
  <c r="AL8" i="123"/>
  <c r="AM9" i="123"/>
  <c r="AN9" i="123" s="1"/>
  <c r="R14" i="123"/>
  <c r="S14" i="123" s="1"/>
  <c r="R20" i="123"/>
  <c r="S20" i="123" s="1"/>
  <c r="AP8" i="20"/>
  <c r="AO8" i="20"/>
  <c r="AN6" i="20"/>
  <c r="BH9" i="20"/>
  <c r="H38" i="127"/>
  <c r="T25" i="127"/>
  <c r="U25" i="127"/>
  <c r="E38" i="127"/>
  <c r="F38" i="127"/>
  <c r="D38" i="127"/>
  <c r="G38" i="127"/>
  <c r="T35" i="127"/>
  <c r="U35" i="127"/>
  <c r="C38" i="127"/>
  <c r="U33" i="116"/>
  <c r="Y32" i="116"/>
  <c r="B78" i="153"/>
  <c r="X10" i="20"/>
  <c r="G28" i="159"/>
  <c r="H28" i="159" s="1"/>
  <c r="L28" i="159"/>
  <c r="B30" i="159"/>
  <c r="C30" i="159" s="1"/>
  <c r="E30" i="159" s="1"/>
  <c r="K30" i="159" s="1"/>
  <c r="D29" i="159"/>
  <c r="F29" i="159" s="1"/>
  <c r="G29" i="159" s="1"/>
  <c r="O23" i="127"/>
  <c r="S24" i="127"/>
  <c r="Q24" i="127"/>
  <c r="P24" i="127"/>
  <c r="L29" i="159"/>
  <c r="M29" i="159"/>
  <c r="F129" i="153"/>
  <c r="E129" i="153"/>
  <c r="N104" i="153"/>
  <c r="O104" i="153"/>
  <c r="D102" i="153"/>
  <c r="E102" i="153"/>
  <c r="AB77" i="153"/>
  <c r="AC77" i="153" s="1"/>
  <c r="AF77" i="153"/>
  <c r="AG77" i="153" s="1"/>
  <c r="N102" i="153"/>
  <c r="O102" i="153"/>
  <c r="N103" i="153"/>
  <c r="O103" i="153"/>
  <c r="D103" i="153"/>
  <c r="E103" i="153"/>
  <c r="F130" i="153"/>
  <c r="E130" i="153"/>
  <c r="H32" i="72"/>
  <c r="K32" i="72"/>
  <c r="G32" i="72"/>
  <c r="L32" i="72"/>
  <c r="E15" i="92"/>
  <c r="D15" i="92"/>
  <c r="D17" i="92"/>
  <c r="E17" i="92"/>
  <c r="A22" i="92"/>
  <c r="M14" i="116"/>
  <c r="S13" i="116"/>
  <c r="B38" i="116" s="1"/>
  <c r="A33" i="72"/>
  <c r="J21" i="123"/>
  <c r="N21" i="123" s="1"/>
  <c r="I21" i="123"/>
  <c r="M21" i="123" s="1"/>
  <c r="K21" i="123"/>
  <c r="O21" i="123" s="1"/>
  <c r="P21" i="123" s="1"/>
  <c r="Q21" i="123" s="1"/>
  <c r="H21" i="123"/>
  <c r="L21" i="123" s="1"/>
  <c r="AG76" i="153"/>
  <c r="AH76" i="153"/>
  <c r="V79" i="153"/>
  <c r="W79" i="153"/>
  <c r="AT78" i="153"/>
  <c r="AU78" i="153"/>
  <c r="K50" i="153"/>
  <c r="M50" i="153"/>
  <c r="AT79" i="153"/>
  <c r="AU79" i="153"/>
  <c r="V78" i="153"/>
  <c r="W78" i="153"/>
  <c r="F76" i="153"/>
  <c r="AA48" i="153"/>
  <c r="AC48" i="153"/>
  <c r="J74" i="153"/>
  <c r="I74" i="153"/>
  <c r="K48" i="153"/>
  <c r="AF11" i="123"/>
  <c r="AJ11" i="123" s="1"/>
  <c r="AK11" i="123" s="1"/>
  <c r="AL11" i="123" s="1"/>
  <c r="AD11" i="123"/>
  <c r="AH11" i="123" s="1"/>
  <c r="AC11" i="123"/>
  <c r="AG11" i="123" s="1"/>
  <c r="AE11" i="123"/>
  <c r="AI11" i="123" s="1"/>
  <c r="AE9" i="20"/>
  <c r="AI9" i="20" s="1"/>
  <c r="AC9" i="20"/>
  <c r="AG9" i="20" s="1"/>
  <c r="AF9" i="20"/>
  <c r="AJ9" i="20" s="1"/>
  <c r="AK9" i="20" s="1"/>
  <c r="AD9" i="20"/>
  <c r="AH9" i="20" s="1"/>
  <c r="BD8" i="20"/>
  <c r="BA10" i="20"/>
  <c r="BE10" i="20" s="1"/>
  <c r="BF10" i="20" s="1"/>
  <c r="BG10" i="20" s="1"/>
  <c r="AX10" i="20"/>
  <c r="BB10" i="20" s="1"/>
  <c r="AY10" i="20"/>
  <c r="BC10" i="20" s="1"/>
  <c r="AZ10" i="20"/>
  <c r="BD10" i="20" s="1"/>
  <c r="BE8" i="20"/>
  <c r="BF8" i="20" s="1"/>
  <c r="BG8" i="20" s="1"/>
  <c r="BC8" i="20"/>
  <c r="BB8" i="20"/>
  <c r="BC8" i="123"/>
  <c r="BD8" i="123"/>
  <c r="BE8" i="123"/>
  <c r="BF8" i="123" s="1"/>
  <c r="BB8" i="123"/>
  <c r="H15" i="123"/>
  <c r="L15" i="123" s="1"/>
  <c r="I15" i="123"/>
  <c r="M15" i="123" s="1"/>
  <c r="K15" i="123"/>
  <c r="O15" i="123" s="1"/>
  <c r="P15" i="123" s="1"/>
  <c r="Q15" i="123" s="1"/>
  <c r="J15" i="123"/>
  <c r="N15" i="123" s="1"/>
  <c r="K13" i="123"/>
  <c r="O13" i="123" s="1"/>
  <c r="P13" i="123" s="1"/>
  <c r="Q13" i="123" s="1"/>
  <c r="J13" i="123"/>
  <c r="N13" i="123" s="1"/>
  <c r="H13" i="123"/>
  <c r="L13" i="123" s="1"/>
  <c r="I13" i="123"/>
  <c r="M13" i="123" s="1"/>
  <c r="S36" i="127"/>
  <c r="D52" i="153"/>
  <c r="G52" i="153" s="1"/>
  <c r="V51" i="153"/>
  <c r="Y51" i="153" s="1"/>
  <c r="Z48" i="153"/>
  <c r="E76" i="153"/>
  <c r="AC76" i="153"/>
  <c r="J48" i="153"/>
  <c r="G16" i="153"/>
  <c r="X10" i="123" s="1"/>
  <c r="D77" i="153"/>
  <c r="AO80" i="153"/>
  <c r="Q80" i="153"/>
  <c r="AQ78" i="153"/>
  <c r="AP78" i="153"/>
  <c r="O81" i="153"/>
  <c r="P81" i="153"/>
  <c r="U81" i="153" s="1"/>
  <c r="AQ79" i="153"/>
  <c r="AP79" i="153"/>
  <c r="AN81" i="153"/>
  <c r="AS81" i="153" s="1"/>
  <c r="AM81" i="153"/>
  <c r="R79" i="153"/>
  <c r="S79" i="153"/>
  <c r="R78" i="153"/>
  <c r="S78" i="153"/>
  <c r="W145" i="152"/>
  <c r="C18" i="153" s="1"/>
  <c r="E18" i="153" s="1"/>
  <c r="F18" i="153" s="1"/>
  <c r="X12" i="20" s="1"/>
  <c r="F17" i="153"/>
  <c r="AD76" i="153"/>
  <c r="J50" i="153"/>
  <c r="O18" i="153"/>
  <c r="AS12" i="123" s="1"/>
  <c r="N18" i="153"/>
  <c r="AS12" i="20" s="1"/>
  <c r="E146" i="152"/>
  <c r="D146" i="152"/>
  <c r="V146" i="152" s="1"/>
  <c r="B19" i="153" s="1"/>
  <c r="D19" i="153" s="1"/>
  <c r="B133" i="153" s="1"/>
  <c r="B53" i="153"/>
  <c r="C147" i="152"/>
  <c r="B188" i="152" s="1"/>
  <c r="C188" i="152" s="1"/>
  <c r="N188" i="152" s="1"/>
  <c r="M82" i="153" s="1"/>
  <c r="N82" i="153" s="1"/>
  <c r="B148" i="152"/>
  <c r="R53" i="153"/>
  <c r="X50" i="153"/>
  <c r="Y50" i="153" s="1"/>
  <c r="AC50" i="153" s="1"/>
  <c r="C132" i="153"/>
  <c r="D132" i="153" s="1"/>
  <c r="B54" i="153"/>
  <c r="AD77" i="153"/>
  <c r="F51" i="153"/>
  <c r="E51" i="153"/>
  <c r="D223" i="152"/>
  <c r="V223" i="152" s="1"/>
  <c r="J19" i="153" s="1"/>
  <c r="E223" i="152"/>
  <c r="W223" i="152" s="1"/>
  <c r="K19" i="153" s="1"/>
  <c r="M19" i="153" s="1"/>
  <c r="C79" i="153"/>
  <c r="H79" i="153" s="1"/>
  <c r="B105" i="153"/>
  <c r="C105" i="153" s="1"/>
  <c r="R54" i="153"/>
  <c r="M132" i="153"/>
  <c r="N132" i="153" s="1"/>
  <c r="F52" i="153"/>
  <c r="O17" i="153"/>
  <c r="N17" i="153"/>
  <c r="AS11" i="20" s="1"/>
  <c r="AB78" i="153"/>
  <c r="G51" i="153"/>
  <c r="C224" i="152"/>
  <c r="B264" i="152" s="1"/>
  <c r="C264" i="152" s="1"/>
  <c r="N264" i="152" s="1"/>
  <c r="AK82" i="153" s="1"/>
  <c r="AL82" i="153" s="1"/>
  <c r="V52" i="153"/>
  <c r="U52" i="153"/>
  <c r="X52" i="153" s="1"/>
  <c r="C18" i="92"/>
  <c r="C14" i="92"/>
  <c r="I28" i="159" l="1"/>
  <c r="BH8" i="123"/>
  <c r="BI8" i="123" s="1"/>
  <c r="AP9" i="123"/>
  <c r="AO9" i="123"/>
  <c r="BK10" i="123"/>
  <c r="BJ10" i="123"/>
  <c r="U20" i="123"/>
  <c r="T20" i="123"/>
  <c r="AO8" i="123"/>
  <c r="AP8" i="123"/>
  <c r="BK6" i="123"/>
  <c r="BJ6" i="123"/>
  <c r="U14" i="123"/>
  <c r="T14" i="123"/>
  <c r="BJ9" i="123"/>
  <c r="BK9" i="123"/>
  <c r="BG8" i="123"/>
  <c r="BK8" i="123" s="1"/>
  <c r="AM11" i="123"/>
  <c r="AN11" i="123" s="1"/>
  <c r="R15" i="123"/>
  <c r="S15" i="123" s="1"/>
  <c r="R13" i="123"/>
  <c r="S13" i="123" s="1"/>
  <c r="R21" i="123"/>
  <c r="S21" i="123" s="1"/>
  <c r="AM9" i="20"/>
  <c r="AN9" i="20" s="1"/>
  <c r="AP6" i="20"/>
  <c r="AO6" i="20"/>
  <c r="AL9" i="20"/>
  <c r="BH10" i="20"/>
  <c r="BH8" i="20"/>
  <c r="U36" i="127"/>
  <c r="T36" i="127"/>
  <c r="C39" i="127"/>
  <c r="G39" i="127"/>
  <c r="F39" i="127"/>
  <c r="U24" i="127"/>
  <c r="T24" i="127"/>
  <c r="D39" i="127"/>
  <c r="E39" i="127"/>
  <c r="H39" i="127"/>
  <c r="U34" i="116"/>
  <c r="Y33" i="116"/>
  <c r="B79" i="153"/>
  <c r="X11" i="20"/>
  <c r="S23" i="127"/>
  <c r="P23" i="127"/>
  <c r="Q23" i="127"/>
  <c r="B31" i="159"/>
  <c r="D30" i="159"/>
  <c r="F30" i="159" s="1"/>
  <c r="O22" i="127"/>
  <c r="M30" i="159"/>
  <c r="L30" i="159"/>
  <c r="D105" i="153"/>
  <c r="E105" i="153"/>
  <c r="AH77" i="153"/>
  <c r="E22" i="92"/>
  <c r="D22" i="92"/>
  <c r="F132" i="153"/>
  <c r="E132" i="153"/>
  <c r="P132" i="153"/>
  <c r="O132" i="153"/>
  <c r="H33" i="72"/>
  <c r="L33" i="72"/>
  <c r="G33" i="72"/>
  <c r="K33" i="72"/>
  <c r="E14" i="92"/>
  <c r="D14" i="92"/>
  <c r="D18" i="92"/>
  <c r="E18" i="92"/>
  <c r="A23" i="92"/>
  <c r="M15" i="116"/>
  <c r="S14" i="116"/>
  <c r="B39" i="116" s="1"/>
  <c r="A34" i="72"/>
  <c r="J22" i="123"/>
  <c r="N22" i="123" s="1"/>
  <c r="H22" i="123"/>
  <c r="L22" i="123" s="1"/>
  <c r="K22" i="123"/>
  <c r="O22" i="123" s="1"/>
  <c r="P22" i="123" s="1"/>
  <c r="Q22" i="123" s="1"/>
  <c r="I22" i="123"/>
  <c r="M22" i="123" s="1"/>
  <c r="I29" i="159"/>
  <c r="H29" i="159"/>
  <c r="E77" i="153"/>
  <c r="I76" i="153"/>
  <c r="J76" i="153"/>
  <c r="R80" i="153"/>
  <c r="AA51" i="153"/>
  <c r="AC51" i="153"/>
  <c r="N48" i="153"/>
  <c r="O48" i="153"/>
  <c r="O50" i="153"/>
  <c r="N50" i="153"/>
  <c r="AG78" i="153"/>
  <c r="AH78" i="153"/>
  <c r="AE50" i="153"/>
  <c r="AD50" i="153"/>
  <c r="AP80" i="153"/>
  <c r="AE48" i="153"/>
  <c r="AD48" i="153"/>
  <c r="AE10" i="123"/>
  <c r="AD10" i="123"/>
  <c r="AC10" i="123"/>
  <c r="AF10" i="123"/>
  <c r="F77" i="153"/>
  <c r="AF10" i="20"/>
  <c r="AJ10" i="20" s="1"/>
  <c r="AK10" i="20" s="1"/>
  <c r="AL10" i="20" s="1"/>
  <c r="AC10" i="20"/>
  <c r="AG10" i="20" s="1"/>
  <c r="AE10" i="20"/>
  <c r="AI10" i="20" s="1"/>
  <c r="AD10" i="20"/>
  <c r="AH10" i="20" s="1"/>
  <c r="AX12" i="123"/>
  <c r="BB12" i="123" s="1"/>
  <c r="BA12" i="123"/>
  <c r="BE12" i="123" s="1"/>
  <c r="BF12" i="123" s="1"/>
  <c r="BG12" i="123" s="1"/>
  <c r="AZ12" i="123"/>
  <c r="BD12" i="123" s="1"/>
  <c r="AY12" i="123"/>
  <c r="BC12" i="123" s="1"/>
  <c r="I12" i="123"/>
  <c r="M12" i="123" s="1"/>
  <c r="H12" i="123"/>
  <c r="L12" i="123" s="1"/>
  <c r="J12" i="123"/>
  <c r="N12" i="123" s="1"/>
  <c r="K12" i="123"/>
  <c r="O12" i="123" s="1"/>
  <c r="P12" i="123" s="1"/>
  <c r="Q12" i="123" s="1"/>
  <c r="K16" i="123"/>
  <c r="O16" i="123" s="1"/>
  <c r="P16" i="123" s="1"/>
  <c r="Q16" i="123" s="1"/>
  <c r="I16" i="123"/>
  <c r="M16" i="123" s="1"/>
  <c r="H16" i="123"/>
  <c r="L16" i="123" s="1"/>
  <c r="J16" i="123"/>
  <c r="N16" i="123" s="1"/>
  <c r="S37" i="127"/>
  <c r="E52" i="153"/>
  <c r="H52" i="153" s="1"/>
  <c r="I52" i="153" s="1"/>
  <c r="AQ80" i="153"/>
  <c r="S80" i="153"/>
  <c r="AS11" i="123"/>
  <c r="B104" i="153"/>
  <c r="C78" i="153"/>
  <c r="Q81" i="153"/>
  <c r="P82" i="153"/>
  <c r="U82" i="153" s="1"/>
  <c r="O82" i="153"/>
  <c r="AN82" i="153"/>
  <c r="AS82" i="153" s="1"/>
  <c r="AM82" i="153"/>
  <c r="AO81" i="153"/>
  <c r="G18" i="153"/>
  <c r="X12" i="123" s="1"/>
  <c r="W146" i="152"/>
  <c r="C19" i="153" s="1"/>
  <c r="E19" i="153" s="1"/>
  <c r="F19" i="153" s="1"/>
  <c r="X13" i="20" s="1"/>
  <c r="Z51" i="153"/>
  <c r="Y52" i="153"/>
  <c r="D79" i="153"/>
  <c r="S54" i="153"/>
  <c r="T54" i="153"/>
  <c r="W54" i="153" s="1"/>
  <c r="B80" i="153"/>
  <c r="C225" i="152"/>
  <c r="B265" i="152" s="1"/>
  <c r="C265" i="152" s="1"/>
  <c r="N265" i="152" s="1"/>
  <c r="AK83" i="153" s="1"/>
  <c r="AL83" i="153" s="1"/>
  <c r="O19" i="153"/>
  <c r="AS13" i="123" s="1"/>
  <c r="N19" i="153"/>
  <c r="AS13" i="20" s="1"/>
  <c r="AA50" i="153"/>
  <c r="Z50" i="153"/>
  <c r="L19" i="153"/>
  <c r="L133" i="153" s="1"/>
  <c r="C54" i="153"/>
  <c r="D54" i="153"/>
  <c r="G54" i="153" s="1"/>
  <c r="T53" i="153"/>
  <c r="S53" i="153"/>
  <c r="C131" i="153"/>
  <c r="D131" i="153" s="1"/>
  <c r="Z80" i="153"/>
  <c r="E224" i="152"/>
  <c r="W224" i="152" s="1"/>
  <c r="K20" i="153" s="1"/>
  <c r="M20" i="153" s="1"/>
  <c r="D224" i="152"/>
  <c r="V224" i="152" s="1"/>
  <c r="J20" i="153" s="1"/>
  <c r="L20" i="153" s="1"/>
  <c r="L134" i="153" s="1"/>
  <c r="AA79" i="153"/>
  <c r="AF79" i="153" s="1"/>
  <c r="L105" i="153"/>
  <c r="B149" i="152"/>
  <c r="C148" i="152"/>
  <c r="B189" i="152" s="1"/>
  <c r="C189" i="152" s="1"/>
  <c r="N189" i="152" s="1"/>
  <c r="M83" i="153" s="1"/>
  <c r="N83" i="153" s="1"/>
  <c r="C133" i="153"/>
  <c r="D133" i="153" s="1"/>
  <c r="B55" i="153"/>
  <c r="D147" i="152"/>
  <c r="V147" i="152" s="1"/>
  <c r="B20" i="153" s="1"/>
  <c r="D20" i="153" s="1"/>
  <c r="B134" i="153" s="1"/>
  <c r="E147" i="152"/>
  <c r="AD78" i="153"/>
  <c r="AC78" i="153"/>
  <c r="Z79" i="153"/>
  <c r="H51" i="153"/>
  <c r="M131" i="153"/>
  <c r="N131" i="153" s="1"/>
  <c r="D53" i="153"/>
  <c r="C53" i="153"/>
  <c r="AA80" i="153"/>
  <c r="AF80" i="153" s="1"/>
  <c r="L106" i="153"/>
  <c r="M106" i="153" s="1"/>
  <c r="C19" i="92"/>
  <c r="C13" i="92"/>
  <c r="T15" i="123" l="1"/>
  <c r="U15" i="123"/>
  <c r="T13" i="123"/>
  <c r="U13" i="123"/>
  <c r="AP11" i="123"/>
  <c r="AO11" i="123"/>
  <c r="BJ8" i="123"/>
  <c r="T21" i="123"/>
  <c r="U21" i="123"/>
  <c r="BH12" i="123"/>
  <c r="BI12" i="123" s="1"/>
  <c r="R22" i="123"/>
  <c r="S22" i="123" s="1"/>
  <c r="R12" i="123"/>
  <c r="S12" i="123" s="1"/>
  <c r="R16" i="123"/>
  <c r="S16" i="123" s="1"/>
  <c r="AM10" i="20"/>
  <c r="AN10" i="20" s="1"/>
  <c r="AO10" i="20"/>
  <c r="AP10" i="20"/>
  <c r="AP9" i="20"/>
  <c r="AO9" i="20"/>
  <c r="T37" i="127"/>
  <c r="U37" i="127"/>
  <c r="T23" i="127"/>
  <c r="U23" i="127"/>
  <c r="U35" i="116"/>
  <c r="Y34" i="116"/>
  <c r="O21" i="127"/>
  <c r="S21" i="127" s="1"/>
  <c r="B32" i="159"/>
  <c r="C32" i="159" s="1"/>
  <c r="E32" i="159" s="1"/>
  <c r="K32" i="159" s="1"/>
  <c r="D31" i="159"/>
  <c r="F31" i="159" s="1"/>
  <c r="S22" i="127"/>
  <c r="P22" i="127"/>
  <c r="Q22" i="127"/>
  <c r="C31" i="159"/>
  <c r="E31" i="159" s="1"/>
  <c r="K31" i="159" s="1"/>
  <c r="L31" i="159" s="1"/>
  <c r="F131" i="153"/>
  <c r="E131" i="153"/>
  <c r="E23" i="92"/>
  <c r="D23" i="92"/>
  <c r="P131" i="153"/>
  <c r="O131" i="153"/>
  <c r="N106" i="153"/>
  <c r="O106" i="153"/>
  <c r="F133" i="153"/>
  <c r="E133" i="153"/>
  <c r="D78" i="153"/>
  <c r="F78" i="153" s="1"/>
  <c r="H78" i="153"/>
  <c r="I78" i="153" s="1"/>
  <c r="H34" i="72"/>
  <c r="K34" i="72"/>
  <c r="L34" i="72"/>
  <c r="G34" i="72"/>
  <c r="E13" i="92"/>
  <c r="D13" i="92"/>
  <c r="E19" i="92"/>
  <c r="D19" i="92"/>
  <c r="A24" i="92"/>
  <c r="M16" i="116"/>
  <c r="S15" i="116"/>
  <c r="B40" i="116" s="1"/>
  <c r="A35" i="72"/>
  <c r="J23" i="123"/>
  <c r="N23" i="123" s="1"/>
  <c r="K23" i="123"/>
  <c r="O23" i="123" s="1"/>
  <c r="P23" i="123" s="1"/>
  <c r="Q23" i="123" s="1"/>
  <c r="I23" i="123"/>
  <c r="M23" i="123" s="1"/>
  <c r="H23" i="123"/>
  <c r="L23" i="123" s="1"/>
  <c r="G30" i="159"/>
  <c r="Z52" i="153"/>
  <c r="AC52" i="153"/>
  <c r="AT81" i="153"/>
  <c r="AU81" i="153"/>
  <c r="K52" i="153"/>
  <c r="M52" i="153"/>
  <c r="AT80" i="153"/>
  <c r="AU80" i="153"/>
  <c r="I77" i="153"/>
  <c r="J77" i="153"/>
  <c r="V80" i="153"/>
  <c r="W80" i="153"/>
  <c r="AE51" i="153"/>
  <c r="AD51" i="153"/>
  <c r="E79" i="153"/>
  <c r="R81" i="153"/>
  <c r="AG10" i="123"/>
  <c r="AJ10" i="123"/>
  <c r="AK10" i="123" s="1"/>
  <c r="AE12" i="123"/>
  <c r="AI12" i="123" s="1"/>
  <c r="AD12" i="123"/>
  <c r="AH12" i="123" s="1"/>
  <c r="AC12" i="123"/>
  <c r="AG12" i="123" s="1"/>
  <c r="AF12" i="123"/>
  <c r="AJ12" i="123" s="1"/>
  <c r="AK12" i="123" s="1"/>
  <c r="AL12" i="123" s="1"/>
  <c r="AH10" i="123"/>
  <c r="AI10" i="123"/>
  <c r="AY12" i="20"/>
  <c r="BC12" i="20" s="1"/>
  <c r="AZ12" i="20"/>
  <c r="BD12" i="20" s="1"/>
  <c r="BA12" i="20"/>
  <c r="BE12" i="20" s="1"/>
  <c r="BF12" i="20" s="1"/>
  <c r="BG12" i="20" s="1"/>
  <c r="AX12" i="20"/>
  <c r="BB12" i="20" s="1"/>
  <c r="AY11" i="20"/>
  <c r="AZ11" i="20"/>
  <c r="AX11" i="20"/>
  <c r="BA11" i="20"/>
  <c r="AD11" i="20"/>
  <c r="AH11" i="20" s="1"/>
  <c r="AE11" i="20"/>
  <c r="AI11" i="20" s="1"/>
  <c r="AC11" i="20"/>
  <c r="AG11" i="20" s="1"/>
  <c r="AF11" i="20"/>
  <c r="AJ11" i="20" s="1"/>
  <c r="AK11" i="20" s="1"/>
  <c r="AL11" i="20" s="1"/>
  <c r="AD12" i="20"/>
  <c r="AH12" i="20" s="1"/>
  <c r="AE12" i="20"/>
  <c r="AI12" i="20" s="1"/>
  <c r="AC12" i="20"/>
  <c r="AG12" i="20" s="1"/>
  <c r="AF12" i="20"/>
  <c r="AJ12" i="20" s="1"/>
  <c r="AK12" i="20" s="1"/>
  <c r="AL12" i="20" s="1"/>
  <c r="BA11" i="123"/>
  <c r="AZ11" i="123"/>
  <c r="AY11" i="123"/>
  <c r="AX11" i="123"/>
  <c r="AY13" i="123"/>
  <c r="BC13" i="123" s="1"/>
  <c r="BA13" i="123"/>
  <c r="BE13" i="123" s="1"/>
  <c r="BF13" i="123" s="1"/>
  <c r="BG13" i="123" s="1"/>
  <c r="AZ13" i="123"/>
  <c r="BD13" i="123" s="1"/>
  <c r="AX13" i="123"/>
  <c r="BB13" i="123" s="1"/>
  <c r="J11" i="123"/>
  <c r="N11" i="123" s="1"/>
  <c r="K11" i="123"/>
  <c r="O11" i="123" s="1"/>
  <c r="P11" i="123" s="1"/>
  <c r="Q11" i="123" s="1"/>
  <c r="H11" i="123"/>
  <c r="L11" i="123" s="1"/>
  <c r="I11" i="123"/>
  <c r="M11" i="123" s="1"/>
  <c r="K17" i="123"/>
  <c r="O17" i="123" s="1"/>
  <c r="P17" i="123" s="1"/>
  <c r="Q17" i="123" s="1"/>
  <c r="H17" i="123"/>
  <c r="L17" i="123" s="1"/>
  <c r="J17" i="123"/>
  <c r="N17" i="123" s="1"/>
  <c r="I17" i="123"/>
  <c r="M17" i="123" s="1"/>
  <c r="I10" i="20"/>
  <c r="M10" i="20" s="1"/>
  <c r="K10" i="20"/>
  <c r="O10" i="20" s="1"/>
  <c r="P10" i="20" s="1"/>
  <c r="Q10" i="20" s="1"/>
  <c r="J10" i="20"/>
  <c r="N10" i="20" s="1"/>
  <c r="H10" i="20"/>
  <c r="L10" i="20" s="1"/>
  <c r="S81" i="153"/>
  <c r="C104" i="153"/>
  <c r="I51" i="153"/>
  <c r="AB79" i="153"/>
  <c r="AO82" i="153"/>
  <c r="B106" i="153"/>
  <c r="C106" i="153" s="1"/>
  <c r="O83" i="153"/>
  <c r="P83" i="153"/>
  <c r="U83" i="153" s="1"/>
  <c r="AN83" i="153"/>
  <c r="AS83" i="153" s="1"/>
  <c r="AM83" i="153"/>
  <c r="AP81" i="153"/>
  <c r="AQ81" i="153"/>
  <c r="Q82" i="153"/>
  <c r="G19" i="153"/>
  <c r="X13" i="123" s="1"/>
  <c r="C80" i="153"/>
  <c r="W147" i="152"/>
  <c r="C20" i="153" s="1"/>
  <c r="E20" i="153" s="1"/>
  <c r="F20" i="153" s="1"/>
  <c r="X14" i="20" s="1"/>
  <c r="AA52" i="153"/>
  <c r="J52" i="153"/>
  <c r="F79" i="153"/>
  <c r="M134" i="153"/>
  <c r="N134" i="153" s="1"/>
  <c r="R56" i="153"/>
  <c r="W53" i="153"/>
  <c r="E225" i="152"/>
  <c r="W225" i="152" s="1"/>
  <c r="K21" i="153" s="1"/>
  <c r="M21" i="153" s="1"/>
  <c r="D225" i="152"/>
  <c r="V225" i="152" s="1"/>
  <c r="J21" i="153" s="1"/>
  <c r="L21" i="153" s="1"/>
  <c r="L135" i="153" s="1"/>
  <c r="B81" i="153"/>
  <c r="Z81" i="153"/>
  <c r="M105" i="153"/>
  <c r="AB80" i="153"/>
  <c r="F54" i="153"/>
  <c r="E54" i="153"/>
  <c r="H54" i="153" s="1"/>
  <c r="R55" i="153"/>
  <c r="AA81" i="153"/>
  <c r="AF81" i="153" s="1"/>
  <c r="L107" i="153"/>
  <c r="M107" i="153" s="1"/>
  <c r="G53" i="153"/>
  <c r="B150" i="152"/>
  <c r="C149" i="152"/>
  <c r="B190" i="152" s="1"/>
  <c r="C190" i="152" s="1"/>
  <c r="N190" i="152" s="1"/>
  <c r="M84" i="153" s="1"/>
  <c r="N84" i="153" s="1"/>
  <c r="C55" i="153"/>
  <c r="D55" i="153"/>
  <c r="G55" i="153" s="1"/>
  <c r="N20" i="153"/>
  <c r="AS14" i="20" s="1"/>
  <c r="O20" i="153"/>
  <c r="AS14" i="123" s="1"/>
  <c r="C226" i="152"/>
  <c r="B266" i="152" s="1"/>
  <c r="C266" i="152" s="1"/>
  <c r="N266" i="152" s="1"/>
  <c r="AK84" i="153" s="1"/>
  <c r="AL84" i="153" s="1"/>
  <c r="F53" i="153"/>
  <c r="E53" i="153"/>
  <c r="B56" i="153"/>
  <c r="D148" i="152"/>
  <c r="V148" i="152" s="1"/>
  <c r="B21" i="153" s="1"/>
  <c r="D21" i="153" s="1"/>
  <c r="B135" i="153" s="1"/>
  <c r="E148" i="152"/>
  <c r="U53" i="153"/>
  <c r="V53" i="153"/>
  <c r="V54" i="153"/>
  <c r="U54" i="153"/>
  <c r="X54" i="153" s="1"/>
  <c r="C20" i="92"/>
  <c r="C12" i="92"/>
  <c r="R10" i="20" l="1"/>
  <c r="S10" i="20" s="1"/>
  <c r="T10" i="20" s="1"/>
  <c r="U12" i="123"/>
  <c r="T12" i="123"/>
  <c r="U22" i="123"/>
  <c r="T22" i="123"/>
  <c r="U10" i="20"/>
  <c r="BK12" i="123"/>
  <c r="BJ12" i="123"/>
  <c r="AM12" i="20"/>
  <c r="AN12" i="20" s="1"/>
  <c r="AM11" i="20"/>
  <c r="AN11" i="20" s="1"/>
  <c r="AO11" i="20" s="1"/>
  <c r="U16" i="123"/>
  <c r="T16" i="123"/>
  <c r="R17" i="123"/>
  <c r="S17" i="123" s="1"/>
  <c r="BH13" i="123"/>
  <c r="BI13" i="123" s="1"/>
  <c r="AL10" i="123"/>
  <c r="AM12" i="123"/>
  <c r="AN12" i="123" s="1"/>
  <c r="AM10" i="123"/>
  <c r="R23" i="123"/>
  <c r="S23" i="123" s="1"/>
  <c r="R11" i="123"/>
  <c r="S11" i="123" s="1"/>
  <c r="AP12" i="20"/>
  <c r="AO12" i="20"/>
  <c r="BH12" i="20"/>
  <c r="O19" i="127"/>
  <c r="S19" i="127" s="1"/>
  <c r="U22" i="127"/>
  <c r="T22" i="127"/>
  <c r="S38" i="127"/>
  <c r="T21" i="127"/>
  <c r="U21" i="127"/>
  <c r="S39" i="127"/>
  <c r="E78" i="153"/>
  <c r="U36" i="116"/>
  <c r="Y35" i="116"/>
  <c r="M40" i="127"/>
  <c r="N40" i="127"/>
  <c r="J40" i="127"/>
  <c r="G31" i="159"/>
  <c r="I31" i="159" s="1"/>
  <c r="Q21" i="127"/>
  <c r="M31" i="159"/>
  <c r="P21" i="127"/>
  <c r="K40" i="127"/>
  <c r="O20" i="127"/>
  <c r="L40" i="127"/>
  <c r="B33" i="159"/>
  <c r="C33" i="159" s="1"/>
  <c r="E33" i="159" s="1"/>
  <c r="K33" i="159" s="1"/>
  <c r="D32" i="159"/>
  <c r="F32" i="159" s="1"/>
  <c r="I40" i="127"/>
  <c r="M32" i="159"/>
  <c r="L32" i="159"/>
  <c r="J78" i="153"/>
  <c r="P134" i="153"/>
  <c r="O134" i="153"/>
  <c r="N107" i="153"/>
  <c r="O107" i="153"/>
  <c r="D80" i="153"/>
  <c r="E80" i="153" s="1"/>
  <c r="H80" i="153"/>
  <c r="I80" i="153" s="1"/>
  <c r="E24" i="92"/>
  <c r="D24" i="92"/>
  <c r="D104" i="153"/>
  <c r="E104" i="153"/>
  <c r="D106" i="153"/>
  <c r="E106" i="153"/>
  <c r="N105" i="153"/>
  <c r="O105" i="153"/>
  <c r="G35" i="72"/>
  <c r="K35" i="72"/>
  <c r="H35" i="72"/>
  <c r="L35" i="72"/>
  <c r="E20" i="92"/>
  <c r="D20" i="92"/>
  <c r="E12" i="92"/>
  <c r="D12" i="92"/>
  <c r="A25" i="92"/>
  <c r="M17" i="116"/>
  <c r="S16" i="116"/>
  <c r="B41" i="116" s="1"/>
  <c r="A36" i="72"/>
  <c r="J24" i="123"/>
  <c r="N24" i="123" s="1"/>
  <c r="I24" i="123"/>
  <c r="M24" i="123" s="1"/>
  <c r="H24" i="123"/>
  <c r="L24" i="123" s="1"/>
  <c r="K24" i="123"/>
  <c r="O24" i="123" s="1"/>
  <c r="P24" i="123" s="1"/>
  <c r="Q24" i="123" s="1"/>
  <c r="H30" i="159"/>
  <c r="I30" i="159"/>
  <c r="K51" i="153"/>
  <c r="M51" i="153"/>
  <c r="O52" i="153"/>
  <c r="N52" i="153"/>
  <c r="AD52" i="153"/>
  <c r="AE52" i="153"/>
  <c r="AG80" i="153"/>
  <c r="AH80" i="153"/>
  <c r="V81" i="153"/>
  <c r="W81" i="153"/>
  <c r="V82" i="153"/>
  <c r="W82" i="153"/>
  <c r="AQ82" i="153"/>
  <c r="AD79" i="153"/>
  <c r="I79" i="153"/>
  <c r="J79" i="153"/>
  <c r="AC13" i="123"/>
  <c r="AG13" i="123" s="1"/>
  <c r="AD13" i="123"/>
  <c r="AF13" i="123"/>
  <c r="AJ13" i="123" s="1"/>
  <c r="AK13" i="123" s="1"/>
  <c r="AL13" i="123" s="1"/>
  <c r="AE13" i="123"/>
  <c r="BB11" i="20"/>
  <c r="AE13" i="20"/>
  <c r="AI13" i="20" s="1"/>
  <c r="AC13" i="20"/>
  <c r="AG13" i="20" s="1"/>
  <c r="AF13" i="20"/>
  <c r="AJ13" i="20" s="1"/>
  <c r="AK13" i="20" s="1"/>
  <c r="AL13" i="20" s="1"/>
  <c r="AD13" i="20"/>
  <c r="AH13" i="20" s="1"/>
  <c r="BD11" i="20"/>
  <c r="BE11" i="20"/>
  <c r="BF11" i="20" s="1"/>
  <c r="BG11" i="20" s="1"/>
  <c r="AZ13" i="20"/>
  <c r="BD13" i="20" s="1"/>
  <c r="AX13" i="20"/>
  <c r="BB13" i="20" s="1"/>
  <c r="BA13" i="20"/>
  <c r="BE13" i="20" s="1"/>
  <c r="BF13" i="20" s="1"/>
  <c r="BG13" i="20" s="1"/>
  <c r="AY13" i="20"/>
  <c r="BC13" i="20" s="1"/>
  <c r="BC11" i="20"/>
  <c r="BC11" i="123"/>
  <c r="BE11" i="123"/>
  <c r="BF11" i="123" s="1"/>
  <c r="BB11" i="123"/>
  <c r="BD11" i="123"/>
  <c r="H10" i="123"/>
  <c r="L10" i="123" s="1"/>
  <c r="K10" i="123"/>
  <c r="O10" i="123" s="1"/>
  <c r="P10" i="123" s="1"/>
  <c r="Q10" i="123" s="1"/>
  <c r="I10" i="123"/>
  <c r="M10" i="123" s="1"/>
  <c r="J10" i="123"/>
  <c r="N10" i="123" s="1"/>
  <c r="K18" i="123"/>
  <c r="O18" i="123" s="1"/>
  <c r="P18" i="123" s="1"/>
  <c r="Q18" i="123" s="1"/>
  <c r="H18" i="123"/>
  <c r="L18" i="123" s="1"/>
  <c r="I18" i="123"/>
  <c r="M18" i="123" s="1"/>
  <c r="J18" i="123"/>
  <c r="N18" i="123" s="1"/>
  <c r="I9" i="20"/>
  <c r="M9" i="20" s="1"/>
  <c r="J9" i="20"/>
  <c r="N9" i="20" s="1"/>
  <c r="K9" i="20"/>
  <c r="O9" i="20" s="1"/>
  <c r="P9" i="20" s="1"/>
  <c r="Q9" i="20" s="1"/>
  <c r="H9" i="20"/>
  <c r="L9" i="20" s="1"/>
  <c r="AC79" i="153"/>
  <c r="J51" i="153"/>
  <c r="AP82" i="153"/>
  <c r="AO83" i="153"/>
  <c r="Q83" i="153"/>
  <c r="O84" i="153"/>
  <c r="P84" i="153"/>
  <c r="U84" i="153" s="1"/>
  <c r="C81" i="153"/>
  <c r="AN84" i="153"/>
  <c r="AS84" i="153" s="1"/>
  <c r="AM84" i="153"/>
  <c r="R82" i="153"/>
  <c r="S82" i="153"/>
  <c r="G20" i="153"/>
  <c r="X14" i="123" s="1"/>
  <c r="B107" i="153"/>
  <c r="W148" i="152"/>
  <c r="C21" i="153" s="1"/>
  <c r="E21" i="153" s="1"/>
  <c r="G21" i="153" s="1"/>
  <c r="X15" i="123" s="1"/>
  <c r="I54" i="153"/>
  <c r="H53" i="153"/>
  <c r="I53" i="153" s="1"/>
  <c r="M53" i="153" s="1"/>
  <c r="Z82" i="153"/>
  <c r="C134" i="153"/>
  <c r="D134" i="153" s="1"/>
  <c r="C227" i="152"/>
  <c r="B267" i="152" s="1"/>
  <c r="C267" i="152" s="1"/>
  <c r="N267" i="152" s="1"/>
  <c r="AK85" i="153" s="1"/>
  <c r="AL85" i="153" s="1"/>
  <c r="F55" i="153"/>
  <c r="E55" i="153"/>
  <c r="H55" i="153" s="1"/>
  <c r="B82" i="153"/>
  <c r="AB81" i="153"/>
  <c r="M135" i="153"/>
  <c r="N135" i="153" s="1"/>
  <c r="R57" i="153"/>
  <c r="S56" i="153"/>
  <c r="T56" i="153"/>
  <c r="W56" i="153" s="1"/>
  <c r="X53" i="153"/>
  <c r="C150" i="152"/>
  <c r="B191" i="152" s="1"/>
  <c r="C191" i="152" s="1"/>
  <c r="N191" i="152" s="1"/>
  <c r="M85" i="153" s="1"/>
  <c r="N85" i="153" s="1"/>
  <c r="B151" i="152"/>
  <c r="T55" i="153"/>
  <c r="S55" i="153"/>
  <c r="B57" i="153"/>
  <c r="C135" i="153"/>
  <c r="D135" i="153" s="1"/>
  <c r="F80" i="153"/>
  <c r="Y54" i="153"/>
  <c r="AC54" i="153" s="1"/>
  <c r="D56" i="153"/>
  <c r="G56" i="153" s="1"/>
  <c r="C56" i="153"/>
  <c r="E226" i="152"/>
  <c r="W226" i="152" s="1"/>
  <c r="K22" i="153" s="1"/>
  <c r="M22" i="153" s="1"/>
  <c r="D226" i="152"/>
  <c r="V226" i="152" s="1"/>
  <c r="J22" i="153" s="1"/>
  <c r="L22" i="153" s="1"/>
  <c r="L136" i="153" s="1"/>
  <c r="AA82" i="153"/>
  <c r="AF82" i="153" s="1"/>
  <c r="L108" i="153"/>
  <c r="E149" i="152"/>
  <c r="D149" i="152"/>
  <c r="V149" i="152" s="1"/>
  <c r="B22" i="153" s="1"/>
  <c r="D22" i="153" s="1"/>
  <c r="B136" i="153" s="1"/>
  <c r="M133" i="153"/>
  <c r="N133" i="153" s="1"/>
  <c r="AC80" i="153"/>
  <c r="AD80" i="153"/>
  <c r="N21" i="153"/>
  <c r="AS15" i="20" s="1"/>
  <c r="O21" i="153"/>
  <c r="AS15" i="123" s="1"/>
  <c r="C21" i="92"/>
  <c r="C11" i="92"/>
  <c r="AP11" i="20" l="1"/>
  <c r="AO12" i="123"/>
  <c r="AP12" i="123"/>
  <c r="T11" i="123"/>
  <c r="U11" i="123"/>
  <c r="T23" i="123"/>
  <c r="U23" i="123"/>
  <c r="BJ13" i="123"/>
  <c r="BK13" i="123"/>
  <c r="R9" i="20"/>
  <c r="S9" i="20" s="1"/>
  <c r="T17" i="123"/>
  <c r="U17" i="123"/>
  <c r="BH11" i="123"/>
  <c r="BG11" i="123"/>
  <c r="AN10" i="123"/>
  <c r="R24" i="123"/>
  <c r="S24" i="123" s="1"/>
  <c r="R10" i="123"/>
  <c r="S10" i="123" s="1"/>
  <c r="R18" i="123"/>
  <c r="S18" i="123" s="1"/>
  <c r="AM13" i="20"/>
  <c r="BH11" i="20"/>
  <c r="BH13" i="20"/>
  <c r="U38" i="127"/>
  <c r="T38" i="127"/>
  <c r="T39" i="127"/>
  <c r="U39" i="127"/>
  <c r="U19" i="127"/>
  <c r="T19" i="127"/>
  <c r="H31" i="159"/>
  <c r="U37" i="116"/>
  <c r="Y36" i="116"/>
  <c r="J80" i="153"/>
  <c r="B34" i="159"/>
  <c r="C34" i="159" s="1"/>
  <c r="E34" i="159" s="1"/>
  <c r="K34" i="159" s="1"/>
  <c r="D33" i="159"/>
  <c r="F33" i="159" s="1"/>
  <c r="P19" i="127"/>
  <c r="Q19" i="127"/>
  <c r="O40" i="127"/>
  <c r="S20" i="127"/>
  <c r="P20" i="127"/>
  <c r="Q20" i="127"/>
  <c r="L33" i="159"/>
  <c r="M33" i="159"/>
  <c r="P135" i="153"/>
  <c r="O135" i="153"/>
  <c r="F134" i="153"/>
  <c r="E134" i="153"/>
  <c r="D81" i="153"/>
  <c r="F81" i="153" s="1"/>
  <c r="H81" i="153"/>
  <c r="D25" i="92"/>
  <c r="E25" i="92"/>
  <c r="P133" i="153"/>
  <c r="O133" i="153"/>
  <c r="F135" i="153"/>
  <c r="E135" i="153"/>
  <c r="L36" i="72"/>
  <c r="G36" i="72"/>
  <c r="H36" i="72"/>
  <c r="K36" i="72"/>
  <c r="E11" i="92"/>
  <c r="D11" i="92"/>
  <c r="E21" i="92"/>
  <c r="D21" i="92"/>
  <c r="A26" i="92"/>
  <c r="M18" i="116"/>
  <c r="S17" i="116"/>
  <c r="B42" i="116" s="1"/>
  <c r="A37" i="72"/>
  <c r="G32" i="159"/>
  <c r="AG79" i="153"/>
  <c r="AH79" i="153"/>
  <c r="O53" i="153"/>
  <c r="N53" i="153"/>
  <c r="S83" i="153"/>
  <c r="K54" i="153"/>
  <c r="M54" i="153"/>
  <c r="AQ83" i="153"/>
  <c r="O51" i="153"/>
  <c r="N51" i="153"/>
  <c r="AE54" i="153"/>
  <c r="AD54" i="153"/>
  <c r="AG81" i="153"/>
  <c r="AH81" i="153"/>
  <c r="AT82" i="153"/>
  <c r="AU82" i="153"/>
  <c r="AF15" i="123"/>
  <c r="AJ15" i="123" s="1"/>
  <c r="AK15" i="123" s="1"/>
  <c r="AL15" i="123" s="1"/>
  <c r="AE15" i="123"/>
  <c r="AI15" i="123" s="1"/>
  <c r="AC15" i="123"/>
  <c r="AG15" i="123" s="1"/>
  <c r="AD15" i="123"/>
  <c r="AH15" i="123" s="1"/>
  <c r="AI13" i="123"/>
  <c r="AE14" i="123"/>
  <c r="AI14" i="123" s="1"/>
  <c r="AF14" i="123"/>
  <c r="AJ14" i="123" s="1"/>
  <c r="AK14" i="123" s="1"/>
  <c r="AL14" i="123" s="1"/>
  <c r="AD14" i="123"/>
  <c r="AH14" i="123" s="1"/>
  <c r="AC14" i="123"/>
  <c r="AG14" i="123" s="1"/>
  <c r="AH13" i="123"/>
  <c r="BA14" i="20"/>
  <c r="AX14" i="20"/>
  <c r="AY14" i="20"/>
  <c r="AZ14" i="20"/>
  <c r="BD14" i="20" s="1"/>
  <c r="AF14" i="20"/>
  <c r="AJ14" i="20" s="1"/>
  <c r="AK14" i="20" s="1"/>
  <c r="AC14" i="20"/>
  <c r="AG14" i="20" s="1"/>
  <c r="AD14" i="20"/>
  <c r="AH14" i="20" s="1"/>
  <c r="AE14" i="20"/>
  <c r="AI14" i="20" s="1"/>
  <c r="BA15" i="123"/>
  <c r="BE15" i="123" s="1"/>
  <c r="BF15" i="123" s="1"/>
  <c r="BG15" i="123" s="1"/>
  <c r="AZ15" i="123"/>
  <c r="BD15" i="123" s="1"/>
  <c r="AY15" i="123"/>
  <c r="BC15" i="123" s="1"/>
  <c r="AX15" i="123"/>
  <c r="BB15" i="123" s="1"/>
  <c r="AZ14" i="123"/>
  <c r="AY14" i="123"/>
  <c r="BA14" i="123"/>
  <c r="AX14" i="123"/>
  <c r="H19" i="123"/>
  <c r="L19" i="123" s="1"/>
  <c r="J19" i="123"/>
  <c r="N19" i="123" s="1"/>
  <c r="K19" i="123"/>
  <c r="O19" i="123" s="1"/>
  <c r="P19" i="123" s="1"/>
  <c r="Q19" i="123" s="1"/>
  <c r="I19" i="123"/>
  <c r="M19" i="123" s="1"/>
  <c r="J9" i="123"/>
  <c r="N9" i="123" s="1"/>
  <c r="K9" i="123"/>
  <c r="O9" i="123" s="1"/>
  <c r="P9" i="123" s="1"/>
  <c r="Q9" i="123" s="1"/>
  <c r="H9" i="123"/>
  <c r="L9" i="123" s="1"/>
  <c r="I9" i="123"/>
  <c r="M9" i="123" s="1"/>
  <c r="I8" i="20"/>
  <c r="M8" i="20" s="1"/>
  <c r="K8" i="20"/>
  <c r="O8" i="20" s="1"/>
  <c r="P8" i="20" s="1"/>
  <c r="Q8" i="20" s="1"/>
  <c r="H8" i="20"/>
  <c r="L8" i="20" s="1"/>
  <c r="J8" i="20"/>
  <c r="N8" i="20" s="1"/>
  <c r="C107" i="153"/>
  <c r="R83" i="153"/>
  <c r="Y53" i="153"/>
  <c r="AC53" i="153" s="1"/>
  <c r="F21" i="153"/>
  <c r="X15" i="20" s="1"/>
  <c r="Q84" i="153"/>
  <c r="AP83" i="153"/>
  <c r="AO84" i="153"/>
  <c r="O85" i="153"/>
  <c r="P85" i="153"/>
  <c r="U85" i="153" s="1"/>
  <c r="AN85" i="153"/>
  <c r="AS85" i="153" s="1"/>
  <c r="AM85" i="153"/>
  <c r="B108" i="153"/>
  <c r="C108" i="153" s="1"/>
  <c r="C82" i="153"/>
  <c r="W149" i="152"/>
  <c r="C22" i="153" s="1"/>
  <c r="E22" i="153" s="1"/>
  <c r="G22" i="153" s="1"/>
  <c r="X16" i="123" s="1"/>
  <c r="J54" i="153"/>
  <c r="I55" i="153"/>
  <c r="AA83" i="153"/>
  <c r="AF83" i="153" s="1"/>
  <c r="L109" i="153"/>
  <c r="M109" i="153" s="1"/>
  <c r="F56" i="153"/>
  <c r="E56" i="153"/>
  <c r="D57" i="153"/>
  <c r="G57" i="153" s="1"/>
  <c r="C57" i="153"/>
  <c r="B152" i="152"/>
  <c r="C151" i="152"/>
  <c r="B192" i="152" s="1"/>
  <c r="C192" i="152" s="1"/>
  <c r="N192" i="152" s="1"/>
  <c r="M86" i="153" s="1"/>
  <c r="N86" i="153" s="1"/>
  <c r="AC81" i="153"/>
  <c r="AD81" i="153"/>
  <c r="Z83" i="153"/>
  <c r="D150" i="152"/>
  <c r="V150" i="152" s="1"/>
  <c r="B23" i="153" s="1"/>
  <c r="D23" i="153" s="1"/>
  <c r="B137" i="153" s="1"/>
  <c r="E150" i="152"/>
  <c r="V56" i="153"/>
  <c r="U56" i="153"/>
  <c r="X56" i="153" s="1"/>
  <c r="K53" i="153"/>
  <c r="J53" i="153"/>
  <c r="B58" i="153"/>
  <c r="M136" i="153"/>
  <c r="N136" i="153" s="1"/>
  <c r="R58" i="153"/>
  <c r="U55" i="153"/>
  <c r="V55" i="153"/>
  <c r="S57" i="153"/>
  <c r="T57" i="153"/>
  <c r="W57" i="153" s="1"/>
  <c r="C228" i="152"/>
  <c r="B268" i="152" s="1"/>
  <c r="C268" i="152" s="1"/>
  <c r="N268" i="152" s="1"/>
  <c r="AK86" i="153" s="1"/>
  <c r="AL86" i="153" s="1"/>
  <c r="C83" i="153"/>
  <c r="H83" i="153" s="1"/>
  <c r="B109" i="153"/>
  <c r="C109" i="153" s="1"/>
  <c r="M108" i="153"/>
  <c r="E227" i="152"/>
  <c r="W227" i="152" s="1"/>
  <c r="K23" i="153" s="1"/>
  <c r="M23" i="153" s="1"/>
  <c r="D227" i="152"/>
  <c r="V227" i="152" s="1"/>
  <c r="J23" i="153" s="1"/>
  <c r="L23" i="153" s="1"/>
  <c r="L137" i="153" s="1"/>
  <c r="O22" i="153"/>
  <c r="AS16" i="123" s="1"/>
  <c r="N22" i="153"/>
  <c r="AS16" i="20" s="1"/>
  <c r="Z54" i="153"/>
  <c r="AA54" i="153"/>
  <c r="W55" i="153"/>
  <c r="AB82" i="153"/>
  <c r="U10" i="123" l="1"/>
  <c r="T10" i="123"/>
  <c r="R8" i="20"/>
  <c r="S8" i="20" s="1"/>
  <c r="U24" i="123"/>
  <c r="T24" i="123"/>
  <c r="AO10" i="123"/>
  <c r="AP10" i="123"/>
  <c r="U18" i="123"/>
  <c r="T18" i="123"/>
  <c r="U9" i="20"/>
  <c r="T9" i="20"/>
  <c r="AM13" i="123"/>
  <c r="AN13" i="123" s="1"/>
  <c r="AM15" i="123"/>
  <c r="AN15" i="123" s="1"/>
  <c r="BH15" i="123"/>
  <c r="BI15" i="123" s="1"/>
  <c r="BI11" i="123"/>
  <c r="AM14" i="123"/>
  <c r="AN14" i="123" s="1"/>
  <c r="R19" i="123"/>
  <c r="S19" i="123" s="1"/>
  <c r="R9" i="123"/>
  <c r="S9" i="123" s="1"/>
  <c r="AM14" i="20"/>
  <c r="AN14" i="20" s="1"/>
  <c r="AO14" i="20" s="1"/>
  <c r="AN13" i="20"/>
  <c r="AL14" i="20"/>
  <c r="U20" i="127"/>
  <c r="U40" i="127" s="1"/>
  <c r="G12" i="47" s="1"/>
  <c r="D12" i="47" s="1"/>
  <c r="T20" i="127"/>
  <c r="T40" i="127" s="1"/>
  <c r="F12" i="47" s="1"/>
  <c r="C12" i="47" s="1"/>
  <c r="U38" i="116"/>
  <c r="Y37" i="116"/>
  <c r="E81" i="153"/>
  <c r="S40" i="127"/>
  <c r="Q40" i="127"/>
  <c r="B35" i="159"/>
  <c r="D34" i="159"/>
  <c r="F34" i="159" s="1"/>
  <c r="G34" i="159" s="1"/>
  <c r="P40" i="127"/>
  <c r="M34" i="159"/>
  <c r="L34" i="159"/>
  <c r="N109" i="153"/>
  <c r="O109" i="153"/>
  <c r="D26" i="92"/>
  <c r="E26" i="92"/>
  <c r="D108" i="153"/>
  <c r="E108" i="153"/>
  <c r="N108" i="153"/>
  <c r="O108" i="153"/>
  <c r="D109" i="153"/>
  <c r="E109" i="153"/>
  <c r="P136" i="153"/>
  <c r="O136" i="153"/>
  <c r="D82" i="153"/>
  <c r="F82" i="153" s="1"/>
  <c r="H82" i="153"/>
  <c r="D107" i="153"/>
  <c r="E107" i="153"/>
  <c r="L37" i="72"/>
  <c r="G37" i="72"/>
  <c r="H37" i="72"/>
  <c r="K37" i="72"/>
  <c r="A27" i="92"/>
  <c r="A28" i="92" s="1"/>
  <c r="M19" i="116"/>
  <c r="S18" i="116"/>
  <c r="B43" i="116" s="1"/>
  <c r="A38" i="72"/>
  <c r="A39" i="72" s="1"/>
  <c r="G33" i="159"/>
  <c r="H32" i="159"/>
  <c r="I32" i="159"/>
  <c r="V83" i="153"/>
  <c r="W83" i="153"/>
  <c r="AQ84" i="153"/>
  <c r="AE53" i="153"/>
  <c r="AD53" i="153"/>
  <c r="O54" i="153"/>
  <c r="N54" i="153"/>
  <c r="AT83" i="153"/>
  <c r="AU83" i="153"/>
  <c r="AG82" i="153"/>
  <c r="AH82" i="153"/>
  <c r="J55" i="153"/>
  <c r="M55" i="153"/>
  <c r="S84" i="153"/>
  <c r="I81" i="153"/>
  <c r="J81" i="153"/>
  <c r="AC16" i="123"/>
  <c r="AG16" i="123" s="1"/>
  <c r="AE16" i="123"/>
  <c r="AI16" i="123" s="1"/>
  <c r="AF16" i="123"/>
  <c r="AJ16" i="123" s="1"/>
  <c r="AK16" i="123" s="1"/>
  <c r="AL16" i="123" s="1"/>
  <c r="AD16" i="123"/>
  <c r="BB14" i="20"/>
  <c r="BE14" i="20"/>
  <c r="BF14" i="20" s="1"/>
  <c r="BG14" i="20" s="1"/>
  <c r="AY15" i="20"/>
  <c r="BC15" i="20" s="1"/>
  <c r="BA15" i="20"/>
  <c r="BE15" i="20" s="1"/>
  <c r="BF15" i="20" s="1"/>
  <c r="BG15" i="20" s="1"/>
  <c r="AZ15" i="20"/>
  <c r="BD15" i="20" s="1"/>
  <c r="AX15" i="20"/>
  <c r="BB15" i="20" s="1"/>
  <c r="AD15" i="20"/>
  <c r="AH15" i="20" s="1"/>
  <c r="AF15" i="20"/>
  <c r="AJ15" i="20" s="1"/>
  <c r="AK15" i="20" s="1"/>
  <c r="AL15" i="20" s="1"/>
  <c r="AE15" i="20"/>
  <c r="AI15" i="20" s="1"/>
  <c r="AC15" i="20"/>
  <c r="AG15" i="20" s="1"/>
  <c r="BC14" i="20"/>
  <c r="AX16" i="123"/>
  <c r="BB16" i="123" s="1"/>
  <c r="BA16" i="123"/>
  <c r="BE16" i="123" s="1"/>
  <c r="BF16" i="123" s="1"/>
  <c r="BG16" i="123" s="1"/>
  <c r="AZ16" i="123"/>
  <c r="BD16" i="123" s="1"/>
  <c r="AY16" i="123"/>
  <c r="BC16" i="123" s="1"/>
  <c r="BB14" i="123"/>
  <c r="BE14" i="123"/>
  <c r="BF14" i="123" s="1"/>
  <c r="BC14" i="123"/>
  <c r="BD14" i="123"/>
  <c r="I8" i="123"/>
  <c r="M8" i="123" s="1"/>
  <c r="J8" i="123"/>
  <c r="N8" i="123" s="1"/>
  <c r="K8" i="123"/>
  <c r="O8" i="123" s="1"/>
  <c r="P8" i="123" s="1"/>
  <c r="Q8" i="123" s="1"/>
  <c r="H8" i="123"/>
  <c r="L8" i="123" s="1"/>
  <c r="AP84" i="153"/>
  <c r="B83" i="153"/>
  <c r="D83" i="153" s="1"/>
  <c r="Z53" i="153"/>
  <c r="AA53" i="153"/>
  <c r="R84" i="153"/>
  <c r="AN86" i="153"/>
  <c r="AS86" i="153" s="1"/>
  <c r="AM86" i="153"/>
  <c r="P86" i="153"/>
  <c r="U86" i="153" s="1"/>
  <c r="O86" i="153"/>
  <c r="AO85" i="153"/>
  <c r="Q85" i="153"/>
  <c r="F22" i="153"/>
  <c r="W150" i="152"/>
  <c r="C23" i="153" s="1"/>
  <c r="E23" i="153" s="1"/>
  <c r="F23" i="153" s="1"/>
  <c r="X17" i="20" s="1"/>
  <c r="K55" i="153"/>
  <c r="AB83" i="153"/>
  <c r="C136" i="153"/>
  <c r="D136" i="153" s="1"/>
  <c r="H56" i="153"/>
  <c r="Z84" i="153"/>
  <c r="V57" i="153"/>
  <c r="U57" i="153"/>
  <c r="X57" i="153" s="1"/>
  <c r="D58" i="153"/>
  <c r="G58" i="153" s="1"/>
  <c r="C58" i="153"/>
  <c r="F57" i="153"/>
  <c r="E57" i="153"/>
  <c r="H57" i="153" s="1"/>
  <c r="AA84" i="153"/>
  <c r="AF84" i="153" s="1"/>
  <c r="L110" i="153"/>
  <c r="M137" i="153"/>
  <c r="N137" i="153" s="1"/>
  <c r="R59" i="153"/>
  <c r="C229" i="152"/>
  <c r="B269" i="152" s="1"/>
  <c r="C269" i="152" s="1"/>
  <c r="N269" i="152" s="1"/>
  <c r="AK87" i="153" s="1"/>
  <c r="AL87" i="153" s="1"/>
  <c r="S58" i="153"/>
  <c r="T58" i="153"/>
  <c r="W58" i="153" s="1"/>
  <c r="B59" i="153"/>
  <c r="C137" i="153"/>
  <c r="D137" i="153" s="1"/>
  <c r="C84" i="153"/>
  <c r="H84" i="153" s="1"/>
  <c r="B110" i="153"/>
  <c r="C152" i="152"/>
  <c r="B193" i="152" s="1"/>
  <c r="C193" i="152" s="1"/>
  <c r="N193" i="152" s="1"/>
  <c r="M87" i="153" s="1"/>
  <c r="N87" i="153" s="1"/>
  <c r="B153" i="152"/>
  <c r="AD82" i="153"/>
  <c r="AC82" i="153"/>
  <c r="D228" i="152"/>
  <c r="V228" i="152" s="1"/>
  <c r="J24" i="153" s="1"/>
  <c r="L24" i="153" s="1"/>
  <c r="L138" i="153" s="1"/>
  <c r="E228" i="152"/>
  <c r="W228" i="152" s="1"/>
  <c r="K24" i="153" s="1"/>
  <c r="M24" i="153" s="1"/>
  <c r="O23" i="153"/>
  <c r="AS17" i="123" s="1"/>
  <c r="N23" i="153"/>
  <c r="AS17" i="20" s="1"/>
  <c r="X55" i="153"/>
  <c r="Y56" i="153"/>
  <c r="AC56" i="153" s="1"/>
  <c r="E151" i="152"/>
  <c r="D151" i="152"/>
  <c r="V151" i="152" s="1"/>
  <c r="B24" i="153" s="1"/>
  <c r="D24" i="153" s="1"/>
  <c r="B138" i="153" s="1"/>
  <c r="C10" i="92"/>
  <c r="AO14" i="123" l="1"/>
  <c r="AP14" i="123"/>
  <c r="AP13" i="123"/>
  <c r="AO13" i="123"/>
  <c r="BJ11" i="123"/>
  <c r="BK11" i="123"/>
  <c r="T8" i="20"/>
  <c r="U8" i="20"/>
  <c r="T9" i="123"/>
  <c r="U9" i="123"/>
  <c r="BJ15" i="123"/>
  <c r="BK15" i="123"/>
  <c r="AP14" i="20"/>
  <c r="T19" i="123"/>
  <c r="U19" i="123"/>
  <c r="AP15" i="123"/>
  <c r="AO15" i="123"/>
  <c r="BH14" i="123"/>
  <c r="BI14" i="123" s="1"/>
  <c r="BG14" i="123"/>
  <c r="BH16" i="123"/>
  <c r="BI16" i="123" s="1"/>
  <c r="R8" i="123"/>
  <c r="S8" i="123" s="1"/>
  <c r="BH14" i="20"/>
  <c r="AP13" i="20"/>
  <c r="AO13" i="20"/>
  <c r="AM15" i="20"/>
  <c r="BH15" i="20"/>
  <c r="G39" i="72"/>
  <c r="L39" i="72"/>
  <c r="H39" i="72"/>
  <c r="K39" i="72"/>
  <c r="D28" i="92"/>
  <c r="E28" i="92"/>
  <c r="U39" i="116"/>
  <c r="Y38" i="116"/>
  <c r="B84" i="153"/>
  <c r="D84" i="153" s="1"/>
  <c r="X16" i="20"/>
  <c r="E82" i="153"/>
  <c r="F11" i="47"/>
  <c r="C11" i="47" s="1"/>
  <c r="E4" i="154" s="1"/>
  <c r="G11" i="47"/>
  <c r="D11" i="47" s="1"/>
  <c r="B36" i="159"/>
  <c r="C36" i="159" s="1"/>
  <c r="E36" i="159" s="1"/>
  <c r="K36" i="159" s="1"/>
  <c r="D35" i="159"/>
  <c r="F35" i="159" s="1"/>
  <c r="C35" i="159"/>
  <c r="E35" i="159" s="1"/>
  <c r="K35" i="159" s="1"/>
  <c r="L35" i="159" s="1"/>
  <c r="P137" i="153"/>
  <c r="O137" i="153"/>
  <c r="F137" i="153"/>
  <c r="E137" i="153"/>
  <c r="F136" i="153"/>
  <c r="E136" i="153"/>
  <c r="E27" i="92"/>
  <c r="D27" i="92"/>
  <c r="G38" i="72"/>
  <c r="K38" i="72"/>
  <c r="H38" i="72"/>
  <c r="L38" i="72"/>
  <c r="L40" i="72" s="1"/>
  <c r="G21" i="47" s="1"/>
  <c r="D10" i="92"/>
  <c r="E10" i="92"/>
  <c r="M20" i="116"/>
  <c r="S19" i="116"/>
  <c r="B44" i="116" s="1"/>
  <c r="H34" i="159"/>
  <c r="I34" i="159"/>
  <c r="I33" i="159"/>
  <c r="H33" i="159"/>
  <c r="AE56" i="153"/>
  <c r="AD56" i="153"/>
  <c r="V84" i="153"/>
  <c r="W84" i="153"/>
  <c r="O55" i="153"/>
  <c r="N55" i="153"/>
  <c r="AT84" i="153"/>
  <c r="AU84" i="153"/>
  <c r="V85" i="153"/>
  <c r="W85" i="153"/>
  <c r="I83" i="153"/>
  <c r="J83" i="153"/>
  <c r="AD83" i="153"/>
  <c r="AT85" i="153"/>
  <c r="AU85" i="153"/>
  <c r="I82" i="153"/>
  <c r="J82" i="153"/>
  <c r="AH16" i="123"/>
  <c r="AY16" i="20"/>
  <c r="BC16" i="20" s="1"/>
  <c r="AZ16" i="20"/>
  <c r="BD16" i="20" s="1"/>
  <c r="BA16" i="20"/>
  <c r="AX16" i="20"/>
  <c r="BB16" i="20" s="1"/>
  <c r="AY17" i="123"/>
  <c r="BC17" i="123" s="1"/>
  <c r="AX17" i="123"/>
  <c r="BA17" i="123"/>
  <c r="AZ17" i="123"/>
  <c r="I7" i="123"/>
  <c r="J7" i="123"/>
  <c r="K7" i="123"/>
  <c r="H7" i="123"/>
  <c r="I6" i="20"/>
  <c r="M6" i="20" s="1"/>
  <c r="H6" i="20"/>
  <c r="L6" i="20" s="1"/>
  <c r="K6" i="20"/>
  <c r="O6" i="20" s="1"/>
  <c r="P6" i="20" s="1"/>
  <c r="J6" i="20"/>
  <c r="N6" i="20" s="1"/>
  <c r="I7" i="20"/>
  <c r="M7" i="20" s="1"/>
  <c r="J7" i="20"/>
  <c r="N7" i="20" s="1"/>
  <c r="K7" i="20"/>
  <c r="O7" i="20" s="1"/>
  <c r="P7" i="20" s="1"/>
  <c r="Q7" i="20" s="1"/>
  <c r="H7" i="20"/>
  <c r="L7" i="20" s="1"/>
  <c r="G23" i="153"/>
  <c r="X17" i="123" s="1"/>
  <c r="C27" i="20"/>
  <c r="C110" i="153"/>
  <c r="I56" i="153"/>
  <c r="Y55" i="153"/>
  <c r="AO86" i="153"/>
  <c r="Q86" i="153"/>
  <c r="O87" i="153"/>
  <c r="P87" i="153"/>
  <c r="U87" i="153" s="1"/>
  <c r="AN87" i="153"/>
  <c r="AS87" i="153" s="1"/>
  <c r="AM87" i="153"/>
  <c r="R85" i="153"/>
  <c r="S85" i="153"/>
  <c r="AP85" i="153"/>
  <c r="AQ85" i="153"/>
  <c r="W151" i="152"/>
  <c r="C24" i="153" s="1"/>
  <c r="E24" i="153" s="1"/>
  <c r="F24" i="153" s="1"/>
  <c r="X18" i="20" s="1"/>
  <c r="AC83" i="153"/>
  <c r="Y57" i="153"/>
  <c r="AA56" i="153"/>
  <c r="Z56" i="153"/>
  <c r="N24" i="153"/>
  <c r="AS18" i="20" s="1"/>
  <c r="O24" i="153"/>
  <c r="AS18" i="123" s="1"/>
  <c r="C59" i="153"/>
  <c r="D59" i="153"/>
  <c r="G59" i="153" s="1"/>
  <c r="Z85" i="153"/>
  <c r="E83" i="153"/>
  <c r="F83" i="153"/>
  <c r="D152" i="152"/>
  <c r="V152" i="152" s="1"/>
  <c r="B25" i="153" s="1"/>
  <c r="D25" i="153" s="1"/>
  <c r="B139" i="153" s="1"/>
  <c r="E152" i="152"/>
  <c r="C230" i="152"/>
  <c r="B270" i="152" s="1"/>
  <c r="C270" i="152" s="1"/>
  <c r="N270" i="152" s="1"/>
  <c r="AK88" i="153" s="1"/>
  <c r="AL88" i="153" s="1"/>
  <c r="B60" i="153"/>
  <c r="C138" i="153"/>
  <c r="D138" i="153" s="1"/>
  <c r="AA85" i="153"/>
  <c r="AF85" i="153" s="1"/>
  <c r="L111" i="153"/>
  <c r="M111" i="153" s="1"/>
  <c r="B85" i="153"/>
  <c r="D229" i="152"/>
  <c r="V229" i="152" s="1"/>
  <c r="J25" i="153" s="1"/>
  <c r="L25" i="153" s="1"/>
  <c r="L139" i="153" s="1"/>
  <c r="E229" i="152"/>
  <c r="W229" i="152" s="1"/>
  <c r="K25" i="153" s="1"/>
  <c r="M25" i="153" s="1"/>
  <c r="B154" i="152"/>
  <c r="C153" i="152"/>
  <c r="B194" i="152" s="1"/>
  <c r="C194" i="152" s="1"/>
  <c r="N194" i="152" s="1"/>
  <c r="M88" i="153" s="1"/>
  <c r="N88" i="153" s="1"/>
  <c r="M138" i="153"/>
  <c r="N138" i="153" s="1"/>
  <c r="R60" i="153"/>
  <c r="M110" i="153"/>
  <c r="V58" i="153"/>
  <c r="U58" i="153"/>
  <c r="X58" i="153" s="1"/>
  <c r="T59" i="153"/>
  <c r="W59" i="153" s="1"/>
  <c r="S59" i="153"/>
  <c r="I57" i="153"/>
  <c r="M57" i="153" s="1"/>
  <c r="F58" i="153"/>
  <c r="E58" i="153"/>
  <c r="H58" i="153" s="1"/>
  <c r="AB84" i="153"/>
  <c r="C9" i="92"/>
  <c r="C29" i="92" s="1"/>
  <c r="R7" i="20" l="1"/>
  <c r="S7" i="20" s="1"/>
  <c r="Q6" i="20"/>
  <c r="Q27" i="20" s="1"/>
  <c r="P27" i="20"/>
  <c r="R6" i="20"/>
  <c r="BK14" i="123"/>
  <c r="BJ14" i="123"/>
  <c r="U8" i="123"/>
  <c r="T8" i="123"/>
  <c r="U7" i="20"/>
  <c r="T7" i="20"/>
  <c r="BK16" i="123"/>
  <c r="BJ16" i="123"/>
  <c r="AM16" i="123"/>
  <c r="AN16" i="123" s="1"/>
  <c r="AN15" i="20"/>
  <c r="BH16" i="20"/>
  <c r="K40" i="72"/>
  <c r="G35" i="159"/>
  <c r="H35" i="159" s="1"/>
  <c r="H40" i="72"/>
  <c r="F21" i="47"/>
  <c r="G40" i="72"/>
  <c r="U40" i="116"/>
  <c r="Y40" i="116" s="1"/>
  <c r="Y39" i="116"/>
  <c r="M35" i="159"/>
  <c r="B37" i="159"/>
  <c r="C37" i="159" s="1"/>
  <c r="E37" i="159" s="1"/>
  <c r="K37" i="159" s="1"/>
  <c r="D36" i="159"/>
  <c r="F36" i="159" s="1"/>
  <c r="M36" i="159"/>
  <c r="L36" i="159"/>
  <c r="F138" i="153"/>
  <c r="E138" i="153"/>
  <c r="D110" i="153"/>
  <c r="E110" i="153"/>
  <c r="P138" i="153"/>
  <c r="O138" i="153"/>
  <c r="N110" i="153"/>
  <c r="O110" i="153"/>
  <c r="N111" i="153"/>
  <c r="O111" i="153"/>
  <c r="G20" i="47"/>
  <c r="F20" i="47"/>
  <c r="D9" i="92"/>
  <c r="E9" i="92"/>
  <c r="M21" i="116"/>
  <c r="S20" i="116"/>
  <c r="B45" i="116" s="1"/>
  <c r="I35" i="159"/>
  <c r="F84" i="153"/>
  <c r="S86" i="153"/>
  <c r="AG83" i="153"/>
  <c r="AH83" i="153"/>
  <c r="AP86" i="153"/>
  <c r="Z55" i="153"/>
  <c r="AC55" i="153"/>
  <c r="O57" i="153"/>
  <c r="N57" i="153"/>
  <c r="AG84" i="153"/>
  <c r="AH84" i="153"/>
  <c r="Z57" i="153"/>
  <c r="AC57" i="153"/>
  <c r="K56" i="153"/>
  <c r="M56" i="153"/>
  <c r="AC17" i="123"/>
  <c r="AG17" i="123" s="1"/>
  <c r="AF17" i="123"/>
  <c r="AJ17" i="123" s="1"/>
  <c r="AK17" i="123" s="1"/>
  <c r="AL17" i="123" s="1"/>
  <c r="AE17" i="123"/>
  <c r="AI17" i="123" s="1"/>
  <c r="AD17" i="123"/>
  <c r="AH17" i="123" s="1"/>
  <c r="BE16" i="20"/>
  <c r="BF16" i="20" s="1"/>
  <c r="BG16" i="20" s="1"/>
  <c r="AZ17" i="20"/>
  <c r="BD17" i="20" s="1"/>
  <c r="AX17" i="20"/>
  <c r="BB17" i="20" s="1"/>
  <c r="BA17" i="20"/>
  <c r="BE17" i="20" s="1"/>
  <c r="BF17" i="20" s="1"/>
  <c r="BG17" i="20" s="1"/>
  <c r="AY17" i="20"/>
  <c r="BC17" i="20" s="1"/>
  <c r="AE17" i="20"/>
  <c r="AI17" i="20" s="1"/>
  <c r="AC17" i="20"/>
  <c r="AG17" i="20" s="1"/>
  <c r="AF17" i="20"/>
  <c r="AJ17" i="20" s="1"/>
  <c r="AK17" i="20" s="1"/>
  <c r="AL17" i="20" s="1"/>
  <c r="AD17" i="20"/>
  <c r="AH17" i="20" s="1"/>
  <c r="AD16" i="20"/>
  <c r="AH16" i="20" s="1"/>
  <c r="AE16" i="20"/>
  <c r="AI16" i="20" s="1"/>
  <c r="AF16" i="20"/>
  <c r="AJ16" i="20" s="1"/>
  <c r="AK16" i="20" s="1"/>
  <c r="AL16" i="20" s="1"/>
  <c r="AC16" i="20"/>
  <c r="AG16" i="20" s="1"/>
  <c r="BE17" i="123"/>
  <c r="BF17" i="123" s="1"/>
  <c r="BD17" i="123"/>
  <c r="BB17" i="123"/>
  <c r="AZ18" i="123"/>
  <c r="BD18" i="123" s="1"/>
  <c r="AY18" i="123"/>
  <c r="BC18" i="123" s="1"/>
  <c r="AX18" i="123"/>
  <c r="BB18" i="123" s="1"/>
  <c r="BA18" i="123"/>
  <c r="BE18" i="123" s="1"/>
  <c r="BF18" i="123" s="1"/>
  <c r="BG18" i="123" s="1"/>
  <c r="O7" i="123"/>
  <c r="K27" i="123"/>
  <c r="N7" i="123"/>
  <c r="N27" i="123" s="1"/>
  <c r="J27" i="123"/>
  <c r="M7" i="123"/>
  <c r="M27" i="123" s="1"/>
  <c r="I27" i="123"/>
  <c r="L7" i="123"/>
  <c r="H27" i="123"/>
  <c r="K27" i="20"/>
  <c r="O27" i="20"/>
  <c r="H27" i="20"/>
  <c r="N27" i="20"/>
  <c r="J27" i="20"/>
  <c r="I27" i="20"/>
  <c r="M27" i="20"/>
  <c r="AQ86" i="153"/>
  <c r="C85" i="153"/>
  <c r="J56" i="153"/>
  <c r="B111" i="153"/>
  <c r="C111" i="153" s="1"/>
  <c r="AA55" i="153"/>
  <c r="R86" i="153"/>
  <c r="AN88" i="153"/>
  <c r="AS88" i="153" s="1"/>
  <c r="AM88" i="153"/>
  <c r="O88" i="153"/>
  <c r="P88" i="153"/>
  <c r="U88" i="153" s="1"/>
  <c r="Q87" i="153"/>
  <c r="AO87" i="153"/>
  <c r="G24" i="153"/>
  <c r="X18" i="123" s="1"/>
  <c r="W152" i="152"/>
  <c r="C25" i="153" s="1"/>
  <c r="E25" i="153" s="1"/>
  <c r="G25" i="153" s="1"/>
  <c r="X19" i="123" s="1"/>
  <c r="E84" i="153"/>
  <c r="I58" i="153"/>
  <c r="AA57" i="153"/>
  <c r="AB85" i="153"/>
  <c r="Y58" i="153"/>
  <c r="O25" i="153"/>
  <c r="AS19" i="123" s="1"/>
  <c r="N25" i="153"/>
  <c r="AS19" i="20" s="1"/>
  <c r="R61" i="153"/>
  <c r="M139" i="153"/>
  <c r="N139" i="153" s="1"/>
  <c r="D60" i="153"/>
  <c r="G60" i="153" s="1"/>
  <c r="C60" i="153"/>
  <c r="J57" i="153"/>
  <c r="K57" i="153"/>
  <c r="T60" i="153"/>
  <c r="W60" i="153" s="1"/>
  <c r="S60" i="153"/>
  <c r="C154" i="152"/>
  <c r="B195" i="152" s="1"/>
  <c r="C195" i="152" s="1"/>
  <c r="N195" i="152" s="1"/>
  <c r="M89" i="153" s="1"/>
  <c r="N89" i="153" s="1"/>
  <c r="B155" i="152"/>
  <c r="D230" i="152"/>
  <c r="V230" i="152" s="1"/>
  <c r="J26" i="153" s="1"/>
  <c r="L26" i="153" s="1"/>
  <c r="L140" i="153" s="1"/>
  <c r="E230" i="152"/>
  <c r="W230" i="152" s="1"/>
  <c r="K26" i="153" s="1"/>
  <c r="M26" i="153" s="1"/>
  <c r="Z86" i="153"/>
  <c r="F59" i="153"/>
  <c r="E59" i="153"/>
  <c r="H59" i="153" s="1"/>
  <c r="B86" i="153"/>
  <c r="D153" i="152"/>
  <c r="V153" i="152" s="1"/>
  <c r="B26" i="153" s="1"/>
  <c r="D26" i="153" s="1"/>
  <c r="B140" i="153" s="1"/>
  <c r="E153" i="152"/>
  <c r="C139" i="153"/>
  <c r="D139" i="153" s="1"/>
  <c r="B61" i="153"/>
  <c r="AA86" i="153"/>
  <c r="AF86" i="153" s="1"/>
  <c r="L112" i="153"/>
  <c r="M112" i="153" s="1"/>
  <c r="AD84" i="153"/>
  <c r="AC84" i="153"/>
  <c r="V59" i="153"/>
  <c r="U59" i="153"/>
  <c r="X59" i="153" s="1"/>
  <c r="C231" i="152"/>
  <c r="B271" i="152" s="1"/>
  <c r="C271" i="152" s="1"/>
  <c r="N271" i="152" s="1"/>
  <c r="AK89" i="153" s="1"/>
  <c r="AL89" i="153" s="1"/>
  <c r="E8" i="92"/>
  <c r="E29" i="92" s="1"/>
  <c r="R7" i="123" l="1"/>
  <c r="S6" i="20"/>
  <c r="R27" i="20"/>
  <c r="AO16" i="123"/>
  <c r="AP16" i="123"/>
  <c r="BH17" i="123"/>
  <c r="BI17" i="123" s="1"/>
  <c r="BG17" i="123"/>
  <c r="BH18" i="123"/>
  <c r="BI18" i="123" s="1"/>
  <c r="AM17" i="123"/>
  <c r="AN17" i="123" s="1"/>
  <c r="S7" i="123"/>
  <c r="R27" i="123"/>
  <c r="O27" i="123"/>
  <c r="P7" i="123"/>
  <c r="AO15" i="20"/>
  <c r="AP15" i="20"/>
  <c r="AM16" i="20"/>
  <c r="AN16" i="20" s="1"/>
  <c r="AM17" i="20"/>
  <c r="AN17" i="20" s="1"/>
  <c r="BH17" i="20"/>
  <c r="C45" i="116"/>
  <c r="B38" i="159"/>
  <c r="C38" i="159" s="1"/>
  <c r="E38" i="159" s="1"/>
  <c r="K38" i="159" s="1"/>
  <c r="D37" i="159"/>
  <c r="F37" i="159" s="1"/>
  <c r="G37" i="159" s="1"/>
  <c r="H37" i="159" s="1"/>
  <c r="L37" i="159"/>
  <c r="M37" i="159"/>
  <c r="P139" i="153"/>
  <c r="O139" i="153"/>
  <c r="N112" i="153"/>
  <c r="O112" i="153"/>
  <c r="F139" i="153"/>
  <c r="E139" i="153"/>
  <c r="D85" i="153"/>
  <c r="F85" i="153" s="1"/>
  <c r="H85" i="153"/>
  <c r="I85" i="153" s="1"/>
  <c r="D111" i="153"/>
  <c r="E111" i="153"/>
  <c r="D8" i="92"/>
  <c r="D29" i="92" s="1"/>
  <c r="M22" i="116"/>
  <c r="S21" i="116"/>
  <c r="B46" i="116" s="1"/>
  <c r="G36" i="159"/>
  <c r="J58" i="153"/>
  <c r="M58" i="153"/>
  <c r="AT86" i="153"/>
  <c r="AU86" i="153"/>
  <c r="AA58" i="153"/>
  <c r="AC58" i="153"/>
  <c r="V87" i="153"/>
  <c r="W87" i="153"/>
  <c r="AD55" i="153"/>
  <c r="AE55" i="153"/>
  <c r="AT87" i="153"/>
  <c r="AU87" i="153"/>
  <c r="AD85" i="153"/>
  <c r="O56" i="153"/>
  <c r="N56" i="153"/>
  <c r="I84" i="153"/>
  <c r="J84" i="153"/>
  <c r="AE57" i="153"/>
  <c r="AD57" i="153"/>
  <c r="V86" i="153"/>
  <c r="W86" i="153"/>
  <c r="AF19" i="123"/>
  <c r="AJ19" i="123" s="1"/>
  <c r="AK19" i="123" s="1"/>
  <c r="AL19" i="123" s="1"/>
  <c r="AC19" i="123"/>
  <c r="AG19" i="123" s="1"/>
  <c r="AE19" i="123"/>
  <c r="AI19" i="123" s="1"/>
  <c r="AD19" i="123"/>
  <c r="AH19" i="123" s="1"/>
  <c r="AE18" i="123"/>
  <c r="AI18" i="123" s="1"/>
  <c r="AD18" i="123"/>
  <c r="AH18" i="123" s="1"/>
  <c r="AC18" i="123"/>
  <c r="AG18" i="123" s="1"/>
  <c r="AF18" i="123"/>
  <c r="AJ18" i="123" s="1"/>
  <c r="AK18" i="123" s="1"/>
  <c r="AL18" i="123" s="1"/>
  <c r="BA18" i="20"/>
  <c r="BE18" i="20" s="1"/>
  <c r="BF18" i="20" s="1"/>
  <c r="BG18" i="20" s="1"/>
  <c r="AX18" i="20"/>
  <c r="BB18" i="20" s="1"/>
  <c r="AY18" i="20"/>
  <c r="BC18" i="20" s="1"/>
  <c r="AZ18" i="20"/>
  <c r="BD18" i="20" s="1"/>
  <c r="AF18" i="20"/>
  <c r="AC18" i="20"/>
  <c r="AE18" i="20"/>
  <c r="AD18" i="20"/>
  <c r="BA19" i="123"/>
  <c r="BE19" i="123" s="1"/>
  <c r="BF19" i="123" s="1"/>
  <c r="BG19" i="123" s="1"/>
  <c r="AZ19" i="123"/>
  <c r="BD19" i="123" s="1"/>
  <c r="AY19" i="123"/>
  <c r="BC19" i="123" s="1"/>
  <c r="AX19" i="123"/>
  <c r="BB19" i="123" s="1"/>
  <c r="L27" i="123"/>
  <c r="S87" i="153"/>
  <c r="R87" i="153"/>
  <c r="Q88" i="153"/>
  <c r="AM89" i="153"/>
  <c r="AN89" i="153"/>
  <c r="AS89" i="153" s="1"/>
  <c r="B112" i="153"/>
  <c r="C112" i="153" s="1"/>
  <c r="O89" i="153"/>
  <c r="P89" i="153"/>
  <c r="U89" i="153" s="1"/>
  <c r="AP87" i="153"/>
  <c r="AQ87" i="153"/>
  <c r="AO88" i="153"/>
  <c r="F25" i="153"/>
  <c r="C86" i="153"/>
  <c r="W153" i="152"/>
  <c r="C26" i="153" s="1"/>
  <c r="E26" i="153" s="1"/>
  <c r="F26" i="153" s="1"/>
  <c r="X20" i="20" s="1"/>
  <c r="K58" i="153"/>
  <c r="AC85" i="153"/>
  <c r="Z58" i="153"/>
  <c r="C87" i="153"/>
  <c r="H87" i="153" s="1"/>
  <c r="B113" i="153"/>
  <c r="C113" i="153" s="1"/>
  <c r="B156" i="152"/>
  <c r="C155" i="152"/>
  <c r="B196" i="152" s="1"/>
  <c r="C196" i="152" s="1"/>
  <c r="N196" i="152" s="1"/>
  <c r="M90" i="153" s="1"/>
  <c r="N90" i="153" s="1"/>
  <c r="V60" i="153"/>
  <c r="U60" i="153"/>
  <c r="X60" i="153" s="1"/>
  <c r="E60" i="153"/>
  <c r="H60" i="153" s="1"/>
  <c r="F60" i="153"/>
  <c r="D231" i="152"/>
  <c r="V231" i="152" s="1"/>
  <c r="J27" i="153" s="1"/>
  <c r="L27" i="153" s="1"/>
  <c r="L141" i="153" s="1"/>
  <c r="E231" i="152"/>
  <c r="W231" i="152" s="1"/>
  <c r="K27" i="153" s="1"/>
  <c r="M27" i="153" s="1"/>
  <c r="I59" i="153"/>
  <c r="M59" i="153" s="1"/>
  <c r="R62" i="153"/>
  <c r="M140" i="153"/>
  <c r="N140" i="153" s="1"/>
  <c r="D154" i="152"/>
  <c r="V154" i="152" s="1"/>
  <c r="B27" i="153" s="1"/>
  <c r="D27" i="153" s="1"/>
  <c r="B141" i="153" s="1"/>
  <c r="E154" i="152"/>
  <c r="S61" i="153"/>
  <c r="T61" i="153"/>
  <c r="W61" i="153" s="1"/>
  <c r="Z87" i="153"/>
  <c r="O26" i="153"/>
  <c r="AS20" i="123" s="1"/>
  <c r="N26" i="153"/>
  <c r="AS20" i="20" s="1"/>
  <c r="C232" i="152"/>
  <c r="B272" i="152" s="1"/>
  <c r="C272" i="152" s="1"/>
  <c r="N272" i="152" s="1"/>
  <c r="AK90" i="153" s="1"/>
  <c r="AL90" i="153" s="1"/>
  <c r="Y59" i="153"/>
  <c r="AC59" i="153" s="1"/>
  <c r="D61" i="153"/>
  <c r="G61" i="153" s="1"/>
  <c r="C61" i="153"/>
  <c r="B62" i="153"/>
  <c r="C140" i="153"/>
  <c r="D140" i="153" s="1"/>
  <c r="AB86" i="153"/>
  <c r="AA87" i="153"/>
  <c r="AF87" i="153" s="1"/>
  <c r="L113" i="153"/>
  <c r="M113" i="153" s="1"/>
  <c r="S27" i="123" l="1"/>
  <c r="BJ17" i="123"/>
  <c r="BK17" i="123"/>
  <c r="U6" i="20"/>
  <c r="U27" i="20" s="1"/>
  <c r="T6" i="20"/>
  <c r="T27" i="20" s="1"/>
  <c r="S27" i="20"/>
  <c r="BK18" i="123"/>
  <c r="BJ18" i="123"/>
  <c r="AP17" i="123"/>
  <c r="AO17" i="123"/>
  <c r="BH19" i="123"/>
  <c r="BI19" i="123" s="1"/>
  <c r="AM18" i="123"/>
  <c r="AN18" i="123" s="1"/>
  <c r="AM19" i="123"/>
  <c r="AN19" i="123" s="1"/>
  <c r="Q7" i="123"/>
  <c r="Q27" i="123" s="1"/>
  <c r="P27" i="123"/>
  <c r="AP16" i="20"/>
  <c r="AO16" i="20"/>
  <c r="AO17" i="20"/>
  <c r="AP17" i="20"/>
  <c r="BH18" i="20"/>
  <c r="E85" i="153"/>
  <c r="B87" i="153"/>
  <c r="D87" i="153" s="1"/>
  <c r="X19" i="20"/>
  <c r="B39" i="159"/>
  <c r="C39" i="159" s="1"/>
  <c r="E39" i="159" s="1"/>
  <c r="K39" i="159" s="1"/>
  <c r="D38" i="159"/>
  <c r="F38" i="159" s="1"/>
  <c r="M38" i="159"/>
  <c r="L38" i="159"/>
  <c r="D113" i="153"/>
  <c r="E113" i="153"/>
  <c r="F140" i="153"/>
  <c r="E140" i="153"/>
  <c r="D112" i="153"/>
  <c r="E112" i="153"/>
  <c r="J85" i="153"/>
  <c r="P140" i="153"/>
  <c r="O140" i="153"/>
  <c r="N113" i="153"/>
  <c r="O113" i="153"/>
  <c r="D86" i="153"/>
  <c r="F86" i="153" s="1"/>
  <c r="H86" i="153"/>
  <c r="M23" i="116"/>
  <c r="S22" i="116"/>
  <c r="B47" i="116" s="1"/>
  <c r="G38" i="159"/>
  <c r="I38" i="159" s="1"/>
  <c r="I37" i="159"/>
  <c r="H36" i="159"/>
  <c r="I36" i="159"/>
  <c r="AE59" i="153"/>
  <c r="AD59" i="153"/>
  <c r="AG85" i="153"/>
  <c r="AH85" i="153"/>
  <c r="AG86" i="153"/>
  <c r="AH86" i="153"/>
  <c r="O59" i="153"/>
  <c r="N59" i="153"/>
  <c r="AE58" i="153"/>
  <c r="AD58" i="153"/>
  <c r="O58" i="153"/>
  <c r="N58" i="153"/>
  <c r="AT88" i="153"/>
  <c r="AU88" i="153"/>
  <c r="V88" i="153"/>
  <c r="W88" i="153"/>
  <c r="AI18" i="20"/>
  <c r="AY19" i="20"/>
  <c r="BC19" i="20" s="1"/>
  <c r="AZ19" i="20"/>
  <c r="BD19" i="20" s="1"/>
  <c r="AX19" i="20"/>
  <c r="BB19" i="20" s="1"/>
  <c r="BA19" i="20"/>
  <c r="BE19" i="20" s="1"/>
  <c r="BF19" i="20" s="1"/>
  <c r="BG19" i="20" s="1"/>
  <c r="AG18" i="20"/>
  <c r="AH18" i="20"/>
  <c r="AJ18" i="20"/>
  <c r="AK18" i="20" s="1"/>
  <c r="AL18" i="20" s="1"/>
  <c r="AX20" i="123"/>
  <c r="BB20" i="123" s="1"/>
  <c r="BA20" i="123"/>
  <c r="BE20" i="123" s="1"/>
  <c r="BF20" i="123" s="1"/>
  <c r="BG20" i="123" s="1"/>
  <c r="AZ20" i="123"/>
  <c r="BD20" i="123" s="1"/>
  <c r="AY20" i="123"/>
  <c r="BC20" i="123" s="1"/>
  <c r="AN90" i="153"/>
  <c r="AS90" i="153" s="1"/>
  <c r="AM90" i="153"/>
  <c r="AO89" i="153"/>
  <c r="AQ88" i="153"/>
  <c r="AP88" i="153"/>
  <c r="Q89" i="153"/>
  <c r="S88" i="153"/>
  <c r="R88" i="153"/>
  <c r="O90" i="153"/>
  <c r="P90" i="153"/>
  <c r="U90" i="153" s="1"/>
  <c r="G26" i="153"/>
  <c r="X20" i="123" s="1"/>
  <c r="W154" i="152"/>
  <c r="C27" i="153" s="1"/>
  <c r="E27" i="153" s="1"/>
  <c r="F27" i="153" s="1"/>
  <c r="X21" i="20" s="1"/>
  <c r="Y60" i="153"/>
  <c r="I60" i="153"/>
  <c r="AA88" i="153"/>
  <c r="AF88" i="153" s="1"/>
  <c r="L114" i="153"/>
  <c r="M114" i="153" s="1"/>
  <c r="B63" i="153"/>
  <c r="C141" i="153"/>
  <c r="D141" i="153" s="1"/>
  <c r="N27" i="153"/>
  <c r="AS21" i="20" s="1"/>
  <c r="O27" i="153"/>
  <c r="AS21" i="123" s="1"/>
  <c r="AC86" i="153"/>
  <c r="AD86" i="153"/>
  <c r="D62" i="153"/>
  <c r="G62" i="153" s="1"/>
  <c r="C62" i="153"/>
  <c r="R63" i="153"/>
  <c r="M141" i="153"/>
  <c r="N141" i="153" s="1"/>
  <c r="F61" i="153"/>
  <c r="E61" i="153"/>
  <c r="H61" i="153" s="1"/>
  <c r="AA59" i="153"/>
  <c r="Z59" i="153"/>
  <c r="V61" i="153"/>
  <c r="U61" i="153"/>
  <c r="X61" i="153" s="1"/>
  <c r="T62" i="153"/>
  <c r="W62" i="153" s="1"/>
  <c r="S62" i="153"/>
  <c r="E155" i="152"/>
  <c r="D155" i="152"/>
  <c r="V155" i="152" s="1"/>
  <c r="B28" i="153" s="1"/>
  <c r="D28" i="153" s="1"/>
  <c r="B142" i="153" s="1"/>
  <c r="C233" i="152"/>
  <c r="B273" i="152" s="1"/>
  <c r="C273" i="152" s="1"/>
  <c r="N273" i="152" s="1"/>
  <c r="AK91" i="153" s="1"/>
  <c r="AL91" i="153" s="1"/>
  <c r="K59" i="153"/>
  <c r="J59" i="153"/>
  <c r="E232" i="152"/>
  <c r="W232" i="152" s="1"/>
  <c r="K28" i="153" s="1"/>
  <c r="M28" i="153" s="1"/>
  <c r="D232" i="152"/>
  <c r="V232" i="152" s="1"/>
  <c r="J28" i="153" s="1"/>
  <c r="L28" i="153" s="1"/>
  <c r="L142" i="153" s="1"/>
  <c r="Z88" i="153"/>
  <c r="AB87" i="153"/>
  <c r="B88" i="153"/>
  <c r="B157" i="152"/>
  <c r="C156" i="152"/>
  <c r="B197" i="152" s="1"/>
  <c r="C197" i="152" s="1"/>
  <c r="N197" i="152" s="1"/>
  <c r="M91" i="153" s="1"/>
  <c r="N91" i="153" s="1"/>
  <c r="AP19" i="123" l="1"/>
  <c r="AO19" i="123"/>
  <c r="U7" i="123"/>
  <c r="U27" i="123" s="1"/>
  <c r="AO18" i="123"/>
  <c r="AP18" i="123"/>
  <c r="T7" i="123"/>
  <c r="T27" i="123" s="1"/>
  <c r="BJ19" i="123"/>
  <c r="BK19" i="123"/>
  <c r="BH20" i="123"/>
  <c r="BI20" i="123" s="1"/>
  <c r="AM18" i="20"/>
  <c r="AN18" i="20" s="1"/>
  <c r="BH19" i="20"/>
  <c r="B40" i="159"/>
  <c r="C40" i="159" s="1"/>
  <c r="E40" i="159" s="1"/>
  <c r="K40" i="159" s="1"/>
  <c r="D39" i="159"/>
  <c r="F39" i="159" s="1"/>
  <c r="G39" i="159" s="1"/>
  <c r="I39" i="159" s="1"/>
  <c r="L39" i="159"/>
  <c r="M39" i="159"/>
  <c r="E86" i="153"/>
  <c r="P141" i="153"/>
  <c r="O141" i="153"/>
  <c r="F141" i="153"/>
  <c r="E141" i="153"/>
  <c r="N114" i="153"/>
  <c r="O114" i="153"/>
  <c r="S23" i="116"/>
  <c r="B48" i="116" s="1"/>
  <c r="H38" i="159"/>
  <c r="AA60" i="153"/>
  <c r="AC60" i="153"/>
  <c r="V89" i="153"/>
  <c r="W89" i="153"/>
  <c r="J60" i="153"/>
  <c r="M60" i="153"/>
  <c r="AT89" i="153"/>
  <c r="AU89" i="153"/>
  <c r="I87" i="153"/>
  <c r="J87" i="153"/>
  <c r="I86" i="153"/>
  <c r="J86" i="153"/>
  <c r="AG87" i="153"/>
  <c r="AH87" i="153"/>
  <c r="AE20" i="123"/>
  <c r="AI20" i="123" s="1"/>
  <c r="AD20" i="123"/>
  <c r="AH20" i="123" s="1"/>
  <c r="AF20" i="123"/>
  <c r="AJ20" i="123" s="1"/>
  <c r="AK20" i="123" s="1"/>
  <c r="AL20" i="123" s="1"/>
  <c r="AC20" i="123"/>
  <c r="AG20" i="123" s="1"/>
  <c r="AD20" i="20"/>
  <c r="AH20" i="20" s="1"/>
  <c r="AE20" i="20"/>
  <c r="AI20" i="20" s="1"/>
  <c r="AC20" i="20"/>
  <c r="AG20" i="20" s="1"/>
  <c r="AF20" i="20"/>
  <c r="AJ20" i="20" s="1"/>
  <c r="AK20" i="20" s="1"/>
  <c r="AL20" i="20" s="1"/>
  <c r="AD19" i="20"/>
  <c r="AE19" i="20"/>
  <c r="AC19" i="20"/>
  <c r="AF19" i="20"/>
  <c r="AY20" i="20"/>
  <c r="BC20" i="20" s="1"/>
  <c r="AZ20" i="20"/>
  <c r="BD20" i="20" s="1"/>
  <c r="AX20" i="20"/>
  <c r="BB20" i="20" s="1"/>
  <c r="BA20" i="20"/>
  <c r="BE20" i="20" s="1"/>
  <c r="BF20" i="20" s="1"/>
  <c r="BG20" i="20" s="1"/>
  <c r="AY21" i="123"/>
  <c r="BC21" i="123" s="1"/>
  <c r="AX21" i="123"/>
  <c r="BB21" i="123" s="1"/>
  <c r="BA21" i="123"/>
  <c r="BE21" i="123" s="1"/>
  <c r="BF21" i="123" s="1"/>
  <c r="BG21" i="123" s="1"/>
  <c r="AZ21" i="123"/>
  <c r="BD21" i="123" s="1"/>
  <c r="Q90" i="153"/>
  <c r="R90" i="153" s="1"/>
  <c r="AO90" i="153"/>
  <c r="G27" i="153"/>
  <c r="X21" i="123" s="1"/>
  <c r="K60" i="153"/>
  <c r="AQ89" i="153"/>
  <c r="AP89" i="153"/>
  <c r="P91" i="153"/>
  <c r="U91" i="153" s="1"/>
  <c r="O91" i="153"/>
  <c r="R89" i="153"/>
  <c r="S89" i="153"/>
  <c r="AN91" i="153"/>
  <c r="AS91" i="153" s="1"/>
  <c r="AM91" i="153"/>
  <c r="B114" i="153"/>
  <c r="C114" i="153" s="1"/>
  <c r="C88" i="153"/>
  <c r="W155" i="152"/>
  <c r="C28" i="153" s="1"/>
  <c r="E28" i="153" s="1"/>
  <c r="G28" i="153" s="1"/>
  <c r="X22" i="123" s="1"/>
  <c r="Z60" i="153"/>
  <c r="I61" i="153"/>
  <c r="Y61" i="153"/>
  <c r="R64" i="153"/>
  <c r="M142" i="153"/>
  <c r="N142" i="153" s="1"/>
  <c r="B89" i="153"/>
  <c r="O28" i="153"/>
  <c r="AS22" i="123" s="1"/>
  <c r="N28" i="153"/>
  <c r="AS22" i="20" s="1"/>
  <c r="D233" i="152"/>
  <c r="V233" i="152" s="1"/>
  <c r="J29" i="153" s="1"/>
  <c r="L29" i="153" s="1"/>
  <c r="L143" i="153" s="1"/>
  <c r="E233" i="152"/>
  <c r="W233" i="152" s="1"/>
  <c r="K29" i="153" s="1"/>
  <c r="M29" i="153" s="1"/>
  <c r="Z89" i="153"/>
  <c r="C157" i="152"/>
  <c r="B198" i="152" s="1"/>
  <c r="C198" i="152" s="1"/>
  <c r="N198" i="152" s="1"/>
  <c r="M92" i="153" s="1"/>
  <c r="N92" i="153" s="1"/>
  <c r="B158" i="152"/>
  <c r="F87" i="153"/>
  <c r="E87" i="153"/>
  <c r="C234" i="152"/>
  <c r="B274" i="152" s="1"/>
  <c r="C274" i="152" s="1"/>
  <c r="N274" i="152" s="1"/>
  <c r="AK92" i="153" s="1"/>
  <c r="AL92" i="153" s="1"/>
  <c r="F62" i="153"/>
  <c r="E62" i="153"/>
  <c r="H62" i="153" s="1"/>
  <c r="AA89" i="153"/>
  <c r="AF89" i="153" s="1"/>
  <c r="L115" i="153"/>
  <c r="M115" i="153" s="1"/>
  <c r="E156" i="152"/>
  <c r="D156" i="152"/>
  <c r="V156" i="152" s="1"/>
  <c r="B29" i="153" s="1"/>
  <c r="D29" i="153" s="1"/>
  <c r="B143" i="153" s="1"/>
  <c r="C142" i="153"/>
  <c r="D142" i="153" s="1"/>
  <c r="B64" i="153"/>
  <c r="AD87" i="153"/>
  <c r="AC87" i="153"/>
  <c r="AB88" i="153"/>
  <c r="U62" i="153"/>
  <c r="X62" i="153" s="1"/>
  <c r="V62" i="153"/>
  <c r="S63" i="153"/>
  <c r="T63" i="153"/>
  <c r="W63" i="153" s="1"/>
  <c r="D63" i="153"/>
  <c r="G63" i="153" s="1"/>
  <c r="C63" i="153"/>
  <c r="L27" i="20"/>
  <c r="BK20" i="123" l="1"/>
  <c r="BJ20" i="123"/>
  <c r="BH21" i="123"/>
  <c r="BI21" i="123" s="1"/>
  <c r="AM20" i="123"/>
  <c r="AN20" i="123" s="1"/>
  <c r="AM20" i="20"/>
  <c r="AN20" i="20" s="1"/>
  <c r="AP18" i="20"/>
  <c r="AO18" i="20"/>
  <c r="BH20" i="20"/>
  <c r="B41" i="159"/>
  <c r="B42" i="159" s="1"/>
  <c r="D40" i="159"/>
  <c r="F40" i="159" s="1"/>
  <c r="M40" i="159"/>
  <c r="L40" i="159"/>
  <c r="H39" i="159"/>
  <c r="D88" i="153"/>
  <c r="F88" i="153" s="1"/>
  <c r="H88" i="153"/>
  <c r="N115" i="153"/>
  <c r="O115" i="153"/>
  <c r="D114" i="153"/>
  <c r="E114" i="153"/>
  <c r="F142" i="153"/>
  <c r="E142" i="153"/>
  <c r="P142" i="153"/>
  <c r="O142" i="153"/>
  <c r="G40" i="159"/>
  <c r="K61" i="153"/>
  <c r="M61" i="153"/>
  <c r="AQ90" i="153"/>
  <c r="AG88" i="153"/>
  <c r="AH88" i="153"/>
  <c r="S90" i="153"/>
  <c r="AD60" i="153"/>
  <c r="AE60" i="153"/>
  <c r="AA61" i="153"/>
  <c r="AC61" i="153"/>
  <c r="O60" i="153"/>
  <c r="N60" i="153"/>
  <c r="AE22" i="123"/>
  <c r="AI22" i="123" s="1"/>
  <c r="AF22" i="123"/>
  <c r="AJ22" i="123" s="1"/>
  <c r="AK22" i="123" s="1"/>
  <c r="AL22" i="123" s="1"/>
  <c r="AD22" i="123"/>
  <c r="AH22" i="123" s="1"/>
  <c r="AC22" i="123"/>
  <c r="AG22" i="123" s="1"/>
  <c r="AC21" i="123"/>
  <c r="AG21" i="123" s="1"/>
  <c r="AD21" i="123"/>
  <c r="AH21" i="123" s="1"/>
  <c r="AE21" i="123"/>
  <c r="AI21" i="123" s="1"/>
  <c r="AF21" i="123"/>
  <c r="AJ21" i="123" s="1"/>
  <c r="AK21" i="123" s="1"/>
  <c r="AL21" i="123" s="1"/>
  <c r="AI19" i="20"/>
  <c r="AH19" i="20"/>
  <c r="AG19" i="20"/>
  <c r="AZ21" i="20"/>
  <c r="BD21" i="20" s="1"/>
  <c r="AX21" i="20"/>
  <c r="BB21" i="20" s="1"/>
  <c r="BA21" i="20"/>
  <c r="BE21" i="20" s="1"/>
  <c r="BF21" i="20" s="1"/>
  <c r="BG21" i="20" s="1"/>
  <c r="AY21" i="20"/>
  <c r="BC21" i="20" s="1"/>
  <c r="AE21" i="20"/>
  <c r="AI21" i="20" s="1"/>
  <c r="AC21" i="20"/>
  <c r="AG21" i="20" s="1"/>
  <c r="AF21" i="20"/>
  <c r="AJ21" i="20" s="1"/>
  <c r="AK21" i="20" s="1"/>
  <c r="AL21" i="20" s="1"/>
  <c r="AD21" i="20"/>
  <c r="AH21" i="20" s="1"/>
  <c r="AJ19" i="20"/>
  <c r="AK19" i="20" s="1"/>
  <c r="AL19" i="20" s="1"/>
  <c r="AZ22" i="123"/>
  <c r="BD22" i="123" s="1"/>
  <c r="AY22" i="123"/>
  <c r="BC22" i="123" s="1"/>
  <c r="BA22" i="123"/>
  <c r="BE22" i="123" s="1"/>
  <c r="BF22" i="123" s="1"/>
  <c r="BG22" i="123" s="1"/>
  <c r="AX22" i="123"/>
  <c r="BB22" i="123" s="1"/>
  <c r="C89" i="153"/>
  <c r="AP90" i="153"/>
  <c r="B115" i="153"/>
  <c r="C115" i="153" s="1"/>
  <c r="AO91" i="153"/>
  <c r="Q91" i="153"/>
  <c r="J61" i="153"/>
  <c r="O92" i="153"/>
  <c r="P92" i="153"/>
  <c r="U92" i="153" s="1"/>
  <c r="AM92" i="153"/>
  <c r="AN92" i="153"/>
  <c r="AS92" i="153" s="1"/>
  <c r="F28" i="153"/>
  <c r="X22" i="20" s="1"/>
  <c r="W156" i="152"/>
  <c r="C29" i="153" s="1"/>
  <c r="E29" i="153" s="1"/>
  <c r="G29" i="153" s="1"/>
  <c r="X23" i="123" s="1"/>
  <c r="Z61" i="153"/>
  <c r="I62" i="153"/>
  <c r="V63" i="153"/>
  <c r="U63" i="153"/>
  <c r="X63" i="153" s="1"/>
  <c r="C143" i="153"/>
  <c r="D143" i="153" s="1"/>
  <c r="B65" i="153"/>
  <c r="Z90" i="153"/>
  <c r="C64" i="153"/>
  <c r="D64" i="153"/>
  <c r="G64" i="153" s="1"/>
  <c r="AA90" i="153"/>
  <c r="AF90" i="153" s="1"/>
  <c r="L116" i="153"/>
  <c r="M116" i="153" s="1"/>
  <c r="AC88" i="153"/>
  <c r="AD88" i="153"/>
  <c r="C90" i="153"/>
  <c r="H90" i="153" s="1"/>
  <c r="B116" i="153"/>
  <c r="C116" i="153" s="1"/>
  <c r="AB89" i="153"/>
  <c r="N29" i="153"/>
  <c r="AS23" i="20" s="1"/>
  <c r="O29" i="153"/>
  <c r="AS23" i="123" s="1"/>
  <c r="C235" i="152"/>
  <c r="B275" i="152" s="1"/>
  <c r="C275" i="152" s="1"/>
  <c r="N275" i="152" s="1"/>
  <c r="AK93" i="153" s="1"/>
  <c r="AL93" i="153" s="1"/>
  <c r="C158" i="152"/>
  <c r="B199" i="152" s="1"/>
  <c r="C199" i="152" s="1"/>
  <c r="N199" i="152" s="1"/>
  <c r="M93" i="153" s="1"/>
  <c r="N93" i="153" s="1"/>
  <c r="B159" i="152"/>
  <c r="F63" i="153"/>
  <c r="E63" i="153"/>
  <c r="H63" i="153" s="1"/>
  <c r="E234" i="152"/>
  <c r="W234" i="152" s="1"/>
  <c r="K30" i="153" s="1"/>
  <c r="M30" i="153" s="1"/>
  <c r="D234" i="152"/>
  <c r="V234" i="152" s="1"/>
  <c r="J30" i="153" s="1"/>
  <c r="L30" i="153" s="1"/>
  <c r="L144" i="153" s="1"/>
  <c r="E157" i="152"/>
  <c r="D157" i="152"/>
  <c r="V157" i="152" s="1"/>
  <c r="B30" i="153" s="1"/>
  <c r="D30" i="153" s="1"/>
  <c r="B144" i="153" s="1"/>
  <c r="Y62" i="153"/>
  <c r="AC62" i="153" s="1"/>
  <c r="R65" i="153"/>
  <c r="M143" i="153"/>
  <c r="N143" i="153" s="1"/>
  <c r="S64" i="153"/>
  <c r="T64" i="153"/>
  <c r="W64" i="153" s="1"/>
  <c r="BJ21" i="123" l="1"/>
  <c r="BK21" i="123"/>
  <c r="AM21" i="20"/>
  <c r="AN21" i="20" s="1"/>
  <c r="AO21" i="20" s="1"/>
  <c r="BH22" i="123"/>
  <c r="BI22" i="123" s="1"/>
  <c r="AO20" i="123"/>
  <c r="AP20" i="123"/>
  <c r="AM22" i="123"/>
  <c r="AN22" i="123" s="1"/>
  <c r="AM21" i="123"/>
  <c r="AN21" i="123" s="1"/>
  <c r="AM19" i="20"/>
  <c r="AN19" i="20" s="1"/>
  <c r="AP20" i="20"/>
  <c r="AO20" i="20"/>
  <c r="BH21" i="20"/>
  <c r="O93" i="153"/>
  <c r="P93" i="153"/>
  <c r="U93" i="153" s="1"/>
  <c r="AM93" i="153"/>
  <c r="AN93" i="153"/>
  <c r="AS93" i="153" s="1"/>
  <c r="C42" i="159"/>
  <c r="E42" i="159" s="1"/>
  <c r="D42" i="159"/>
  <c r="F42" i="159" s="1"/>
  <c r="E88" i="153"/>
  <c r="D41" i="159"/>
  <c r="C41" i="159"/>
  <c r="D115" i="153"/>
  <c r="E115" i="153"/>
  <c r="F143" i="153"/>
  <c r="E143" i="153"/>
  <c r="D116" i="153"/>
  <c r="E116" i="153"/>
  <c r="D89" i="153"/>
  <c r="E89" i="153" s="1"/>
  <c r="H89" i="153"/>
  <c r="I89" i="153" s="1"/>
  <c r="N116" i="153"/>
  <c r="O116" i="153"/>
  <c r="P143" i="153"/>
  <c r="O143" i="153"/>
  <c r="H40" i="159"/>
  <c r="I40" i="159"/>
  <c r="V90" i="153"/>
  <c r="W90" i="153"/>
  <c r="O61" i="153"/>
  <c r="N61" i="153"/>
  <c r="AE62" i="153"/>
  <c r="AD62" i="153"/>
  <c r="AQ91" i="153"/>
  <c r="R91" i="153"/>
  <c r="I88" i="153"/>
  <c r="J88" i="153"/>
  <c r="AT90" i="153"/>
  <c r="AU90" i="153"/>
  <c r="J62" i="153"/>
  <c r="M62" i="153"/>
  <c r="AG89" i="153"/>
  <c r="AH89" i="153"/>
  <c r="AE61" i="153"/>
  <c r="AD61" i="153"/>
  <c r="AF23" i="123"/>
  <c r="AJ23" i="123" s="1"/>
  <c r="AK23" i="123" s="1"/>
  <c r="AL23" i="123" s="1"/>
  <c r="AC23" i="123"/>
  <c r="AG23" i="123" s="1"/>
  <c r="AE23" i="123"/>
  <c r="AI23" i="123" s="1"/>
  <c r="AD23" i="123"/>
  <c r="AH23" i="123" s="1"/>
  <c r="BA22" i="20"/>
  <c r="BE22" i="20" s="1"/>
  <c r="BF22" i="20" s="1"/>
  <c r="BG22" i="20" s="1"/>
  <c r="AX22" i="20"/>
  <c r="BB22" i="20" s="1"/>
  <c r="AY22" i="20"/>
  <c r="BC22" i="20" s="1"/>
  <c r="AZ22" i="20"/>
  <c r="BD22" i="20" s="1"/>
  <c r="AF22" i="20"/>
  <c r="AC22" i="20"/>
  <c r="AG22" i="20" s="1"/>
  <c r="AD22" i="20"/>
  <c r="AE22" i="20"/>
  <c r="AI22" i="20" s="1"/>
  <c r="BA23" i="123"/>
  <c r="BE23" i="123" s="1"/>
  <c r="BF23" i="123" s="1"/>
  <c r="BG23" i="123" s="1"/>
  <c r="AZ23" i="123"/>
  <c r="BD23" i="123" s="1"/>
  <c r="AY23" i="123"/>
  <c r="BC23" i="123" s="1"/>
  <c r="AX23" i="123"/>
  <c r="BB23" i="123" s="1"/>
  <c r="C236" i="152"/>
  <c r="B276" i="152" s="1"/>
  <c r="C276" i="152" s="1"/>
  <c r="N276" i="152" s="1"/>
  <c r="AK94" i="153" s="1"/>
  <c r="AL94" i="153" s="1"/>
  <c r="AP91" i="153"/>
  <c r="B90" i="153"/>
  <c r="D90" i="153" s="1"/>
  <c r="F29" i="153"/>
  <c r="X23" i="20" s="1"/>
  <c r="S91" i="153"/>
  <c r="C159" i="152"/>
  <c r="B200" i="152" s="1"/>
  <c r="C200" i="152" s="1"/>
  <c r="N200" i="152" s="1"/>
  <c r="M94" i="153" s="1"/>
  <c r="N94" i="153" s="1"/>
  <c r="B160" i="152"/>
  <c r="Q92" i="153"/>
  <c r="AO92" i="153"/>
  <c r="W157" i="152"/>
  <c r="C30" i="153" s="1"/>
  <c r="E30" i="153" s="1"/>
  <c r="G30" i="153" s="1"/>
  <c r="X24" i="123" s="1"/>
  <c r="K62" i="153"/>
  <c r="Y63" i="153"/>
  <c r="AB90" i="153"/>
  <c r="C91" i="153"/>
  <c r="H91" i="153" s="1"/>
  <c r="B117" i="153"/>
  <c r="C117" i="153" s="1"/>
  <c r="D158" i="152"/>
  <c r="V158" i="152" s="1"/>
  <c r="B31" i="153" s="1"/>
  <c r="D31" i="153" s="1"/>
  <c r="E158" i="152"/>
  <c r="AA91" i="153"/>
  <c r="AF91" i="153" s="1"/>
  <c r="L117" i="153"/>
  <c r="M117" i="153" s="1"/>
  <c r="D235" i="152"/>
  <c r="V235" i="152" s="1"/>
  <c r="J31" i="153" s="1"/>
  <c r="L31" i="153" s="1"/>
  <c r="E235" i="152"/>
  <c r="W235" i="152" s="1"/>
  <c r="K31" i="153" s="1"/>
  <c r="M31" i="153" s="1"/>
  <c r="Z91" i="153"/>
  <c r="F64" i="153"/>
  <c r="E64" i="153"/>
  <c r="H64" i="153" s="1"/>
  <c r="Z62" i="153"/>
  <c r="AA62" i="153"/>
  <c r="O30" i="153"/>
  <c r="AS24" i="123" s="1"/>
  <c r="N30" i="153"/>
  <c r="AS24" i="20" s="1"/>
  <c r="I63" i="153"/>
  <c r="M63" i="153" s="1"/>
  <c r="AC89" i="153"/>
  <c r="AD89" i="153"/>
  <c r="C65" i="153"/>
  <c r="D65" i="153"/>
  <c r="G65" i="153" s="1"/>
  <c r="M144" i="153"/>
  <c r="N144" i="153" s="1"/>
  <c r="R66" i="153"/>
  <c r="V64" i="153"/>
  <c r="U64" i="153"/>
  <c r="X64" i="153" s="1"/>
  <c r="T65" i="153"/>
  <c r="W65" i="153" s="1"/>
  <c r="S65" i="153"/>
  <c r="C144" i="153"/>
  <c r="D144" i="153" s="1"/>
  <c r="B66" i="153"/>
  <c r="AO22" i="123" l="1"/>
  <c r="AP22" i="123"/>
  <c r="AP21" i="20"/>
  <c r="AP21" i="123"/>
  <c r="AO21" i="123"/>
  <c r="BK22" i="123"/>
  <c r="BJ22" i="123"/>
  <c r="BH23" i="123"/>
  <c r="BI23" i="123" s="1"/>
  <c r="AM23" i="123"/>
  <c r="AN23" i="123" s="1"/>
  <c r="AP19" i="20"/>
  <c r="AO19" i="20"/>
  <c r="BH22" i="20"/>
  <c r="AO93" i="153"/>
  <c r="AP93" i="153" s="1"/>
  <c r="N31" i="153"/>
  <c r="O31" i="153"/>
  <c r="AM94" i="153"/>
  <c r="AO94" i="153" s="1"/>
  <c r="AN94" i="153"/>
  <c r="AS94" i="153" s="1"/>
  <c r="AU93" i="153"/>
  <c r="AT93" i="153"/>
  <c r="B67" i="153"/>
  <c r="B145" i="153"/>
  <c r="C145" i="153" s="1"/>
  <c r="D145" i="153" s="1"/>
  <c r="AQ93" i="153"/>
  <c r="R67" i="153"/>
  <c r="L145" i="153"/>
  <c r="M145" i="153" s="1"/>
  <c r="N145" i="153" s="1"/>
  <c r="V93" i="153"/>
  <c r="W93" i="153"/>
  <c r="P94" i="153"/>
  <c r="U94" i="153" s="1"/>
  <c r="O94" i="153"/>
  <c r="Q94" i="153" s="1"/>
  <c r="Q93" i="153"/>
  <c r="F89" i="153"/>
  <c r="G42" i="159"/>
  <c r="K42" i="159"/>
  <c r="E41" i="159"/>
  <c r="E43" i="159" s="1"/>
  <c r="F41" i="159"/>
  <c r="F43" i="159" s="1"/>
  <c r="P144" i="153"/>
  <c r="O144" i="153"/>
  <c r="N117" i="153"/>
  <c r="O117" i="153"/>
  <c r="D117" i="153"/>
  <c r="E117" i="153"/>
  <c r="F144" i="153"/>
  <c r="E144" i="153"/>
  <c r="J89" i="153"/>
  <c r="AT91" i="153"/>
  <c r="AU91" i="153"/>
  <c r="AD90" i="153"/>
  <c r="AT92" i="153"/>
  <c r="AU92" i="153"/>
  <c r="F90" i="153"/>
  <c r="R92" i="153"/>
  <c r="Z63" i="153"/>
  <c r="AC63" i="153"/>
  <c r="V91" i="153"/>
  <c r="W91" i="153"/>
  <c r="O63" i="153"/>
  <c r="N63" i="153"/>
  <c r="O62" i="153"/>
  <c r="N62" i="153"/>
  <c r="AC24" i="123"/>
  <c r="AG24" i="123" s="1"/>
  <c r="AE24" i="123"/>
  <c r="AI24" i="123" s="1"/>
  <c r="AD24" i="123"/>
  <c r="AH24" i="123" s="1"/>
  <c r="AF24" i="123"/>
  <c r="AJ24" i="123" s="1"/>
  <c r="AK24" i="123" s="1"/>
  <c r="AL24" i="123" s="1"/>
  <c r="AD23" i="20"/>
  <c r="AH23" i="20" s="1"/>
  <c r="AF23" i="20"/>
  <c r="AJ23" i="20" s="1"/>
  <c r="AK23" i="20" s="1"/>
  <c r="AL23" i="20" s="1"/>
  <c r="AE23" i="20"/>
  <c r="AC23" i="20"/>
  <c r="AG23" i="20" s="1"/>
  <c r="AJ22" i="20"/>
  <c r="AK22" i="20" s="1"/>
  <c r="AL22" i="20" s="1"/>
  <c r="AY23" i="20"/>
  <c r="BC23" i="20" s="1"/>
  <c r="BA23" i="20"/>
  <c r="BE23" i="20" s="1"/>
  <c r="BF23" i="20" s="1"/>
  <c r="BG23" i="20" s="1"/>
  <c r="AZ23" i="20"/>
  <c r="BD23" i="20" s="1"/>
  <c r="AX23" i="20"/>
  <c r="BB23" i="20" s="1"/>
  <c r="AH22" i="20"/>
  <c r="AM22" i="20" s="1"/>
  <c r="AN22" i="20" s="1"/>
  <c r="AX24" i="123"/>
  <c r="BB24" i="123" s="1"/>
  <c r="BA24" i="123"/>
  <c r="BE24" i="123" s="1"/>
  <c r="BF24" i="123" s="1"/>
  <c r="BG24" i="123" s="1"/>
  <c r="AZ24" i="123"/>
  <c r="BD24" i="123" s="1"/>
  <c r="AY24" i="123"/>
  <c r="BC24" i="123" s="1"/>
  <c r="D236" i="152"/>
  <c r="V236" i="152" s="1"/>
  <c r="J32" i="153" s="1"/>
  <c r="L32" i="153" s="1"/>
  <c r="B91" i="153"/>
  <c r="D91" i="153" s="1"/>
  <c r="E236" i="152"/>
  <c r="W236" i="152" s="1"/>
  <c r="K32" i="153" s="1"/>
  <c r="M32" i="153" s="1"/>
  <c r="C237" i="152"/>
  <c r="F30" i="153"/>
  <c r="X24" i="20" s="1"/>
  <c r="S92" i="153"/>
  <c r="E159" i="152"/>
  <c r="W159" i="152" s="1"/>
  <c r="C32" i="153" s="1"/>
  <c r="E32" i="153" s="1"/>
  <c r="D159" i="152"/>
  <c r="V159" i="152" s="1"/>
  <c r="B32" i="153" s="1"/>
  <c r="D32" i="153" s="1"/>
  <c r="B161" i="152"/>
  <c r="C160" i="152"/>
  <c r="B201" i="152" s="1"/>
  <c r="C201" i="152" s="1"/>
  <c r="N201" i="152" s="1"/>
  <c r="AA63" i="153"/>
  <c r="AQ92" i="153"/>
  <c r="AP92" i="153"/>
  <c r="W158" i="152"/>
  <c r="C31" i="153" s="1"/>
  <c r="E31" i="153" s="1"/>
  <c r="AB91" i="153"/>
  <c r="Y64" i="153"/>
  <c r="E90" i="153"/>
  <c r="AC90" i="153"/>
  <c r="I64" i="153"/>
  <c r="F65" i="153"/>
  <c r="E65" i="153"/>
  <c r="H65" i="153" s="1"/>
  <c r="C66" i="153"/>
  <c r="D66" i="153"/>
  <c r="G66" i="153" s="1"/>
  <c r="U65" i="153"/>
  <c r="X65" i="153" s="1"/>
  <c r="V65" i="153"/>
  <c r="T66" i="153"/>
  <c r="W66" i="153" s="1"/>
  <c r="S66" i="153"/>
  <c r="K63" i="153"/>
  <c r="J63" i="153"/>
  <c r="C92" i="153"/>
  <c r="H92" i="153" s="1"/>
  <c r="B118" i="153"/>
  <c r="C118" i="153" s="1"/>
  <c r="L118" i="153"/>
  <c r="M118" i="153" s="1"/>
  <c r="AA92" i="153"/>
  <c r="AF92" i="153" s="1"/>
  <c r="Z92" i="153"/>
  <c r="BJ23" i="123" l="1"/>
  <c r="BK23" i="123"/>
  <c r="AP23" i="123"/>
  <c r="AO23" i="123"/>
  <c r="BH24" i="123"/>
  <c r="BI24" i="123" s="1"/>
  <c r="AM24" i="123"/>
  <c r="AN24" i="123" s="1"/>
  <c r="AP22" i="20"/>
  <c r="AO22" i="20"/>
  <c r="BH23" i="20"/>
  <c r="B68" i="153"/>
  <c r="B146" i="153"/>
  <c r="C146" i="153" s="1"/>
  <c r="D146" i="153" s="1"/>
  <c r="R94" i="153"/>
  <c r="S94" i="153"/>
  <c r="P145" i="153"/>
  <c r="O145" i="153"/>
  <c r="E145" i="153"/>
  <c r="F145" i="153"/>
  <c r="AU94" i="153"/>
  <c r="AT94" i="153"/>
  <c r="F32" i="153"/>
  <c r="G32" i="153"/>
  <c r="O32" i="153"/>
  <c r="N32" i="153"/>
  <c r="V94" i="153"/>
  <c r="W94" i="153"/>
  <c r="T67" i="153"/>
  <c r="W67" i="153" s="1"/>
  <c r="S67" i="153"/>
  <c r="D67" i="153"/>
  <c r="G67" i="153" s="1"/>
  <c r="C67" i="153"/>
  <c r="AQ94" i="153"/>
  <c r="AP94" i="153"/>
  <c r="G31" i="153"/>
  <c r="F31" i="153"/>
  <c r="R93" i="153"/>
  <c r="S93" i="153"/>
  <c r="L119" i="153"/>
  <c r="M119" i="153" s="1"/>
  <c r="AS25" i="123"/>
  <c r="AA93" i="153"/>
  <c r="AF93" i="153" s="1"/>
  <c r="R68" i="153"/>
  <c r="L146" i="153"/>
  <c r="M146" i="153" s="1"/>
  <c r="N146" i="153" s="1"/>
  <c r="AS25" i="20"/>
  <c r="Z93" i="153"/>
  <c r="AB93" i="153" s="1"/>
  <c r="L42" i="159"/>
  <c r="M42" i="159"/>
  <c r="H42" i="159"/>
  <c r="I42" i="159"/>
  <c r="K41" i="159"/>
  <c r="K43" i="159" s="1"/>
  <c r="G41" i="159"/>
  <c r="G43" i="159" s="1"/>
  <c r="D118" i="153"/>
  <c r="E118" i="153"/>
  <c r="N118" i="153"/>
  <c r="O118" i="153"/>
  <c r="K64" i="153"/>
  <c r="M64" i="153"/>
  <c r="AD91" i="153"/>
  <c r="F91" i="153"/>
  <c r="AD63" i="153"/>
  <c r="AE63" i="153"/>
  <c r="I90" i="153"/>
  <c r="J90" i="153"/>
  <c r="AG90" i="153"/>
  <c r="AH90" i="153"/>
  <c r="AA64" i="153"/>
  <c r="AC64" i="153"/>
  <c r="V92" i="153"/>
  <c r="W92" i="153"/>
  <c r="AI23" i="20"/>
  <c r="AM23" i="20" s="1"/>
  <c r="AN23" i="20" s="1"/>
  <c r="AD24" i="20"/>
  <c r="AE24" i="20"/>
  <c r="AI24" i="20" s="1"/>
  <c r="AF24" i="20"/>
  <c r="AC24" i="20"/>
  <c r="AG24" i="20" s="1"/>
  <c r="AY24" i="20"/>
  <c r="BC24" i="20" s="1"/>
  <c r="AZ24" i="20"/>
  <c r="BD24" i="20" s="1"/>
  <c r="BA24" i="20"/>
  <c r="BE24" i="20" s="1"/>
  <c r="BF24" i="20" s="1"/>
  <c r="BG24" i="20" s="1"/>
  <c r="AX24" i="20"/>
  <c r="BB24" i="20" s="1"/>
  <c r="B92" i="153"/>
  <c r="D92" i="153" s="1"/>
  <c r="C238" i="152"/>
  <c r="E237" i="152"/>
  <c r="W237" i="152" s="1"/>
  <c r="D237" i="152"/>
  <c r="V237" i="152" s="1"/>
  <c r="B277" i="152"/>
  <c r="C277" i="152" s="1"/>
  <c r="N277" i="152" s="1"/>
  <c r="E160" i="152"/>
  <c r="W160" i="152" s="1"/>
  <c r="D160" i="152"/>
  <c r="V160" i="152" s="1"/>
  <c r="B162" i="152"/>
  <c r="C161" i="152"/>
  <c r="B202" i="152" s="1"/>
  <c r="C202" i="152" s="1"/>
  <c r="N202" i="152" s="1"/>
  <c r="E91" i="153"/>
  <c r="AC91" i="153"/>
  <c r="Z64" i="153"/>
  <c r="J64" i="153"/>
  <c r="I65" i="153"/>
  <c r="Y65" i="153"/>
  <c r="AC65" i="153" s="1"/>
  <c r="U66" i="153"/>
  <c r="X66" i="153" s="1"/>
  <c r="V66" i="153"/>
  <c r="F66" i="153"/>
  <c r="E66" i="153"/>
  <c r="H66" i="153" s="1"/>
  <c r="AB92" i="153"/>
  <c r="AO24" i="123" l="1"/>
  <c r="AP24" i="123"/>
  <c r="BK24" i="123"/>
  <c r="BJ24" i="123"/>
  <c r="AP23" i="20"/>
  <c r="AO23" i="20"/>
  <c r="BH24" i="20"/>
  <c r="AX25" i="123"/>
  <c r="BB25" i="123" s="1"/>
  <c r="AY25" i="123"/>
  <c r="BC25" i="123" s="1"/>
  <c r="AZ25" i="123"/>
  <c r="BD25" i="123" s="1"/>
  <c r="BA25" i="123"/>
  <c r="BE25" i="123" s="1"/>
  <c r="BF25" i="123" s="1"/>
  <c r="BG25" i="123" s="1"/>
  <c r="B93" i="153"/>
  <c r="X25" i="20"/>
  <c r="F67" i="153"/>
  <c r="E67" i="153"/>
  <c r="H67" i="153" s="1"/>
  <c r="B120" i="153"/>
  <c r="C120" i="153" s="1"/>
  <c r="X26" i="123"/>
  <c r="C94" i="153"/>
  <c r="H94" i="153" s="1"/>
  <c r="O146" i="153"/>
  <c r="P146" i="153"/>
  <c r="P147" i="153" s="1"/>
  <c r="N119" i="153"/>
  <c r="O119" i="153"/>
  <c r="B119" i="153"/>
  <c r="C119" i="153" s="1"/>
  <c r="C93" i="153"/>
  <c r="H93" i="153" s="1"/>
  <c r="X25" i="123"/>
  <c r="X26" i="20"/>
  <c r="B94" i="153"/>
  <c r="D94" i="153" s="1"/>
  <c r="AD93" i="153"/>
  <c r="AC93" i="153"/>
  <c r="S68" i="153"/>
  <c r="T68" i="153"/>
  <c r="W68" i="153" s="1"/>
  <c r="U67" i="153"/>
  <c r="X67" i="153" s="1"/>
  <c r="V67" i="153"/>
  <c r="Z94" i="153"/>
  <c r="AS26" i="20"/>
  <c r="F146" i="153"/>
  <c r="F147" i="153" s="1"/>
  <c r="E146" i="153"/>
  <c r="AG93" i="153"/>
  <c r="AH93" i="153"/>
  <c r="L120" i="153"/>
  <c r="M120" i="153" s="1"/>
  <c r="AA94" i="153"/>
  <c r="AF94" i="153" s="1"/>
  <c r="AS26" i="123"/>
  <c r="D68" i="153"/>
  <c r="G68" i="153" s="1"/>
  <c r="C68" i="153"/>
  <c r="AX25" i="20"/>
  <c r="BB25" i="20" s="1"/>
  <c r="BA25" i="20"/>
  <c r="BE25" i="20" s="1"/>
  <c r="BF25" i="20" s="1"/>
  <c r="BG25" i="20" s="1"/>
  <c r="AY25" i="20"/>
  <c r="BC25" i="20" s="1"/>
  <c r="AZ25" i="20"/>
  <c r="BD25" i="20" s="1"/>
  <c r="I41" i="159"/>
  <c r="I43" i="159" s="1"/>
  <c r="H41" i="159"/>
  <c r="M41" i="159"/>
  <c r="L41" i="159"/>
  <c r="E147" i="153"/>
  <c r="D147" i="153"/>
  <c r="O147" i="153"/>
  <c r="N147" i="153"/>
  <c r="AD64" i="153"/>
  <c r="AE64" i="153"/>
  <c r="AG91" i="153"/>
  <c r="AH91" i="153"/>
  <c r="AE65" i="153"/>
  <c r="AD65" i="153"/>
  <c r="J65" i="153"/>
  <c r="M65" i="153"/>
  <c r="I92" i="153"/>
  <c r="J92" i="153"/>
  <c r="I91" i="153"/>
  <c r="J91" i="153"/>
  <c r="O64" i="153"/>
  <c r="N64" i="153"/>
  <c r="AG92" i="153"/>
  <c r="AH92" i="153"/>
  <c r="V95" i="153"/>
  <c r="W95" i="153"/>
  <c r="U95" i="153"/>
  <c r="AT95" i="153"/>
  <c r="AU95" i="153"/>
  <c r="AS95" i="153"/>
  <c r="AJ24" i="20"/>
  <c r="AK24" i="20" s="1"/>
  <c r="AL24" i="20" s="1"/>
  <c r="AH24" i="20"/>
  <c r="AM24" i="20" s="1"/>
  <c r="AN24" i="20" s="1"/>
  <c r="C239" i="152"/>
  <c r="B278" i="152"/>
  <c r="C278" i="152" s="1"/>
  <c r="N278" i="152" s="1"/>
  <c r="D238" i="152"/>
  <c r="V238" i="152" s="1"/>
  <c r="E238" i="152"/>
  <c r="W238" i="152" s="1"/>
  <c r="D161" i="152"/>
  <c r="V161" i="152" s="1"/>
  <c r="E161" i="152"/>
  <c r="W161" i="152" s="1"/>
  <c r="B163" i="152"/>
  <c r="C162" i="152"/>
  <c r="B203" i="152" s="1"/>
  <c r="C203" i="152" s="1"/>
  <c r="N203" i="152" s="1"/>
  <c r="K65" i="153"/>
  <c r="I66" i="153"/>
  <c r="AC92" i="153"/>
  <c r="AD92" i="153"/>
  <c r="Z65" i="153"/>
  <c r="AA65" i="153"/>
  <c r="F92" i="153"/>
  <c r="E92" i="153"/>
  <c r="Y66" i="153"/>
  <c r="AC66" i="153" s="1"/>
  <c r="BH25" i="123" l="1"/>
  <c r="BI25" i="123" s="1"/>
  <c r="BK25" i="123" s="1"/>
  <c r="AP24" i="20"/>
  <c r="AO24" i="20"/>
  <c r="BH25" i="20"/>
  <c r="I67" i="153"/>
  <c r="Y67" i="153"/>
  <c r="AC67" i="153" s="1"/>
  <c r="AG94" i="153"/>
  <c r="AH94" i="153"/>
  <c r="AF25" i="123"/>
  <c r="AJ25" i="123" s="1"/>
  <c r="AK25" i="123" s="1"/>
  <c r="AL25" i="123" s="1"/>
  <c r="AE25" i="123"/>
  <c r="AI25" i="123" s="1"/>
  <c r="AD25" i="123"/>
  <c r="AH25" i="123" s="1"/>
  <c r="AC25" i="123"/>
  <c r="AG25" i="123" s="1"/>
  <c r="J94" i="153"/>
  <c r="I94" i="153"/>
  <c r="K67" i="153"/>
  <c r="M67" i="153"/>
  <c r="J67" i="153"/>
  <c r="F68" i="153"/>
  <c r="E68" i="153"/>
  <c r="H68" i="153" s="1"/>
  <c r="N120" i="153"/>
  <c r="O120" i="153"/>
  <c r="I93" i="153"/>
  <c r="J93" i="153"/>
  <c r="AE26" i="123"/>
  <c r="AI26" i="123" s="1"/>
  <c r="AF26" i="123"/>
  <c r="AJ26" i="123" s="1"/>
  <c r="AK26" i="123" s="1"/>
  <c r="AD26" i="123"/>
  <c r="AH26" i="123" s="1"/>
  <c r="AC26" i="123"/>
  <c r="AG26" i="123" s="1"/>
  <c r="AM26" i="123" s="1"/>
  <c r="E94" i="153"/>
  <c r="F94" i="153"/>
  <c r="D119" i="153"/>
  <c r="E119" i="153"/>
  <c r="D120" i="153"/>
  <c r="E120" i="153"/>
  <c r="D93" i="153"/>
  <c r="AZ26" i="123"/>
  <c r="BD26" i="123" s="1"/>
  <c r="AX26" i="123"/>
  <c r="BB26" i="123" s="1"/>
  <c r="AY26" i="123"/>
  <c r="BC26" i="123" s="1"/>
  <c r="BA26" i="123"/>
  <c r="BE26" i="123" s="1"/>
  <c r="BF26" i="123" s="1"/>
  <c r="AB94" i="153"/>
  <c r="U68" i="153"/>
  <c r="X68" i="153" s="1"/>
  <c r="V68" i="153"/>
  <c r="L43" i="159"/>
  <c r="F26" i="47" s="1"/>
  <c r="C26" i="47" s="1"/>
  <c r="M43" i="159"/>
  <c r="G26" i="47" s="1"/>
  <c r="H43" i="159"/>
  <c r="AC25" i="20"/>
  <c r="AG25" i="20" s="1"/>
  <c r="AM25" i="20" s="1"/>
  <c r="AN25" i="20" s="1"/>
  <c r="AF25" i="20"/>
  <c r="AJ25" i="20" s="1"/>
  <c r="AK25" i="20" s="1"/>
  <c r="AL25" i="20" s="1"/>
  <c r="AD25" i="20"/>
  <c r="AH25" i="20" s="1"/>
  <c r="AE25" i="20"/>
  <c r="AI25" i="20" s="1"/>
  <c r="G33" i="47"/>
  <c r="D33" i="47" s="1"/>
  <c r="F33" i="47"/>
  <c r="C33" i="47" s="1"/>
  <c r="J66" i="153"/>
  <c r="M66" i="153"/>
  <c r="AE66" i="153"/>
  <c r="AD66" i="153"/>
  <c r="O65" i="153"/>
  <c r="N65" i="153"/>
  <c r="C240" i="152"/>
  <c r="B279" i="152"/>
  <c r="C279" i="152" s="1"/>
  <c r="N279" i="152" s="1"/>
  <c r="E239" i="152"/>
  <c r="W239" i="152" s="1"/>
  <c r="D239" i="152"/>
  <c r="V239" i="152" s="1"/>
  <c r="D162" i="152"/>
  <c r="V162" i="152" s="1"/>
  <c r="E162" i="152"/>
  <c r="W162" i="152" s="1"/>
  <c r="C163" i="152"/>
  <c r="B204" i="152" s="1"/>
  <c r="C204" i="152" s="1"/>
  <c r="N204" i="152" s="1"/>
  <c r="B164" i="152"/>
  <c r="K66" i="153"/>
  <c r="Z66" i="153"/>
  <c r="AA66" i="153"/>
  <c r="BJ25" i="123" l="1"/>
  <c r="AA67" i="153"/>
  <c r="Z67" i="153"/>
  <c r="BH26" i="123"/>
  <c r="BI26" i="123" s="1"/>
  <c r="BG26" i="123"/>
  <c r="BG27" i="123" s="1"/>
  <c r="BF27" i="123"/>
  <c r="AN26" i="123"/>
  <c r="AL26" i="123"/>
  <c r="AL27" i="123" s="1"/>
  <c r="AK27" i="123"/>
  <c r="AM25" i="123"/>
  <c r="AN25" i="123" s="1"/>
  <c r="AP25" i="20"/>
  <c r="AO25" i="20"/>
  <c r="I68" i="153"/>
  <c r="M68" i="153" s="1"/>
  <c r="F25" i="47"/>
  <c r="C25" i="47" s="1"/>
  <c r="E11" i="154" s="1"/>
  <c r="D26" i="47"/>
  <c r="G25" i="47"/>
  <c r="D25" i="47" s="1"/>
  <c r="K68" i="153"/>
  <c r="AD94" i="153"/>
  <c r="AC94" i="153"/>
  <c r="AD67" i="153"/>
  <c r="AE67" i="153"/>
  <c r="Y68" i="153"/>
  <c r="F93" i="153"/>
  <c r="E93" i="153"/>
  <c r="N67" i="153"/>
  <c r="O67" i="153"/>
  <c r="O66" i="153"/>
  <c r="N66" i="153"/>
  <c r="AJ27" i="123"/>
  <c r="AF27" i="123"/>
  <c r="AC27" i="123"/>
  <c r="AH27" i="123"/>
  <c r="AD27" i="123"/>
  <c r="AI27" i="123"/>
  <c r="AE27" i="123"/>
  <c r="BD27" i="123"/>
  <c r="AZ27" i="123"/>
  <c r="BE27" i="123"/>
  <c r="BA27" i="123"/>
  <c r="AX27" i="123"/>
  <c r="BC27" i="123"/>
  <c r="AY27" i="123"/>
  <c r="B280" i="152"/>
  <c r="C280" i="152" s="1"/>
  <c r="N280" i="152" s="1"/>
  <c r="E240" i="152"/>
  <c r="W240" i="152" s="1"/>
  <c r="D240" i="152"/>
  <c r="V240" i="152" s="1"/>
  <c r="C241" i="152"/>
  <c r="D163" i="152"/>
  <c r="V163" i="152" s="1"/>
  <c r="E163" i="152"/>
  <c r="W163" i="152" s="1"/>
  <c r="B165" i="152"/>
  <c r="C164" i="152"/>
  <c r="B205" i="152" s="1"/>
  <c r="C205" i="152" s="1"/>
  <c r="N205" i="152" s="1"/>
  <c r="BH27" i="123" l="1"/>
  <c r="AO26" i="123"/>
  <c r="AP26" i="123"/>
  <c r="BI27" i="123"/>
  <c r="BK26" i="123"/>
  <c r="BK27" i="123" s="1"/>
  <c r="BJ26" i="123"/>
  <c r="BJ27" i="123" s="1"/>
  <c r="AP25" i="123"/>
  <c r="AO25" i="123"/>
  <c r="AM27" i="123"/>
  <c r="AN27" i="123"/>
  <c r="J68" i="153"/>
  <c r="AA68" i="153"/>
  <c r="AC68" i="153"/>
  <c r="Z68" i="153"/>
  <c r="N68" i="153"/>
  <c r="N69" i="153" s="1"/>
  <c r="O68" i="153"/>
  <c r="O69" i="153" s="1"/>
  <c r="M69" i="153"/>
  <c r="AG95" i="153"/>
  <c r="AH95" i="153"/>
  <c r="AF95" i="153"/>
  <c r="I95" i="153"/>
  <c r="J95" i="153"/>
  <c r="H95" i="153"/>
  <c r="AG27" i="123"/>
  <c r="BB27" i="123"/>
  <c r="B281" i="152"/>
  <c r="C281" i="152" s="1"/>
  <c r="N281" i="152" s="1"/>
  <c r="E241" i="152"/>
  <c r="W241" i="152" s="1"/>
  <c r="D241" i="152"/>
  <c r="V241" i="152" s="1"/>
  <c r="C242" i="152"/>
  <c r="C165" i="152"/>
  <c r="B206" i="152" s="1"/>
  <c r="C206" i="152" s="1"/>
  <c r="N206" i="152" s="1"/>
  <c r="B166" i="152"/>
  <c r="D164" i="152"/>
  <c r="V164" i="152" s="1"/>
  <c r="E164" i="152"/>
  <c r="W164" i="152" s="1"/>
  <c r="AP27" i="123" l="1"/>
  <c r="AO27" i="123"/>
  <c r="F37" i="47" s="1"/>
  <c r="AD68" i="153"/>
  <c r="AD69" i="153" s="1"/>
  <c r="F14" i="47" s="1"/>
  <c r="AE68" i="153"/>
  <c r="AE69" i="153" s="1"/>
  <c r="G14" i="47" s="1"/>
  <c r="F30" i="47"/>
  <c r="C30" i="47" s="1"/>
  <c r="G30" i="47"/>
  <c r="D30" i="47" s="1"/>
  <c r="AC69" i="153"/>
  <c r="C243" i="152"/>
  <c r="B282" i="152"/>
  <c r="C282" i="152" s="1"/>
  <c r="N282" i="152" s="1"/>
  <c r="E242" i="152"/>
  <c r="W242" i="152" s="1"/>
  <c r="D242" i="152"/>
  <c r="V242" i="152" s="1"/>
  <c r="C166" i="152"/>
  <c r="B207" i="152" s="1"/>
  <c r="C207" i="152" s="1"/>
  <c r="N207" i="152" s="1"/>
  <c r="B167" i="152"/>
  <c r="D165" i="152"/>
  <c r="V165" i="152" s="1"/>
  <c r="E165" i="152"/>
  <c r="W165" i="152" s="1"/>
  <c r="C14" i="47" l="1"/>
  <c r="D14" i="47"/>
  <c r="G37" i="47"/>
  <c r="C244" i="152"/>
  <c r="B283" i="152"/>
  <c r="C283" i="152" s="1"/>
  <c r="N283" i="152" s="1"/>
  <c r="E243" i="152"/>
  <c r="W243" i="152" s="1"/>
  <c r="D243" i="152"/>
  <c r="V243" i="152" s="1"/>
  <c r="B168" i="152"/>
  <c r="C167" i="152"/>
  <c r="B208" i="152" s="1"/>
  <c r="C208" i="152" s="1"/>
  <c r="N208" i="152" s="1"/>
  <c r="E166" i="152"/>
  <c r="W166" i="152" s="1"/>
  <c r="D166" i="152"/>
  <c r="V166" i="152" s="1"/>
  <c r="C20" i="47" l="1"/>
  <c r="C21" i="47"/>
  <c r="D21" i="47"/>
  <c r="B284" i="152"/>
  <c r="C284" i="152" s="1"/>
  <c r="N284" i="152" s="1"/>
  <c r="E244" i="152"/>
  <c r="W244" i="152" s="1"/>
  <c r="D244" i="152"/>
  <c r="V244" i="152" s="1"/>
  <c r="C245" i="152"/>
  <c r="C246" i="152"/>
  <c r="E167" i="152"/>
  <c r="W167" i="152" s="1"/>
  <c r="D167" i="152"/>
  <c r="V167" i="152" s="1"/>
  <c r="B169" i="152"/>
  <c r="C169" i="152" s="1"/>
  <c r="B210" i="152" s="1"/>
  <c r="C210" i="152" s="1"/>
  <c r="N210" i="152" s="1"/>
  <c r="C168" i="152"/>
  <c r="B209" i="152" s="1"/>
  <c r="C209" i="152" s="1"/>
  <c r="N209" i="152" s="1"/>
  <c r="N19" i="32"/>
  <c r="N20" i="32"/>
  <c r="N21" i="32"/>
  <c r="N22" i="32"/>
  <c r="N23" i="32"/>
  <c r="N24" i="32"/>
  <c r="N25" i="32"/>
  <c r="N26" i="32"/>
  <c r="N27" i="32"/>
  <c r="N28" i="32"/>
  <c r="N29" i="32"/>
  <c r="N30" i="32"/>
  <c r="N31" i="32"/>
  <c r="N32" i="32"/>
  <c r="N33" i="32"/>
  <c r="N34" i="32"/>
  <c r="E9" i="154" l="1"/>
  <c r="D20" i="47"/>
  <c r="N18" i="32"/>
  <c r="N36" i="32" s="1"/>
  <c r="L36" i="32"/>
  <c r="B285" i="152"/>
  <c r="C285" i="152" s="1"/>
  <c r="N285" i="152" s="1"/>
  <c r="E245" i="152"/>
  <c r="W245" i="152" s="1"/>
  <c r="D245" i="152"/>
  <c r="V245" i="152" s="1"/>
  <c r="M95" i="153"/>
  <c r="B286" i="152"/>
  <c r="C286" i="152" s="1"/>
  <c r="N286" i="152" s="1"/>
  <c r="D246" i="152"/>
  <c r="V246" i="152" s="1"/>
  <c r="E246" i="152"/>
  <c r="W246" i="152" s="1"/>
  <c r="E168" i="152"/>
  <c r="W168" i="152" s="1"/>
  <c r="D168" i="152"/>
  <c r="V168" i="152" s="1"/>
  <c r="E169" i="152"/>
  <c r="W169" i="152" s="1"/>
  <c r="D169" i="152"/>
  <c r="V169" i="152" s="1"/>
  <c r="J7" i="47"/>
  <c r="K33" i="153" l="1"/>
  <c r="AK95" i="153"/>
  <c r="B33" i="153"/>
  <c r="P95" i="153"/>
  <c r="N95" i="153"/>
  <c r="C33" i="153"/>
  <c r="J33" i="153"/>
  <c r="E33" i="153" l="1"/>
  <c r="D33" i="153"/>
  <c r="AN95" i="153"/>
  <c r="AL95" i="153"/>
  <c r="O95" i="153"/>
  <c r="M33" i="153"/>
  <c r="L33" i="153"/>
  <c r="L147" i="153" l="1"/>
  <c r="AM95" i="153"/>
  <c r="R69" i="153"/>
  <c r="B69" i="153"/>
  <c r="C95" i="153"/>
  <c r="G33" i="153"/>
  <c r="B147" i="153"/>
  <c r="F33" i="153"/>
  <c r="N33" i="153"/>
  <c r="AA95" i="153"/>
  <c r="O33" i="153"/>
  <c r="R95" i="153"/>
  <c r="S95" i="153"/>
  <c r="Q95" i="153"/>
  <c r="AF26" i="20" l="1"/>
  <c r="AE26" i="20"/>
  <c r="AD26" i="20"/>
  <c r="AC26" i="20"/>
  <c r="AX26" i="20"/>
  <c r="BA26" i="20"/>
  <c r="AZ26" i="20"/>
  <c r="AY26" i="20"/>
  <c r="B121" i="153"/>
  <c r="C69" i="153"/>
  <c r="S69" i="153"/>
  <c r="L121" i="153"/>
  <c r="AS27" i="20"/>
  <c r="B95" i="153"/>
  <c r="G69" i="153"/>
  <c r="D69" i="153"/>
  <c r="X27" i="20"/>
  <c r="Z95" i="153"/>
  <c r="AP95" i="153"/>
  <c r="F32" i="47" s="1"/>
  <c r="AQ95" i="153"/>
  <c r="G32" i="47" s="1"/>
  <c r="AO95" i="153"/>
  <c r="C147" i="153"/>
  <c r="W69" i="153"/>
  <c r="T69" i="153"/>
  <c r="M147" i="153"/>
  <c r="BD26" i="20" l="1"/>
  <c r="AZ27" i="20"/>
  <c r="AH26" i="20"/>
  <c r="AH27" i="20" s="1"/>
  <c r="AD27" i="20"/>
  <c r="AG26" i="20"/>
  <c r="AC27" i="20"/>
  <c r="BE26" i="20"/>
  <c r="BF26" i="20" s="1"/>
  <c r="BA27" i="20"/>
  <c r="AI26" i="20"/>
  <c r="AI27" i="20" s="1"/>
  <c r="AE27" i="20"/>
  <c r="BC26" i="20"/>
  <c r="AY27" i="20"/>
  <c r="BB26" i="20"/>
  <c r="AX27" i="20"/>
  <c r="AJ26" i="20"/>
  <c r="AF27" i="20"/>
  <c r="D32" i="47"/>
  <c r="C32" i="47"/>
  <c r="E15" i="154" s="1"/>
  <c r="G34" i="47"/>
  <c r="D34" i="47" s="1"/>
  <c r="F69" i="153"/>
  <c r="V69" i="153"/>
  <c r="H69" i="153"/>
  <c r="E69" i="153"/>
  <c r="X69" i="153"/>
  <c r="U69" i="153"/>
  <c r="F34" i="47"/>
  <c r="AC95" i="153"/>
  <c r="AD95" i="153"/>
  <c r="AB95" i="153"/>
  <c r="F95" i="153"/>
  <c r="E95" i="153"/>
  <c r="D95" i="153"/>
  <c r="N121" i="153"/>
  <c r="O121" i="153"/>
  <c r="M121" i="153"/>
  <c r="E121" i="153"/>
  <c r="D121" i="153"/>
  <c r="C121" i="153"/>
  <c r="AJ27" i="20" l="1"/>
  <c r="AK26" i="20"/>
  <c r="AM26" i="20"/>
  <c r="BF27" i="20"/>
  <c r="BG26" i="20"/>
  <c r="BH26" i="20"/>
  <c r="BH27" i="20" s="1"/>
  <c r="BD27" i="20"/>
  <c r="BE27" i="20"/>
  <c r="BB27" i="20"/>
  <c r="BC27" i="20"/>
  <c r="AG27" i="20"/>
  <c r="F29" i="47"/>
  <c r="G29" i="47"/>
  <c r="C34" i="47"/>
  <c r="E16" i="154" s="1"/>
  <c r="F31" i="47"/>
  <c r="C31" i="47" s="1"/>
  <c r="E14" i="154" s="1"/>
  <c r="G31" i="47"/>
  <c r="D31" i="47" s="1"/>
  <c r="AN26" i="20" l="1"/>
  <c r="AM27" i="20"/>
  <c r="AL26" i="20"/>
  <c r="AL27" i="20" s="1"/>
  <c r="AK27" i="20"/>
  <c r="BG27" i="20"/>
  <c r="C29" i="47"/>
  <c r="E13" i="154" s="1"/>
  <c r="D29" i="47"/>
  <c r="AA69" i="153"/>
  <c r="Z69" i="153"/>
  <c r="Y69" i="153"/>
  <c r="J69" i="153"/>
  <c r="K69" i="153"/>
  <c r="I69" i="153"/>
  <c r="G13" i="47" l="1"/>
  <c r="D13" i="47" s="1"/>
  <c r="D17" i="47" s="1"/>
  <c r="AO26" i="20"/>
  <c r="AO27" i="20" s="1"/>
  <c r="AP26" i="20"/>
  <c r="AP27" i="20" s="1"/>
  <c r="AN27" i="20"/>
  <c r="F13" i="47"/>
  <c r="C13" i="47" s="1"/>
  <c r="C17" i="47" l="1"/>
  <c r="E5" i="154"/>
  <c r="C16" i="54"/>
  <c r="I7" i="47" l="1"/>
  <c r="D11" i="116" l="1"/>
  <c r="D13" i="116"/>
  <c r="D14" i="116"/>
  <c r="M24" i="116" s="1"/>
  <c r="D15" i="116"/>
  <c r="N24" i="116" s="1"/>
  <c r="N25" i="116" s="1"/>
  <c r="N26" i="116" s="1"/>
  <c r="N27" i="116" s="1"/>
  <c r="N28" i="116" s="1"/>
  <c r="N29" i="116" s="1"/>
  <c r="N30" i="116" s="1"/>
  <c r="N31" i="116" s="1"/>
  <c r="N32" i="116" s="1"/>
  <c r="N33" i="116" s="1"/>
  <c r="N34" i="116" s="1"/>
  <c r="N35" i="116" s="1"/>
  <c r="N36" i="116" s="1"/>
  <c r="N37" i="116" s="1"/>
  <c r="N38" i="116" s="1"/>
  <c r="N39" i="116" s="1"/>
  <c r="N40" i="116" s="1"/>
  <c r="D16" i="116"/>
  <c r="O24" i="116" s="1"/>
  <c r="O25" i="116" s="1"/>
  <c r="O26" i="116" s="1"/>
  <c r="O27" i="116" s="1"/>
  <c r="O28" i="116" s="1"/>
  <c r="O29" i="116" s="1"/>
  <c r="O30" i="116" s="1"/>
  <c r="O31" i="116" s="1"/>
  <c r="O32" i="116" s="1"/>
  <c r="O33" i="116" s="1"/>
  <c r="O34" i="116" s="1"/>
  <c r="O35" i="116" s="1"/>
  <c r="O36" i="116" s="1"/>
  <c r="O37" i="116" s="1"/>
  <c r="O38" i="116" s="1"/>
  <c r="O39" i="116" s="1"/>
  <c r="O40" i="116" s="1"/>
  <c r="D17" i="116"/>
  <c r="P24" i="116" s="1"/>
  <c r="P25" i="116" s="1"/>
  <c r="P26" i="116" s="1"/>
  <c r="P27" i="116" s="1"/>
  <c r="P28" i="116" s="1"/>
  <c r="P29" i="116" s="1"/>
  <c r="P30" i="116" s="1"/>
  <c r="P31" i="116" s="1"/>
  <c r="P32" i="116" s="1"/>
  <c r="P33" i="116" s="1"/>
  <c r="P34" i="116" s="1"/>
  <c r="P35" i="116" s="1"/>
  <c r="P36" i="116" s="1"/>
  <c r="P37" i="116" s="1"/>
  <c r="P38" i="116" s="1"/>
  <c r="P39" i="116" s="1"/>
  <c r="P40" i="116" s="1"/>
  <c r="D18" i="116"/>
  <c r="Q24" i="116" s="1"/>
  <c r="Q25" i="116" s="1"/>
  <c r="Q26" i="116" s="1"/>
  <c r="Q27" i="116" s="1"/>
  <c r="Q28" i="116" s="1"/>
  <c r="Q29" i="116" s="1"/>
  <c r="Q30" i="116" s="1"/>
  <c r="Q31" i="116" s="1"/>
  <c r="Q32" i="116" s="1"/>
  <c r="Q33" i="116" s="1"/>
  <c r="Q34" i="116" s="1"/>
  <c r="Q35" i="116" s="1"/>
  <c r="Q36" i="116" s="1"/>
  <c r="Q37" i="116" s="1"/>
  <c r="Q38" i="116" s="1"/>
  <c r="Q39" i="116" s="1"/>
  <c r="Q40" i="116" s="1"/>
  <c r="D19" i="116"/>
  <c r="R24" i="116" s="1"/>
  <c r="R25" i="116" s="1"/>
  <c r="R26" i="116" s="1"/>
  <c r="R27" i="116" s="1"/>
  <c r="R28" i="116" s="1"/>
  <c r="R29" i="116" s="1"/>
  <c r="R30" i="116" s="1"/>
  <c r="R31" i="116" s="1"/>
  <c r="R32" i="116" s="1"/>
  <c r="R33" i="116" s="1"/>
  <c r="R34" i="116" s="1"/>
  <c r="R35" i="116" s="1"/>
  <c r="R36" i="116" s="1"/>
  <c r="R37" i="116" s="1"/>
  <c r="R38" i="116" s="1"/>
  <c r="R39" i="116" s="1"/>
  <c r="R40" i="116" s="1"/>
  <c r="D10" i="116"/>
  <c r="C28" i="116"/>
  <c r="C10" i="116"/>
  <c r="M25" i="116" l="1"/>
  <c r="S24" i="116"/>
  <c r="B49" i="116" s="1"/>
  <c r="D20" i="116"/>
  <c r="G9" i="32"/>
  <c r="H9" i="32"/>
  <c r="E28" i="116"/>
  <c r="D28" i="116"/>
  <c r="M26" i="116" l="1"/>
  <c r="S25" i="116"/>
  <c r="B50" i="116" s="1"/>
  <c r="C29" i="116"/>
  <c r="M27" i="116" l="1"/>
  <c r="S26" i="116"/>
  <c r="B51" i="116" s="1"/>
  <c r="E29" i="116"/>
  <c r="D29" i="116"/>
  <c r="C30" i="116"/>
  <c r="M28" i="116" l="1"/>
  <c r="S27" i="116"/>
  <c r="B52" i="116" s="1"/>
  <c r="D30" i="116"/>
  <c r="E30" i="116"/>
  <c r="C31" i="116"/>
  <c r="M29" i="116" l="1"/>
  <c r="S28" i="116"/>
  <c r="B53" i="116" s="1"/>
  <c r="E31" i="116"/>
  <c r="D31" i="116"/>
  <c r="C32" i="116"/>
  <c r="M30" i="116" l="1"/>
  <c r="S29" i="116"/>
  <c r="B54" i="116" s="1"/>
  <c r="D32" i="116"/>
  <c r="E32" i="116"/>
  <c r="C33" i="116"/>
  <c r="M31" i="116" l="1"/>
  <c r="S30" i="116"/>
  <c r="B55" i="116" s="1"/>
  <c r="E33" i="116"/>
  <c r="D33" i="116"/>
  <c r="C34" i="116"/>
  <c r="M32" i="116" l="1"/>
  <c r="S31" i="116"/>
  <c r="B56" i="116" s="1"/>
  <c r="D34" i="116"/>
  <c r="E34" i="116"/>
  <c r="C35" i="116"/>
  <c r="M33" i="116" l="1"/>
  <c r="S32" i="116"/>
  <c r="B57" i="116" s="1"/>
  <c r="E35" i="116"/>
  <c r="D35" i="116"/>
  <c r="C36" i="116"/>
  <c r="M34" i="116" l="1"/>
  <c r="S33" i="116"/>
  <c r="B58" i="116" s="1"/>
  <c r="D36" i="116"/>
  <c r="E36" i="116"/>
  <c r="C37" i="116"/>
  <c r="M35" i="116" l="1"/>
  <c r="S34" i="116"/>
  <c r="B59" i="116" s="1"/>
  <c r="E37" i="116"/>
  <c r="D37" i="116"/>
  <c r="C38" i="116"/>
  <c r="M36" i="116" l="1"/>
  <c r="S35" i="116"/>
  <c r="B60" i="116" s="1"/>
  <c r="D38" i="116"/>
  <c r="E38" i="116"/>
  <c r="C39" i="116"/>
  <c r="M37" i="116" l="1"/>
  <c r="S36" i="116"/>
  <c r="B61" i="116" s="1"/>
  <c r="D39" i="116"/>
  <c r="E39" i="116"/>
  <c r="C40" i="116"/>
  <c r="M38" i="116" l="1"/>
  <c r="S37" i="116"/>
  <c r="B62" i="116" s="1"/>
  <c r="C42" i="116"/>
  <c r="D40" i="116"/>
  <c r="E40" i="116"/>
  <c r="C41" i="116"/>
  <c r="M39" i="116" l="1"/>
  <c r="S38" i="116"/>
  <c r="B63" i="116" s="1"/>
  <c r="E42" i="116"/>
  <c r="D42" i="116"/>
  <c r="D45" i="116"/>
  <c r="C43" i="116"/>
  <c r="E41" i="116"/>
  <c r="D41" i="116"/>
  <c r="M40" i="116" l="1"/>
  <c r="S40" i="116" s="1"/>
  <c r="B65" i="116" s="1"/>
  <c r="S39" i="116"/>
  <c r="B64" i="116" s="1"/>
  <c r="E43" i="116"/>
  <c r="D43" i="116"/>
  <c r="C44" i="116"/>
  <c r="C65" i="116" l="1"/>
  <c r="B66" i="116"/>
  <c r="D44" i="116"/>
  <c r="E44" i="116"/>
  <c r="O17" i="32"/>
  <c r="P17" i="32"/>
  <c r="O9" i="32"/>
  <c r="P9" i="32"/>
  <c r="P12" i="32"/>
  <c r="O12" i="32"/>
  <c r="P14" i="32"/>
  <c r="O14" i="32"/>
  <c r="P10" i="32"/>
  <c r="O10" i="32"/>
  <c r="O13" i="32"/>
  <c r="P13" i="32"/>
  <c r="P16" i="32"/>
  <c r="O16" i="32"/>
  <c r="P8" i="32"/>
  <c r="O8" i="32"/>
  <c r="O15" i="32"/>
  <c r="P15" i="32"/>
  <c r="O11" i="32"/>
  <c r="P11" i="32"/>
  <c r="D65" i="116" l="1"/>
  <c r="E65" i="116"/>
  <c r="E45" i="116"/>
  <c r="C46" i="116"/>
  <c r="O33" i="32"/>
  <c r="P33" i="32"/>
  <c r="O35" i="32"/>
  <c r="P35" i="32"/>
  <c r="O19" i="32"/>
  <c r="P19" i="32"/>
  <c r="O29" i="32"/>
  <c r="P29" i="32"/>
  <c r="O31" i="32"/>
  <c r="P31" i="32"/>
  <c r="P22" i="32"/>
  <c r="O22" i="32"/>
  <c r="O25" i="32"/>
  <c r="P25" i="32"/>
  <c r="P24" i="32"/>
  <c r="O24" i="32"/>
  <c r="O27" i="32"/>
  <c r="P27" i="32"/>
  <c r="P30" i="32"/>
  <c r="O30" i="32"/>
  <c r="P32" i="32"/>
  <c r="O32" i="32"/>
  <c r="P26" i="32"/>
  <c r="O26" i="32"/>
  <c r="P28" i="32"/>
  <c r="O28" i="32"/>
  <c r="O21" i="32"/>
  <c r="P21" i="32"/>
  <c r="P34" i="32"/>
  <c r="O34" i="32"/>
  <c r="P18" i="32"/>
  <c r="O18" i="32"/>
  <c r="P20" i="32"/>
  <c r="O20" i="32"/>
  <c r="O23" i="32"/>
  <c r="P23" i="32"/>
  <c r="O36" i="32" l="1"/>
  <c r="P36" i="32"/>
  <c r="E46" i="116"/>
  <c r="D46" i="116"/>
  <c r="C47" i="116"/>
  <c r="C48" i="116" l="1"/>
  <c r="D47" i="116"/>
  <c r="E47" i="116"/>
  <c r="E48" i="116" l="1"/>
  <c r="D48" i="116"/>
  <c r="C49" i="116"/>
  <c r="D49" i="116" l="1"/>
  <c r="E49" i="116"/>
  <c r="C50" i="116"/>
  <c r="E50" i="116" l="1"/>
  <c r="D50" i="116"/>
  <c r="C51" i="116"/>
  <c r="D51" i="116" l="1"/>
  <c r="E51" i="116"/>
  <c r="C52" i="116"/>
  <c r="C53" i="116" l="1"/>
  <c r="E52" i="116"/>
  <c r="D52" i="116"/>
  <c r="D53" i="116" l="1"/>
  <c r="E53" i="116"/>
  <c r="C54" i="116"/>
  <c r="E54" i="116" l="1"/>
  <c r="D54" i="116"/>
  <c r="C55" i="116"/>
  <c r="D55" i="116" l="1"/>
  <c r="E55" i="116"/>
  <c r="C56" i="116"/>
  <c r="C21" i="54"/>
  <c r="E56" i="116" l="1"/>
  <c r="D56" i="116"/>
  <c r="C57" i="116"/>
  <c r="D57" i="116" l="1"/>
  <c r="E57" i="116"/>
  <c r="C58" i="116"/>
  <c r="E58" i="116" l="1"/>
  <c r="D58" i="116"/>
  <c r="C59" i="116"/>
  <c r="D59" i="116" l="1"/>
  <c r="E59" i="116"/>
  <c r="C60" i="116"/>
  <c r="E60" i="116" l="1"/>
  <c r="D60" i="116"/>
  <c r="C61" i="116"/>
  <c r="D61" i="116" l="1"/>
  <c r="E61" i="116"/>
  <c r="C62" i="116"/>
  <c r="C70" i="116"/>
  <c r="E62" i="116" l="1"/>
  <c r="D62" i="116"/>
  <c r="C64" i="116"/>
  <c r="C63" i="116"/>
  <c r="D70" i="116"/>
  <c r="E70" i="116"/>
  <c r="C71" i="116"/>
  <c r="D64" i="116" l="1"/>
  <c r="C66" i="116"/>
  <c r="E64" i="116"/>
  <c r="D63" i="116"/>
  <c r="E63" i="116"/>
  <c r="C72" i="116"/>
  <c r="E71" i="116"/>
  <c r="D71" i="116"/>
  <c r="E66" i="116" l="1"/>
  <c r="D66" i="116"/>
  <c r="C73" i="116"/>
  <c r="D72" i="116"/>
  <c r="E72" i="116"/>
  <c r="E73" i="116" l="1"/>
  <c r="D73" i="116"/>
  <c r="C74" i="116"/>
  <c r="C75" i="116" l="1"/>
  <c r="E74" i="116"/>
  <c r="D74" i="116"/>
  <c r="C76" i="116" l="1"/>
  <c r="E75" i="116"/>
  <c r="D75" i="116"/>
  <c r="C77" i="116" l="1"/>
  <c r="E76" i="116"/>
  <c r="D76" i="116"/>
  <c r="C78" i="116" l="1"/>
  <c r="E77" i="116"/>
  <c r="D77" i="116"/>
  <c r="D78" i="116" l="1"/>
  <c r="E78" i="116"/>
  <c r="C79" i="116"/>
  <c r="G41" i="47" l="1"/>
  <c r="G42" i="47" s="1"/>
  <c r="C80" i="116"/>
  <c r="E79" i="116"/>
  <c r="D79" i="116"/>
  <c r="F41" i="47" l="1"/>
  <c r="F42" i="47" s="1"/>
  <c r="C81" i="116"/>
  <c r="D80" i="116"/>
  <c r="E80" i="116"/>
  <c r="C82" i="116" l="1"/>
  <c r="E81" i="116"/>
  <c r="D81" i="116"/>
  <c r="D82" i="116" l="1"/>
  <c r="E82" i="116"/>
  <c r="C85" i="116" l="1"/>
  <c r="E84" i="116"/>
  <c r="D84" i="116"/>
  <c r="G24" i="47"/>
  <c r="D24" i="47" l="1"/>
  <c r="G51" i="47"/>
  <c r="E85" i="116"/>
  <c r="D85" i="116"/>
  <c r="C86" i="116"/>
  <c r="F24" i="47"/>
  <c r="C24" i="47" s="1"/>
  <c r="F51" i="47" l="1"/>
  <c r="C87" i="116"/>
  <c r="E86" i="116"/>
  <c r="D86" i="116"/>
  <c r="C88" i="116" l="1"/>
  <c r="E87" i="116"/>
  <c r="D87" i="116"/>
  <c r="C89" i="116" l="1"/>
  <c r="D88" i="116"/>
  <c r="E88" i="116"/>
  <c r="C90" i="116" l="1"/>
  <c r="E89" i="116"/>
  <c r="D89" i="116"/>
  <c r="C91" i="116" l="1"/>
  <c r="E90" i="116"/>
  <c r="D90" i="116"/>
  <c r="C92" i="116" l="1"/>
  <c r="E91" i="116"/>
  <c r="D91" i="116"/>
  <c r="C93" i="116" l="1"/>
  <c r="E92" i="116"/>
  <c r="D92" i="116"/>
  <c r="C94" i="116" l="1"/>
  <c r="E93" i="116"/>
  <c r="D93" i="116"/>
  <c r="F17" i="47"/>
  <c r="C95" i="116" l="1"/>
  <c r="E94" i="116"/>
  <c r="D94" i="116"/>
  <c r="G17" i="47"/>
  <c r="C96" i="116" l="1"/>
  <c r="E95" i="116"/>
  <c r="D95" i="116"/>
  <c r="C97" i="116" l="1"/>
  <c r="E96" i="116"/>
  <c r="D96" i="116"/>
  <c r="G44" i="47"/>
  <c r="D44" i="47" s="1"/>
  <c r="F44" i="47"/>
  <c r="C44" i="47" s="1"/>
  <c r="D45" i="47" l="1"/>
  <c r="C45" i="47"/>
  <c r="C98" i="116"/>
  <c r="E97" i="116"/>
  <c r="D97" i="116"/>
  <c r="F45" i="47"/>
  <c r="G45" i="47"/>
  <c r="C99" i="116" l="1"/>
  <c r="E98" i="116"/>
  <c r="D98" i="116"/>
  <c r="E10" i="154"/>
  <c r="C100" i="116" l="1"/>
  <c r="E99" i="116"/>
  <c r="D99" i="116"/>
  <c r="C101" i="116" l="1"/>
  <c r="E100" i="116"/>
  <c r="D100" i="116"/>
  <c r="C102" i="116" l="1"/>
  <c r="D101" i="116"/>
  <c r="E101" i="116"/>
  <c r="C20" i="54"/>
  <c r="C103" i="116" l="1"/>
  <c r="C105" i="116" s="1"/>
  <c r="D102" i="116"/>
  <c r="E102" i="116"/>
  <c r="E103" i="116" l="1"/>
  <c r="E105" i="116" s="1"/>
  <c r="D103" i="116"/>
  <c r="D105" i="116" s="1"/>
  <c r="J41" i="47" l="1"/>
  <c r="J42" i="47" s="1"/>
  <c r="I41" i="47"/>
  <c r="I42" i="47" s="1"/>
  <c r="I27" i="47" l="1"/>
  <c r="I47" i="47" s="1"/>
  <c r="J27" i="47"/>
  <c r="J47" i="47" s="1"/>
  <c r="D41" i="47"/>
  <c r="D42" i="47" s="1"/>
  <c r="C41" i="47"/>
  <c r="E22" i="154" l="1"/>
  <c r="C42" i="47"/>
  <c r="J49" i="47"/>
  <c r="J52" i="47"/>
  <c r="I50" i="47"/>
  <c r="I52" i="47"/>
  <c r="J50" i="47"/>
  <c r="I49" i="47" l="1"/>
  <c r="D37" i="47" l="1"/>
  <c r="D51" i="47" l="1"/>
  <c r="C37" i="47"/>
  <c r="E19" i="154" s="1"/>
  <c r="C51" i="47" l="1"/>
  <c r="M50" i="136" l="1"/>
  <c r="N50" i="136" s="1"/>
  <c r="P50" i="136" s="1"/>
  <c r="M90" i="136"/>
  <c r="N90" i="136" s="1"/>
  <c r="P90" i="136" s="1"/>
  <c r="H22" i="54"/>
  <c r="H23" i="54" s="1"/>
  <c r="I24" i="54" s="1"/>
  <c r="C22" i="54" l="1"/>
  <c r="C23" i="54" s="1"/>
  <c r="D25" i="54" s="1"/>
  <c r="M88" i="136"/>
  <c r="N88" i="136" s="1"/>
  <c r="P88" i="136" s="1"/>
  <c r="M89" i="136"/>
  <c r="N89" i="136" s="1"/>
  <c r="P89" i="136" s="1"/>
  <c r="G13" i="32"/>
  <c r="H13" i="32"/>
  <c r="P39" i="136"/>
  <c r="H14" i="32"/>
  <c r="G14" i="32"/>
  <c r="I26" i="54"/>
  <c r="H31" i="54" s="1"/>
  <c r="I25" i="54"/>
  <c r="H30" i="54" s="1"/>
  <c r="H29" i="54"/>
  <c r="C29" i="54" s="1"/>
  <c r="C36" i="32"/>
  <c r="F100" i="136"/>
  <c r="M87" i="136"/>
  <c r="N87" i="136" s="1"/>
  <c r="P87" i="136" s="1"/>
  <c r="G12" i="32" l="1"/>
  <c r="H12" i="32"/>
  <c r="M100" i="136"/>
  <c r="F19" i="47"/>
  <c r="F27" i="47" s="1"/>
  <c r="C31" i="54"/>
  <c r="C30" i="54"/>
  <c r="G19" i="47"/>
  <c r="G27" i="47" s="1"/>
  <c r="B6" i="158"/>
  <c r="F6" i="158" s="1"/>
  <c r="C19" i="47" l="1"/>
  <c r="C27" i="47" s="1"/>
  <c r="D19" i="47"/>
  <c r="N100" i="136"/>
  <c r="O111" i="136" s="1"/>
  <c r="P100" i="136"/>
  <c r="P111" i="136" s="1"/>
  <c r="D6" i="158"/>
  <c r="D27" i="47" l="1"/>
  <c r="C14" i="158"/>
  <c r="D14" i="158" s="1"/>
  <c r="E8" i="154"/>
  <c r="BI6" i="20" l="1"/>
  <c r="BK6" i="20" l="1"/>
  <c r="BJ6" i="20"/>
  <c r="BI21" i="20"/>
  <c r="BI24" i="20"/>
  <c r="BI9" i="20"/>
  <c r="BI14" i="20"/>
  <c r="BI12" i="20"/>
  <c r="BI8" i="20"/>
  <c r="BI25" i="20"/>
  <c r="BI23" i="20"/>
  <c r="BI19" i="20"/>
  <c r="BI10" i="20"/>
  <c r="BI13" i="20"/>
  <c r="BI17" i="20"/>
  <c r="BI18" i="20"/>
  <c r="BI16" i="20"/>
  <c r="BI15" i="20"/>
  <c r="BI20" i="20"/>
  <c r="BI26" i="20"/>
  <c r="BI22" i="20"/>
  <c r="BI11" i="20"/>
  <c r="BI7" i="20"/>
  <c r="BJ22" i="20" l="1"/>
  <c r="BK22" i="20"/>
  <c r="BJ26" i="20"/>
  <c r="BK26" i="20"/>
  <c r="BJ21" i="20"/>
  <c r="BK21" i="20"/>
  <c r="BJ10" i="20"/>
  <c r="BK10" i="20"/>
  <c r="BK8" i="20"/>
  <c r="BJ8" i="20"/>
  <c r="BJ18" i="20"/>
  <c r="BK18" i="20"/>
  <c r="BK12" i="20"/>
  <c r="BJ12" i="20"/>
  <c r="BK20" i="20"/>
  <c r="BJ20" i="20"/>
  <c r="BK17" i="20"/>
  <c r="BJ17" i="20"/>
  <c r="BK23" i="20"/>
  <c r="BJ23" i="20"/>
  <c r="BJ14" i="20"/>
  <c r="BK14" i="20"/>
  <c r="BK16" i="20"/>
  <c r="BJ16" i="20"/>
  <c r="BK24" i="20"/>
  <c r="BJ24" i="20"/>
  <c r="BK19" i="20"/>
  <c r="BJ19" i="20"/>
  <c r="BK7" i="20"/>
  <c r="BJ7" i="20"/>
  <c r="BK11" i="20"/>
  <c r="BJ11" i="20"/>
  <c r="BK15" i="20"/>
  <c r="BJ15" i="20"/>
  <c r="BJ13" i="20"/>
  <c r="BK13" i="20"/>
  <c r="BJ25" i="20"/>
  <c r="BK25" i="20"/>
  <c r="BJ9" i="20"/>
  <c r="BK9" i="20"/>
  <c r="BI27" i="20"/>
  <c r="BJ27" i="20" l="1"/>
  <c r="F36" i="47" s="1"/>
  <c r="F39" i="47" s="1"/>
  <c r="BK27" i="20"/>
  <c r="G36" i="47" s="1"/>
  <c r="C36" i="47" l="1"/>
  <c r="E18" i="154" s="1"/>
  <c r="G39" i="47"/>
  <c r="D36" i="47"/>
  <c r="D39" i="47" s="1"/>
  <c r="F47" i="47"/>
  <c r="F52" i="47"/>
  <c r="C39" i="47" l="1"/>
  <c r="D52" i="47"/>
  <c r="D47" i="47"/>
  <c r="G47" i="47"/>
  <c r="G52" i="47"/>
  <c r="C52" i="47" l="1"/>
  <c r="C47" i="47"/>
  <c r="E14" i="134" l="1"/>
  <c r="D10" i="32" s="1"/>
  <c r="D36" i="32" l="1"/>
  <c r="F10" i="32"/>
  <c r="F14" i="134"/>
  <c r="F21" i="134" s="1"/>
  <c r="E21" i="134"/>
  <c r="L109" i="136" l="1"/>
  <c r="D8" i="158"/>
  <c r="D9" i="158" s="1"/>
  <c r="L113" i="136"/>
  <c r="B8" i="158"/>
  <c r="F36" i="32"/>
  <c r="G10" i="32"/>
  <c r="G36" i="32" s="1"/>
  <c r="F6" i="47" s="1"/>
  <c r="H10" i="32"/>
  <c r="H36" i="32" s="1"/>
  <c r="G6" i="47" s="1"/>
  <c r="P118" i="136" l="1"/>
  <c r="L110" i="136"/>
  <c r="L111" i="136" s="1"/>
  <c r="F7" i="47"/>
  <c r="C6" i="47"/>
  <c r="C7" i="47" s="1"/>
  <c r="B9" i="158"/>
  <c r="F8" i="158"/>
  <c r="F9" i="158" s="1"/>
  <c r="G7" i="47"/>
  <c r="D6" i="47"/>
  <c r="D7" i="47" s="1"/>
  <c r="O118" i="136" l="1"/>
  <c r="T25" i="136"/>
  <c r="L114" i="136"/>
  <c r="L115" i="136" s="1"/>
  <c r="D50" i="47"/>
  <c r="D49" i="47"/>
  <c r="C50" i="47"/>
  <c r="C49" i="47"/>
  <c r="G50" i="47"/>
  <c r="G49" i="47"/>
  <c r="F49" i="47"/>
  <c r="F50" i="47"/>
  <c r="T24" i="136" l="1"/>
  <c r="T26" i="136" s="1"/>
  <c r="T27" i="136"/>
  <c r="F47" i="136"/>
  <c r="M47" i="136" s="1"/>
  <c r="N47" i="136" s="1"/>
  <c r="P47" i="136" s="1"/>
  <c r="F48" i="136"/>
  <c r="M48" i="136" s="1"/>
  <c r="N48" i="136" s="1"/>
  <c r="P48" i="136" s="1"/>
  <c r="F49" i="136"/>
  <c r="M49" i="136" s="1"/>
  <c r="N49" i="136" s="1"/>
  <c r="P49" i="136" s="1"/>
  <c r="F46" i="136"/>
  <c r="M46" i="136" s="1"/>
  <c r="F5" i="136"/>
  <c r="F66" i="136" s="1"/>
  <c r="D13" i="136"/>
  <c r="D16" i="136" s="1"/>
  <c r="U26" i="136" l="1"/>
  <c r="F60" i="136"/>
  <c r="F67" i="136"/>
  <c r="M67" i="136" s="1"/>
  <c r="N67" i="136" s="1"/>
  <c r="P67" i="136" s="1"/>
  <c r="F70" i="136"/>
  <c r="M70" i="136" s="1"/>
  <c r="N70" i="136" s="1"/>
  <c r="P70" i="136" s="1"/>
  <c r="F69" i="136"/>
  <c r="M69" i="136" s="1"/>
  <c r="N69" i="136" s="1"/>
  <c r="P69" i="136" s="1"/>
  <c r="F13" i="136"/>
  <c r="F16" i="136" s="1"/>
  <c r="F68" i="136"/>
  <c r="M68" i="136" s="1"/>
  <c r="N68" i="136" s="1"/>
  <c r="P68" i="136" s="1"/>
  <c r="M66" i="136"/>
  <c r="M60" i="136"/>
  <c r="N46" i="136"/>
  <c r="H5" i="136"/>
  <c r="H13" i="136" s="1"/>
  <c r="H16" i="136" l="1"/>
  <c r="F80" i="136"/>
  <c r="P46" i="136"/>
  <c r="P60" i="136" s="1"/>
  <c r="N60" i="136"/>
  <c r="O108" i="136" s="1"/>
  <c r="M80" i="136"/>
  <c r="N66" i="136"/>
  <c r="E18" i="136"/>
  <c r="E19" i="136"/>
  <c r="P66" i="136" l="1"/>
  <c r="P80" i="136" s="1"/>
  <c r="N80" i="136"/>
  <c r="O109" i="136" s="1"/>
  <c r="O110" i="136" s="1"/>
  <c r="O113" i="136" s="1"/>
  <c r="O114" i="136" s="1"/>
  <c r="P108" i="136"/>
  <c r="C12" i="158"/>
  <c r="O119" i="136" l="1"/>
  <c r="O120" i="136" s="1"/>
  <c r="D12" i="158"/>
  <c r="P109" i="136"/>
  <c r="P113" i="136" s="1"/>
  <c r="P114" i="136" s="1"/>
  <c r="C13" i="158"/>
  <c r="D13" i="158" s="1"/>
  <c r="P119" i="136" l="1"/>
  <c r="P120" i="136" s="1"/>
  <c r="C15" i="158"/>
  <c r="C17" i="158" s="1"/>
  <c r="D15" i="158"/>
  <c r="D17" i="158"/>
</calcChain>
</file>

<file path=xl/sharedStrings.xml><?xml version="1.0" encoding="utf-8"?>
<sst xmlns="http://schemas.openxmlformats.org/spreadsheetml/2006/main" count="2624" uniqueCount="1107">
  <si>
    <t>Total</t>
  </si>
  <si>
    <t>Year</t>
  </si>
  <si>
    <t xml:space="preserve">Year </t>
  </si>
  <si>
    <t xml:space="preserve">Discount Rate </t>
  </si>
  <si>
    <t xml:space="preserve">Total </t>
  </si>
  <si>
    <t>Total Benefits</t>
  </si>
  <si>
    <t>Emission Costs Saved</t>
  </si>
  <si>
    <t xml:space="preserve">Value </t>
  </si>
  <si>
    <t xml:space="preserve">Source </t>
  </si>
  <si>
    <t>Input</t>
  </si>
  <si>
    <t>PDO</t>
  </si>
  <si>
    <t>Safety</t>
  </si>
  <si>
    <t>General</t>
  </si>
  <si>
    <t>Discounted at 7%</t>
  </si>
  <si>
    <t>Discounted at 3%</t>
  </si>
  <si>
    <t>Costs</t>
  </si>
  <si>
    <t>Capital Costs</t>
  </si>
  <si>
    <t>Total Costs</t>
  </si>
  <si>
    <t>Benefits</t>
  </si>
  <si>
    <t>Sub-Total Safety Benefits</t>
  </si>
  <si>
    <t>Residual Value</t>
  </si>
  <si>
    <t>BC Ratio</t>
  </si>
  <si>
    <t>Discounted Emissions 7%</t>
  </si>
  <si>
    <t>Discounted Emissions 3%</t>
  </si>
  <si>
    <t>Discounted Capital Total (3%)</t>
  </si>
  <si>
    <t>Discounted Capital Total (7%)</t>
  </si>
  <si>
    <t>Discounted O&amp;M Total (7%)</t>
  </si>
  <si>
    <t>Discounted O&amp;M Total (3%)</t>
  </si>
  <si>
    <t>Type of asset</t>
  </si>
  <si>
    <t>Service life (years)</t>
  </si>
  <si>
    <t>Highways and streets</t>
  </si>
  <si>
    <t>Sewer systems</t>
  </si>
  <si>
    <t>Source: BEA Rate of Depreciation, Service Lives, Declining-Balance Rates, and Hulten-Wykoff Categories</t>
  </si>
  <si>
    <t>http://www.bea.gov/scb/account_articles/national/wlth2594/tableC.htm</t>
  </si>
  <si>
    <t>ROW does not depreciate</t>
  </si>
  <si>
    <t>Remaining Value</t>
  </si>
  <si>
    <t>Residual Summary</t>
  </si>
  <si>
    <t>Total ($M)</t>
  </si>
  <si>
    <t>Accidents by Type Per 100,000,000 VMT</t>
  </si>
  <si>
    <t>Rate</t>
  </si>
  <si>
    <t>Fatalities</t>
  </si>
  <si>
    <t>per 100,000,000 VMT</t>
  </si>
  <si>
    <t>Injured persons</t>
  </si>
  <si>
    <t>Discounted Crash Costs at 7%</t>
  </si>
  <si>
    <t>Discounted Crash Costs at 3%</t>
  </si>
  <si>
    <t>Fiscal Year</t>
  </si>
  <si>
    <t>Composite Outlay Deflators</t>
  </si>
  <si>
    <t>Payment for Individuals</t>
  </si>
  <si>
    <t>Net Interest</t>
  </si>
  <si>
    <t>All Other</t>
  </si>
  <si>
    <t>Addendum: Direct Capital</t>
  </si>
  <si>
    <t>Direct</t>
  </si>
  <si>
    <t>Grants</t>
  </si>
  <si>
    <t>Defense</t>
  </si>
  <si>
    <t>TQ</t>
  </si>
  <si>
    <t>2020 estimate</t>
  </si>
  <si>
    <t>2021 estimate</t>
  </si>
  <si>
    <t>2022 estimate</t>
  </si>
  <si>
    <t>Note: Constant dollar research and development outlays are based on the GDP (chained) price index.</t>
  </si>
  <si>
    <t>Net Present value</t>
  </si>
  <si>
    <t>Net O&amp;M</t>
  </si>
  <si>
    <t>Deflator</t>
  </si>
  <si>
    <t xml:space="preserve">See "Deflator" Sheet </t>
  </si>
  <si>
    <t>https://www.whitehouse.gov/sites/whitehouse.gov/files/omb/budget/fy2018/hist10z1.xls</t>
  </si>
  <si>
    <t>O&amp;M Costs</t>
  </si>
  <si>
    <t>Beginning POA</t>
  </si>
  <si>
    <t>Ending POA</t>
  </si>
  <si>
    <t>Subtotal</t>
  </si>
  <si>
    <t>Auto Occupancy</t>
  </si>
  <si>
    <t>Travel Time Savings</t>
  </si>
  <si>
    <t>Utilities</t>
  </si>
  <si>
    <t>Construction</t>
  </si>
  <si>
    <t>Economic Vitality</t>
  </si>
  <si>
    <t>Environmental</t>
  </si>
  <si>
    <t>Sub-Total Economic Vitality</t>
  </si>
  <si>
    <t>Total Project</t>
  </si>
  <si>
    <t>Highway</t>
  </si>
  <si>
    <t>Northampton</t>
  </si>
  <si>
    <t>Nash</t>
  </si>
  <si>
    <t>Wilson</t>
  </si>
  <si>
    <t>Johnston</t>
  </si>
  <si>
    <t>Harnett</t>
  </si>
  <si>
    <t>Cumberland</t>
  </si>
  <si>
    <t>Robeson</t>
  </si>
  <si>
    <t>County</t>
  </si>
  <si>
    <t>Craven</t>
  </si>
  <si>
    <t>Jones</t>
  </si>
  <si>
    <t>Lenoir</t>
  </si>
  <si>
    <t>Wayne</t>
  </si>
  <si>
    <t>Total Travel Time Savings</t>
  </si>
  <si>
    <t>Truck Operating Savings</t>
  </si>
  <si>
    <t>Annual Truck Hours Saved</t>
  </si>
  <si>
    <t>Total Truck Operating Costs Saved</t>
  </si>
  <si>
    <t>miles</t>
  </si>
  <si>
    <t>hours</t>
  </si>
  <si>
    <t>Value of Passenger Hours</t>
  </si>
  <si>
    <t>Value of Truck Hours</t>
  </si>
  <si>
    <t>Annual VMT Reduced</t>
  </si>
  <si>
    <t>Reduced Fatalities</t>
  </si>
  <si>
    <t>Reduced Injuries</t>
  </si>
  <si>
    <t>Fiber Benefits</t>
  </si>
  <si>
    <t>WTP</t>
  </si>
  <si>
    <t>assumed per household to increase up to at least 4Mbps</t>
  </si>
  <si>
    <t>Households 2010</t>
  </si>
  <si>
    <t>QT-P11</t>
  </si>
  <si>
    <t>2010 Census Summary File 1</t>
  </si>
  <si>
    <t>Households and Families: 2010</t>
  </si>
  <si>
    <t>Assumed willing to pay once per year</t>
  </si>
  <si>
    <t>Households</t>
  </si>
  <si>
    <t>Projected Population Change in North Carolina Counties:  2020-2030</t>
  </si>
  <si>
    <t/>
  </si>
  <si>
    <t>Total Population</t>
  </si>
  <si>
    <t>Population Change</t>
  </si>
  <si>
    <t>Components of Change</t>
  </si>
  <si>
    <t>July 2020 Projection</t>
  </si>
  <si>
    <t>July 2030 Projection</t>
  </si>
  <si>
    <t>Numeric</t>
  </si>
  <si>
    <t>Percent</t>
  </si>
  <si>
    <t>Births</t>
  </si>
  <si>
    <t>Deaths</t>
  </si>
  <si>
    <t>Natural Increase</t>
  </si>
  <si>
    <t>Net Migration</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</si>
  <si>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</si>
  <si>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</si>
  <si>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</si>
  <si>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</si>
  <si>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</si>
  <si>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</si>
  <si>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</si>
  <si>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</si>
  <si>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</si>
  <si>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</si>
  <si>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</si>
  <si>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</si>
  <si>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</si>
  <si>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</si>
  <si>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</si>
  <si>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</si>
  <si>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</si>
  <si>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</si>
  <si>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</si>
  <si>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</si>
  <si>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</si>
  <si>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</si>
  <si>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</si>
  <si>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</si>
  <si>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Currituck</t>
  </si>
  <si>
    <t>Dare</t>
  </si>
  <si>
    <t>Davidson</t>
  </si>
  <si>
    <t>Davie</t>
  </si>
  <si>
    <t>Duplin</t>
  </si>
  <si>
    <t>Durham</t>
  </si>
  <si>
    <t>Edgecombe</t>
  </si>
  <si>
    <t>Forsyth</t>
  </si>
  <si>
    <t>Franklin</t>
  </si>
  <si>
    <t>Gaston</t>
  </si>
  <si>
    <t>Gates</t>
  </si>
  <si>
    <t>Graham</t>
  </si>
  <si>
    <t>Granville</t>
  </si>
  <si>
    <t>Greene</t>
  </si>
  <si>
    <t>Guilford</t>
  </si>
  <si>
    <t>Halifax</t>
  </si>
  <si>
    <t>Haywood</t>
  </si>
  <si>
    <t>Henderson</t>
  </si>
  <si>
    <t>Hertford</t>
  </si>
  <si>
    <t>Hoke</t>
  </si>
  <si>
    <t>Hyde</t>
  </si>
  <si>
    <t>Iredell</t>
  </si>
  <si>
    <t>Jackson</t>
  </si>
  <si>
    <t>Lee</t>
  </si>
  <si>
    <t>Lincoln</t>
  </si>
  <si>
    <t>Macon</t>
  </si>
  <si>
    <t>Madison</t>
  </si>
  <si>
    <t>Martin</t>
  </si>
  <si>
    <t>McDowell</t>
  </si>
  <si>
    <t>Mecklenburg</t>
  </si>
  <si>
    <t>Mitchell</t>
  </si>
  <si>
    <t>Montgomery</t>
  </si>
  <si>
    <t>Moore</t>
  </si>
  <si>
    <t>New Hanover</t>
  </si>
  <si>
    <t>Onslow</t>
  </si>
  <si>
    <t>Orange</t>
  </si>
  <si>
    <t>Pamlico</t>
  </si>
  <si>
    <t>Pasquotank</t>
  </si>
  <si>
    <t>Pender</t>
  </si>
  <si>
    <t>Perquimans</t>
  </si>
  <si>
    <t>Person</t>
  </si>
  <si>
    <t>Pitt</t>
  </si>
  <si>
    <t>Polk</t>
  </si>
  <si>
    <t>Randolph</t>
  </si>
  <si>
    <t>Richmond</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</si>
  <si>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</si>
  <si>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</si>
  <si>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</si>
  <si>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</si>
  <si>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</si>
  <si>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</si>
  <si>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</si>
  <si>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</si>
  <si>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</si>
  <si>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</si>
  <si>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</si>
  <si>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</si>
  <si>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</si>
  <si>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</si>
  <si>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</si>
  <si>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</si>
  <si>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</si>
  <si>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Wilkes</t>
  </si>
  <si>
    <t>Yadkin</t>
  </si>
  <si>
    <t>Yancey</t>
  </si>
  <si>
    <t>State</t>
  </si>
  <si>
    <t>Pop Growth 2020-2030</t>
  </si>
  <si>
    <t>Source:</t>
  </si>
  <si>
    <t>https://files.nc.gov/ncosbm/demog/countygrowth_cert_2016.html</t>
  </si>
  <si>
    <t>NC Management and Budget</t>
  </si>
  <si>
    <t>https://www.colorado.edu/economics/gradplacement/PetersonJMP.pdf</t>
  </si>
  <si>
    <t>Reduced Auto Hours</t>
  </si>
  <si>
    <t>Reduced Truck Hours</t>
  </si>
  <si>
    <t>Reduced Highway Fatalities and Crashes</t>
  </si>
  <si>
    <t>assumed share of costs for highway infrastructure of construction costs</t>
  </si>
  <si>
    <t>assumed share of costs for utilities infrastructure of construction costs</t>
  </si>
  <si>
    <t>Reduced Auto Emissions</t>
  </si>
  <si>
    <t>Reduced Truck Emissions</t>
  </si>
  <si>
    <t>Fatal</t>
  </si>
  <si>
    <t>NCDOT</t>
  </si>
  <si>
    <t>Willingness to Pay for Fiber</t>
  </si>
  <si>
    <t>Discount Year</t>
  </si>
  <si>
    <t>Dollar Year</t>
  </si>
  <si>
    <t>I-87</t>
  </si>
  <si>
    <t>NA</t>
  </si>
  <si>
    <t>GDP (in
billions of
dollars)</t>
  </si>
  <si>
    <t>GDP
(Chained)
Price Index</t>
  </si>
  <si>
    <t>Total
Defense</t>
  </si>
  <si>
    <t>Total
Nondefense</t>
  </si>
  <si>
    <t>Other
Grants</t>
  </si>
  <si>
    <t>Undis-
tributed
Offsetting
Receipts</t>
  </si>
  <si>
    <t>Nondefense</t>
  </si>
  <si>
    <t>2023 estimate</t>
  </si>
  <si>
    <t>Discounted Travel Time Savings 7%</t>
  </si>
  <si>
    <t>Discounted Travel Time Savings 3%</t>
  </si>
  <si>
    <t>Discounted Fiber Savings 7%</t>
  </si>
  <si>
    <t>Discounted Fiber Savings 3%</t>
  </si>
  <si>
    <t>**these contain big cities, so should already have access to fiber</t>
  </si>
  <si>
    <t>Wake County</t>
  </si>
  <si>
    <t>Franklin County</t>
  </si>
  <si>
    <t>Nash County</t>
  </si>
  <si>
    <t>Edgecombe County</t>
  </si>
  <si>
    <t>Martin County</t>
  </si>
  <si>
    <t>Bertie County</t>
  </si>
  <si>
    <t>Chowan County</t>
  </si>
  <si>
    <t>Perquimans County</t>
  </si>
  <si>
    <t>Pasquotank County</t>
  </si>
  <si>
    <t>Camden County</t>
  </si>
  <si>
    <t>AADT Future I-87 (2002)</t>
  </si>
  <si>
    <t>Pasquotank County (2003)</t>
  </si>
  <si>
    <t>Franklin County (2003)</t>
  </si>
  <si>
    <t>Wake County (2003)</t>
  </si>
  <si>
    <t>http://ncdot.maps.arcgis.com/home/webmap/viewer.html?webmap=b7a26d6d8abd419f8c27f58a607b25a1</t>
  </si>
  <si>
    <t>I-6007</t>
  </si>
  <si>
    <t>I-6005</t>
  </si>
  <si>
    <t>U-6149</t>
  </si>
  <si>
    <t>R-5869A</t>
  </si>
  <si>
    <t>R-5869B</t>
  </si>
  <si>
    <t>VMT</t>
  </si>
  <si>
    <t>VHT</t>
  </si>
  <si>
    <t>Truck share I-87</t>
  </si>
  <si>
    <t>Statewide Travel Demand Model, February 2019</t>
  </si>
  <si>
    <t>Discounted Freight Operating Savings 7%</t>
  </si>
  <si>
    <t>Discounted Freight Operating Savings 3%</t>
  </si>
  <si>
    <t>STIP #</t>
  </si>
  <si>
    <t>STIP Page</t>
  </si>
  <si>
    <t>Description</t>
  </si>
  <si>
    <t>Utilities Cost</t>
  </si>
  <si>
    <t>Right-of-Way Cost</t>
  </si>
  <si>
    <t>Construction Cost</t>
  </si>
  <si>
    <t>Right-of-Way</t>
  </si>
  <si>
    <t>Environmental Document Status</t>
  </si>
  <si>
    <t>5-25</t>
  </si>
  <si>
    <t>SR 2233 (SMITHFIELD ROAD) CONVERT INTERCHANGE TO DDI</t>
  </si>
  <si>
    <t>US 64 BUSINESS (WENDELL BLVD) TO US 264. WIDEN I-87 FROM FOUR TO SIX LANES</t>
  </si>
  <si>
    <t>N/A</t>
  </si>
  <si>
    <t>H141265</t>
  </si>
  <si>
    <t>US 264 TO NC 58 (WASHINGTON STREET). UPGRADE TO INTERSATE STANDARDS</t>
  </si>
  <si>
    <t>NC 58 (WASHINGTON STREET), EXIT 459, TO THOMAS ROAD OVERPASS. UPGRADE TO INTERSTATE STANDARDS.</t>
  </si>
  <si>
    <t>THOMAS ROAD OVERPASS TO MARTIN COUNTY LINE. UPGRADE TO INTERSTATE STANDARDS</t>
  </si>
  <si>
    <t>SR 1336 (HARVEY POINT ROAD) AND SR 1338 (WAYNE FORK ROAD). CONVERT AT-GRADE INTERSECTION TO AN INTERCHANGE. - FORMERLY IDENTIFIED AS R-4459</t>
  </si>
  <si>
    <t>SR 1300 (NEW HOPE ROAD). CONVERT AT-GRADE INTERSECTION TO INTERCHANGE. - FORMERLY IDENTIFIED AS R-4458</t>
  </si>
  <si>
    <t>Extend Broadband on US 64 to Whalebone</t>
  </si>
  <si>
    <t>Wind Safety Savings</t>
  </si>
  <si>
    <t>I-87 Resilience</t>
  </si>
  <si>
    <t>US 64</t>
  </si>
  <si>
    <t>US 64 to Whalebone</t>
  </si>
  <si>
    <t>E of SR 1500</t>
  </si>
  <si>
    <t>W of 64 Bus</t>
  </si>
  <si>
    <t>E of SR 1342</t>
  </si>
  <si>
    <t>W of SR 1241</t>
  </si>
  <si>
    <t>E of SR 1229</t>
  </si>
  <si>
    <t>W of US 264</t>
  </si>
  <si>
    <t>E of NC 345</t>
  </si>
  <si>
    <t>W of US 158</t>
  </si>
  <si>
    <t>AADT US 64 (2002)</t>
  </si>
  <si>
    <t>Discounted Wind Safety Savings 7%</t>
  </si>
  <si>
    <t>Discounted Wind Safety Savings 3%</t>
  </si>
  <si>
    <t>Funded w/o Grant</t>
  </si>
  <si>
    <t>INFRA "Ask" Cost Estimate</t>
  </si>
  <si>
    <t>Total State Funds</t>
  </si>
  <si>
    <t>Total Federal Funds (with INFRA Ask)</t>
  </si>
  <si>
    <t>State + Federal</t>
  </si>
  <si>
    <t>Project Build Cost (R, U, C, Res)</t>
  </si>
  <si>
    <t>Resilience Cost</t>
  </si>
  <si>
    <t>Construction Finish Date</t>
  </si>
  <si>
    <t>Let Date with INFRA</t>
  </si>
  <si>
    <t>Construction Finish Date with INFRA</t>
  </si>
  <si>
    <t>YES</t>
  </si>
  <si>
    <t>NO</t>
  </si>
  <si>
    <t>unfunded</t>
  </si>
  <si>
    <t>State %</t>
  </si>
  <si>
    <t>Federal %</t>
  </si>
  <si>
    <t>Total (for Costs tab)</t>
  </si>
  <si>
    <t>Broadband</t>
  </si>
  <si>
    <t>O&amp;M and R&amp;R Summary</t>
  </si>
  <si>
    <t>Checks:</t>
  </si>
  <si>
    <t>FY</t>
  </si>
  <si>
    <t>Maintenance</t>
  </si>
  <si>
    <t>R&amp;R</t>
  </si>
  <si>
    <t>Existing O&amp;M</t>
  </si>
  <si>
    <t>Improved O&amp;M</t>
  </si>
  <si>
    <t xml:space="preserve"> $                       -  </t>
  </si>
  <si>
    <t xml:space="preserve"> TRUE</t>
  </si>
  <si>
    <t>Excel Sources from NCDOT:</t>
  </si>
  <si>
    <t>Costs in 2019 dollars</t>
  </si>
  <si>
    <t>Short tons per Metric Ton</t>
  </si>
  <si>
    <t>Total Net New O&amp;M</t>
  </si>
  <si>
    <t>I-87 O&amp;M</t>
  </si>
  <si>
    <t>I-87 I-587 to NC 58</t>
  </si>
  <si>
    <t>I-87 NC 58 to Thomas Road Overpass</t>
  </si>
  <si>
    <t>I-87 Thomas Road Overpass to Williamston</t>
  </si>
  <si>
    <t>587 to 58 Existing</t>
  </si>
  <si>
    <t>587 to 58 Improved</t>
  </si>
  <si>
    <t>587 to 58 Net New O&amp;M</t>
  </si>
  <si>
    <t>58 to Thomas Road Overpass Existing</t>
  </si>
  <si>
    <t>58 to Thomas Road Overpass Improved</t>
  </si>
  <si>
    <t>58 to Thomas Road Overpass Net New O&amp;M</t>
  </si>
  <si>
    <t>Thomas Road Overpass to Williamston Existing</t>
  </si>
  <si>
    <t>Thomas Road Overpass to Williamston Improved</t>
  </si>
  <si>
    <t>I-87 Maintenance Cost from Nc 58 to Thomas Road Overpass U-6149 limits, existing(002)</t>
  </si>
  <si>
    <t>I-87 Maintenance Cost from Nc 58 to Thomas Road Overpass U-6149 limits, improved (002)</t>
  </si>
  <si>
    <t>I-87 Maintenance Cost from Thomas Road Overpass to Williamston,  improve (002)</t>
  </si>
  <si>
    <t>I-87 Maintenance Cost from Thomas Road Overpass to Williamston, existing (002)</t>
  </si>
  <si>
    <t>I-87 Maintenance Cost I-587 (US 264) to Nc 58 existing (002)</t>
  </si>
  <si>
    <t>I-87 Maintenance Cost I-587 (US 264) to Nc 58 improved (002)</t>
  </si>
  <si>
    <t>Resilience Project Costs</t>
  </si>
  <si>
    <t>I-6005 I-87 Maintenance Cost from Wendell Blvd to US 264 proposed (002)</t>
  </si>
  <si>
    <t>I-6005 I-87 Maintenance Cost from Wendell Blvd to US 264 existing (002)</t>
  </si>
  <si>
    <t>I-87 Wendell Blvd to US 264</t>
  </si>
  <si>
    <t>Thomas Road Overpass to Williamston Net New O&amp;M</t>
  </si>
  <si>
    <t>Wendell to 264 Existing</t>
  </si>
  <si>
    <t>Wendell to 264 Improved</t>
  </si>
  <si>
    <t>Wendell to 264 Net New O&amp;M</t>
  </si>
  <si>
    <t>O&amp;M savings for I-87 Resilience project</t>
  </si>
  <si>
    <t>The $1 million in plating the roadway embankment will save NCDOT and taxpayers up to $40 million in the event of a 50-year flood. In other words, approximately $800,000 per year.</t>
  </si>
  <si>
    <t>Repair costs avoided</t>
  </si>
  <si>
    <t>I-87 R-5869A and R-5969B existing (002)</t>
  </si>
  <si>
    <t>I-87 R-5869A and R-5969B improved  (002)</t>
  </si>
  <si>
    <t>I-87 R-5869A and R-5869B</t>
  </si>
  <si>
    <t>R-5869 A &amp; B Existing</t>
  </si>
  <si>
    <t>R-5869 A &amp; B Improved</t>
  </si>
  <si>
    <t>R-5869 A &amp; B Net New O&amp;M</t>
  </si>
  <si>
    <t>https://pilotonline.com/news/local/article_b91e5f44-191c-5888-b402-b8a8ac2b2b8b.html</t>
  </si>
  <si>
    <t>non-serious injury (pickup truck + trailer earlier that morning 9/3/16)</t>
  </si>
  <si>
    <t>Value of Life and Property Damage</t>
  </si>
  <si>
    <t>Detour</t>
  </si>
  <si>
    <t>Baseline</t>
  </si>
  <si>
    <t>AADT</t>
  </si>
  <si>
    <t>Crash severity</t>
  </si>
  <si>
    <t>Injury</t>
  </si>
  <si>
    <t>3-year average</t>
  </si>
  <si>
    <t>Latest 3 years with data</t>
  </si>
  <si>
    <t>Reduced PDO Crashes</t>
  </si>
  <si>
    <t>Cost Savings from Accidents Avoided</t>
  </si>
  <si>
    <t>Injuries</t>
  </si>
  <si>
    <t>Resilience Benefits: Repair Costs Avoided</t>
  </si>
  <si>
    <t>Annual repair costs saved</t>
  </si>
  <si>
    <t>Flood Resilience Repair Cost Savings</t>
  </si>
  <si>
    <t>Repair Costs Factored for Frequency</t>
  </si>
  <si>
    <t>Discounted Repair Cost Savings 7%</t>
  </si>
  <si>
    <t>Discounted Repair Cost Savings 3%</t>
  </si>
  <si>
    <t>days</t>
  </si>
  <si>
    <t>Net</t>
  </si>
  <si>
    <t>Net Savings of Baseline Route vs. Detour Route</t>
  </si>
  <si>
    <t>Hours</t>
  </si>
  <si>
    <t>Miles</t>
  </si>
  <si>
    <t>Days</t>
  </si>
  <si>
    <t>Factored for Length of Time</t>
  </si>
  <si>
    <t>VMT Factored for Frequency</t>
  </si>
  <si>
    <t>VHT Factored for Frequency</t>
  </si>
  <si>
    <t>Passenger Hours Saved</t>
  </si>
  <si>
    <t>Truck Hours Saved</t>
  </si>
  <si>
    <t>VMT Saved</t>
  </si>
  <si>
    <t>VHT Saved</t>
  </si>
  <si>
    <t>The analysis is based on Federal Emergency Management Agency (FEMA) guidance, which assumes a 12-hour penalty for each one-way trip lost.[1]</t>
  </si>
  <si>
    <t>[1] Federal Transit Administration, How to Use the FTA HMCE Tool, 2014, http://www.fta.dot.gov/documents/FTA-User_Guide-final.pdf</t>
  </si>
  <si>
    <t>Cost of a Trip Not Taken</t>
  </si>
  <si>
    <t>hours to account for the trip not taken</t>
  </si>
  <si>
    <t>Value of Passenger Trips</t>
  </si>
  <si>
    <t>Value of Truck Trips</t>
  </si>
  <si>
    <t>Estimated frequency of extreme wind events; one every</t>
  </si>
  <si>
    <t>Inputs. See Detour Data tab.</t>
  </si>
  <si>
    <t xml:space="preserve">Crash Reduction </t>
  </si>
  <si>
    <t>Project</t>
  </si>
  <si>
    <t>H141265(a)</t>
  </si>
  <si>
    <t>H141265(b)</t>
  </si>
  <si>
    <t>Value of Crashes Avoided</t>
  </si>
  <si>
    <t>Total Annual PDO Crashes Avoided</t>
  </si>
  <si>
    <t>Total Value</t>
  </si>
  <si>
    <t>**Reduced PDO crashes held constant at 72% of all crashes</t>
  </si>
  <si>
    <t>50-year storm</t>
  </si>
  <si>
    <t>Detour Travel Time Savings**</t>
  </si>
  <si>
    <t>Detour Value of Trips not Taken**</t>
  </si>
  <si>
    <t>Detour Safety Savings**</t>
  </si>
  <si>
    <t>50-year storm annual likelihood</t>
  </si>
  <si>
    <t>Note: Broadband $45M cost includes the US 64 cost. This capital cost is broken-out in the Costs tab.</t>
  </si>
  <si>
    <t>Emissions Savings (auto) [Includes diversions]</t>
  </si>
  <si>
    <t>Emissions Savings (truck) [Includes diversions]</t>
  </si>
  <si>
    <t>I-87 Detours</t>
  </si>
  <si>
    <t>From the NCDOT Traffic Systems Operations Unit, the US-64 (Future I-87) Matthew Published/Official Detours were:</t>
  </si>
  <si>
    <t>During and after Hurricane Matthew (September 2016), US 64 in NC flooded in a number of sections, including the project area.</t>
  </si>
  <si>
    <r>
      <t>3.</t>
    </r>
    <r>
      <rPr>
        <sz val="11"/>
        <color theme="1"/>
        <rFont val="Calibri"/>
        <family val="2"/>
        <scheme val="minor"/>
      </rPr>
      <t>      Eastbound – Closure @ Exit 468-B 10/10 @ 08:33 to 10/11 @ 08:05 – No Detour Given</t>
    </r>
  </si>
  <si>
    <r>
      <t>4.</t>
    </r>
    <r>
      <rPr>
        <sz val="11"/>
        <color theme="1"/>
        <rFont val="Calibri"/>
        <family val="2"/>
        <scheme val="minor"/>
      </rPr>
      <t xml:space="preserve">      Westbound Closure @ MM 494 – 10/12 @ 18:54 to 10/13 @ 06:58 - </t>
    </r>
    <r>
      <rPr>
        <sz val="11"/>
        <color rgb="FF000000"/>
        <rFont val="Calibri"/>
        <family val="2"/>
        <scheme val="minor"/>
      </rPr>
      <t>Turn right onto NC-42 from US-64 West. Continue on NC-42 then turn left onto NC-11. Continue on NC-11 and turn left on NC-125. Continue on NC-125 then turn left onto US-301 South and continue on US-301 to access US-64 West.</t>
    </r>
  </si>
  <si>
    <r>
      <t>6.</t>
    </r>
    <r>
      <rPr>
        <sz val="11"/>
        <color theme="1"/>
        <rFont val="Calibri"/>
        <family val="2"/>
        <scheme val="minor"/>
      </rPr>
      <t xml:space="preserve">      Both Directions – MM 485 to 494 10/13/16 @ 0900 AM to 10/15/16 @ 16:07 </t>
    </r>
    <r>
      <rPr>
        <sz val="11"/>
        <color rgb="FF000000"/>
        <rFont val="Calibri"/>
        <family val="2"/>
        <scheme val="minor"/>
      </rPr>
      <t>Eastbound traffic: take US258S, turn right, then to Sara Lee Rd.(SR1344) to NC122 to US64W to US301N in Rocky Mount, to NC125 near Enfield to NC11 near Oak City, to US64E near Bethel. Westbound traffic: take NC42 to NC11 near Oak City to NC125 to US301S to US64W.</t>
    </r>
  </si>
  <si>
    <r>
      <t>1.</t>
    </r>
    <r>
      <rPr>
        <sz val="11"/>
        <color theme="1"/>
        <rFont val="Calibri"/>
        <family val="2"/>
        <scheme val="minor"/>
      </rPr>
      <t>      Both Directions – MM 478 to 487 10/8 @ 18:51 to 10/10 @ 9:45 AM – No detour given</t>
    </r>
  </si>
  <si>
    <r>
      <t>2.</t>
    </r>
    <r>
      <rPr>
        <sz val="11"/>
        <color theme="1"/>
        <rFont val="Calibri"/>
        <family val="2"/>
        <scheme val="minor"/>
      </rPr>
      <t>      Both Directions – MM 483 to 484 10/8 @ 22:13 to 10/10 @ 9:46 AM – No detour given</t>
    </r>
  </si>
  <si>
    <r>
      <t>5.</t>
    </r>
    <r>
      <rPr>
        <sz val="11"/>
        <color theme="1"/>
        <rFont val="Calibri"/>
        <family val="2"/>
        <scheme val="minor"/>
      </rPr>
      <t xml:space="preserve">      </t>
    </r>
    <r>
      <rPr>
        <sz val="11"/>
        <color rgb="FF000000"/>
        <rFont val="Calibri"/>
        <family val="2"/>
        <scheme val="minor"/>
      </rPr>
      <t>Both Directions – MM 485 to 494 – 10/12 @ 21:51 to 10/13 @ 08:59 - Motorists traveling East should turn right onto US-258 South. Continue on US-258 South then turn left onto NC-42 East. Continue on NC-42 East to access US-64. Motorists traveling West should turn left onto NC-42 from US-64 West. Continue on NC-42 West then turn right onto US-258 North. Continue on US-258 North to access US-64 West.</t>
    </r>
  </si>
  <si>
    <r>
      <t>7.</t>
    </r>
    <r>
      <rPr>
        <sz val="11"/>
        <color theme="1"/>
        <rFont val="Calibri"/>
        <family val="2"/>
        <scheme val="minor"/>
      </rPr>
      <t>      WB Detour MM 494-478 – 10/15/16 @ 16:07  to 10/17/16 @ 07:54 - Take Exit 494 (NC-42). Turn right onto NC-42 and continue to NC-11. Turn left onto NC-11 and continue to NC-125. Turn left onto NC-125 and continue to NC-122. Turn left onto NC-122 and continue to NC-97. Turn right onto NC-97 and continue to NC-33. Take NC-33 to US-64 Alt and turn right onto US-64 Alt. Continue US-64 Alt to Kingsboro road. Turn left onto Kingsboro Road and continue to re-access US-64 at Exit 478.</t>
    </r>
  </si>
  <si>
    <t>Detour routes 1 through 3 NA</t>
  </si>
  <si>
    <t>Detour route 4 Westbound Only</t>
  </si>
  <si>
    <t>Detour route 5</t>
  </si>
  <si>
    <t>Detour route 6</t>
  </si>
  <si>
    <t>Detour route 7</t>
  </si>
  <si>
    <t>Detour Vehicle Operating Cost Savings**</t>
  </si>
  <si>
    <t>Vehicle Operating Cost Savings</t>
  </si>
  <si>
    <t>Route 5</t>
  </si>
  <si>
    <t>Route 6</t>
  </si>
  <si>
    <t>Route 7 WB Only</t>
  </si>
  <si>
    <t>Route 4 WB Only</t>
  </si>
  <si>
    <t>US 64 Traffic</t>
  </si>
  <si>
    <t>Project Area</t>
  </si>
  <si>
    <t>"Matthew"</t>
  </si>
  <si>
    <t>Detour 5</t>
  </si>
  <si>
    <t>Detour 4 WB Only</t>
  </si>
  <si>
    <t>Detour 6</t>
  </si>
  <si>
    <t>Detour 7</t>
  </si>
  <si>
    <t>Total (Detours 4+5+6+7)</t>
  </si>
  <si>
    <t>factor from "Matthew"</t>
  </si>
  <si>
    <t>50-year storm - without details of how the storm would change detours vs. Matthew, assumes detour durations more than double</t>
  </si>
  <si>
    <t>"Matthew" storm</t>
  </si>
  <si>
    <t>Detour Savings on I-87</t>
  </si>
  <si>
    <t>Detours were established on US64 (future I-87) during Matthew. The infrastructure upgrades near Princeville will avoid much of the time and mileage costs associated with the detours.</t>
  </si>
  <si>
    <t>Detour savings for the "Matthew" storm and 50-year storms are additive because each event is possible in any given year</t>
  </si>
  <si>
    <t>Schedule information per NCDOT:</t>
  </si>
  <si>
    <t>Share of typical AADT assumed to take the detour during closures</t>
  </si>
  <si>
    <t>Current Status/Baseline &amp; Problem to be Addressed</t>
  </si>
  <si>
    <t>Change to Baseline or Alternatives</t>
  </si>
  <si>
    <t>Types of Impacts</t>
  </si>
  <si>
    <t>Affected Population</t>
  </si>
  <si>
    <t>Page Reference in BCA</t>
  </si>
  <si>
    <t>Safety:</t>
  </si>
  <si>
    <t>All residents and non-residents</t>
  </si>
  <si>
    <t>Economic Vitality:</t>
  </si>
  <si>
    <t>Corridor drivers</t>
  </si>
  <si>
    <t>**Note: Sum of 20-year and 50-year storms</t>
  </si>
  <si>
    <t>Factor for duration of a 50-year storm compared to Florence</t>
  </si>
  <si>
    <t>assumed to use the route; the others do not make the trip</t>
  </si>
  <si>
    <t>Detour 4 Trip not Taken</t>
  </si>
  <si>
    <t>Total Trip not Taken VHT</t>
  </si>
  <si>
    <t>Detour 5 Trip not Taken</t>
  </si>
  <si>
    <t>Detour 6 Trip not Taken</t>
  </si>
  <si>
    <t>Detour 7 Trip not Taken</t>
  </si>
  <si>
    <t>Value of Trips not Taken</t>
  </si>
  <si>
    <t>trips not taken</t>
  </si>
  <si>
    <t>Annualization Factor for I-87</t>
  </si>
  <si>
    <t>I-87 Annualization Factor</t>
  </si>
  <si>
    <t>Auto and truck drivers who do not need to detour for flooding events</t>
  </si>
  <si>
    <t>Truck drivers who do not need to detour for flooding events</t>
  </si>
  <si>
    <t>Drivers who do not need to choose between detouring or making a trip in a flooding event</t>
  </si>
  <si>
    <t>Auto drivers who do not need to detour for flooding events</t>
  </si>
  <si>
    <t>All auto and truck drivers on the national network</t>
  </si>
  <si>
    <t xml:space="preserve">Truck drivers on the national network </t>
  </si>
  <si>
    <t>NCDOT; Taxpayers</t>
  </si>
  <si>
    <t>Total Annual Fatal/Injury Crashes Avoided</t>
  </si>
  <si>
    <t>mile but in both directions</t>
  </si>
  <si>
    <t>Hours Lost</t>
  </si>
  <si>
    <t>Auto Hours</t>
  </si>
  <si>
    <t>Truck Hours</t>
  </si>
  <si>
    <t>Auto VOT</t>
  </si>
  <si>
    <t>Total VOT</t>
  </si>
  <si>
    <t>Annualization factor</t>
  </si>
  <si>
    <t>construction mph</t>
  </si>
  <si>
    <t>Construction TT (hr)</t>
  </si>
  <si>
    <t>Annual traffic</t>
  </si>
  <si>
    <t>Additional TT from construction</t>
  </si>
  <si>
    <t>free flow mph</t>
  </si>
  <si>
    <t>free flow TT (hr)</t>
  </si>
  <si>
    <t>Truck VOT + Operating Costs</t>
  </si>
  <si>
    <t>Future I-87</t>
  </si>
  <si>
    <t>AADT growth I-87</t>
  </si>
  <si>
    <t>Construction Delay Impacts</t>
  </si>
  <si>
    <t>Sensitivity</t>
  </si>
  <si>
    <t>(Fiscal Year 2012 = 1.000)</t>
  </si>
  <si>
    <t>2024 estimate</t>
  </si>
  <si>
    <t>Includes only counties directly along I-87 and US 64</t>
  </si>
  <si>
    <t>Actual annual likelihood of the "500-year storm" like Florence. Note that Florence's intensity was considered a 500-year storm, but its actual frequency is more often than that.</t>
  </si>
  <si>
    <t>* Assumes ROW and utilities do not result in construction delays.</t>
  </si>
  <si>
    <t>https://files.nc.gov/ncosbm/demog/countygrowth_2030.html</t>
  </si>
  <si>
    <t>5-28</t>
  </si>
  <si>
    <t>4-6</t>
  </si>
  <si>
    <t>1-35</t>
  </si>
  <si>
    <t>STIP Schedule</t>
  </si>
  <si>
    <t>Previously Incurred Costs</t>
  </si>
  <si>
    <t>Assumed opening same month as Let. Opens first day of the month.</t>
  </si>
  <si>
    <t>Assumes ROW and Utilities start at Let, first day of the month.</t>
  </si>
  <si>
    <t>2018 AADT I-87</t>
  </si>
  <si>
    <t>2018 AADT US 64</t>
  </si>
  <si>
    <t xml:space="preserve">Under Detours 4-7, it is assumed half of the autos and trucks will not make the trip rather than diverting to other routes. When a trip is not made, the productivity and spending impacts associated with that trip are lost to the region. The analysis estimates the value of the loss in productivity and spending for each trip that is not made. The avoidance of this loss is benefit for North Carolina. </t>
  </si>
  <si>
    <t>K</t>
  </si>
  <si>
    <t xml:space="preserve">A </t>
  </si>
  <si>
    <t>B</t>
  </si>
  <si>
    <t>C</t>
  </si>
  <si>
    <t>Total Annual A Injury Crashes Avoided</t>
  </si>
  <si>
    <t>Total Annual B Injury Crashes Avoided</t>
  </si>
  <si>
    <t>Total Annual C Injury Crashes Avoided</t>
  </si>
  <si>
    <t>Value of A Injury Crashes Avoided</t>
  </si>
  <si>
    <t>Value of  PDO Crashes Avoided</t>
  </si>
  <si>
    <t>Value of B Injury Crashes Avoided</t>
  </si>
  <si>
    <t>Value of C Injury Crashes Avoided</t>
  </si>
  <si>
    <t>Value of  Fatal/ Injury Crashes Avoided</t>
  </si>
  <si>
    <t>Miles of I-87</t>
  </si>
  <si>
    <t>Miles of US 64 Extension</t>
  </si>
  <si>
    <t>GoogleMaps</t>
  </si>
  <si>
    <t>Year of Expenditure Dollars for Narrative Tables</t>
  </si>
  <si>
    <t>Table 10.1 - GROSS DOMESTIC PRODUCT AND DEFLATORS USED IN THE HISTORICAL TABLES:  1940 - 2025</t>
  </si>
  <si>
    <t>2025 estimate</t>
  </si>
  <si>
    <t>Costs YOE$</t>
  </si>
  <si>
    <t>CAGR 2023-2025</t>
  </si>
  <si>
    <t>Total Capital Costs</t>
  </si>
  <si>
    <t>YOE$</t>
  </si>
  <si>
    <t>Resilience</t>
  </si>
  <si>
    <t>Fiber</t>
  </si>
  <si>
    <t>http://www.ieee802.org/3/bm/public/may14/vanvickle_01_0514_optx.pdf</t>
  </si>
  <si>
    <t>assumed share of costs for fiber infrastructure of construction costs</t>
  </si>
  <si>
    <t>Total Value Remaining</t>
  </si>
  <si>
    <t>Fiber*</t>
  </si>
  <si>
    <t xml:space="preserve">*Fiber source: </t>
  </si>
  <si>
    <t>BROADBAND ALONG I-87 FROM RALEIGH TO VA LINE AND US 64 FROM WILLIAMSTON TO WHALEBONE</t>
  </si>
  <si>
    <t>H171801**</t>
  </si>
  <si>
    <t>No</t>
  </si>
  <si>
    <t>MARTIN COUNTY LINE TO US 17 NEAR WILLISAMSTON. UPGRADE TO INTERSTATE STANDARDS.</t>
  </si>
  <si>
    <t>Vulnerability Assessment and Stress Testing</t>
  </si>
  <si>
    <t>FIMANT</t>
  </si>
  <si>
    <t>Capital</t>
  </si>
  <si>
    <t>O&amp;M</t>
  </si>
  <si>
    <t>Bridgewatch</t>
  </si>
  <si>
    <t>Rock Plating</t>
  </si>
  <si>
    <t>Gauges - 1 year</t>
  </si>
  <si>
    <t>Previous Expenditures</t>
  </si>
  <si>
    <t>Future Expenditures</t>
  </si>
  <si>
    <t>Operations Start Year I-87</t>
  </si>
  <si>
    <t>Operations Start Year US 64</t>
  </si>
  <si>
    <t>2019$</t>
  </si>
  <si>
    <t>INFRA ASK</t>
  </si>
  <si>
    <t>INFRA Request Amount</t>
  </si>
  <si>
    <t>Estimated federal funding (excl. INFRA)</t>
  </si>
  <si>
    <t>Estimated non-federal funding</t>
  </si>
  <si>
    <t>Federal Funding</t>
  </si>
  <si>
    <t>State Funding</t>
  </si>
  <si>
    <t>YOE</t>
  </si>
  <si>
    <t>Infra Ask</t>
  </si>
  <si>
    <t>Federal</t>
  </si>
  <si>
    <t>Federal non-infra</t>
  </si>
  <si>
    <t>state</t>
  </si>
  <si>
    <t>total</t>
  </si>
  <si>
    <t>Excludes Previous Expenditures</t>
  </si>
  <si>
    <t>INFRA Ask</t>
  </si>
  <si>
    <t>**used to get the actual capital costs to match the NCDOT rounded totals in I-87_CostTables tab</t>
  </si>
  <si>
    <t>I-87 Upgrade to Interstate; Flood Resiliency; Broadband Installation</t>
  </si>
  <si>
    <t>for Form 424C</t>
  </si>
  <si>
    <t>ROW and Utilities</t>
  </si>
  <si>
    <t>Construction and PE</t>
  </si>
  <si>
    <t>Rounded YOE$</t>
  </si>
  <si>
    <t>Rounded Total</t>
  </si>
  <si>
    <t>Total Project (including previously incurred costs)</t>
  </si>
  <si>
    <t>Contingency (10% of total project)</t>
  </si>
  <si>
    <t>check</t>
  </si>
  <si>
    <t>NCDOT I-87 INFRA 2021</t>
  </si>
  <si>
    <t>Values stated in 2019 $M</t>
  </si>
  <si>
    <t>Economic Benefit (Net Present Values, $2019 M)</t>
  </si>
  <si>
    <t>2021 Benefit-Cost Analysis Guidance for Discretionary Grant Programs</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</si>
  <si>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</si>
  <si>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</si>
  <si>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</si>
  <si>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</si>
  <si>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</si>
  <si>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</si>
  <si>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</si>
  <si>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</si>
  <si>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</si>
  <si>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</si>
  <si>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</si>
  <si>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</si>
  <si>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</si>
  <si>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</si>
  <si>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</si>
  <si>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</si>
  <si>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</si>
  <si>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</si>
  <si>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</si>
  <si>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</si>
  <si>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</si>
  <si>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</si>
  <si>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</si>
  <si>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</si>
  <si>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</si>
  <si>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</si>
  <si>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</si>
  <si>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</si>
  <si>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</si>
  <si>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</si>
  <si>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</si>
  <si>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</si>
  <si>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</si>
  <si>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</si>
  <si>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</si>
  <si>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</si>
  <si>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</si>
  <si>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</si>
  <si>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</si>
  <si>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</si>
  <si>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</si>
  <si>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</si>
  <si>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</si>
  <si>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</si>
  <si>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</si>
  <si>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</si>
  <si>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</si>
  <si>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</si>
  <si>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</si>
  <si>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</si>
  <si>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</si>
  <si>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</si>
  <si>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</si>
  <si>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</si>
  <si>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</si>
  <si>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</si>
  <si>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</si>
  <si>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</si>
  <si>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</si>
  <si>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</si>
  <si>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</si>
  <si>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</si>
  <si>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</si>
  <si>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</si>
  <si>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</si>
  <si>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</si>
  <si>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</si>
  <si>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</si>
  <si>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</si>
  <si>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</si>
  <si>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</si>
  <si>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</si>
  <si>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</si>
  <si>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</si>
  <si>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</si>
  <si>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</si>
  <si>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</si>
  <si>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</si>
  <si>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</si>
  <si>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</si>
  <si>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Downloaded 3/2/2021</t>
  </si>
  <si>
    <t>Annual O&amp;M Fiber (2019$)</t>
  </si>
  <si>
    <t>Vehicle Operating Cost per mile (2019$), auto</t>
  </si>
  <si>
    <t>Table 9 ATRI Operational Cost of Trucking 2020. Includes fuel, oil, truck/trailer lease, repair, maintenance, driver benefits, tires, and insurance. Excludes driver time (valued in travel time savings); https://truckingresearch.org/wp-content/uploads/2020/11/ATRI-Operational-Costs-of-Trucking-2020.pdf</t>
  </si>
  <si>
    <t>Truck operating savings per hour (2019$)</t>
  </si>
  <si>
    <t>O- No injury (2019$)</t>
  </si>
  <si>
    <t>C - possible injury (2019$)</t>
  </si>
  <si>
    <t>B - non-incapacitating injury (2019$)</t>
  </si>
  <si>
    <t>A - incapacitating (2019$)</t>
  </si>
  <si>
    <t>K - killed (2019$)</t>
  </si>
  <si>
    <t>U - Injured (severity unknown) (2019$)</t>
  </si>
  <si>
    <t># Accidents Reported (unknown if injured) (2019$)</t>
  </si>
  <si>
    <t>Injury Crash (2019$)</t>
  </si>
  <si>
    <t>Fatal Crash (2019$)</t>
  </si>
  <si>
    <t>PDO per vehicle (2019$)</t>
  </si>
  <si>
    <t>Recommended Monetized Value(s)</t>
  </si>
  <si>
    <t>Emission Type</t>
  </si>
  <si>
    <t>Note: The recommended values for reducing CO2 emissions reported in Table A-6 represent the values of future economic damages that can be avoided by reducing emissions in each future year by one metric ton. After using per-ton values to estimate the total value of reducing CO2 emissions in any future year, the result must be further discounted to its present value as of the analysis year used in the BCA, also using a 3 percent discount rate.</t>
  </si>
  <si>
    <t>Emissions Values</t>
  </si>
  <si>
    <t>Cars Emissions Rates g/min NOX</t>
  </si>
  <si>
    <t>GradeDec.NET</t>
  </si>
  <si>
    <t>Cars Emissions Rates g/min SOx</t>
  </si>
  <si>
    <t>Cars Emissions Rates g/min PM</t>
  </si>
  <si>
    <t>Cars  Emissions Rates g/min CO2</t>
  </si>
  <si>
    <t xml:space="preserve">Truck Emissions Rate g/min NOX </t>
  </si>
  <si>
    <t xml:space="preserve">Truck Emissions Rate g/min SOx </t>
  </si>
  <si>
    <t>Truck Emissions Rate g/min PM</t>
  </si>
  <si>
    <t xml:space="preserve">Truck Emissions Rate g/min CO2 </t>
  </si>
  <si>
    <t>Construction Costs (2019$)</t>
  </si>
  <si>
    <t>Resilience (2019$)</t>
  </si>
  <si>
    <t>Previously Incurred PE Costs (2019$)</t>
  </si>
  <si>
    <t>Total Capital Costs (2019$)</t>
  </si>
  <si>
    <t>Highway  O&amp;M and R&amp;R (2019$)</t>
  </si>
  <si>
    <t>Fiber (2019$)</t>
  </si>
  <si>
    <t>ITS (2019$)</t>
  </si>
  <si>
    <t>O&amp;M Total  (2019$)</t>
  </si>
  <si>
    <t>Total project 2019$</t>
  </si>
  <si>
    <t>WTP (2019$)</t>
  </si>
  <si>
    <t>Climate Change and Environmental Justice</t>
  </si>
  <si>
    <t>Sub-Total Climate Change and Environmental Justice</t>
  </si>
  <si>
    <t>Pollutant Emissions Rates (grams/min)</t>
  </si>
  <si>
    <t>Reduced Pollutants per Year (metric tons)</t>
  </si>
  <si>
    <t>NOX</t>
  </si>
  <si>
    <t>SOX</t>
  </si>
  <si>
    <t>PM</t>
  </si>
  <si>
    <t>CO2</t>
  </si>
  <si>
    <t>x</t>
  </si>
  <si>
    <t>Freight Crashes Avoided</t>
  </si>
  <si>
    <t>Reduced Highway Fatalities and Crashes - Auto</t>
  </si>
  <si>
    <t>Reduced Highway Fatalities and Crashes - Truck</t>
  </si>
  <si>
    <t>Detour Safety Savings** - Auto</t>
  </si>
  <si>
    <t>Detour Safety Savings** - Truck</t>
  </si>
  <si>
    <t>Wind Safety Savings - Auto</t>
  </si>
  <si>
    <t>Wind Safety Savings - Truck</t>
  </si>
  <si>
    <t>Travel Time Savings - Auto</t>
  </si>
  <si>
    <t>Delays During Construction - Auto</t>
  </si>
  <si>
    <t>Delays During Construction - Truck</t>
  </si>
  <si>
    <t>Detour Travel Time Savings** - Auto</t>
  </si>
  <si>
    <t>Detour Travel Time Savings** - Truck</t>
  </si>
  <si>
    <t>Detour Value of Trips not Taken** - Auto</t>
  </si>
  <si>
    <t>Detour Value of Trips not Taken** - Truck</t>
  </si>
  <si>
    <t>Freight Benefits</t>
  </si>
  <si>
    <t>% of Benefits Freight-Related</t>
  </si>
  <si>
    <t>Freight-Related</t>
  </si>
  <si>
    <t>Freight Construction Delay</t>
  </si>
  <si>
    <t>Source: Table 1, Traffic Safety Facts 2019</t>
  </si>
  <si>
    <t>https://cdan.nhtsa.gov/SASStoredProcess/guest</t>
  </si>
  <si>
    <t>Source: 2019 Crash Stats</t>
  </si>
  <si>
    <t>https://cdan.dot.gov/tsftables/National%20Statistics.pdf</t>
  </si>
  <si>
    <t>Freight Share</t>
  </si>
  <si>
    <t>Travel Time Savings - Truck</t>
  </si>
  <si>
    <t>Freight Travel Time Savings</t>
  </si>
  <si>
    <t>Reliability Benefit</t>
  </si>
  <si>
    <t>Truck Time Saved</t>
  </si>
  <si>
    <t>Auto Time Saved</t>
  </si>
  <si>
    <t>VOT Auto</t>
  </si>
  <si>
    <t>Value of Time</t>
  </si>
  <si>
    <t xml:space="preserve">Reliability savings </t>
  </si>
  <si>
    <t>Assumption based on range of results found in Integrated Corridor Management Modeling Results Report: Dallas, Minneapolis, and San Diego, February 2012</t>
  </si>
  <si>
    <t>ICM Reliability Benefits - Auto</t>
  </si>
  <si>
    <t>ICM Reliability Benefits - Truck</t>
  </si>
  <si>
    <t>Reliability Savings Discounted at 7%</t>
  </si>
  <si>
    <t>Reliability Savings Discounted at 3%</t>
  </si>
  <si>
    <t>Reliability Time Saved (hours)</t>
  </si>
  <si>
    <t>Freight Reliability</t>
  </si>
  <si>
    <t>AADT Future I-87 (2019)</t>
  </si>
  <si>
    <t>Auto Wind Injuries and Damage Factored for Frequency</t>
  </si>
  <si>
    <t>Auto - Value of Life and Property Damage</t>
  </si>
  <si>
    <t>Truck - Value of Life and Property Damage</t>
  </si>
  <si>
    <t>Truck Wind Injuries and Damage Factored for Frequency</t>
  </si>
  <si>
    <t>Truck:</t>
  </si>
  <si>
    <t>Auto:</t>
  </si>
  <si>
    <t xml:space="preserve">Traffic and safety analyses are from pre-COVID-19 times (i.e. using 2018 or 2019 data). Despite 2020 data being partially available, the benefit-cost analysis does not take into consideration traffic data from 2020 due to 2020 being treated as an outlier. Forecasted traffic is assumed to reach pre-COVD-19 levels by opening year. </t>
  </si>
  <si>
    <t>W of 171, E of US13</t>
  </si>
  <si>
    <t>W NC149, E of 171</t>
  </si>
  <si>
    <t>WNC32, E NC149</t>
  </si>
  <si>
    <t>W NC45, E NC32</t>
  </si>
  <si>
    <t>W NC37, E NC45</t>
  </si>
  <si>
    <t>W NC 94, E NC37</t>
  </si>
  <si>
    <t>W of NC345, E of NC94</t>
  </si>
  <si>
    <t>AADT US 64 (2019)</t>
  </si>
  <si>
    <t>AADT annual growth US 64 (2002-2019)</t>
  </si>
  <si>
    <t>Advancing Racial Equity and Reducing Barriers to Opportunity</t>
  </si>
  <si>
    <t>Sub-Total Advancing Racial Equity and Reducing Barriers to Opportunity</t>
  </si>
  <si>
    <t xml:space="preserve">Vulnerability Assessment, Stress Testing, FIMANT, and Gauges </t>
  </si>
  <si>
    <t>June 2022 CE</t>
  </si>
  <si>
    <t>October 2023 (DB)</t>
  </si>
  <si>
    <t>September 2022 (DB)</t>
  </si>
  <si>
    <t>January 2023 (DB)</t>
  </si>
  <si>
    <t>May 2023 (DB)</t>
  </si>
  <si>
    <t>March 2023 (DB)</t>
  </si>
  <si>
    <t>December 2023 EA</t>
  </si>
  <si>
    <t>June 2024 (DB)</t>
  </si>
  <si>
    <t>Transportation Electrification</t>
  </si>
  <si>
    <t>U.S. DRIVE (2019). "Summary Report on EVs at Scale and the U.S. Electric Power System."</t>
  </si>
  <si>
    <t xml:space="preserve">https://www.energy.gov/sites/prod/files/2019/12/f69/GITT%20ISATT%20EVs%20at%20Scale%20Grid%20Summary%20Report%20FINAL%20Nov2019.pdf </t>
  </si>
  <si>
    <t>YEAR</t>
  </si>
  <si>
    <t>EV Market Penetration -- Medium Scenario</t>
  </si>
  <si>
    <t>Factored For EV</t>
  </si>
  <si>
    <t>Assumes full project opens June 1, 2027</t>
  </si>
  <si>
    <t>$30,000 each for capital, $375/yr each for O&amp;M</t>
  </si>
  <si>
    <t>Costs given in 2021 dollars</t>
  </si>
  <si>
    <t>2021$</t>
  </si>
  <si>
    <t>2019 $</t>
  </si>
  <si>
    <t>Previously Incurred</t>
  </si>
  <si>
    <t>Annual Crash Reduction (Number of Crashes), 2040</t>
  </si>
  <si>
    <t>Total Annual K Crashes Avoided</t>
  </si>
  <si>
    <t>Value of K Crashes Avoided</t>
  </si>
  <si>
    <t>AADT annual growth Future I-87 (2002-2019)</t>
  </si>
  <si>
    <t>Source: AECOM Safety Analysis, 2021</t>
  </si>
  <si>
    <t xml:space="preserve">https://wcti12.com/archive/alligator-river-bridge-closed-when-tractor-trailer-blows-over </t>
  </si>
  <si>
    <t>injured, severity unknown (tractor-trailer 9/3/16 on Virginia Dare Memorial Bridge)</t>
  </si>
  <si>
    <t>death (tractor-trailer 9/3/16 on Alligator River Bridge)</t>
  </si>
  <si>
    <t>one death, property damage, and mentions two other trucks overturning</t>
  </si>
  <si>
    <t xml:space="preserve">https://www.wtvr.com/2016/09/04/semi-flips-on-virginia-dare-memorial-bridge-hermine/ </t>
  </si>
  <si>
    <t>tractor-trailer flipped Virginia Dare Memorial Bridge; injured severity unknown</t>
  </si>
  <si>
    <t>pickup truck + trailer overturned; no serious injuries</t>
  </si>
  <si>
    <t xml:space="preserve">ICM in the corridor to include: variable message signs, signal coordination, cameras, and other ITS devices. Because these devices connect to and rely on broadband in the corridor, users with autonomous vehicles are assumed to benefit. </t>
  </si>
  <si>
    <t>Autonomous vehicle benefits are not quantified elsewhere to avoid double-counting.</t>
  </si>
  <si>
    <t>VOT Truck (Labor + Marginal Vehicle Operating Costs)</t>
  </si>
  <si>
    <t>EB + WB AADT, 2019</t>
  </si>
  <si>
    <t>Truck Operating Cost Savings (excluding driver time)</t>
  </si>
  <si>
    <t>Detour Vehicle Operating Cost Savings** - Auto</t>
  </si>
  <si>
    <t>**</t>
  </si>
  <si>
    <t>Qualitative</t>
  </si>
  <si>
    <t>Source: North Carolina OSBM, Standard Population Estimates, Vintage 2019 and Population Projections, Vintage 2020</t>
  </si>
  <si>
    <t>Projected Population Change in North Carolina Counties:  2030-2040</t>
  </si>
  <si>
    <t>July 2040 Projection</t>
  </si>
  <si>
    <t>https://files.nc.gov/ncosbm/demog/countygrowth_2040.html</t>
  </si>
  <si>
    <t>Pop Growth 2030-2040</t>
  </si>
  <si>
    <t>I-87 Households</t>
  </si>
  <si>
    <t>I-64 Households</t>
  </si>
  <si>
    <t>AADT growth US 64</t>
  </si>
  <si>
    <t>No-Build</t>
  </si>
  <si>
    <t>Build</t>
  </si>
  <si>
    <t>Car</t>
  </si>
  <si>
    <t>Truck</t>
  </si>
  <si>
    <t>Passenger cars</t>
  </si>
  <si>
    <t>Trucks</t>
  </si>
  <si>
    <t>TTS/veh/day</t>
  </si>
  <si>
    <t>Occupancy</t>
  </si>
  <si>
    <t>#Trips</t>
  </si>
  <si>
    <t>VMT (mi)</t>
  </si>
  <si>
    <t>Delay (hr)</t>
  </si>
  <si>
    <t># Trips</t>
  </si>
  <si>
    <t>TTS/person</t>
  </si>
  <si>
    <t>Change in Daily VHT (hr)</t>
  </si>
  <si>
    <t>Travel Savings/vehicle/day (min)</t>
  </si>
  <si>
    <t>Travel Savings/user/day (min)</t>
  </si>
  <si>
    <t>(hr)</t>
  </si>
  <si>
    <t>(min)</t>
  </si>
  <si>
    <t>(per/veh)</t>
  </si>
  <si>
    <t>(mi)</t>
  </si>
  <si>
    <t>Cars</t>
  </si>
  <si>
    <t>2046+</t>
  </si>
  <si>
    <t>Notes:</t>
  </si>
  <si>
    <t xml:space="preserve">        Rows shaded blue are based on model runs for each year.</t>
  </si>
  <si>
    <t xml:space="preserve">        Rows that are not shaded are based on interpolation </t>
  </si>
  <si>
    <t xml:space="preserve">        Rows in red are beyond the 2045 design year for the project and are set to match the 2045 results</t>
  </si>
  <si>
    <t>Auto Time (annual hours)</t>
  </si>
  <si>
    <t>Truck Time (annual hours)</t>
  </si>
  <si>
    <t>Value of Auto Time</t>
  </si>
  <si>
    <t>Value of Truck Time (Labor only)</t>
  </si>
  <si>
    <t>Flood Protection in Princeville</t>
  </si>
  <si>
    <t>H171801</t>
  </si>
  <si>
    <t>Source: Patriot Engineering modeling, 2021</t>
  </si>
  <si>
    <t>Culvert Replacement</t>
  </si>
  <si>
    <t>Replacing the pipes protects the new roadway investment from collapse in a storm event and protects Princeville structures and populations from flooding.</t>
  </si>
  <si>
    <t>Pipe Number</t>
  </si>
  <si>
    <t>Diameter</t>
  </si>
  <si>
    <t>Type</t>
  </si>
  <si>
    <t>Estimated Length (ft)</t>
  </si>
  <si>
    <t>Unit Price Cured in Place Pipe Liner</t>
  </si>
  <si>
    <t>Extended Price CIPP Liner</t>
  </si>
  <si>
    <t>24"</t>
  </si>
  <si>
    <t>CMP</t>
  </si>
  <si>
    <t>97+50</t>
  </si>
  <si>
    <t>102+60</t>
  </si>
  <si>
    <t>30"</t>
  </si>
  <si>
    <t>120+00</t>
  </si>
  <si>
    <t>12"</t>
  </si>
  <si>
    <t>121+95</t>
  </si>
  <si>
    <t>Subtotal CIPP Liner</t>
  </si>
  <si>
    <t>Total CIPP Liner</t>
  </si>
  <si>
    <t>ICM and High Wind Infrastructure (New Devices)</t>
  </si>
  <si>
    <t>Route</t>
  </si>
  <si>
    <t>Rd</t>
  </si>
  <si>
    <t>ICM Path</t>
  </si>
  <si>
    <t>From</t>
  </si>
  <si>
    <t>To</t>
  </si>
  <si>
    <t>DMS</t>
  </si>
  <si>
    <t>CCTV Cameras</t>
  </si>
  <si>
    <t>RWIS</t>
  </si>
  <si>
    <t>Static Sign w/ Flashers</t>
  </si>
  <si>
    <t>ICM Cost</t>
  </si>
  <si>
    <t>ITS Device Cost</t>
  </si>
  <si>
    <t>O&amp;M Average Annual Cost</t>
  </si>
  <si>
    <t>O&amp;M 20-Year Cost</t>
  </si>
  <si>
    <t>NC 97</t>
  </si>
  <si>
    <t>Alt 64</t>
  </si>
  <si>
    <t>I-95 NC 43/48</t>
  </si>
  <si>
    <t>I-95</t>
  </si>
  <si>
    <t>NC 43</t>
  </si>
  <si>
    <t>Rocky Mount</t>
  </si>
  <si>
    <t>Tarboro</t>
  </si>
  <si>
    <t>US 17</t>
  </si>
  <si>
    <t>S of Windsor</t>
  </si>
  <si>
    <t>E of Windsor</t>
  </si>
  <si>
    <t>NC 37</t>
  </si>
  <si>
    <t>Church St</t>
  </si>
  <si>
    <t>Creek Dr</t>
  </si>
  <si>
    <t>I-87 (Bypass US 17)</t>
  </si>
  <si>
    <t>Road St.</t>
  </si>
  <si>
    <t>Bus 17 - NC 343</t>
  </si>
  <si>
    <t>SR 1258</t>
  </si>
  <si>
    <t>NC 343</t>
  </si>
  <si>
    <t>NC 94</t>
  </si>
  <si>
    <t>Benson Rd</t>
  </si>
  <si>
    <t>SR 1228</t>
  </si>
  <si>
    <t>BYP US 64</t>
  </si>
  <si>
    <t>Manns Harbor</t>
  </si>
  <si>
    <t>Manteo</t>
  </si>
  <si>
    <t>Subtotals</t>
  </si>
  <si>
    <t>Chowan River Bridge</t>
  </si>
  <si>
    <t>High Wind Warning System</t>
  </si>
  <si>
    <t>Alligator River Bridge</t>
  </si>
  <si>
    <t>Virginia Dare &amp; Washington Baum Bridge</t>
  </si>
  <si>
    <t>US 64 / BYP US 64</t>
  </si>
  <si>
    <t>Existing Devices + INFRA Fiber</t>
  </si>
  <si>
    <t>Asset</t>
  </si>
  <si>
    <t>Quantity</t>
  </si>
  <si>
    <t>Cameras</t>
  </si>
  <si>
    <t>Solar Devices</t>
  </si>
  <si>
    <t>Field Switches</t>
  </si>
  <si>
    <t>Hubs</t>
  </si>
  <si>
    <t>Rate Estimates</t>
  </si>
  <si>
    <t>DMS D&amp;C</t>
  </si>
  <si>
    <t>CCTV D&amp;C</t>
  </si>
  <si>
    <t>ICM ($/mi)</t>
  </si>
  <si>
    <t>Historic</t>
  </si>
  <si>
    <t>Includes design, equipment upgrades, programming, etc</t>
  </si>
  <si>
    <t>Wind Devices Costs (2019$)</t>
  </si>
  <si>
    <t>NCDOT Traffic counts, 2018</t>
  </si>
  <si>
    <t>AADT on Bridges, 2018</t>
  </si>
  <si>
    <t>Alligator River</t>
  </si>
  <si>
    <t>Virginia Dare Memorial</t>
  </si>
  <si>
    <t>Washington Baum</t>
  </si>
  <si>
    <t>Truck % on bridges</t>
  </si>
  <si>
    <t>Source: NCDOT Transportation Mobility and Safety Division, 3/12/2021</t>
  </si>
  <si>
    <t>The installation of broadband and wind alert devices along US 64 will enable real-time monitoring of wind speeds, allowing NCDOT to close bridges if winds reach certain thresholds. This will avoid deaths, injuries, and damage from high wind events.</t>
  </si>
  <si>
    <t>Confirmed 4 crashes on the bridges have been due to severe crosswinds. The fatality in 2016 resulted in NCDOT pursuing installation of the wind detection devices and alert system.</t>
  </si>
  <si>
    <t>NCDOT will focus on using a combination of DMS, RWIS, and signs w/ flashers to warn of high speed conditions.  These improvements would be integral during evacuations further supporting the resiliency aspect of the grant.</t>
  </si>
  <si>
    <t>Observation Time</t>
  </si>
  <si>
    <t>Wind Speed (knots)</t>
  </si>
  <si>
    <t>Wind Speed (mph)</t>
  </si>
  <si>
    <t>Wind Speed (m/s)</t>
  </si>
  <si>
    <t>Latitude</t>
  </si>
  <si>
    <t>Longitude</t>
  </si>
  <si>
    <t>Affected County</t>
  </si>
  <si>
    <t>Dare County NC</t>
  </si>
  <si>
    <t>Tyrrell County NC</t>
  </si>
  <si>
    <t>Records over 50 knots/57mph</t>
  </si>
  <si>
    <t>Data over 5 years (2014-2018)</t>
  </si>
  <si>
    <t>Separate events</t>
  </si>
  <si>
    <t>**note the September 2016 gust did not register, so likely this is a low estimate</t>
  </si>
  <si>
    <t>potential events per year</t>
  </si>
  <si>
    <t>Also see data below that shows wind over 50kt/57mph twice a year, on average (2014-2018)</t>
  </si>
  <si>
    <t>https://climate.ncsu.edu/climate/storm_reports?event=wind&amp;reports=wind_reports&amp;event_filter=&amp;time=5yr&amp;time_start=&amp;time_end=&amp;months_filter=&amp;states=NC</t>
  </si>
  <si>
    <t>See slide to the right, demonstrating the number of readings &gt;40mph by month over the past 3 years. 40mph is considered a strong wind and other states close roads to light, high-profile vehicles at 50mph.</t>
  </si>
  <si>
    <t>AADT 2019</t>
  </si>
  <si>
    <t>Source: ICM_ITS_WindCosts tab</t>
  </si>
  <si>
    <t>Source: NCDOT, https://ncdot.maps.arcgis.com/apps/webappviewer/index.html?id=5f6fe58c1d90482ab9107ccc03026280</t>
  </si>
  <si>
    <t>Average Trip By Segment (Miles/2)</t>
  </si>
  <si>
    <t>AADT 2028</t>
  </si>
  <si>
    <t>Annual Time Saved, 2028</t>
  </si>
  <si>
    <t>Annual Time Saved, 2025</t>
  </si>
  <si>
    <t>AADT 2025</t>
  </si>
  <si>
    <t>NB Trip Time (hours per trip assuming 65mph)</t>
  </si>
  <si>
    <t>Annual Time Saved (conservatively held constant)</t>
  </si>
  <si>
    <r>
      <rPr>
        <b/>
        <i/>
        <sz val="8"/>
        <rFont val="Arial"/>
        <family val="2"/>
      </rPr>
      <t>Table A-6: Damage Costs for Emissions per metric ton</t>
    </r>
    <r>
      <rPr>
        <b/>
        <sz val="8"/>
        <rFont val="Arial"/>
        <family val="2"/>
      </rPr>
      <t>*</t>
    </r>
  </si>
  <si>
    <r>
      <t>NO</t>
    </r>
    <r>
      <rPr>
        <b/>
        <vertAlign val="subscript"/>
        <sz val="8"/>
        <rFont val="Arial"/>
        <family val="2"/>
      </rPr>
      <t>X</t>
    </r>
  </si>
  <si>
    <r>
      <t>SO</t>
    </r>
    <r>
      <rPr>
        <b/>
        <vertAlign val="subscript"/>
        <sz val="8"/>
        <rFont val="Arial"/>
        <family val="2"/>
      </rPr>
      <t>2</t>
    </r>
  </si>
  <si>
    <r>
      <t>PM</t>
    </r>
    <r>
      <rPr>
        <b/>
        <vertAlign val="subscript"/>
        <sz val="8"/>
        <rFont val="Arial"/>
        <family val="2"/>
      </rPr>
      <t>2.5</t>
    </r>
    <r>
      <rPr>
        <b/>
        <sz val="8"/>
        <rFont val="Arial"/>
        <family val="2"/>
      </rPr>
      <t>**</t>
    </r>
  </si>
  <si>
    <r>
      <t>CO</t>
    </r>
    <r>
      <rPr>
        <b/>
        <vertAlign val="subscript"/>
        <sz val="8"/>
        <rFont val="Arial"/>
        <family val="2"/>
      </rPr>
      <t>2</t>
    </r>
  </si>
  <si>
    <t>Truck Marginal Vehicle Operating Cost Savings (Excludes Driver Time)</t>
  </si>
  <si>
    <t>Detour Truck Marginal Vehicle Operating Cost Savings (Excludes Driver Time)**</t>
  </si>
  <si>
    <t>Analysis assumes ITS elements last 20 years</t>
  </si>
  <si>
    <t>Item#</t>
  </si>
  <si>
    <t>Item #s</t>
  </si>
  <si>
    <t>1</t>
  </si>
  <si>
    <t>5</t>
  </si>
  <si>
    <t>2,3</t>
  </si>
  <si>
    <t>Vulnerabilityand Stress Testing</t>
  </si>
  <si>
    <t>FIMAN-T and BridgeWatch</t>
  </si>
  <si>
    <t>Bridges</t>
  </si>
  <si>
    <t>070001</t>
  </si>
  <si>
    <t>070013</t>
  </si>
  <si>
    <t>O and M</t>
  </si>
  <si>
    <t>070037</t>
  </si>
  <si>
    <t>FIMAN T Library and Inundation</t>
  </si>
  <si>
    <t>070049</t>
  </si>
  <si>
    <t>FIMAN T no Model</t>
  </si>
  <si>
    <t>070170</t>
  </si>
  <si>
    <t>Gauge Installations</t>
  </si>
  <si>
    <t>070027</t>
  </si>
  <si>
    <t>BW Set Up</t>
  </si>
  <si>
    <t>070160</t>
  </si>
  <si>
    <t>200040</t>
  </si>
  <si>
    <t>710081</t>
  </si>
  <si>
    <t>710080</t>
  </si>
  <si>
    <t>710016</t>
  </si>
  <si>
    <t>690089</t>
  </si>
  <si>
    <t>570267</t>
  </si>
  <si>
    <t>570255</t>
  </si>
  <si>
    <t>570265</t>
  </si>
  <si>
    <t>320335</t>
  </si>
  <si>
    <t>320104</t>
  </si>
  <si>
    <t>320136</t>
  </si>
  <si>
    <t>630289</t>
  </si>
  <si>
    <t>630176</t>
  </si>
  <si>
    <t>630297</t>
  </si>
  <si>
    <t>630115</t>
  </si>
  <si>
    <t>630067</t>
  </si>
  <si>
    <t>630049</t>
  </si>
  <si>
    <t>630019</t>
  </si>
  <si>
    <t>910217</t>
  </si>
  <si>
    <t>910199</t>
  </si>
  <si>
    <t>Note Project opens June 1, 2027</t>
  </si>
  <si>
    <t>Note Project opens September 1, 2024</t>
  </si>
  <si>
    <t xml:space="preserve">20 Year Benefits Period (2027-2047) </t>
  </si>
  <si>
    <t xml:space="preserve">24 Year Benefits Period (2024-2047) </t>
  </si>
  <si>
    <t xml:space="preserve">20 Year Benefits Period (2024-2044) </t>
  </si>
  <si>
    <t>Truck Marginal Vehicle Operating Cost Savings</t>
  </si>
  <si>
    <t>Integrated Corridor Management</t>
  </si>
  <si>
    <t>Detour Truck Marginal Vehicle Operating Cost  Savings**</t>
  </si>
  <si>
    <t>Future I-87 needs to be brought up to interstate standards in order to serve as an evacuation route and serve commerce as an important logistics corridor connecting Raleigh with CSX’s Carolina Connector (CCX) in Rocky Mount and the Port of Norfolk in Virginia.
Much of eastern North Carolina lacks high speed internet access, and the US 64 corridor has experienced extreme wind events that have caused a fatality, injuries, and property damage. 
The corridor is susceptible to flooding and needs resilience improvements to raise the roadway out of flood prone areas, protect the corridor from flooding, and monitor and plan for flooding events.</t>
  </si>
  <si>
    <t>The future I-87 portion of the Project will include upgrades to segments of the corridor from highway to interstate standards. At-grade intersections will be converted to interchanges and the roadway will be reconstructed to the standards of a modern interstate, providing travel time savings, safety savings, and reducing detours during flooding events.
Fiber optic cable will be installed along future I-87 and on US 64. The fiber will connect to ITS equipment to provide variable message signs and aid in Integrated Corridor Management. In addition, the corridor between Williamston and Whalebone will have real-time wind detection that will save lives and property damage. 
The resilience features included in the Project will avoid detours when severe flooding closes future I-87 for days at a time, saving travel time, vehicle operating costs, safety savings, emissions, and truck operating costs.</t>
  </si>
  <si>
    <t>Climate Change and Environmental Justice:</t>
  </si>
  <si>
    <t>Advancing Racial Equity and Reducing Barriers to Opportunity:</t>
  </si>
  <si>
    <t>Households in counties along the future I-87 and US 64 corridors</t>
  </si>
  <si>
    <t>Town of Princeville</t>
  </si>
  <si>
    <t>Flood Resiliency Repair Cost Savings</t>
  </si>
  <si>
    <t>ITS Wind + ICM</t>
  </si>
  <si>
    <t>Broadband +ICM/ITS</t>
  </si>
  <si>
    <t>Floyd (1999), Matthew (2016), and Florence (2018) can be considered 500-year storms that occurred within 20 years. Based on this history, one storm of this caliber could occur every 20 years moving forward. Using 1/500 years.</t>
  </si>
  <si>
    <t>CO2 Factored For EV</t>
  </si>
  <si>
    <t>CO2 Discounted Emissions 3%</t>
  </si>
  <si>
    <t>Sub-Total Non-CO2 Emissions</t>
  </si>
  <si>
    <t>Likelihood of extreme wind event annually, assumed, based on frequency of auto crashes due to wind since 2016.</t>
  </si>
  <si>
    <t>Likelihood of extreme wind event annually, assumed, based on frequency of truck crashes due to wind since 2016.</t>
  </si>
  <si>
    <t>tractor-trailer flipped on Alligator River Bridge; injured severity unknown</t>
  </si>
  <si>
    <t>^ Emissions savings for CO2 are discounted at 3%</t>
  </si>
  <si>
    <t>Emissions Savings^ [Includes diversions**] - Auto</t>
  </si>
  <si>
    <t>Emissions Savings^ [Includes diversions**] - Truck</t>
  </si>
  <si>
    <t>Annual risk of culvert failure</t>
  </si>
  <si>
    <t>US Army Corps of Engineers, Princeville, North Carolina Flood Risk Management Integrated Feasibility Report and Environmental Assessment Final Report, December 2015 (Rev April 2016)</t>
  </si>
  <si>
    <t>The project includes replacement of culverts under Future I-87 in the Princeville area. The new culverts replace the corrugated metal pipes that are at the end of their useful life.</t>
  </si>
  <si>
    <t>2. One killed after tractor trailer overturns on Alligator River bridge from high winds - The Virginian-Pilot</t>
  </si>
  <si>
    <t>1. Alligator River Bridge closed when tractor trailer blows over _ WCTI</t>
  </si>
  <si>
    <t>3. ‘Oh my God!’ Video shows semi flip on Virginia Dare Memorial Bridge</t>
  </si>
  <si>
    <t>See News Articles in Supplemental Materials:</t>
  </si>
  <si>
    <t>Excludes driver time (which is quantified in the Travel Time Savings benefit)</t>
  </si>
  <si>
    <t>Marginal Truck Vehicle Operating Cost Savings</t>
  </si>
  <si>
    <t>Actual annual likelihood of the 500-year storm like Matthew</t>
  </si>
  <si>
    <t>**Note: Sum of 500-year and 50-year storms</t>
  </si>
  <si>
    <t>Assumption</t>
  </si>
  <si>
    <t>Average of counties</t>
  </si>
  <si>
    <t>years. One fatality occurred under sustained winds of 60 knots (kt) and gusts of 70kt in September 2016 (https://www.nhc.noaa.gov/data/tcr/AL092016_Hermine.pdf). Another high wind event in February 2016 flipped a tractor trailer (https://wcti12.com/archive/alligator-river-bridge-closed-when-tractor-trailer-blows-over). Winds of 60 kt in the area were recorded in 2016 per North Carolina Climate Office records; http://climate.ncsu.edu/climate/storm_reports?event=wind&amp;reports=wind_reports&amp;event_filter=&amp;time=10yr&amp;time_start=&amp;time_end=&amp;months_filter=&amp;states=NC</t>
  </si>
  <si>
    <t>Value of Time All Purposes (2019$)</t>
  </si>
  <si>
    <t>Value of Time Truck (2019$)</t>
  </si>
  <si>
    <t>1A</t>
  </si>
  <si>
    <t>Vulnerability Assessment and Stress Testing ( East Williamston)</t>
  </si>
  <si>
    <t>570007</t>
  </si>
  <si>
    <t>US 64 East Williamston</t>
  </si>
  <si>
    <t>BP-058-0189</t>
  </si>
  <si>
    <t>570238</t>
  </si>
  <si>
    <t>BP-058-0191</t>
  </si>
  <si>
    <t>570237</t>
  </si>
  <si>
    <t>930002</t>
  </si>
  <si>
    <t>BP-094-0107</t>
  </si>
  <si>
    <t>BP-094-0122</t>
  </si>
  <si>
    <t>BP-094-0123</t>
  </si>
  <si>
    <t>BP-089-0072</t>
  </si>
  <si>
    <t>BP-028-0004</t>
  </si>
  <si>
    <t>BP-028-2050</t>
  </si>
  <si>
    <t>Gauges (37)</t>
  </si>
  <si>
    <t>See ICM.pdf in Supplemental Materials</t>
  </si>
  <si>
    <t>See WTP_Fiber.pdf in Supplemental Materials</t>
  </si>
  <si>
    <t>Conservatively assumes equal effects</t>
  </si>
  <si>
    <t>Date</t>
  </si>
  <si>
    <t>Death</t>
  </si>
  <si>
    <t>Auto</t>
  </si>
  <si>
    <t>Values used in Analysis</t>
  </si>
  <si>
    <t>already included in capital costs of H141265</t>
  </si>
  <si>
    <t>Source: NCDOT, 3/11/2021</t>
  </si>
  <si>
    <t>Adjustment for year 1 and 21</t>
  </si>
  <si>
    <t>Notes</t>
  </si>
  <si>
    <t>Generally looks good.  Some Joint separation</t>
  </si>
  <si>
    <t>Generally looks good.  Some damage to pipe in one noted location</t>
  </si>
  <si>
    <t>Not able to view.  Gate Valve needs repair.</t>
  </si>
  <si>
    <t xml:space="preserve">Many Joints are leaking </t>
  </si>
  <si>
    <t>Mobilization (25%)</t>
  </si>
  <si>
    <t>E&amp;C 15%</t>
  </si>
  <si>
    <t>Culvert project, 2019$</t>
  </si>
  <si>
    <t>Rounded Totals for Narrative</t>
  </si>
  <si>
    <t>Source: NCDOT, 3/16/2021</t>
  </si>
  <si>
    <t>The Future I-87 corridor users will benefit from Integrated Corridor Management (ICM) through more reliable travel times. Based on USDOT Pilot Study, reliability can be expected to improve by up to 11%.</t>
  </si>
  <si>
    <t>Approx. Station</t>
  </si>
  <si>
    <t>YOE without Previously Incurred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</si>
</sst>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0.00"/>
    <numFmt numFmtId="167" formatCode="&quot;$&quot;#,##0"/>
    <numFmt numFmtId="168" formatCode="#,##0.0"/>
    <numFmt numFmtId="169" formatCode="#,##0.000"/>
    <numFmt numFmtId="170" formatCode="_(* #,##0_);_(* \(#,##0\);_(* &quot;-&quot;??_);_(@_)"/>
    <numFmt numFmtId="171" formatCode="_(&quot;$&quot;* #,##0_);_(&quot;$&quot;* \(#,##0\);_(&quot;$&quot;* &quot;-&quot;??_);_(@_)"/>
    <numFmt numFmtId="172" formatCode="_(* #,##0.0_);_(* \(#,##0.0\);_(* &quot;-&quot;??_);_(@_)"/>
    <numFmt numFmtId="173" formatCode="#."/>
    <numFmt numFmtId="174" formatCode="m\o\n\th\ d\,\ yyyy"/>
    <numFmt numFmtId="175" formatCode="#.00"/>
    <numFmt numFmtId="176" formatCode="General_)"/>
    <numFmt numFmtId="177" formatCode="[Red]&quot;E: &quot;#,##0;[Red]&quot;E: &quot;\-#,##0;[Blue]&quot;OK&quot;"/>
    <numFmt numFmtId="178" formatCode="0.0%"/>
    <numFmt numFmtId="179" formatCode="&quot;$&quot;#,##0.0"/>
    <numFmt numFmtId="180" formatCode="0.000_)"/>
    <numFmt numFmtId="181" formatCode="_(* #,##0.0_);_(* \(#,##0.0\);_(* &quot;-&quot;_);_(@_)"/>
    <numFmt numFmtId="182" formatCode="#,##0.0_);[Red]\(#,##0.0\)"/>
    <numFmt numFmtId="183" formatCode="_(&quot;$&quot;* #,##0.0_);[Red]_(&quot;$&quot;* \(#,##0.0\);_(&quot;$&quot;* &quot;-&quot;_);_(@_)"/>
    <numFmt numFmtId="184" formatCode="&quot;$&quot;#,##0.0_);[Red]\(&quot;$&quot;#,##0.0\)"/>
    <numFmt numFmtId="185" formatCode="&quot;$&quot;#,##0\ ;\(&quot;$&quot;#,##0\)"/>
    <numFmt numFmtId="186" formatCode="#,##0_)"/>
    <numFmt numFmtId="187" formatCode="###0.00_)"/>
    <numFmt numFmtId="188" formatCode="0.0_W"/>
    <numFmt numFmtId="189" formatCode="m/d\ h:mm\ AM/PM"/>
    <numFmt numFmtId="190" formatCode="_-&quot;€&quot;\ * #,##0.00_-;\-&quot;€&quot;\ * #,##0.00_-;_-&quot;€&quot;\ * &quot;-&quot;??_-;_-@_-"/>
    <numFmt numFmtId="191" formatCode="0_);\(0\)"/>
    <numFmt numFmtId="192" formatCode="_-* #,##0.00\ _€_-;\-* #,##0.00\ _€_-;_-* &quot;-&quot;??\ _€_-;_-@_-"/>
    <numFmt numFmtId="193" formatCode="mm/dd/yy"/>
    <numFmt numFmtId="194" formatCode="mmmm\ d\,\ yyyy"/>
    <numFmt numFmtId="195" formatCode="mmmm\,\ yyyy"/>
    <numFmt numFmtId="196" formatCode="#,##0;[Red]\(#,##0\)"/>
    <numFmt numFmtId="197" formatCode="[$-409]mmm\-yy;@"/>
    <numFmt numFmtId="198" formatCode="#,##0.00;[Red]\(#,##0.00\)"/>
    <numFmt numFmtId="199" formatCode="0.0000%"/>
    <numFmt numFmtId="200" formatCode="0%;[Red]\(0%\)"/>
    <numFmt numFmtId="201" formatCode="#,##0.0%_);[Red]\(#,##0.0%\)"/>
    <numFmt numFmtId="202" formatCode="_-&quot;L.&quot;\ * #,##0_-;\-&quot;L.&quot;\ * #,##0_-;_-&quot;L.&quot;\ * &quot;-&quot;_-;_-@_-"/>
    <numFmt numFmtId="203" formatCode="_ * #,##0_ ;_ * \-#,##0_ ;_ * &quot;-&quot;_ ;_ @_ "/>
    <numFmt numFmtId="204" formatCode="_-&quot;｣&quot;* #,##0.00_-;\-&quot;｣&quot;* #,##0.00_-;_-&quot;｣&quot;* &quot;-&quot;??_-;_-@_-"/>
    <numFmt numFmtId="205" formatCode="##,##0.0"/>
    <numFmt numFmtId="206" formatCode="##,##0.0000"/>
    <numFmt numFmtId="207" formatCode="_(&quot;$&quot;* #,##0.0_);_(&quot;$&quot;* \(#,##0.0\);_(&quot;$&quot;* &quot;-&quot;?_);_(@_)"/>
    <numFmt numFmtId="208" formatCode="0.0"/>
    <numFmt numFmtId="209" formatCode="0.000"/>
    <numFmt numFmtId="210" formatCode="\$#,##0"/>
    <numFmt numFmtId="211" formatCode="\$0"/>
  </numFmts>
  <fonts count="18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scheme val="minor"/>
    </font>
    <font>
      <sz val="10"/>
      <name val="Arial"/>
      <family val="2"/>
    </font>
    <font>
      <sz val="11"/>
      <color rgb="FF000000"/>
      <name val="Calibri"/>
      <family val="2"/>
    </font>
    <font>
      <b/>
      <sz val="11"/>
      <color rgb="FF000000"/>
      <name val="Calibri"/>
      <family val="2"/>
    </font>
    <font>
      <b/>
      <i/>
      <sz val="11"/>
      <color theme="1"/>
      <name val="Calibri"/>
      <family val="2"/>
      <scheme val="minor"/>
    </font>
    <font>
      <sz val="10"/>
      <color theme="1"/>
      <name val="Calibri"/>
      <family val="2"/>
      <scheme val="minor"/>
    </font>
    <font>
      <sz val="10"/>
      <color rgb="FF000000"/>
      <name val="Times New Roman"/>
      <family val="1"/>
    </font>
    <font>
      <sz val="1"/>
      <color indexed="8"/>
      <name val="Courier"/>
      <family val="3"/>
    </font>
    <font>
      <b/>
      <sz val="13"/>
      <color theme="0"/>
      <name val="Calibri"/>
      <family val="2"/>
    </font>
    <font>
      <sz val="11"/>
      <color indexed="8"/>
      <name val="Calibri"/>
      <family val="2"/>
    </font>
    <font>
      <sz val="11"/>
      <color indexed="9"/>
      <name val="Calibri"/>
      <family val="2"/>
    </font>
    <font>
      <sz val="12"/>
      <color theme="1"/>
      <name val="Calibri Light"/>
      <family val="2"/>
    </font>
    <font>
      <sz val="8"/>
      <name val="Arial"/>
      <family val="2"/>
    </font>
    <font>
      <sz val="12"/>
      <name val="Times New Roman"/>
      <family val="1"/>
    </font>
    <font>
      <b/>
      <sz val="11"/>
      <color indexed="8"/>
      <name val="Calibri"/>
      <family val="2"/>
    </font>
    <font>
      <b/>
      <sz val="1"/>
      <color indexed="8"/>
      <name val="Courier"/>
      <family val="3"/>
    </font>
    <font>
      <u/>
      <sz val="11"/>
      <color theme="10"/>
      <name val="Calibri"/>
      <family val="2"/>
    </font>
    <font>
      <sz val="10"/>
      <name val="Helv"/>
    </font>
    <font>
      <sz val="10"/>
      <color theme="1"/>
      <name val="Arial"/>
      <family val="2"/>
    </font>
    <font>
      <sz val="7"/>
      <name val="Arial MT"/>
    </font>
    <font>
      <sz val="8"/>
      <name val="Courier"/>
      <family val="3"/>
    </font>
    <font>
      <sz val="10"/>
      <name val="MS Sans Serif"/>
      <family val="2"/>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8"/>
      <name val="Helv"/>
    </font>
    <font>
      <sz val="10"/>
      <name val="Calibri"/>
      <family val="2"/>
    </font>
    <font>
      <b/>
      <sz val="14"/>
      <color theme="1"/>
      <name val="Calibri"/>
      <family val="2"/>
      <scheme val="minor"/>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sz val="10"/>
      <color rgb="FF000000"/>
      <name val="Arial"/>
      <family val="2"/>
    </font>
    <font>
      <sz val="11"/>
      <color theme="1"/>
      <name val="Calibri"/>
      <family val="2"/>
    </font>
    <font>
      <sz val="11"/>
      <name val="Calibri"/>
      <family val="2"/>
      <scheme val="minor"/>
    </font>
    <font>
      <sz val="9"/>
      <name val="Arial"/>
      <family val="2"/>
    </font>
    <font>
      <b/>
      <sz val="11"/>
      <name val="Calibri"/>
      <family val="2"/>
      <scheme val="minor"/>
    </font>
    <font>
      <sz val="10"/>
      <color indexed="8"/>
      <name val="MS Sans Serif"/>
      <family val="2"/>
    </font>
    <font>
      <sz val="11"/>
      <color theme="1"/>
      <name val="Arial"/>
      <family val="2"/>
    </font>
    <font>
      <sz val="12"/>
      <name val="Helv"/>
    </font>
    <font>
      <b/>
      <sz val="10"/>
      <name val="Arial"/>
      <family val="2"/>
    </font>
    <font>
      <b/>
      <sz val="10"/>
      <color theme="1"/>
      <name val="Arial"/>
      <family val="2"/>
    </font>
    <font>
      <sz val="11"/>
      <color theme="1"/>
      <name val="Arial Narrow"/>
      <family val="2"/>
    </font>
    <font>
      <sz val="14"/>
      <name val="Arial"/>
      <family val="2"/>
    </font>
    <font>
      <sz val="10"/>
      <color indexed="56"/>
      <name val="Arial, Helvetica, sans-serif"/>
    </font>
    <font>
      <b/>
      <sz val="10"/>
      <color indexed="56"/>
      <name val="Arial, Helvetica, sans-serif"/>
    </font>
    <font>
      <sz val="10"/>
      <color indexed="8"/>
      <name val="Arial, Helvetica, sans-serif"/>
    </font>
    <font>
      <b/>
      <sz val="10"/>
      <name val="Geneva"/>
      <family val="2"/>
    </font>
    <font>
      <sz val="10"/>
      <name val="Geneva"/>
      <family val="2"/>
    </font>
    <font>
      <sz val="10"/>
      <color theme="0"/>
      <name val="Arial"/>
      <family val="2"/>
    </font>
    <font>
      <b/>
      <sz val="10"/>
      <name val="MS Sans Serif"/>
      <family val="2"/>
    </font>
    <font>
      <sz val="10"/>
      <color rgb="FF9C0006"/>
      <name val="Arial"/>
      <family val="2"/>
    </font>
    <font>
      <sz val="9"/>
      <color indexed="8"/>
      <name val="Calibri"/>
      <family val="2"/>
    </font>
    <font>
      <b/>
      <sz val="10"/>
      <color theme="0"/>
      <name val="Arial"/>
      <family val="2"/>
    </font>
    <font>
      <sz val="11"/>
      <name val="Tms Rmn"/>
      <family val="1"/>
    </font>
    <font>
      <b/>
      <sz val="10"/>
      <name val="Times New Roman"/>
      <family val="1"/>
    </font>
    <font>
      <sz val="10"/>
      <name val="Verdana"/>
      <family val="2"/>
    </font>
    <font>
      <sz val="9"/>
      <color theme="1"/>
      <name val="Arial Narrow"/>
      <family val="2"/>
    </font>
    <font>
      <sz val="10"/>
      <name val="Courier"/>
      <family val="3"/>
    </font>
    <font>
      <sz val="10"/>
      <color indexed="24"/>
      <name val="Arial"/>
      <family val="2"/>
    </font>
    <font>
      <i/>
      <sz val="9"/>
      <name val="Arial"/>
      <family val="2"/>
    </font>
    <font>
      <b/>
      <sz val="12"/>
      <name val="Helv"/>
    </font>
    <font>
      <sz val="9"/>
      <name val="Helv"/>
    </font>
    <font>
      <vertAlign val="superscript"/>
      <sz val="12"/>
      <name val="Helv"/>
    </font>
    <font>
      <sz val="10"/>
      <color indexed="12"/>
      <name val="Arial"/>
      <family val="2"/>
    </font>
    <font>
      <sz val="9"/>
      <name val="Arial Narrow"/>
      <family val="2"/>
    </font>
    <font>
      <i/>
      <sz val="10"/>
      <color rgb="FF7F7F7F"/>
      <name val="Arial"/>
      <family val="2"/>
    </font>
    <font>
      <sz val="12"/>
      <name val="Arial"/>
      <family val="2"/>
    </font>
    <font>
      <sz val="10"/>
      <color rgb="FF006100"/>
      <name val="Arial"/>
      <family val="2"/>
    </font>
    <font>
      <b/>
      <u/>
      <sz val="10"/>
      <name val="Geneva"/>
      <family val="2"/>
    </font>
    <font>
      <b/>
      <sz val="9"/>
      <color indexed="8"/>
      <name val="Calibri"/>
      <family val="2"/>
    </font>
    <font>
      <b/>
      <sz val="12"/>
      <name val="Arial"/>
      <family val="2"/>
    </font>
    <font>
      <b/>
      <sz val="10"/>
      <name val="Helv"/>
    </font>
    <font>
      <b/>
      <sz val="15"/>
      <color indexed="62"/>
      <name val="Calibri"/>
      <family val="2"/>
    </font>
    <font>
      <b/>
      <sz val="18"/>
      <name val="Arial"/>
      <family val="2"/>
    </font>
    <font>
      <b/>
      <sz val="15"/>
      <color theme="3"/>
      <name val="Arial"/>
      <family val="2"/>
    </font>
    <font>
      <b/>
      <sz val="13"/>
      <color indexed="62"/>
      <name val="Calibri"/>
      <family val="2"/>
    </font>
    <font>
      <b/>
      <sz val="13"/>
      <color theme="3"/>
      <name val="Arial"/>
      <family val="2"/>
    </font>
    <font>
      <b/>
      <sz val="11"/>
      <color theme="3"/>
      <name val="Arial"/>
      <family val="2"/>
    </font>
    <font>
      <b/>
      <sz val="9"/>
      <name val="Helv"/>
    </font>
    <font>
      <sz val="8.5"/>
      <name val="Helv"/>
    </font>
    <font>
      <u/>
      <sz val="10"/>
      <color theme="10"/>
      <name val="Helv"/>
    </font>
    <font>
      <sz val="10"/>
      <color rgb="FF3F3F76"/>
      <name val="Arial"/>
      <family val="2"/>
    </font>
    <font>
      <sz val="10"/>
      <color rgb="FFFA7D00"/>
      <name val="Arial"/>
      <family val="2"/>
    </font>
    <font>
      <sz val="10"/>
      <color rgb="FF9C6500"/>
      <name val="Arial"/>
      <family val="2"/>
    </font>
    <font>
      <sz val="10"/>
      <name val="Tms Rmn"/>
      <family val="1"/>
    </font>
    <font>
      <sz val="9"/>
      <name val="Calibri"/>
      <family val="2"/>
    </font>
    <font>
      <sz val="9"/>
      <name val="Geneva"/>
      <family val="2"/>
    </font>
    <font>
      <sz val="11"/>
      <color indexed="8"/>
      <name val="Calibri"/>
      <family val="2"/>
      <scheme val="minor"/>
    </font>
    <font>
      <b/>
      <sz val="10"/>
      <color rgb="FF3F3F3F"/>
      <name val="Arial"/>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10"/>
      <color indexed="9"/>
      <name val="Arial"/>
      <family val="2"/>
    </font>
    <font>
      <b/>
      <sz val="22"/>
      <color indexed="8"/>
      <name val="Times New Roman"/>
      <family val="1"/>
    </font>
    <font>
      <b/>
      <sz val="16"/>
      <color indexed="8"/>
      <name val="Arial"/>
      <family val="2"/>
    </font>
    <font>
      <b/>
      <sz val="10"/>
      <color indexed="10"/>
      <name val="MS Sans Serif"/>
      <family val="2"/>
    </font>
    <font>
      <sz val="10"/>
      <name val="Times New Roman"/>
      <family val="1"/>
    </font>
    <font>
      <sz val="12"/>
      <name val="MS Sans Serif"/>
      <family val="2"/>
    </font>
    <font>
      <b/>
      <sz val="14"/>
      <name val="Helv"/>
    </font>
    <font>
      <sz val="10"/>
      <color rgb="FFFF0000"/>
      <name val="Arial"/>
      <family val="2"/>
    </font>
    <font>
      <sz val="9"/>
      <color theme="1"/>
      <name val="Calibri"/>
      <family val="2"/>
      <scheme val="minor"/>
    </font>
    <font>
      <b/>
      <sz val="9"/>
      <color theme="1"/>
      <name val="Calibri"/>
      <family val="2"/>
      <scheme val="minor"/>
    </font>
    <font>
      <sz val="10"/>
      <color rgb="FF000000"/>
      <name val="Times New Roman"/>
      <family val="1"/>
    </font>
    <font>
      <sz val="11"/>
      <color rgb="FF000000"/>
      <name val="Calibri"/>
      <family val="2"/>
      <scheme val="minor"/>
    </font>
    <font>
      <sz val="8"/>
      <color theme="1"/>
      <name val="Calibri"/>
      <family val="2"/>
      <scheme val="minor"/>
    </font>
    <font>
      <sz val="11"/>
      <color theme="1"/>
      <name val="Cambria"/>
      <family val="1"/>
    </font>
    <font>
      <sz val="12"/>
      <color theme="1"/>
      <name val="Calibri"/>
      <family val="2"/>
      <scheme val="minor"/>
    </font>
    <font>
      <sz val="12"/>
      <color rgb="FFFF0000"/>
      <name val="Calibri"/>
      <family val="2"/>
      <scheme val="minor"/>
    </font>
    <font>
      <sz val="9"/>
      <color rgb="FF000000"/>
      <name val="Calibri"/>
      <family val="2"/>
    </font>
    <font>
      <sz val="10"/>
      <color indexed="8"/>
      <name val="Times New Roman"/>
      <family val="1"/>
    </font>
    <font>
      <sz val="9"/>
      <color rgb="FF000000"/>
      <name val="Arial"/>
      <family val="2"/>
    </font>
    <font>
      <sz val="9"/>
      <color theme="1"/>
      <name val="Arial"/>
      <family val="2"/>
    </font>
    <font>
      <b/>
      <sz val="9"/>
      <color rgb="FF000000"/>
      <name val="Arial"/>
      <family val="2"/>
    </font>
    <font>
      <b/>
      <i/>
      <sz val="9"/>
      <color rgb="FF000000"/>
      <name val="Arial"/>
      <family val="2"/>
    </font>
    <font>
      <b/>
      <i/>
      <sz val="9"/>
      <color theme="1"/>
      <name val="Arial"/>
      <family val="2"/>
    </font>
    <font>
      <i/>
      <sz val="9"/>
      <color theme="1"/>
      <name val="Arial"/>
      <family val="2"/>
    </font>
    <font>
      <b/>
      <sz val="9"/>
      <color theme="1"/>
      <name val="Arial"/>
      <family val="2"/>
    </font>
    <font>
      <b/>
      <sz val="10"/>
      <color indexed="8"/>
      <name val="Times New Roman"/>
      <family val="1"/>
    </font>
    <font>
      <sz val="10"/>
      <color indexed="8"/>
      <name val="Times New Roman"/>
      <family val="1"/>
    </font>
    <font>
      <b/>
      <sz val="16"/>
      <color theme="1"/>
      <name val="Calibri"/>
      <family val="2"/>
      <scheme val="minor"/>
    </font>
    <font>
      <b/>
      <sz val="11"/>
      <color rgb="FF1F497D"/>
      <name val="Calibri"/>
      <family val="2"/>
      <scheme val="minor"/>
    </font>
    <font>
      <b/>
      <sz val="11"/>
      <color rgb="FFFF0000"/>
      <name val="Calibri"/>
      <family val="2"/>
      <scheme val="minor"/>
    </font>
    <font>
      <i/>
      <sz val="9"/>
      <color rgb="FF000000"/>
      <name val="Arial"/>
      <family val="2"/>
    </font>
    <font>
      <sz val="18"/>
      <color theme="3"/>
      <name val="Cambria"/>
      <family val="2"/>
      <scheme val="major"/>
    </font>
    <font>
      <sz val="11"/>
      <color rgb="FF9C5700"/>
      <name val="Calibri"/>
      <family val="2"/>
      <scheme val="minor"/>
    </font>
    <font>
      <sz val="10"/>
      <color indexed="56"/>
      <name val="Arial"/>
      <family val="2"/>
    </font>
    <font>
      <b/>
      <sz val="10"/>
      <color indexed="56"/>
      <name val="Arial"/>
      <family val="2"/>
    </font>
    <font>
      <b/>
      <sz val="11"/>
      <color rgb="FF002664"/>
      <name val="Calibri"/>
      <family val="2"/>
      <scheme val="minor"/>
    </font>
    <font>
      <b/>
      <sz val="11"/>
      <color rgb="FFFFFFFF"/>
      <name val="Calibri"/>
      <family val="2"/>
    </font>
    <font>
      <b/>
      <sz val="10"/>
      <color rgb="FFFFFFFF"/>
      <name val="Calibri"/>
      <family val="2"/>
    </font>
    <font>
      <sz val="11"/>
      <color rgb="FFFFFFFF"/>
      <name val="Calibri"/>
      <family val="2"/>
    </font>
    <font>
      <b/>
      <sz val="9"/>
      <color rgb="FF000000"/>
      <name val="Calibri"/>
      <family val="2"/>
    </font>
    <font>
      <b/>
      <sz val="9"/>
      <color theme="1"/>
      <name val="Calibri"/>
      <family val="2"/>
    </font>
    <font>
      <sz val="9"/>
      <color theme="1"/>
      <name val="Calibri"/>
      <family val="2"/>
    </font>
    <font>
      <b/>
      <sz val="11"/>
      <color theme="1"/>
      <name val="Calibri"/>
      <family val="2"/>
    </font>
    <font>
      <b/>
      <sz val="11"/>
      <color theme="4" tint="-0.249977111117893"/>
      <name val="Calibri"/>
      <family val="2"/>
      <scheme val="minor"/>
    </font>
    <font>
      <b/>
      <sz val="11"/>
      <color theme="5" tint="-0.249977111117893"/>
      <name val="Calibri"/>
      <family val="2"/>
      <scheme val="minor"/>
    </font>
    <font>
      <sz val="11"/>
      <color theme="4" tint="-0.249977111117893"/>
      <name val="Calibri"/>
      <family val="2"/>
      <scheme val="minor"/>
    </font>
    <font>
      <sz val="11"/>
      <color theme="5" tint="-0.249977111117893"/>
      <name val="Calibri"/>
      <family val="2"/>
      <scheme val="minor"/>
    </font>
    <font>
      <sz val="8"/>
      <name val="Calibri"/>
      <family val="2"/>
      <scheme val="minor"/>
    </font>
    <font>
      <b/>
      <sz val="8"/>
      <color theme="1"/>
      <name val="Arial"/>
      <family val="2"/>
    </font>
    <font>
      <sz val="8"/>
      <color theme="1"/>
      <name val="Arial"/>
      <family val="2"/>
    </font>
    <font>
      <u/>
      <sz val="8"/>
      <color theme="10"/>
      <name val="Arial"/>
      <family val="2"/>
    </font>
    <font>
      <b/>
      <i/>
      <sz val="8"/>
      <name val="Arial"/>
      <family val="2"/>
    </font>
    <font>
      <b/>
      <sz val="8"/>
      <color theme="0"/>
      <name val="Arial"/>
      <family val="2"/>
    </font>
    <font>
      <b/>
      <vertAlign val="subscript"/>
      <sz val="8"/>
      <name val="Arial"/>
      <family val="2"/>
    </font>
    <font>
      <i/>
      <sz val="10"/>
      <color theme="1"/>
      <name val="Arial"/>
      <family val="2"/>
    </font>
    <font>
      <sz val="11"/>
      <color rgb="FF333333"/>
      <name val="Arial"/>
      <family val="2"/>
    </font>
    <font>
      <b/>
      <sz val="16"/>
      <name val="Calibri"/>
      <family val="2"/>
      <scheme val="minor"/>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D9D9D9"/>
        <bgColor indexed="64"/>
      </patternFill>
    </fill>
    <fill>
      <patternFill patternType="solid">
        <fgColor theme="4" tint="0.79998168889431442"/>
        <bgColor indexed="64"/>
      </patternFill>
    </fill>
    <fill>
      <patternFill patternType="solid">
        <fgColor rgb="FF57626E"/>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31"/>
      </patternFill>
    </fill>
    <fill>
      <patternFill patternType="solid">
        <fgColor indexed="46"/>
      </patternFill>
    </fill>
    <fill>
      <patternFill patternType="solid">
        <fgColor indexed="27"/>
      </patternFill>
    </fill>
    <fill>
      <patternFill patternType="solid">
        <fgColor rgb="FFFFFFFF"/>
        <bgColor indexed="64"/>
      </patternFill>
    </fill>
    <fill>
      <patternFill patternType="solid">
        <fgColor rgb="FF6495ED"/>
        <bgColor indexed="64"/>
      </patternFill>
    </fill>
    <fill>
      <patternFill patternType="solid">
        <fgColor rgb="FF01FF00"/>
        <bgColor indexed="64"/>
      </patternFill>
    </fill>
    <fill>
      <patternFill patternType="solid">
        <fgColor rgb="FFFF3333"/>
        <bgColor indexed="64"/>
      </patternFill>
    </fill>
    <fill>
      <patternFill patternType="solid">
        <fgColor rgb="FFFFCCCC"/>
        <bgColor indexed="64"/>
      </patternFill>
    </fill>
    <fill>
      <patternFill patternType="solid">
        <fgColor rgb="FFFF9999"/>
        <bgColor indexed="64"/>
      </patternFill>
    </fill>
    <fill>
      <patternFill patternType="solid">
        <fgColor rgb="FFFF6666"/>
        <bgColor indexed="64"/>
      </patternFill>
    </fill>
    <fill>
      <patternFill patternType="solid">
        <fgColor rgb="FFCC6666"/>
        <bgColor indexed="64"/>
      </patternFill>
    </fill>
    <fill>
      <patternFill patternType="solid">
        <fgColor indexed="22"/>
        <bgColor indexed="64"/>
      </patternFill>
    </fill>
    <fill>
      <patternFill patternType="solid">
        <fgColor indexed="9"/>
        <bgColor indexed="9"/>
      </patternFill>
    </fill>
    <fill>
      <patternFill patternType="solid">
        <fgColor indexed="26"/>
        <bgColor indexed="64"/>
      </patternFill>
    </fill>
    <fill>
      <patternFill patternType="mediumGray">
        <fgColor indexed="9"/>
        <bgColor indexed="22"/>
      </patternFill>
    </fill>
    <fill>
      <patternFill patternType="solid">
        <fgColor indexed="22"/>
        <bgColor indexed="13"/>
      </patternFill>
    </fill>
    <fill>
      <patternFill patternType="solid">
        <fgColor indexed="22"/>
        <bgColor indexed="9"/>
      </patternFill>
    </fill>
    <fill>
      <patternFill patternType="solid">
        <fgColor indexed="42"/>
        <bgColor indexed="64"/>
      </patternFill>
    </fill>
    <fill>
      <patternFill patternType="solid">
        <fgColor indexed="9"/>
        <bgColor indexed="64"/>
      </patternFill>
    </fill>
    <fill>
      <patternFill patternType="solid">
        <fgColor indexed="39"/>
      </patternFill>
    </fill>
    <fill>
      <patternFill patternType="mediumGray">
        <fgColor indexed="22"/>
      </patternFill>
    </fill>
    <fill>
      <patternFill patternType="solid">
        <fgColor rgb="FFCCFFFF"/>
        <bgColor indexed="64"/>
      </patternFill>
    </fill>
    <fill>
      <patternFill patternType="solid">
        <fgColor rgb="FF01FFFF"/>
        <bgColor indexed="64"/>
      </patternFill>
    </fill>
    <fill>
      <patternFill patternType="solid">
        <fgColor rgb="FF99CCCC"/>
        <bgColor indexed="64"/>
      </patternFill>
    </fill>
    <fill>
      <patternFill patternType="solid">
        <fgColor rgb="FF00CCCC"/>
        <bgColor indexed="64"/>
      </patternFill>
    </fill>
    <fill>
      <patternFill patternType="solid">
        <fgColor rgb="FF669999"/>
        <bgColor indexed="64"/>
      </patternFill>
    </fill>
    <fill>
      <patternFill patternType="solid">
        <fgColor rgb="FF009999"/>
        <bgColor indexed="64"/>
      </patternFill>
    </fill>
    <fill>
      <patternFill patternType="solid">
        <fgColor rgb="FFFFCCFF"/>
        <bgColor indexed="64"/>
      </patternFill>
    </fill>
    <fill>
      <patternFill patternType="solid">
        <fgColor rgb="FFFF99FF"/>
        <bgColor indexed="64"/>
      </patternFill>
    </fill>
    <fill>
      <patternFill patternType="solid">
        <fgColor rgb="FFFF33FF"/>
        <bgColor indexed="64"/>
      </patternFill>
    </fill>
    <fill>
      <patternFill patternType="solid">
        <fgColor rgb="FFCC99CC"/>
        <bgColor indexed="64"/>
      </patternFill>
    </fill>
    <fill>
      <patternFill patternType="solid">
        <fgColor rgb="FFCC66CC"/>
        <bgColor indexed="64"/>
      </patternFill>
    </fill>
    <fill>
      <patternFill patternType="solid">
        <fgColor indexed="22"/>
        <bgColor indexed="55"/>
      </patternFill>
    </fill>
    <fill>
      <patternFill patternType="solid">
        <fgColor indexed="21"/>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1F487C"/>
      </patternFill>
    </fill>
    <fill>
      <patternFill patternType="solid">
        <fgColor rgb="FFF1F1F1"/>
      </patternFill>
    </fill>
    <fill>
      <patternFill patternType="solid">
        <fgColor rgb="FF002664"/>
        <bgColor indexed="64"/>
      </patternFill>
    </fill>
    <fill>
      <patternFill patternType="solid">
        <fgColor rgb="FFC9DEFF"/>
        <bgColor indexed="64"/>
      </patternFill>
    </fill>
    <fill>
      <patternFill patternType="solid">
        <fgColor rgb="FFF8BACA"/>
        <bgColor indexed="64"/>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7F7F7"/>
        <bgColor indexed="64"/>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right/>
      <top style="thin">
        <color rgb="FFCCCCCC"/>
      </top>
      <bottom style="thin">
        <color rgb="FFCCCCCC"/>
      </bottom>
      <diagonal/>
    </border>
    <border>
      <left/>
      <right/>
      <top style="medium">
        <color rgb="FF000000"/>
      </top>
      <bottom/>
      <diagonal/>
    </border>
    <border>
      <left/>
      <right/>
      <top/>
      <bottom style="dashed">
        <color rgb="FFBFBFBF"/>
      </bottom>
      <diagonal/>
    </border>
    <border>
      <left/>
      <right/>
      <top/>
      <bottom style="thin">
        <color indexed="22"/>
      </bottom>
      <diagonal/>
    </border>
    <border>
      <left style="thin">
        <color indexed="21"/>
      </left>
      <right style="thin">
        <color indexed="21"/>
      </right>
      <top style="thin">
        <color indexed="21"/>
      </top>
      <bottom style="thin">
        <color indexed="21"/>
      </bottom>
      <diagonal/>
    </border>
    <border>
      <left/>
      <right/>
      <top/>
      <bottom style="thick">
        <color rgb="FF0096D7"/>
      </bottom>
      <diagonal/>
    </border>
    <border>
      <left/>
      <right/>
      <top/>
      <bottom style="thick">
        <color indexed="49"/>
      </bottom>
      <diagonal/>
    </border>
    <border>
      <left/>
      <right/>
      <top/>
      <bottom style="hair">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right/>
      <top/>
      <bottom style="thick">
        <color theme="1"/>
      </bottom>
      <diagonal/>
    </border>
    <border>
      <left/>
      <right/>
      <top/>
      <bottom style="thick">
        <color auto="1"/>
      </bottom>
      <diagonal/>
    </border>
    <border>
      <left/>
      <right/>
      <top style="thick">
        <color theme="1"/>
      </top>
      <bottom style="thin">
        <color theme="1"/>
      </bottom>
      <diagonal/>
    </border>
    <border>
      <left/>
      <right/>
      <top style="thin">
        <color theme="1"/>
      </top>
      <bottom style="thin">
        <color theme="1"/>
      </bottom>
      <diagonal/>
    </border>
    <border>
      <left/>
      <right/>
      <top style="thin">
        <color theme="1"/>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style="thin">
        <color indexed="64"/>
      </left>
      <right style="thin">
        <color indexed="64"/>
      </right>
      <top style="thin">
        <color indexed="64"/>
      </top>
      <bottom/>
      <diagonal/>
    </border>
    <border>
      <left style="thick">
        <color rgb="FF002664"/>
      </left>
      <right/>
      <top style="thick">
        <color rgb="FF002664"/>
      </top>
      <bottom style="thick">
        <color rgb="FFBB133E"/>
      </bottom>
      <diagonal/>
    </border>
    <border>
      <left/>
      <right/>
      <top style="thick">
        <color rgb="FF002664"/>
      </top>
      <bottom style="thick">
        <color rgb="FFBB133E"/>
      </bottom>
      <diagonal/>
    </border>
    <border>
      <left/>
      <right style="thick">
        <color rgb="FF002664"/>
      </right>
      <top style="thick">
        <color rgb="FF002664"/>
      </top>
      <bottom style="thick">
        <color rgb="FFBB133E"/>
      </bottom>
      <diagonal/>
    </border>
    <border>
      <left style="thin">
        <color indexed="64"/>
      </left>
      <right style="medium">
        <color indexed="64"/>
      </right>
      <top style="medium">
        <color indexed="64"/>
      </top>
      <bottom style="thin">
        <color indexed="64"/>
      </bottom>
      <diagonal/>
    </border>
    <border>
      <left style="thick">
        <color rgb="FFBB133E"/>
      </left>
      <right style="thick">
        <color rgb="FFBB133E"/>
      </right>
      <top style="thick">
        <color rgb="FFBB133E"/>
      </top>
      <bottom/>
      <diagonal/>
    </border>
    <border>
      <left style="thick">
        <color rgb="FFBB133E"/>
      </left>
      <right/>
      <top style="thick">
        <color rgb="FFBB133E"/>
      </top>
      <bottom style="thick">
        <color rgb="FFBB133E"/>
      </bottom>
      <diagonal/>
    </border>
    <border>
      <left/>
      <right/>
      <top style="thick">
        <color rgb="FFBB133E"/>
      </top>
      <bottom style="thick">
        <color rgb="FFBB133E"/>
      </bottom>
      <diagonal/>
    </border>
    <border>
      <left/>
      <right style="thick">
        <color rgb="FFBB133E"/>
      </right>
      <top style="thick">
        <color rgb="FFBB133E"/>
      </top>
      <bottom style="thick">
        <color rgb="FFBB133E"/>
      </bottom>
      <diagonal/>
    </border>
    <border>
      <left style="thick">
        <color rgb="FFBB133E"/>
      </left>
      <right style="thick">
        <color rgb="FFBB133E"/>
      </right>
      <top/>
      <bottom/>
      <diagonal/>
    </border>
    <border>
      <left/>
      <right style="thick">
        <color rgb="FFBB133E"/>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ck">
        <color rgb="FFBB133E"/>
      </left>
      <right style="thick">
        <color rgb="FFBB133E"/>
      </right>
      <top/>
      <bottom style="thick">
        <color rgb="FFBB133E"/>
      </bottom>
      <diagonal/>
    </border>
    <border>
      <left/>
      <right style="thick">
        <color rgb="FFBB133E"/>
      </right>
      <top/>
      <bottom style="thick">
        <color rgb="FFBB133E"/>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BB133E"/>
      </left>
      <right/>
      <top/>
      <bottom style="medium">
        <color rgb="FFBB133E"/>
      </bottom>
      <diagonal/>
    </border>
    <border>
      <left style="thick">
        <color rgb="FF002664"/>
      </left>
      <right style="medium">
        <color rgb="FFBB133E"/>
      </right>
      <top style="thick">
        <color rgb="FFBB133E"/>
      </top>
      <bottom style="medium">
        <color rgb="FFBB133E"/>
      </bottom>
      <diagonal/>
    </border>
    <border>
      <left/>
      <right style="medium">
        <color rgb="FFBB133E"/>
      </right>
      <top style="thick">
        <color rgb="FFBB133E"/>
      </top>
      <bottom style="medium">
        <color rgb="FFBB133E"/>
      </bottom>
      <diagonal/>
    </border>
    <border>
      <left/>
      <right style="thick">
        <color rgb="FF002664"/>
      </right>
      <top style="thick">
        <color rgb="FFBB133E"/>
      </top>
      <bottom style="medium">
        <color rgb="FFBB133E"/>
      </bottom>
      <diagonal/>
    </border>
    <border>
      <left/>
      <right style="medium">
        <color rgb="FFBB133E"/>
      </right>
      <top/>
      <bottom style="medium">
        <color rgb="FFBB133E"/>
      </bottom>
      <diagonal/>
    </border>
    <border>
      <left/>
      <right style="thick">
        <color rgb="FFBB133E"/>
      </right>
      <top/>
      <bottom style="medium">
        <color rgb="FFBB133E"/>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rgb="FFBB133E"/>
      </left>
      <right style="medium">
        <color rgb="FFBB133E"/>
      </right>
      <top/>
      <bottom style="medium">
        <color rgb="FFBB133E"/>
      </bottom>
      <diagonal/>
    </border>
    <border>
      <left style="thick">
        <color rgb="FF002664"/>
      </left>
      <right style="medium">
        <color rgb="FFBB133E"/>
      </right>
      <top/>
      <bottom style="medium">
        <color rgb="FFBB133E"/>
      </bottom>
      <diagonal/>
    </border>
    <border>
      <left/>
      <right style="thick">
        <color rgb="FF002664"/>
      </right>
      <top/>
      <bottom style="medium">
        <color rgb="FFBB133E"/>
      </bottom>
      <diagonal/>
    </border>
    <border>
      <left style="thick">
        <color rgb="FFBB133E"/>
      </left>
      <right/>
      <top/>
      <bottom style="thick">
        <color rgb="FFBB133E"/>
      </bottom>
      <diagonal/>
    </border>
    <border>
      <left style="thick">
        <color rgb="FF002664"/>
      </left>
      <right style="medium">
        <color rgb="FFBB133E"/>
      </right>
      <top/>
      <bottom style="thick">
        <color rgb="FFBB133E"/>
      </bottom>
      <diagonal/>
    </border>
    <border>
      <left/>
      <right style="medium">
        <color rgb="FFBB133E"/>
      </right>
      <top/>
      <bottom style="thick">
        <color rgb="FFBB133E"/>
      </bottom>
      <diagonal/>
    </border>
    <border>
      <left/>
      <right style="thick">
        <color rgb="FF002664"/>
      </right>
      <top/>
      <bottom style="thick">
        <color rgb="FFBB133E"/>
      </bottom>
      <diagonal/>
    </border>
    <border>
      <left/>
      <right/>
      <top style="thick">
        <color rgb="FFBB133E"/>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theme="1"/>
      </top>
      <bottom style="thin">
        <color indexed="64"/>
      </bottom>
      <diagonal/>
    </border>
  </borders>
  <cellStyleXfs count="6107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applyNumberFormat="0" applyFill="0" applyBorder="0" applyAlignment="0" applyProtection="0"/>
    <xf numFmtId="43" fontId="18" fillId="0" borderId="0" applyFont="0" applyFill="0" applyBorder="0" applyAlignment="0" applyProtection="0"/>
    <xf numFmtId="0" fontId="20" fillId="0" borderId="0"/>
    <xf numFmtId="43" fontId="1" fillId="0" borderId="0" applyFont="0" applyFill="0" applyBorder="0" applyAlignment="0" applyProtection="0"/>
    <xf numFmtId="0" fontId="19" fillId="0" borderId="0" applyNumberFormat="0" applyFill="0" applyBorder="0" applyAlignment="0" applyProtection="0"/>
    <xf numFmtId="0" fontId="25" fillId="0" borderId="0"/>
    <xf numFmtId="173" fontId="26" fillId="0" borderId="0">
      <protection locked="0"/>
    </xf>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7" fillId="36" borderId="0" applyProtection="0">
      <alignment vertical="center"/>
    </xf>
    <xf numFmtId="0" fontId="28" fillId="37" borderId="0" applyNumberFormat="0" applyBorder="0" applyAlignment="0" applyProtection="0"/>
    <xf numFmtId="0" fontId="28" fillId="38" borderId="0" applyNumberFormat="0" applyBorder="0" applyAlignment="0" applyProtection="0"/>
    <xf numFmtId="0" fontId="29"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9"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9" fillId="45"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9" fillId="45"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0" fontId="28" fillId="46" borderId="0" applyNumberFormat="0" applyBorder="0" applyAlignment="0" applyProtection="0"/>
    <xf numFmtId="0" fontId="28" fillId="41" borderId="0" applyNumberFormat="0" applyBorder="0" applyAlignment="0" applyProtection="0"/>
    <xf numFmtId="0" fontId="29" fillId="4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18" fillId="0" borderId="0" applyFont="0" applyFill="0" applyBorder="0" applyAlignment="0" applyProtection="0"/>
    <xf numFmtId="174" fontId="26" fillId="0" borderId="0">
      <protection locked="0"/>
    </xf>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175" fontId="26" fillId="0" borderId="0">
      <protection locked="0"/>
    </xf>
    <xf numFmtId="173" fontId="34" fillId="0" borderId="0">
      <protection locked="0"/>
    </xf>
    <xf numFmtId="173" fontId="34" fillId="0" borderId="0">
      <protection locked="0"/>
    </xf>
    <xf numFmtId="0" fontId="35" fillId="0" borderId="0" applyNumberFormat="0" applyFill="0" applyBorder="0" applyAlignment="0" applyProtection="0">
      <alignment vertical="top"/>
      <protection locked="0"/>
    </xf>
    <xf numFmtId="43" fontId="18" fillId="0" borderId="0" applyFont="0" applyFill="0" applyBorder="0" applyAlignment="0" applyProtection="0"/>
    <xf numFmtId="44" fontId="18"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 fontId="31" fillId="0" borderId="0"/>
    <xf numFmtId="1" fontId="31" fillId="0" borderId="0"/>
    <xf numFmtId="1" fontId="31" fillId="0" borderId="0"/>
    <xf numFmtId="0" fontId="1" fillId="0" borderId="0"/>
    <xf numFmtId="0" fontId="1" fillId="0" borderId="0"/>
    <xf numFmtId="0" fontId="1" fillId="0" borderId="0"/>
    <xf numFmtId="0" fontId="37" fillId="0" borderId="0"/>
    <xf numFmtId="0" fontId="18" fillId="0" borderId="0"/>
    <xf numFmtId="0" fontId="1" fillId="0" borderId="0"/>
    <xf numFmtId="0" fontId="1" fillId="0" borderId="0"/>
    <xf numFmtId="0" fontId="18" fillId="0" borderId="0"/>
    <xf numFmtId="0" fontId="31" fillId="0" borderId="0"/>
    <xf numFmtId="0" fontId="18" fillId="0" borderId="0"/>
    <xf numFmtId="0" fontId="18"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1" fillId="0" borderId="0"/>
    <xf numFmtId="176" fontId="39" fillId="0" borderId="0"/>
    <xf numFmtId="0" fontId="1" fillId="0" borderId="0"/>
    <xf numFmtId="0" fontId="40" fillId="0" borderId="0"/>
    <xf numFmtId="0" fontId="1" fillId="0" borderId="0"/>
    <xf numFmtId="0" fontId="1" fillId="0" borderId="0"/>
    <xf numFmtId="0" fontId="1" fillId="0" borderId="0"/>
    <xf numFmtId="0" fontId="30" fillId="0" borderId="0"/>
    <xf numFmtId="0" fontId="18" fillId="0" borderId="0"/>
    <xf numFmtId="0" fontId="1"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4" fontId="41" fillId="51" borderId="35" applyNumberFormat="0" applyProtection="0">
      <alignment vertical="center"/>
    </xf>
    <xf numFmtId="4" fontId="42" fillId="51" borderId="35" applyNumberFormat="0" applyProtection="0">
      <alignment vertical="center"/>
    </xf>
    <xf numFmtId="4" fontId="41" fillId="51" borderId="35" applyNumberFormat="0" applyProtection="0">
      <alignment horizontal="left" vertical="center" indent="1"/>
    </xf>
    <xf numFmtId="0" fontId="41" fillId="51" borderId="35" applyNumberFormat="0" applyProtection="0">
      <alignment horizontal="left" vertical="top" indent="1"/>
    </xf>
    <xf numFmtId="4" fontId="41" fillId="52" borderId="0" applyNumberFormat="0" applyProtection="0">
      <alignment horizontal="left" vertical="center" indent="1"/>
    </xf>
    <xf numFmtId="4" fontId="43" fillId="53" borderId="35" applyNumberFormat="0" applyProtection="0">
      <alignment horizontal="right" vertical="center"/>
    </xf>
    <xf numFmtId="4" fontId="43" fillId="54" borderId="35" applyNumberFormat="0" applyProtection="0">
      <alignment horizontal="right" vertical="center"/>
    </xf>
    <xf numFmtId="4" fontId="43" fillId="55" borderId="35" applyNumberFormat="0" applyProtection="0">
      <alignment horizontal="right" vertical="center"/>
    </xf>
    <xf numFmtId="4" fontId="43" fillId="56" borderId="35" applyNumberFormat="0" applyProtection="0">
      <alignment horizontal="right" vertical="center"/>
    </xf>
    <xf numFmtId="4" fontId="43" fillId="57" borderId="35" applyNumberFormat="0" applyProtection="0">
      <alignment horizontal="right" vertical="center"/>
    </xf>
    <xf numFmtId="4" fontId="43" fillId="58" borderId="35" applyNumberFormat="0" applyProtection="0">
      <alignment horizontal="right" vertical="center"/>
    </xf>
    <xf numFmtId="4" fontId="43" fillId="59" borderId="35" applyNumberFormat="0" applyProtection="0">
      <alignment horizontal="right" vertical="center"/>
    </xf>
    <xf numFmtId="4" fontId="43" fillId="60" borderId="35" applyNumberFormat="0" applyProtection="0">
      <alignment horizontal="right" vertical="center"/>
    </xf>
    <xf numFmtId="4" fontId="43" fillId="61" borderId="35" applyNumberFormat="0" applyProtection="0">
      <alignment horizontal="right" vertical="center"/>
    </xf>
    <xf numFmtId="4" fontId="41" fillId="62" borderId="36" applyNumberFormat="0" applyProtection="0">
      <alignment horizontal="left" vertical="center" indent="1"/>
    </xf>
    <xf numFmtId="4" fontId="43" fillId="63" borderId="0" applyNumberFormat="0" applyProtection="0">
      <alignment horizontal="left" vertical="center" indent="1"/>
    </xf>
    <xf numFmtId="4" fontId="44" fillId="64" borderId="0" applyNumberFormat="0" applyProtection="0">
      <alignment horizontal="left" vertical="center" indent="1"/>
    </xf>
    <xf numFmtId="4" fontId="43" fillId="52" borderId="35" applyNumberFormat="0" applyProtection="0">
      <alignment horizontal="right" vertical="center"/>
    </xf>
    <xf numFmtId="4" fontId="43" fillId="63" borderId="0" applyNumberFormat="0" applyProtection="0">
      <alignment horizontal="left" vertical="center" indent="1"/>
    </xf>
    <xf numFmtId="4" fontId="43" fillId="52" borderId="0" applyNumberFormat="0" applyProtection="0">
      <alignment horizontal="left" vertical="center" indent="1"/>
    </xf>
    <xf numFmtId="0" fontId="18" fillId="64" borderId="35" applyNumberFormat="0" applyProtection="0">
      <alignment horizontal="left" vertical="center" indent="1"/>
    </xf>
    <xf numFmtId="0" fontId="18" fillId="64" borderId="35" applyNumberFormat="0" applyProtection="0">
      <alignment horizontal="left" vertical="top" indent="1"/>
    </xf>
    <xf numFmtId="0" fontId="18" fillId="52" borderId="35" applyNumberFormat="0" applyProtection="0">
      <alignment horizontal="left" vertical="center" indent="1"/>
    </xf>
    <xf numFmtId="0" fontId="18" fillId="52" borderId="35" applyNumberFormat="0" applyProtection="0">
      <alignment horizontal="left" vertical="top" indent="1"/>
    </xf>
    <xf numFmtId="0" fontId="18" fillId="65" borderId="35" applyNumberFormat="0" applyProtection="0">
      <alignment horizontal="left" vertical="center" indent="1"/>
    </xf>
    <xf numFmtId="0" fontId="18" fillId="65" borderId="35" applyNumberFormat="0" applyProtection="0">
      <alignment horizontal="left" vertical="top" indent="1"/>
    </xf>
    <xf numFmtId="0" fontId="18" fillId="63" borderId="35" applyNumberFormat="0" applyProtection="0">
      <alignment horizontal="left" vertical="center" indent="1"/>
    </xf>
    <xf numFmtId="0" fontId="18" fillId="63" borderId="35" applyNumberFormat="0" applyProtection="0">
      <alignment horizontal="left" vertical="top" indent="1"/>
    </xf>
    <xf numFmtId="0" fontId="18" fillId="66" borderId="10" applyNumberFormat="0">
      <protection locked="0"/>
    </xf>
    <xf numFmtId="0" fontId="45" fillId="64" borderId="37" applyBorder="0"/>
    <xf numFmtId="4" fontId="43" fillId="67" borderId="35" applyNumberFormat="0" applyProtection="0">
      <alignment vertical="center"/>
    </xf>
    <xf numFmtId="4" fontId="46" fillId="67" borderId="35" applyNumberFormat="0" applyProtection="0">
      <alignment vertical="center"/>
    </xf>
    <xf numFmtId="4" fontId="43" fillId="67" borderId="35" applyNumberFormat="0" applyProtection="0">
      <alignment horizontal="left" vertical="center" indent="1"/>
    </xf>
    <xf numFmtId="0" fontId="43" fillId="67" borderId="35" applyNumberFormat="0" applyProtection="0">
      <alignment horizontal="left" vertical="top" indent="1"/>
    </xf>
    <xf numFmtId="4" fontId="43" fillId="63" borderId="35" applyNumberFormat="0" applyProtection="0">
      <alignment horizontal="right" vertical="center"/>
    </xf>
    <xf numFmtId="4" fontId="46" fillId="63" borderId="35" applyNumberFormat="0" applyProtection="0">
      <alignment horizontal="right" vertical="center"/>
    </xf>
    <xf numFmtId="4" fontId="43" fillId="52" borderId="35" applyNumberFormat="0" applyProtection="0">
      <alignment horizontal="left" vertical="center" indent="1"/>
    </xf>
    <xf numFmtId="0" fontId="43" fillId="52" borderId="35" applyNumberFormat="0" applyProtection="0">
      <alignment horizontal="left" vertical="top" indent="1"/>
    </xf>
    <xf numFmtId="4" fontId="47" fillId="68" borderId="0" applyNumberFormat="0" applyProtection="0">
      <alignment horizontal="left" vertical="center" indent="1"/>
    </xf>
    <xf numFmtId="0" fontId="31" fillId="69" borderId="10"/>
    <xf numFmtId="4" fontId="48" fillId="63" borderId="35" applyNumberFormat="0" applyProtection="0">
      <alignment horizontal="right" vertical="center"/>
    </xf>
    <xf numFmtId="0" fontId="49" fillId="0" borderId="0" applyNumberFormat="0" applyFill="0" applyBorder="0" applyAlignment="0" applyProtection="0"/>
    <xf numFmtId="0" fontId="50" fillId="0" borderId="0">
      <alignment horizontal="left"/>
    </xf>
    <xf numFmtId="177" fontId="51" fillId="0" borderId="0">
      <alignment horizontal="center" vertical="center"/>
    </xf>
    <xf numFmtId="0" fontId="29" fillId="70" borderId="0" applyNumberFormat="0" applyBorder="0" applyAlignment="0" applyProtection="0"/>
    <xf numFmtId="0" fontId="29" fillId="54" borderId="0" applyNumberFormat="0" applyBorder="0" applyAlignment="0" applyProtection="0"/>
    <xf numFmtId="0" fontId="29" fillId="61"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57" borderId="0" applyNumberFormat="0" applyBorder="0" applyAlignment="0" applyProtection="0"/>
    <xf numFmtId="0" fontId="29" fillId="73"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58" borderId="0" applyNumberFormat="0" applyBorder="0" applyAlignment="0" applyProtection="0"/>
    <xf numFmtId="0" fontId="53" fillId="53" borderId="0" applyNumberFormat="0" applyBorder="0" applyAlignment="0" applyProtection="0"/>
    <xf numFmtId="0" fontId="54" fillId="74" borderId="38" applyNumberFormat="0" applyAlignment="0" applyProtection="0"/>
    <xf numFmtId="0" fontId="54" fillId="74" borderId="38" applyNumberFormat="0" applyAlignment="0" applyProtection="0"/>
    <xf numFmtId="0" fontId="55" fillId="75" borderId="39" applyNumberFormat="0" applyAlignment="0" applyProtection="0"/>
    <xf numFmtId="44" fontId="32" fillId="0" borderId="0" applyFont="0" applyFill="0" applyBorder="0" applyAlignment="0" applyProtection="0"/>
    <xf numFmtId="0" fontId="56" fillId="0" borderId="0" applyNumberFormat="0" applyFill="0" applyBorder="0" applyAlignment="0" applyProtection="0"/>
    <xf numFmtId="0" fontId="57" fillId="76" borderId="0" applyNumberFormat="0" applyBorder="0" applyAlignment="0" applyProtection="0"/>
    <xf numFmtId="0" fontId="58" fillId="0" borderId="40" applyNumberFormat="0" applyFill="0" applyAlignment="0" applyProtection="0"/>
    <xf numFmtId="0" fontId="59" fillId="0" borderId="41" applyNumberFormat="0" applyFill="0" applyAlignment="0" applyProtection="0"/>
    <xf numFmtId="0" fontId="60" fillId="0" borderId="42" applyNumberFormat="0" applyFill="0" applyAlignment="0" applyProtection="0"/>
    <xf numFmtId="0" fontId="60" fillId="0" borderId="42" applyNumberFormat="0" applyFill="0" applyAlignment="0" applyProtection="0"/>
    <xf numFmtId="0" fontId="60" fillId="0" borderId="0" applyNumberFormat="0" applyFill="0" applyBorder="0" applyAlignment="0" applyProtection="0"/>
    <xf numFmtId="0" fontId="61" fillId="77" borderId="38" applyNumberFormat="0" applyAlignment="0" applyProtection="0"/>
    <xf numFmtId="0" fontId="61" fillId="77" borderId="38" applyNumberFormat="0" applyAlignment="0" applyProtection="0"/>
    <xf numFmtId="0" fontId="62" fillId="0" borderId="43" applyNumberFormat="0" applyFill="0" applyAlignment="0" applyProtection="0"/>
    <xf numFmtId="0" fontId="63" fillId="51" borderId="0" applyNumberFormat="0" applyBorder="0" applyAlignment="0" applyProtection="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7" borderId="44" applyNumberFormat="0" applyFont="0" applyAlignment="0" applyProtection="0"/>
    <xf numFmtId="0" fontId="64" fillId="74" borderId="45" applyNumberFormat="0" applyAlignment="0" applyProtection="0"/>
    <xf numFmtId="0" fontId="64" fillId="74" borderId="45" applyNumberFormat="0" applyAlignment="0" applyProtection="0"/>
    <xf numFmtId="0" fontId="65" fillId="0" borderId="0" applyNumberFormat="0" applyFill="0" applyBorder="0" applyAlignment="0" applyProtection="0"/>
    <xf numFmtId="0" fontId="33" fillId="0" borderId="46" applyNumberFormat="0" applyFill="0" applyAlignment="0" applyProtection="0"/>
    <xf numFmtId="0" fontId="33" fillId="0" borderId="46" applyNumberFormat="0" applyFill="0" applyAlignment="0" applyProtection="0"/>
    <xf numFmtId="0" fontId="66" fillId="0" borderId="0" applyNumberFormat="0" applyFill="0" applyBorder="0" applyAlignment="0" applyProtection="0"/>
    <xf numFmtId="0" fontId="67" fillId="0" borderId="0"/>
    <xf numFmtId="0" fontId="68" fillId="0" borderId="0"/>
    <xf numFmtId="0" fontId="18" fillId="0" borderId="0"/>
    <xf numFmtId="0" fontId="25"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28" fillId="7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5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7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7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8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7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6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7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6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0" fontId="54" fillId="74" borderId="38"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61" fillId="77" borderId="38" applyNumberFormat="0" applyAlignment="0" applyProtection="0"/>
    <xf numFmtId="0" fontId="18" fillId="0" borderId="0"/>
    <xf numFmtId="0" fontId="18" fillId="0" borderId="0"/>
    <xf numFmtId="0" fontId="18" fillId="0" borderId="0"/>
    <xf numFmtId="0" fontId="1" fillId="0" borderId="0"/>
    <xf numFmtId="0" fontId="1" fillId="0" borderId="0"/>
    <xf numFmtId="0" fontId="73"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40" fillId="0" borderId="0"/>
    <xf numFmtId="0" fontId="40" fillId="0" borderId="0"/>
    <xf numFmtId="0" fontId="40" fillId="0" borderId="0"/>
    <xf numFmtId="0" fontId="73" fillId="0" borderId="0"/>
    <xf numFmtId="0" fontId="1" fillId="0" borderId="0"/>
    <xf numFmtId="0" fontId="1" fillId="0" borderId="0"/>
    <xf numFmtId="0" fontId="1" fillId="0" borderId="0"/>
    <xf numFmtId="0" fontId="73"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8"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75"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6" fontId="75" fillId="0" borderId="0"/>
    <xf numFmtId="0" fontId="1" fillId="0" borderId="0"/>
    <xf numFmtId="0" fontId="1" fillId="0" borderId="0"/>
    <xf numFmtId="0" fontId="18" fillId="0" borderId="0"/>
    <xf numFmtId="0" fontId="18" fillId="0" borderId="0"/>
    <xf numFmtId="0" fontId="18" fillId="67" borderId="44" applyNumberFormat="0" applyFont="0" applyAlignment="0" applyProtection="0"/>
    <xf numFmtId="0" fontId="18" fillId="67" borderId="44" applyNumberFormat="0" applyFont="0" applyAlignment="0" applyProtection="0"/>
    <xf numFmtId="0" fontId="1" fillId="8" borderId="8"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 fillId="8" borderId="8"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7" borderId="44" applyNumberFormat="0" applyFont="0" applyAlignment="0" applyProtection="0"/>
    <xf numFmtId="0" fontId="1" fillId="8" borderId="8" applyNumberFormat="0" applyFont="0" applyAlignment="0" applyProtection="0"/>
    <xf numFmtId="0" fontId="18" fillId="67" borderId="44" applyNumberFormat="0" applyFont="0" applyAlignment="0" applyProtection="0"/>
    <xf numFmtId="0" fontId="18" fillId="67" borderId="4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0" fontId="64" fillId="74" borderId="4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18" fillId="0" borderId="0"/>
    <xf numFmtId="44" fontId="25" fillId="0" borderId="0" applyFont="0" applyFill="0" applyBorder="0" applyAlignment="0" applyProtection="0"/>
    <xf numFmtId="44" fontId="37" fillId="0" borderId="0" applyFont="0" applyFill="0" applyBorder="0" applyAlignment="0" applyProtection="0"/>
    <xf numFmtId="0" fontId="37" fillId="0" borderId="0"/>
    <xf numFmtId="0" fontId="78" fillId="0" borderId="0"/>
    <xf numFmtId="9" fontId="37" fillId="0" borderId="0" applyFont="0" applyFill="0" applyBorder="0" applyAlignment="0" applyProtection="0"/>
    <xf numFmtId="15" fontId="83" fillId="0" borderId="0"/>
    <xf numFmtId="0" fontId="84"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3" borderId="0"/>
    <xf numFmtId="0" fontId="1" fillId="84" borderId="0"/>
    <xf numFmtId="0" fontId="29" fillId="72" borderId="0" applyNumberFormat="0" applyBorder="0" applyAlignment="0" applyProtection="0"/>
    <xf numFmtId="0" fontId="85"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9" fillId="54" borderId="0" applyNumberFormat="0" applyBorder="0" applyAlignment="0" applyProtection="0"/>
    <xf numFmtId="0" fontId="85"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9" fillId="76" borderId="0" applyNumberFormat="0" applyBorder="0" applyAlignment="0" applyProtection="0"/>
    <xf numFmtId="0" fontId="85"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9" fillId="74" borderId="0" applyNumberFormat="0" applyBorder="0" applyAlignment="0" applyProtection="0"/>
    <xf numFmtId="0" fontId="85"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9" fillId="72" borderId="0" applyNumberFormat="0" applyBorder="0" applyAlignment="0" applyProtection="0"/>
    <xf numFmtId="0" fontId="85"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9" fillId="77" borderId="0" applyNumberFormat="0" applyBorder="0" applyAlignment="0" applyProtection="0"/>
    <xf numFmtId="0" fontId="85"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9" fillId="72" borderId="0" applyNumberFormat="0" applyBorder="0" applyAlignment="0" applyProtection="0"/>
    <xf numFmtId="0" fontId="85"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9" fillId="55" borderId="0" applyNumberFormat="0" applyBorder="0" applyAlignment="0" applyProtection="0"/>
    <xf numFmtId="0" fontId="85"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9" fillId="59" borderId="0" applyNumberFormat="0" applyBorder="0" applyAlignment="0" applyProtection="0"/>
    <xf numFmtId="0" fontId="85"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85"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85"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9" fillId="58" borderId="0" applyNumberFormat="0" applyBorder="0" applyAlignment="0" applyProtection="0"/>
    <xf numFmtId="0" fontId="85"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8" fontId="86" fillId="0" borderId="0"/>
    <xf numFmtId="18" fontId="86" fillId="0" borderId="0"/>
    <xf numFmtId="18" fontId="86" fillId="0" borderId="0"/>
    <xf numFmtId="0" fontId="18" fillId="74" borderId="0" applyNumberFormat="0" applyFont="0" applyAlignment="0"/>
    <xf numFmtId="0" fontId="53" fillId="53" borderId="0" applyNumberFormat="0" applyBorder="0" applyAlignment="0" applyProtection="0"/>
    <xf numFmtId="0" fontId="8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8" fillId="0" borderId="58" applyNumberFormat="0" applyFont="0" applyProtection="0">
      <alignment wrapText="1"/>
    </xf>
    <xf numFmtId="0" fontId="11" fillId="6" borderId="4" applyNumberFormat="0" applyAlignment="0" applyProtection="0"/>
    <xf numFmtId="0" fontId="11" fillId="6" borderId="4" applyNumberFormat="0" applyAlignment="0" applyProtection="0"/>
    <xf numFmtId="0" fontId="89" fillId="7" borderId="7" applyNumberFormat="0" applyAlignment="0" applyProtection="0"/>
    <xf numFmtId="0" fontId="13" fillId="7" borderId="7" applyNumberFormat="0" applyAlignment="0" applyProtection="0"/>
    <xf numFmtId="0" fontId="13" fillId="7" borderId="7" applyNumberFormat="0" applyAlignment="0" applyProtection="0"/>
    <xf numFmtId="0" fontId="1" fillId="85" borderId="0"/>
    <xf numFmtId="0" fontId="1" fillId="86" borderId="0"/>
    <xf numFmtId="0" fontId="1" fillId="87" borderId="0"/>
    <xf numFmtId="0" fontId="1" fillId="88" borderId="0"/>
    <xf numFmtId="0" fontId="75" fillId="0" borderId="0">
      <alignment horizontal="center" vertical="center" wrapText="1"/>
    </xf>
    <xf numFmtId="180" fontId="90" fillId="0" borderId="0"/>
    <xf numFmtId="180" fontId="90" fillId="0" borderId="0"/>
    <xf numFmtId="180" fontId="90" fillId="0" borderId="0"/>
    <xf numFmtId="180" fontId="90" fillId="0" borderId="0"/>
    <xf numFmtId="180" fontId="90" fillId="0" borderId="0"/>
    <xf numFmtId="180" fontId="90" fillId="0" borderId="0"/>
    <xf numFmtId="180" fontId="90" fillId="0" borderId="0"/>
    <xf numFmtId="180" fontId="90" fillId="0" borderId="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41" fontId="18" fillId="0" borderId="0" applyFont="0" applyFill="0" applyBorder="0" applyAlignment="0" applyProtection="0"/>
    <xf numFmtId="41" fontId="91" fillId="0" borderId="0" applyFill="0" applyBorder="0" applyProtection="0">
      <alignment horizontal="left"/>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81" fontId="86" fillId="0" borderId="0"/>
    <xf numFmtId="181" fontId="86" fillId="0" borderId="0"/>
    <xf numFmtId="181" fontId="86" fillId="0" borderId="0"/>
    <xf numFmtId="181" fontId="86" fillId="0" borderId="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9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182" fontId="94" fillId="0" borderId="0" applyFont="0" applyFill="0" applyBorder="0" applyAlignment="0" applyProtection="0"/>
    <xf numFmtId="182" fontId="94" fillId="0" borderId="0" applyFont="0" applyFill="0" applyBorder="0" applyAlignment="0" applyProtection="0"/>
    <xf numFmtId="182" fontId="94" fillId="0" borderId="0" applyFont="0" applyFill="0" applyBorder="0" applyAlignment="0" applyProtection="0"/>
    <xf numFmtId="3" fontId="18" fillId="0" borderId="0"/>
    <xf numFmtId="3" fontId="18" fillId="0" borderId="0" applyFont="0" applyFill="0" applyBorder="0" applyAlignment="0" applyProtection="0"/>
    <xf numFmtId="3" fontId="95" fillId="0" borderId="0" applyFont="0" applyFill="0" applyBorder="0" applyAlignment="0" applyProtection="0"/>
    <xf numFmtId="0" fontId="96" fillId="89" borderId="0" applyNumberFormat="0" applyFill="0" applyBorder="0" applyAlignment="0"/>
    <xf numFmtId="0" fontId="97" fillId="0" borderId="0">
      <alignment horizontal="left" vertical="center" wrapText="1"/>
    </xf>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3" fontId="40" fillId="0" borderId="0" applyFont="0" applyFill="0" applyBorder="0" applyAlignment="0" applyProtection="0"/>
    <xf numFmtId="183" fontId="40" fillId="0" borderId="0" applyFont="0" applyFill="0" applyBorder="0" applyAlignment="0" applyProtection="0"/>
    <xf numFmtId="183" fontId="40" fillId="0" borderId="0" applyFont="0" applyFill="0" applyBorder="0" applyAlignment="0" applyProtection="0"/>
    <xf numFmtId="183" fontId="4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85" fontId="95" fillId="0" borderId="0" applyFont="0" applyFill="0" applyBorder="0" applyAlignment="0" applyProtection="0"/>
    <xf numFmtId="172" fontId="18" fillId="0" borderId="0" applyFont="0" applyFill="0" applyBorder="0" applyAlignment="0" applyProtection="0"/>
    <xf numFmtId="185" fontId="18" fillId="0" borderId="0" applyFont="0" applyFill="0" applyBorder="0" applyAlignment="0" applyProtection="0"/>
    <xf numFmtId="0" fontId="40" fillId="90" borderId="48" applyNumberFormat="0" applyFont="0" applyBorder="0" applyAlignment="0" applyProtection="0">
      <alignment horizontal="centerContinuous"/>
    </xf>
    <xf numFmtId="3" fontId="98" fillId="0" borderId="59" applyAlignment="0">
      <alignment horizontal="right" vertical="center"/>
    </xf>
    <xf numFmtId="186" fontId="98" fillId="0" borderId="59">
      <alignment horizontal="right" vertical="center"/>
    </xf>
    <xf numFmtId="49" fontId="99" fillId="0" borderId="59">
      <alignment horizontal="left" vertical="center"/>
    </xf>
    <xf numFmtId="187" fontId="36" fillId="0" borderId="59" applyNumberFormat="0" applyFill="0">
      <alignment horizontal="right"/>
    </xf>
    <xf numFmtId="37" fontId="100" fillId="0" borderId="60" applyAlignment="0">
      <protection locked="0"/>
    </xf>
    <xf numFmtId="37" fontId="100" fillId="0" borderId="60" applyAlignment="0">
      <protection locked="0"/>
    </xf>
    <xf numFmtId="10" fontId="100" fillId="0" borderId="60" applyAlignment="0">
      <protection locked="0"/>
    </xf>
    <xf numFmtId="10" fontId="100" fillId="0" borderId="60" applyAlignment="0">
      <protection locked="0"/>
    </xf>
    <xf numFmtId="188" fontId="36" fillId="0" borderId="59">
      <alignment horizontal="right"/>
    </xf>
    <xf numFmtId="0" fontId="18" fillId="0" borderId="0" applyFont="0" applyFill="0" applyBorder="0" applyAlignment="0" applyProtection="0"/>
    <xf numFmtId="14" fontId="40" fillId="0" borderId="0"/>
    <xf numFmtId="14" fontId="40" fillId="0" borderId="0"/>
    <xf numFmtId="14" fontId="40" fillId="0" borderId="0"/>
    <xf numFmtId="174" fontId="26" fillId="0" borderId="0">
      <protection locked="0"/>
    </xf>
    <xf numFmtId="174" fontId="26" fillId="0" borderId="0">
      <protection locked="0"/>
    </xf>
    <xf numFmtId="174" fontId="26" fillId="0" borderId="0">
      <protection locked="0"/>
    </xf>
    <xf numFmtId="0" fontId="18" fillId="0" borderId="0" applyFont="0" applyFill="0" applyBorder="0" applyAlignment="0" applyProtection="0"/>
    <xf numFmtId="0" fontId="18" fillId="0" borderId="0" applyFont="0" applyFill="0" applyBorder="0" applyAlignment="0" applyProtection="0"/>
    <xf numFmtId="189" fontId="86" fillId="0" borderId="0" applyFont="0" applyFill="0" applyBorder="0" applyAlignment="0" applyProtection="0">
      <alignment horizontal="center"/>
    </xf>
    <xf numFmtId="189" fontId="86" fillId="0" borderId="0" applyFont="0" applyFill="0" applyBorder="0" applyAlignment="0" applyProtection="0">
      <alignment horizontal="center"/>
    </xf>
    <xf numFmtId="189" fontId="86" fillId="0" borderId="0" applyFont="0" applyFill="0" applyBorder="0" applyAlignment="0" applyProtection="0">
      <alignment horizontal="center"/>
    </xf>
    <xf numFmtId="16" fontId="40" fillId="0" borderId="0"/>
    <xf numFmtId="16" fontId="40" fillId="0" borderId="0"/>
    <xf numFmtId="16" fontId="40" fillId="0" borderId="0"/>
    <xf numFmtId="16" fontId="40" fillId="0" borderId="0"/>
    <xf numFmtId="14" fontId="40" fillId="0" borderId="0"/>
    <xf numFmtId="0" fontId="40" fillId="0" borderId="0"/>
    <xf numFmtId="0" fontId="71" fillId="91" borderId="0"/>
    <xf numFmtId="0" fontId="71" fillId="91" borderId="0">
      <alignment horizontal="left" indent="1"/>
    </xf>
    <xf numFmtId="190" fontId="101" fillId="0" borderId="0" applyFont="0" applyFill="0" applyBorder="0" applyAlignment="0" applyProtection="0"/>
    <xf numFmtId="0" fontId="10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2" fontId="18" fillId="0" borderId="0" applyFont="0" applyFill="0" applyBorder="0" applyAlignment="0" applyProtection="0"/>
    <xf numFmtId="0" fontId="88" fillId="0" borderId="0" applyNumberFormat="0" applyFill="0" applyBorder="0" applyAlignment="0" applyProtection="0"/>
    <xf numFmtId="0" fontId="57" fillId="76" borderId="0" applyNumberFormat="0" applyBorder="0" applyAlignment="0" applyProtection="0"/>
    <xf numFmtId="0" fontId="10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31" fillId="89" borderId="0" applyNumberFormat="0" applyBorder="0" applyAlignment="0" applyProtection="0"/>
    <xf numFmtId="0" fontId="105" fillId="0" borderId="0"/>
    <xf numFmtId="0" fontId="86" fillId="92" borderId="16" applyNumberFormat="0" applyFont="0" applyBorder="0" applyAlignment="0">
      <alignment horizontal="centerContinuous"/>
    </xf>
    <xf numFmtId="0" fontId="86" fillId="92" borderId="16" applyNumberFormat="0" applyFont="0" applyBorder="0" applyAlignment="0">
      <alignment horizontal="centerContinuous"/>
    </xf>
    <xf numFmtId="0" fontId="106" fillId="0" borderId="61" applyNumberFormat="0" applyProtection="0">
      <alignment wrapText="1"/>
    </xf>
    <xf numFmtId="0" fontId="107" fillId="0" borderId="15" applyNumberFormat="0" applyAlignment="0" applyProtection="0">
      <alignment horizontal="left" vertical="center"/>
    </xf>
    <xf numFmtId="0" fontId="107" fillId="0" borderId="17">
      <alignment horizontal="left" vertical="center"/>
    </xf>
    <xf numFmtId="0" fontId="18" fillId="93" borderId="0" applyNumberFormat="0" applyFont="0" applyBorder="0" applyAlignment="0"/>
    <xf numFmtId="0" fontId="108" fillId="0" borderId="0" applyNumberFormat="0" applyFill="0" applyBorder="0" applyProtection="0">
      <alignment horizontal="center"/>
    </xf>
    <xf numFmtId="0" fontId="109" fillId="0" borderId="62" applyNumberFormat="0" applyFill="0" applyAlignment="0" applyProtection="0"/>
    <xf numFmtId="0" fontId="110" fillId="0" borderId="0" applyNumberFormat="0" applyFill="0" applyBorder="0" applyAlignment="0" applyProtection="0"/>
    <xf numFmtId="0" fontId="111"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2" fillId="0" borderId="41" applyNumberFormat="0" applyFill="0" applyAlignment="0" applyProtection="0"/>
    <xf numFmtId="0" fontId="107" fillId="0" borderId="0" applyNumberFormat="0" applyFill="0" applyBorder="0" applyAlignment="0" applyProtection="0"/>
    <xf numFmtId="0" fontId="113"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14"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1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15" fillId="0" borderId="59">
      <alignment horizontal="left"/>
    </xf>
    <xf numFmtId="0" fontId="115" fillId="0" borderId="63">
      <alignment horizontal="right" vertical="center"/>
    </xf>
    <xf numFmtId="0" fontId="116" fillId="0" borderId="59">
      <alignment horizontal="left" vertical="center"/>
    </xf>
    <xf numFmtId="0" fontId="36" fillId="0" borderId="59">
      <alignment horizontal="left" vertical="center"/>
    </xf>
    <xf numFmtId="0" fontId="108" fillId="0" borderId="59">
      <alignment horizontal="left"/>
    </xf>
    <xf numFmtId="0" fontId="108" fillId="94" borderId="0">
      <alignment horizontal="centerContinuous" wrapText="1"/>
    </xf>
    <xf numFmtId="49" fontId="108" fillId="94" borderId="52">
      <alignment horizontal="left" vertical="center"/>
    </xf>
    <xf numFmtId="0" fontId="108" fillId="94" borderId="0">
      <alignment horizontal="centerContinuous" vertical="center" wrapText="1"/>
    </xf>
    <xf numFmtId="0" fontId="35" fillId="0" borderId="0" applyNumberFormat="0" applyFill="0" applyBorder="0" applyAlignment="0" applyProtection="0">
      <alignment vertical="top"/>
      <protection locked="0"/>
    </xf>
    <xf numFmtId="0" fontId="117" fillId="0" borderId="0" applyNumberFormat="0" applyFill="0" applyBorder="0" applyAlignment="0" applyProtection="0"/>
    <xf numFmtId="0" fontId="19" fillId="0" borderId="0" applyNumberFormat="0" applyFill="0" applyBorder="0" applyAlignment="0" applyProtection="0"/>
    <xf numFmtId="0" fontId="35" fillId="0" borderId="0" applyNumberFormat="0" applyFill="0" applyBorder="0" applyAlignment="0" applyProtection="0">
      <alignment vertical="top"/>
      <protection locked="0"/>
    </xf>
    <xf numFmtId="0" fontId="100" fillId="66" borderId="0"/>
    <xf numFmtId="10" fontId="31" fillId="91" borderId="64" applyNumberFormat="0" applyBorder="0" applyAlignment="0" applyProtection="0"/>
    <xf numFmtId="0" fontId="118" fillId="5" borderId="4" applyNumberFormat="0" applyAlignment="0" applyProtection="0"/>
    <xf numFmtId="0" fontId="118" fillId="5" borderId="4" applyNumberFormat="0" applyAlignment="0" applyProtection="0"/>
    <xf numFmtId="0" fontId="118" fillId="5" borderId="4" applyNumberFormat="0" applyAlignment="0" applyProtection="0"/>
    <xf numFmtId="0" fontId="118" fillId="5" borderId="4" applyNumberFormat="0" applyAlignment="0" applyProtection="0"/>
    <xf numFmtId="37" fontId="45" fillId="74" borderId="0"/>
    <xf numFmtId="37" fontId="107" fillId="74" borderId="0"/>
    <xf numFmtId="191" fontId="71" fillId="95" borderId="64">
      <alignment horizontal="right"/>
    </xf>
    <xf numFmtId="0" fontId="62" fillId="0" borderId="43" applyNumberFormat="0" applyFill="0" applyAlignment="0" applyProtection="0"/>
    <xf numFmtId="0" fontId="119"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64" fontId="31" fillId="0" borderId="0" applyFont="0" applyFill="0" applyBorder="0" applyAlignment="0" applyProtection="0"/>
    <xf numFmtId="192" fontId="1"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5" fontId="76" fillId="0" borderId="0">
      <alignment horizontal="center"/>
    </xf>
    <xf numFmtId="195" fontId="76" fillId="0" borderId="0">
      <alignment horizontal="center"/>
    </xf>
    <xf numFmtId="195" fontId="76" fillId="0" borderId="0">
      <alignment horizontal="center"/>
    </xf>
    <xf numFmtId="195" fontId="76" fillId="0" borderId="0">
      <alignment horizontal="center"/>
    </xf>
    <xf numFmtId="0" fontId="63" fillId="51" borderId="0" applyNumberFormat="0" applyBorder="0" applyAlignment="0" applyProtection="0"/>
    <xf numFmtId="0" fontId="120"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6"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Alignment="0">
      <alignment vertical="top" wrapText="1"/>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22"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40" fillId="0" borderId="0"/>
    <xf numFmtId="0" fontId="40" fillId="0" borderId="0"/>
    <xf numFmtId="0" fontId="28" fillId="0" borderId="0"/>
    <xf numFmtId="0" fontId="40" fillId="0" borderId="0"/>
    <xf numFmtId="0" fontId="40" fillId="0" borderId="0"/>
    <xf numFmtId="0" fontId="40" fillId="0" borderId="0"/>
    <xf numFmtId="197" fontId="123" fillId="0" borderId="0"/>
    <xf numFmtId="0" fontId="18" fillId="0" borderId="0"/>
    <xf numFmtId="0" fontId="1"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36" fillId="0" borderId="0"/>
    <xf numFmtId="0" fontId="124"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1" fillId="0" borderId="0"/>
    <xf numFmtId="0" fontId="37" fillId="0" borderId="0"/>
    <xf numFmtId="0" fontId="1" fillId="0" borderId="0" applyAlignment="0">
      <alignment vertical="top" wrapText="1"/>
      <protection locked="0"/>
    </xf>
    <xf numFmtId="0" fontId="37" fillId="0" borderId="0"/>
    <xf numFmtId="0" fontId="18" fillId="0" borderId="0"/>
    <xf numFmtId="0" fontId="18" fillId="0" borderId="0"/>
    <xf numFmtId="0" fontId="18" fillId="0" borderId="0"/>
    <xf numFmtId="0" fontId="1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 fillId="0" borderId="0"/>
    <xf numFmtId="0" fontId="1" fillId="0" borderId="0"/>
    <xf numFmtId="0" fontId="1" fillId="0" borderId="0"/>
    <xf numFmtId="0" fontId="18"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8" fillId="0" borderId="0"/>
    <xf numFmtId="0" fontId="18" fillId="0" borderId="0"/>
    <xf numFmtId="0" fontId="18" fillId="0" borderId="0"/>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7" borderId="65" applyNumberFormat="0" applyFont="0" applyAlignment="0" applyProtection="0"/>
    <xf numFmtId="0" fontId="18" fillId="67" borderId="65" applyNumberFormat="0" applyFont="0" applyAlignment="0" applyProtection="0"/>
    <xf numFmtId="0" fontId="18" fillId="67" borderId="65" applyNumberFormat="0" applyFont="0" applyAlignment="0" applyProtection="0"/>
    <xf numFmtId="0" fontId="18" fillId="67" borderId="65" applyNumberFormat="0" applyFont="0" applyAlignment="0" applyProtection="0"/>
    <xf numFmtId="0" fontId="18" fillId="67" borderId="65" applyNumberFormat="0" applyFont="0" applyAlignment="0" applyProtection="0"/>
    <xf numFmtId="0" fontId="18" fillId="67" borderId="65" applyNumberFormat="0" applyFont="0" applyAlignment="0" applyProtection="0"/>
    <xf numFmtId="0" fontId="18" fillId="67" borderId="6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25" fillId="6" borderId="5" applyNumberFormat="0" applyAlignment="0" applyProtection="0"/>
    <xf numFmtId="0" fontId="10" fillId="6" borderId="5" applyNumberFormat="0" applyAlignment="0" applyProtection="0"/>
    <xf numFmtId="0" fontId="10" fillId="6" borderId="5" applyNumberFormat="0" applyAlignment="0" applyProtection="0"/>
    <xf numFmtId="40" fontId="126" fillId="96" borderId="0">
      <alignment horizontal="right"/>
    </xf>
    <xf numFmtId="198" fontId="43" fillId="66" borderId="0">
      <alignment horizontal="right"/>
    </xf>
    <xf numFmtId="198" fontId="43" fillId="66" borderId="0">
      <alignment horizontal="right"/>
    </xf>
    <xf numFmtId="40" fontId="126" fillId="96" borderId="0">
      <alignment horizontal="right"/>
    </xf>
    <xf numFmtId="40" fontId="126" fillId="96" borderId="0">
      <alignment horizontal="right"/>
    </xf>
    <xf numFmtId="40" fontId="126" fillId="96" borderId="0">
      <alignment horizontal="right"/>
    </xf>
    <xf numFmtId="40" fontId="126" fillId="96" borderId="0">
      <alignment horizontal="right"/>
    </xf>
    <xf numFmtId="40" fontId="126" fillId="96" borderId="0">
      <alignment horizontal="right"/>
    </xf>
    <xf numFmtId="198" fontId="43" fillId="66" borderId="0">
      <alignment horizontal="right"/>
    </xf>
    <xf numFmtId="0" fontId="127" fillId="96" borderId="0">
      <alignment horizontal="right"/>
    </xf>
    <xf numFmtId="0" fontId="128" fillId="74" borderId="0">
      <alignment horizontal="center"/>
    </xf>
    <xf numFmtId="0" fontId="128" fillId="74" borderId="0">
      <alignment horizontal="center"/>
    </xf>
    <xf numFmtId="0" fontId="127" fillId="96" borderId="0">
      <alignment horizontal="right"/>
    </xf>
    <xf numFmtId="0" fontId="127" fillId="96" borderId="0">
      <alignment horizontal="right"/>
    </xf>
    <xf numFmtId="0" fontId="127" fillId="96" borderId="0">
      <alignment horizontal="right"/>
    </xf>
    <xf numFmtId="0" fontId="127" fillId="96" borderId="0">
      <alignment horizontal="right"/>
    </xf>
    <xf numFmtId="0" fontId="127" fillId="96" borderId="0">
      <alignment horizontal="right"/>
    </xf>
    <xf numFmtId="0" fontId="128" fillId="74" borderId="0">
      <alignment horizontal="center"/>
    </xf>
    <xf numFmtId="0" fontId="129" fillId="96" borderId="51"/>
    <xf numFmtId="0" fontId="130" fillId="97" borderId="0"/>
    <xf numFmtId="0" fontId="130" fillId="97" borderId="0"/>
    <xf numFmtId="0" fontId="129" fillId="96" borderId="51"/>
    <xf numFmtId="0" fontId="129" fillId="96" borderId="51"/>
    <xf numFmtId="0" fontId="129" fillId="96" borderId="51"/>
    <xf numFmtId="0" fontId="129" fillId="96" borderId="51"/>
    <xf numFmtId="0" fontId="129" fillId="96" borderId="51"/>
    <xf numFmtId="0" fontId="130" fillId="97" borderId="0"/>
    <xf numFmtId="0" fontId="129" fillId="0" borderId="0" applyBorder="0">
      <alignment horizontal="centerContinuous"/>
    </xf>
    <xf numFmtId="0" fontId="41" fillId="66" borderId="0" applyBorder="0">
      <alignment horizontal="centerContinuous"/>
    </xf>
    <xf numFmtId="0" fontId="41" fillId="66" borderId="0" applyBorder="0">
      <alignment horizontal="centerContinuous"/>
    </xf>
    <xf numFmtId="0" fontId="129" fillId="0" borderId="0" applyBorder="0">
      <alignment horizontal="centerContinuous"/>
    </xf>
    <xf numFmtId="0" fontId="129" fillId="0" borderId="0" applyBorder="0">
      <alignment horizontal="centerContinuous"/>
    </xf>
    <xf numFmtId="0" fontId="129" fillId="0" borderId="0" applyBorder="0">
      <alignment horizontal="centerContinuous"/>
    </xf>
    <xf numFmtId="0" fontId="129" fillId="0" borderId="0" applyBorder="0">
      <alignment horizontal="centerContinuous"/>
    </xf>
    <xf numFmtId="0" fontId="129" fillId="0" borderId="0" applyBorder="0">
      <alignment horizontal="centerContinuous"/>
    </xf>
    <xf numFmtId="0" fontId="41" fillId="66" borderId="0" applyBorder="0">
      <alignment horizontal="centerContinuous"/>
    </xf>
    <xf numFmtId="0" fontId="131" fillId="0" borderId="0" applyBorder="0">
      <alignment horizontal="centerContinuous"/>
    </xf>
    <xf numFmtId="0" fontId="132" fillId="74" borderId="0" applyBorder="0">
      <alignment horizontal="centerContinuous"/>
    </xf>
    <xf numFmtId="0" fontId="132" fillId="74" borderId="0" applyBorder="0">
      <alignment horizontal="centerContinuous"/>
    </xf>
    <xf numFmtId="0" fontId="131" fillId="0" borderId="0" applyBorder="0">
      <alignment horizontal="centerContinuous"/>
    </xf>
    <xf numFmtId="0" fontId="131" fillId="0" borderId="0" applyBorder="0">
      <alignment horizontal="centerContinuous"/>
    </xf>
    <xf numFmtId="0" fontId="131" fillId="0" borderId="0" applyBorder="0">
      <alignment horizontal="centerContinuous"/>
    </xf>
    <xf numFmtId="0" fontId="131" fillId="0" borderId="0" applyBorder="0">
      <alignment horizontal="centerContinuous"/>
    </xf>
    <xf numFmtId="0" fontId="131" fillId="0" borderId="0" applyBorder="0">
      <alignment horizontal="centerContinuous"/>
    </xf>
    <xf numFmtId="0" fontId="132" fillId="74" borderId="0" applyBorder="0">
      <alignment horizontal="centerContinuous"/>
    </xf>
    <xf numFmtId="37" fontId="100" fillId="0" borderId="60">
      <protection locked="0"/>
    </xf>
    <xf numFmtId="37" fontId="100" fillId="0" borderId="60">
      <protection locked="0"/>
    </xf>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0" fontId="133"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33" fillId="0" borderId="0"/>
    <xf numFmtId="10" fontId="133" fillId="0" borderId="0"/>
    <xf numFmtId="199" fontId="134" fillId="0" borderId="0"/>
    <xf numFmtId="199" fontId="134" fillId="0" borderId="0"/>
    <xf numFmtId="199" fontId="134"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201" fontId="135" fillId="0" borderId="0" applyFont="0" applyFill="0" applyBorder="0" applyAlignment="0" applyProtection="0">
      <alignment horizontal="left" vertical="center"/>
    </xf>
    <xf numFmtId="201" fontId="135" fillId="0" borderId="0" applyFont="0" applyFill="0" applyBorder="0" applyAlignment="0" applyProtection="0">
      <alignment horizontal="left" vertical="center"/>
    </xf>
    <xf numFmtId="201" fontId="135" fillId="0" borderId="0" applyFont="0" applyFill="0" applyBorder="0" applyAlignment="0" applyProtection="0">
      <alignment horizontal="left" vertical="center"/>
    </xf>
    <xf numFmtId="201" fontId="135" fillId="0" borderId="0" applyFont="0" applyFill="0" applyBorder="0" applyAlignment="0" applyProtection="0">
      <alignment horizontal="left" vertical="center"/>
    </xf>
    <xf numFmtId="37" fontId="100" fillId="0" borderId="0">
      <protection locked="0"/>
    </xf>
    <xf numFmtId="0" fontId="40" fillId="0" borderId="0" applyNumberFormat="0" applyFont="0" applyFill="0" applyBorder="0" applyAlignment="0" applyProtection="0">
      <alignment horizontal="left"/>
    </xf>
    <xf numFmtId="15" fontId="40" fillId="0" borderId="0" applyFont="0" applyFill="0" applyBorder="0" applyAlignment="0" applyProtection="0"/>
    <xf numFmtId="4" fontId="40" fillId="0" borderId="0" applyFont="0" applyFill="0" applyBorder="0" applyAlignment="0" applyProtection="0"/>
    <xf numFmtId="0" fontId="86" fillId="0" borderId="24">
      <alignment horizontal="center"/>
    </xf>
    <xf numFmtId="3" fontId="40" fillId="0" borderId="0" applyFont="0" applyFill="0" applyBorder="0" applyAlignment="0" applyProtection="0"/>
    <xf numFmtId="0" fontId="40" fillId="98" borderId="0" applyNumberFormat="0" applyFont="0" applyBorder="0" applyAlignment="0" applyProtection="0"/>
    <xf numFmtId="3" fontId="98" fillId="0" borderId="0">
      <alignment horizontal="left" vertical="center"/>
    </xf>
    <xf numFmtId="37" fontId="40" fillId="0" borderId="0" applyFont="0" applyFill="0" applyBorder="0" applyAlignment="0" applyProtection="0"/>
    <xf numFmtId="0" fontId="1" fillId="99" borderId="0"/>
    <xf numFmtId="0" fontId="1" fillId="100" borderId="0"/>
    <xf numFmtId="0" fontId="1" fillId="101" borderId="0"/>
    <xf numFmtId="0" fontId="1" fillId="102" borderId="0"/>
    <xf numFmtId="0" fontId="1" fillId="103" borderId="0"/>
    <xf numFmtId="0" fontId="1" fillId="104" borderId="0"/>
    <xf numFmtId="0" fontId="1" fillId="105" borderId="0"/>
    <xf numFmtId="0" fontId="1" fillId="106" borderId="0"/>
    <xf numFmtId="0" fontId="1" fillId="107" borderId="0"/>
    <xf numFmtId="0" fontId="1" fillId="108" borderId="0"/>
    <xf numFmtId="0" fontId="1" fillId="109" borderId="0"/>
    <xf numFmtId="0" fontId="75" fillId="0" borderId="0">
      <alignment horizontal="left" vertical="center"/>
    </xf>
    <xf numFmtId="4" fontId="41" fillId="51" borderId="66" applyNumberFormat="0" applyProtection="0">
      <alignment vertical="center"/>
    </xf>
    <xf numFmtId="4" fontId="42" fillId="51" borderId="66" applyNumberFormat="0" applyProtection="0">
      <alignment vertical="center"/>
    </xf>
    <xf numFmtId="4" fontId="41" fillId="51" borderId="66" applyNumberFormat="0" applyProtection="0">
      <alignment horizontal="left" vertical="center" indent="1"/>
    </xf>
    <xf numFmtId="0" fontId="41" fillId="51" borderId="66" applyNumberFormat="0" applyProtection="0">
      <alignment horizontal="left" vertical="top" indent="1"/>
    </xf>
    <xf numFmtId="4" fontId="43" fillId="53" borderId="66" applyNumberFormat="0" applyProtection="0">
      <alignment horizontal="right" vertical="center"/>
    </xf>
    <xf numFmtId="4" fontId="43" fillId="54" borderId="66" applyNumberFormat="0" applyProtection="0">
      <alignment horizontal="right" vertical="center"/>
    </xf>
    <xf numFmtId="4" fontId="43" fillId="55" borderId="66" applyNumberFormat="0" applyProtection="0">
      <alignment horizontal="right" vertical="center"/>
    </xf>
    <xf numFmtId="4" fontId="43" fillId="56" borderId="66" applyNumberFormat="0" applyProtection="0">
      <alignment horizontal="right" vertical="center"/>
    </xf>
    <xf numFmtId="4" fontId="43" fillId="57" borderId="66" applyNumberFormat="0" applyProtection="0">
      <alignment horizontal="right" vertical="center"/>
    </xf>
    <xf numFmtId="4" fontId="43" fillId="58" borderId="66" applyNumberFormat="0" applyProtection="0">
      <alignment horizontal="right" vertical="center"/>
    </xf>
    <xf numFmtId="4" fontId="43" fillId="59" borderId="66" applyNumberFormat="0" applyProtection="0">
      <alignment horizontal="right" vertical="center"/>
    </xf>
    <xf numFmtId="4" fontId="43" fillId="60" borderId="66" applyNumberFormat="0" applyProtection="0">
      <alignment horizontal="right" vertical="center"/>
    </xf>
    <xf numFmtId="4" fontId="43" fillId="61" borderId="66" applyNumberFormat="0" applyProtection="0">
      <alignment horizontal="right" vertical="center"/>
    </xf>
    <xf numFmtId="4" fontId="43" fillId="52" borderId="66" applyNumberFormat="0" applyProtection="0">
      <alignment horizontal="right" vertical="center"/>
    </xf>
    <xf numFmtId="0" fontId="18" fillId="64" borderId="66" applyNumberFormat="0" applyProtection="0">
      <alignment horizontal="left" vertical="center" indent="1"/>
    </xf>
    <xf numFmtId="0" fontId="18" fillId="64" borderId="66" applyNumberFormat="0" applyProtection="0">
      <alignment horizontal="left" vertical="top" indent="1"/>
    </xf>
    <xf numFmtId="0" fontId="18" fillId="52" borderId="66" applyNumberFormat="0" applyProtection="0">
      <alignment horizontal="left" vertical="center" indent="1"/>
    </xf>
    <xf numFmtId="0" fontId="18" fillId="52" borderId="66" applyNumberFormat="0" applyProtection="0">
      <alignment horizontal="left" vertical="top" indent="1"/>
    </xf>
    <xf numFmtId="0" fontId="18" fillId="65" borderId="66" applyNumberFormat="0" applyProtection="0">
      <alignment horizontal="left" vertical="center" indent="1"/>
    </xf>
    <xf numFmtId="0" fontId="18" fillId="65" borderId="66" applyNumberFormat="0" applyProtection="0">
      <alignment horizontal="left" vertical="top" indent="1"/>
    </xf>
    <xf numFmtId="0" fontId="18" fillId="63" borderId="66" applyNumberFormat="0" applyProtection="0">
      <alignment horizontal="left" vertical="center" indent="1"/>
    </xf>
    <xf numFmtId="0" fontId="18" fillId="63" borderId="66" applyNumberFormat="0" applyProtection="0">
      <alignment horizontal="left" vertical="top" indent="1"/>
    </xf>
    <xf numFmtId="0" fontId="18" fillId="66" borderId="10" applyNumberFormat="0">
      <protection locked="0"/>
    </xf>
    <xf numFmtId="0" fontId="45" fillId="64" borderId="67" applyBorder="0"/>
    <xf numFmtId="4" fontId="43" fillId="67" borderId="66" applyNumberFormat="0" applyProtection="0">
      <alignment vertical="center"/>
    </xf>
    <xf numFmtId="4" fontId="46" fillId="67" borderId="66" applyNumberFormat="0" applyProtection="0">
      <alignment vertical="center"/>
    </xf>
    <xf numFmtId="4" fontId="43" fillId="67" borderId="66" applyNumberFormat="0" applyProtection="0">
      <alignment horizontal="left" vertical="center" indent="1"/>
    </xf>
    <xf numFmtId="0" fontId="43" fillId="67" borderId="66" applyNumberFormat="0" applyProtection="0">
      <alignment horizontal="left" vertical="top" indent="1"/>
    </xf>
    <xf numFmtId="4" fontId="43" fillId="63" borderId="66" applyNumberFormat="0" applyProtection="0">
      <alignment horizontal="right" vertical="center"/>
    </xf>
    <xf numFmtId="4" fontId="46" fillId="63" borderId="66" applyNumberFormat="0" applyProtection="0">
      <alignment horizontal="right" vertical="center"/>
    </xf>
    <xf numFmtId="4" fontId="43" fillId="52" borderId="66" applyNumberFormat="0" applyProtection="0">
      <alignment horizontal="left" vertical="center" indent="1"/>
    </xf>
    <xf numFmtId="0" fontId="43" fillId="52" borderId="66" applyNumberFormat="0" applyProtection="0">
      <alignment horizontal="left" vertical="top" indent="1"/>
    </xf>
    <xf numFmtId="0" fontId="31" fillId="69" borderId="10"/>
    <xf numFmtId="4" fontId="48" fillId="63" borderId="66" applyNumberFormat="0" applyProtection="0">
      <alignment horizontal="right" vertical="center"/>
    </xf>
    <xf numFmtId="0" fontId="50" fillId="0" borderId="0">
      <alignment horizontal="right"/>
    </xf>
    <xf numFmtId="49" fontId="50" fillId="0" borderId="0">
      <alignment horizontal="center"/>
    </xf>
    <xf numFmtId="0" fontId="99" fillId="0" borderId="0">
      <alignment horizontal="right"/>
    </xf>
    <xf numFmtId="49" fontId="98" fillId="0" borderId="0">
      <alignment horizontal="left" vertical="center"/>
    </xf>
    <xf numFmtId="7" fontId="18" fillId="0" borderId="68" applyFill="0" applyProtection="0">
      <alignment horizontal="right"/>
    </xf>
    <xf numFmtId="7" fontId="18" fillId="0" borderId="68" applyFill="0" applyProtection="0">
      <alignment horizontal="right"/>
    </xf>
    <xf numFmtId="7" fontId="76" fillId="0" borderId="68" applyFill="0" applyProtection="0">
      <alignment horizontal="right"/>
    </xf>
    <xf numFmtId="7" fontId="76" fillId="0" borderId="68" applyFill="0" applyProtection="0">
      <alignment horizontal="right"/>
    </xf>
    <xf numFmtId="0" fontId="18" fillId="0" borderId="68" applyNumberFormat="0" applyFill="0" applyProtection="0">
      <alignment horizontal="center"/>
    </xf>
    <xf numFmtId="0" fontId="18" fillId="0" borderId="68" applyNumberFormat="0" applyFill="0" applyProtection="0">
      <alignment horizontal="center"/>
    </xf>
    <xf numFmtId="0" fontId="76" fillId="0" borderId="68" applyNumberFormat="0" applyFill="0" applyProtection="0">
      <alignment horizontal="center"/>
    </xf>
    <xf numFmtId="0" fontId="76" fillId="0" borderId="68" applyNumberFormat="0" applyFill="0" applyProtection="0">
      <alignment horizontal="center"/>
    </xf>
    <xf numFmtId="0" fontId="31" fillId="0" borderId="0" applyNumberFormat="0" applyFill="0" applyBorder="0" applyProtection="0"/>
    <xf numFmtId="49" fontId="99" fillId="0" borderId="59">
      <alignment horizontal="left" vertical="center"/>
    </xf>
    <xf numFmtId="49" fontId="75" fillId="0" borderId="59" applyFill="0">
      <alignment horizontal="left" vertical="center"/>
    </xf>
    <xf numFmtId="49" fontId="99" fillId="0" borderId="59">
      <alignment horizontal="left"/>
    </xf>
    <xf numFmtId="187" fontId="98" fillId="0" borderId="0" applyNumberFormat="0">
      <alignment horizontal="right"/>
    </xf>
    <xf numFmtId="0" fontId="115" fillId="110" borderId="0">
      <alignment horizontal="centerContinuous" vertical="center" wrapText="1"/>
    </xf>
    <xf numFmtId="0" fontId="115" fillId="0" borderId="69">
      <alignment horizontal="left" vertical="center"/>
    </xf>
    <xf numFmtId="0" fontId="136" fillId="0" borderId="0">
      <alignment horizontal="left" vertical="top"/>
    </xf>
    <xf numFmtId="0" fontId="6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08" fillId="0" borderId="0">
      <alignment horizontal="left"/>
    </xf>
    <xf numFmtId="0" fontId="97" fillId="0" borderId="0">
      <alignment horizontal="left"/>
    </xf>
    <xf numFmtId="0" fontId="36" fillId="0" borderId="0">
      <alignment horizontal="left"/>
    </xf>
    <xf numFmtId="0" fontId="136" fillId="0" borderId="0">
      <alignment horizontal="left" vertical="top"/>
    </xf>
    <xf numFmtId="0" fontId="97" fillId="0" borderId="0">
      <alignment horizontal="left"/>
    </xf>
    <xf numFmtId="0" fontId="36" fillId="0" borderId="0">
      <alignment horizontal="left"/>
    </xf>
    <xf numFmtId="0" fontId="130" fillId="111" borderId="0" applyNumberFormat="0" applyBorder="0">
      <alignment horizontal="centerContinuous"/>
    </xf>
    <xf numFmtId="0" fontId="77"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202" fontId="31" fillId="0" borderId="0" applyFont="0" applyFill="0" applyBorder="0" applyAlignment="0" applyProtection="0"/>
    <xf numFmtId="0" fontId="137"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9" fontId="98" fillId="0" borderId="59">
      <alignment horizontal="left"/>
    </xf>
    <xf numFmtId="0" fontId="115" fillId="0" borderId="63">
      <alignment horizontal="left"/>
    </xf>
    <xf numFmtId="0" fontId="108" fillId="0" borderId="0">
      <alignment horizontal="left" vertical="center"/>
    </xf>
    <xf numFmtId="49" fontId="50" fillId="0" borderId="59">
      <alignment horizontal="left"/>
    </xf>
    <xf numFmtId="165" fontId="18" fillId="0" borderId="0" applyFont="0" applyFill="0" applyBorder="0" applyAlignment="0" applyProtection="0"/>
    <xf numFmtId="203" fontId="18" fillId="0" borderId="0" applyFont="0" applyFill="0" applyBorder="0" applyAlignment="0" applyProtection="0"/>
    <xf numFmtId="0" fontId="18" fillId="0" borderId="0"/>
    <xf numFmtId="204" fontId="18" fillId="0" borderId="0" applyFont="0" applyFill="0" applyBorder="0" applyAlignment="0" applyProtection="0"/>
    <xf numFmtId="42" fontId="18" fillId="0" borderId="0" applyFont="0" applyFill="0" applyBorder="0" applyAlignment="0" applyProtection="0"/>
    <xf numFmtId="0" fontId="124" fillId="0" borderId="0"/>
    <xf numFmtId="0" fontId="140" fillId="0" borderId="0"/>
    <xf numFmtId="0" fontId="124" fillId="0" borderId="0"/>
    <xf numFmtId="0" fontId="124" fillId="0" borderId="0"/>
    <xf numFmtId="0" fontId="161" fillId="0" borderId="0" applyNumberFormat="0" applyFill="0" applyBorder="0" applyAlignment="0" applyProtection="0"/>
    <xf numFmtId="0" fontId="162"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cellStyleXfs>
  <cellXfs count="828">
    <xf numFmtId="0" fontId="0" fillId="0" borderId="0" xfId="0"/>
    <xf numFmtId="0" fontId="16" fillId="0" borderId="0" xfId="0" applyFont="1"/>
    <xf numFmtId="0" fontId="0" fillId="0" borderId="0" xfId="0"/>
    <xf numFmtId="0" fontId="0" fillId="0" borderId="0" xfId="0"/>
    <xf numFmtId="0" fontId="0" fillId="0" borderId="10" xfId="0" applyBorder="1"/>
    <xf numFmtId="3" fontId="0" fillId="0" borderId="0" xfId="0" applyNumberFormat="1"/>
    <xf numFmtId="0" fontId="16" fillId="0" borderId="0" xfId="0" applyFont="1" applyAlignment="1">
      <alignment horizontal="center" vertical="center" wrapText="1"/>
    </xf>
    <xf numFmtId="0" fontId="0" fillId="0" borderId="0" xfId="0" applyFill="1"/>
    <xf numFmtId="167" fontId="0" fillId="0" borderId="0" xfId="0" applyNumberFormat="1"/>
    <xf numFmtId="0" fontId="0" fillId="0" borderId="10" xfId="0" applyFont="1" applyBorder="1"/>
    <xf numFmtId="3" fontId="0" fillId="0" borderId="10" xfId="0" applyNumberFormat="1" applyBorder="1"/>
    <xf numFmtId="9" fontId="0" fillId="0" borderId="10" xfId="2" applyFont="1" applyBorder="1"/>
    <xf numFmtId="167" fontId="0" fillId="0" borderId="10" xfId="0" applyNumberFormat="1" applyBorder="1"/>
    <xf numFmtId="3" fontId="0" fillId="0" borderId="10" xfId="0" applyNumberFormat="1" applyFill="1" applyBorder="1"/>
    <xf numFmtId="0" fontId="16" fillId="0" borderId="20" xfId="0" applyFont="1" applyBorder="1" applyAlignment="1">
      <alignment horizontal="center" vertical="center" wrapText="1"/>
    </xf>
    <xf numFmtId="0" fontId="16" fillId="0" borderId="23" xfId="0" applyFont="1" applyBorder="1" applyAlignment="1">
      <alignment horizontal="center" vertical="center" wrapText="1"/>
    </xf>
    <xf numFmtId="168" fontId="0" fillId="0" borderId="10" xfId="0" applyNumberFormat="1" applyBorder="1"/>
    <xf numFmtId="167" fontId="0" fillId="0" borderId="0" xfId="0" applyNumberFormat="1" applyFill="1"/>
    <xf numFmtId="0" fontId="0" fillId="0" borderId="10" xfId="0" applyFill="1" applyBorder="1"/>
    <xf numFmtId="0" fontId="16" fillId="0" borderId="10" xfId="0" applyFont="1" applyBorder="1" applyAlignment="1">
      <alignment horizontal="center" vertical="center"/>
    </xf>
    <xf numFmtId="167" fontId="0" fillId="0" borderId="10" xfId="0" applyNumberFormat="1" applyFill="1" applyBorder="1"/>
    <xf numFmtId="0" fontId="0" fillId="0" borderId="10" xfId="0" applyFont="1" applyFill="1" applyBorder="1"/>
    <xf numFmtId="0" fontId="16" fillId="0" borderId="10" xfId="0" applyFont="1" applyBorder="1" applyAlignment="1">
      <alignment horizontal="center"/>
    </xf>
    <xf numFmtId="3" fontId="16" fillId="0" borderId="10" xfId="0" applyNumberFormat="1" applyFont="1" applyBorder="1" applyAlignment="1">
      <alignment horizontal="center" vertical="center" wrapText="1"/>
    </xf>
    <xf numFmtId="169" fontId="0" fillId="0" borderId="10" xfId="0" applyNumberFormat="1" applyBorder="1"/>
    <xf numFmtId="167" fontId="0" fillId="0" borderId="16" xfId="0" applyNumberFormat="1" applyFill="1" applyBorder="1"/>
    <xf numFmtId="0" fontId="16" fillId="0" borderId="0" xfId="0" applyFont="1" applyAlignment="1">
      <alignment horizontal="center" vertical="center" wrapText="1"/>
    </xf>
    <xf numFmtId="170" fontId="0" fillId="0" borderId="0" xfId="48" applyNumberFormat="1" applyFont="1" applyFill="1"/>
    <xf numFmtId="0" fontId="16" fillId="0" borderId="12" xfId="0" applyFont="1" applyFill="1" applyBorder="1" applyAlignment="1">
      <alignment horizontal="center" vertical="center" wrapText="1"/>
    </xf>
    <xf numFmtId="167" fontId="0" fillId="0" borderId="22" xfId="0" applyNumberFormat="1" applyFill="1" applyBorder="1"/>
    <xf numFmtId="0" fontId="0" fillId="0" borderId="0" xfId="0" applyFill="1" applyAlignment="1">
      <alignment wrapText="1"/>
    </xf>
    <xf numFmtId="171" fontId="0" fillId="0" borderId="0" xfId="1" applyNumberFormat="1" applyFont="1" applyFill="1"/>
    <xf numFmtId="170" fontId="0" fillId="0" borderId="0" xfId="0" applyNumberFormat="1" applyFill="1"/>
    <xf numFmtId="9" fontId="0" fillId="0" borderId="0" xfId="0" applyNumberFormat="1" applyFill="1"/>
    <xf numFmtId="0" fontId="16" fillId="0" borderId="10" xfId="0" applyFont="1" applyBorder="1"/>
    <xf numFmtId="0" fontId="16" fillId="0" borderId="20" xfId="0" applyFont="1" applyFill="1" applyBorder="1" applyAlignment="1">
      <alignment horizontal="center" vertical="center" wrapText="1"/>
    </xf>
    <xf numFmtId="44" fontId="0" fillId="0" borderId="0" xfId="1" applyFont="1"/>
    <xf numFmtId="44" fontId="0" fillId="0" borderId="0" xfId="0" applyNumberFormat="1"/>
    <xf numFmtId="0" fontId="16" fillId="0" borderId="23" xfId="0" applyFont="1" applyFill="1" applyBorder="1" applyAlignment="1">
      <alignment horizontal="center" vertical="center" wrapText="1"/>
    </xf>
    <xf numFmtId="0" fontId="0" fillId="0" borderId="25" xfId="0" applyBorder="1" applyAlignment="1">
      <alignment horizontal="center" wrapText="1"/>
    </xf>
    <xf numFmtId="0" fontId="0" fillId="0" borderId="10" xfId="0" applyBorder="1" applyAlignment="1">
      <alignment vertical="top" wrapText="1"/>
    </xf>
    <xf numFmtId="0" fontId="19" fillId="0" borderId="0" xfId="45" applyFill="1" applyAlignment="1" applyProtection="1"/>
    <xf numFmtId="0" fontId="0" fillId="0" borderId="0" xfId="0" applyBorder="1" applyAlignment="1">
      <alignment horizontal="right" vertical="top" wrapText="1"/>
    </xf>
    <xf numFmtId="0" fontId="0" fillId="0" borderId="0" xfId="0" applyBorder="1" applyAlignment="1">
      <alignment vertical="top" wrapText="1"/>
    </xf>
    <xf numFmtId="0" fontId="0" fillId="0" borderId="0" xfId="0" applyBorder="1"/>
    <xf numFmtId="172" fontId="0" fillId="0" borderId="10" xfId="48" applyNumberFormat="1" applyFont="1" applyFill="1" applyBorder="1"/>
    <xf numFmtId="170" fontId="0" fillId="0" borderId="10" xfId="48" applyNumberFormat="1" applyFont="1" applyFill="1" applyBorder="1"/>
    <xf numFmtId="0" fontId="19" fillId="0" borderId="0" xfId="45" applyFill="1"/>
    <xf numFmtId="0" fontId="0" fillId="0" borderId="24" xfId="0" applyFill="1" applyBorder="1" applyAlignment="1"/>
    <xf numFmtId="0" fontId="0" fillId="0" borderId="0" xfId="0" applyFill="1" applyBorder="1" applyAlignment="1"/>
    <xf numFmtId="0" fontId="0" fillId="0" borderId="0" xfId="0" applyFill="1" applyAlignment="1">
      <alignment horizontal="center"/>
    </xf>
    <xf numFmtId="0" fontId="16" fillId="0" borderId="21" xfId="0" applyFont="1" applyFill="1" applyBorder="1" applyAlignment="1">
      <alignment horizontal="center"/>
    </xf>
    <xf numFmtId="0" fontId="0" fillId="0" borderId="0" xfId="0"/>
    <xf numFmtId="0" fontId="0" fillId="0" borderId="0" xfId="0" quotePrefix="1"/>
    <xf numFmtId="0" fontId="0" fillId="0" borderId="0" xfId="0" applyFill="1" applyAlignment="1">
      <alignment horizontal="left"/>
    </xf>
    <xf numFmtId="0" fontId="0" fillId="0" borderId="13" xfId="0" applyFill="1" applyBorder="1" applyAlignment="1">
      <alignment horizontal="center"/>
    </xf>
    <xf numFmtId="0" fontId="0" fillId="0" borderId="0" xfId="0" applyFill="1" applyAlignment="1">
      <alignment horizontal="center" wrapText="1"/>
    </xf>
    <xf numFmtId="171" fontId="0" fillId="0" borderId="0" xfId="1" applyNumberFormat="1" applyFont="1" applyBorder="1"/>
    <xf numFmtId="6" fontId="0" fillId="0" borderId="0" xfId="0" applyNumberFormat="1" applyFill="1"/>
    <xf numFmtId="171" fontId="0" fillId="0" borderId="0" xfId="1" applyNumberFormat="1" applyFont="1" applyFill="1" applyBorder="1"/>
    <xf numFmtId="170" fontId="0" fillId="0" borderId="0" xfId="48" applyNumberFormat="1" applyFont="1"/>
    <xf numFmtId="0" fontId="0" fillId="0" borderId="0" xfId="0" applyAlignment="1">
      <alignment horizontal="right"/>
    </xf>
    <xf numFmtId="0" fontId="0" fillId="0" borderId="0" xfId="0" applyFill="1" applyBorder="1"/>
    <xf numFmtId="166" fontId="0" fillId="0" borderId="0" xfId="0" applyNumberFormat="1"/>
    <xf numFmtId="44" fontId="0" fillId="0" borderId="10" xfId="0" applyNumberFormat="1" applyFont="1" applyBorder="1" applyAlignment="1">
      <alignment horizontal="center"/>
    </xf>
    <xf numFmtId="171" fontId="0" fillId="0" borderId="0" xfId="1" quotePrefix="1" applyNumberFormat="1" applyFont="1" applyFill="1" applyBorder="1"/>
    <xf numFmtId="0" fontId="0" fillId="0" borderId="0" xfId="0" applyFill="1" applyAlignment="1">
      <alignment horizontal="center"/>
    </xf>
    <xf numFmtId="0" fontId="16" fillId="0" borderId="10" xfId="0" applyFont="1" applyBorder="1" applyAlignment="1">
      <alignment horizontal="center" vertical="center" wrapText="1"/>
    </xf>
    <xf numFmtId="0" fontId="69" fillId="0" borderId="10" xfId="0" applyFont="1" applyBorder="1" applyAlignment="1">
      <alignment vertical="center" wrapText="1"/>
    </xf>
    <xf numFmtId="0" fontId="0" fillId="0" borderId="0" xfId="0"/>
    <xf numFmtId="0" fontId="69" fillId="0" borderId="0" xfId="0" applyFont="1" applyFill="1" applyBorder="1" applyAlignment="1">
      <alignment vertical="center"/>
    </xf>
    <xf numFmtId="170" fontId="0" fillId="0" borderId="10" xfId="0" applyNumberFormat="1" applyFill="1" applyBorder="1"/>
    <xf numFmtId="0" fontId="80" fillId="81" borderId="0" xfId="0" applyNumberFormat="1" applyFont="1" applyFill="1" applyBorder="1" applyAlignment="1" applyProtection="1"/>
    <xf numFmtId="0" fontId="81" fillId="81" borderId="0" xfId="0" applyNumberFormat="1" applyFont="1" applyFill="1" applyBorder="1" applyAlignment="1" applyProtection="1"/>
    <xf numFmtId="10" fontId="0" fillId="0" borderId="0" xfId="2" applyNumberFormat="1" applyFont="1"/>
    <xf numFmtId="171" fontId="16" fillId="0" borderId="0" xfId="0" applyNumberFormat="1" applyFont="1" applyFill="1" applyAlignment="1">
      <alignment horizontal="center"/>
    </xf>
    <xf numFmtId="44" fontId="0" fillId="0" borderId="0" xfId="1" applyFont="1" applyFill="1"/>
    <xf numFmtId="0" fontId="0" fillId="0" borderId="0" xfId="0"/>
    <xf numFmtId="178" fontId="0" fillId="0" borderId="0" xfId="2" applyNumberFormat="1" applyFont="1"/>
    <xf numFmtId="0" fontId="19" fillId="0" borderId="0" xfId="45"/>
    <xf numFmtId="171" fontId="0" fillId="0" borderId="0" xfId="1" applyNumberFormat="1" applyFont="1"/>
    <xf numFmtId="171" fontId="0" fillId="0" borderId="0" xfId="0" applyNumberFormat="1"/>
    <xf numFmtId="6" fontId="0" fillId="0" borderId="10" xfId="0" applyNumberFormat="1" applyBorder="1"/>
    <xf numFmtId="0" fontId="52" fillId="0" borderId="0" xfId="0" applyFont="1" applyFill="1"/>
    <xf numFmtId="167" fontId="70" fillId="0" borderId="22" xfId="0" applyNumberFormat="1" applyFont="1" applyFill="1" applyBorder="1"/>
    <xf numFmtId="167" fontId="70" fillId="0" borderId="10" xfId="0" applyNumberFormat="1" applyFont="1" applyFill="1" applyBorder="1"/>
    <xf numFmtId="0" fontId="70" fillId="0" borderId="0" xfId="0" applyFont="1" applyFill="1"/>
    <xf numFmtId="6" fontId="70" fillId="0" borderId="0" xfId="0" applyNumberFormat="1" applyFont="1" applyFill="1"/>
    <xf numFmtId="171" fontId="70" fillId="0" borderId="0" xfId="1" applyNumberFormat="1" applyFont="1" applyFill="1"/>
    <xf numFmtId="171" fontId="72" fillId="0" borderId="0" xfId="0" applyNumberFormat="1" applyFont="1" applyFill="1" applyAlignment="1">
      <alignment horizontal="center"/>
    </xf>
    <xf numFmtId="171" fontId="70" fillId="0" borderId="0" xfId="1" applyNumberFormat="1" applyFont="1" applyFill="1" applyBorder="1"/>
    <xf numFmtId="0" fontId="70" fillId="0" borderId="0" xfId="0" applyFont="1" applyFill="1" applyBorder="1" applyAlignment="1">
      <alignment horizontal="right" vertical="top" wrapText="1"/>
    </xf>
    <xf numFmtId="44" fontId="70" fillId="0" borderId="0" xfId="1" applyFont="1" applyFill="1"/>
    <xf numFmtId="44" fontId="70" fillId="0" borderId="0" xfId="0" applyNumberFormat="1" applyFont="1" applyFill="1"/>
    <xf numFmtId="6" fontId="72" fillId="0" borderId="0" xfId="0" applyNumberFormat="1" applyFont="1" applyFill="1" applyAlignment="1">
      <alignment horizontal="center"/>
    </xf>
    <xf numFmtId="0" fontId="72" fillId="0" borderId="10" xfId="0" applyFont="1" applyFill="1" applyBorder="1" applyAlignment="1">
      <alignment horizontal="center"/>
    </xf>
    <xf numFmtId="44" fontId="70" fillId="0" borderId="10" xfId="0" applyNumberFormat="1" applyFont="1" applyFill="1" applyBorder="1" applyAlignment="1">
      <alignment horizontal="center"/>
    </xf>
    <xf numFmtId="9" fontId="0" fillId="0" borderId="0" xfId="2" applyFont="1" applyFill="1"/>
    <xf numFmtId="167" fontId="0" fillId="0" borderId="64" xfId="0" applyNumberFormat="1" applyFill="1" applyBorder="1"/>
    <xf numFmtId="0" fontId="0" fillId="0" borderId="0" xfId="0" applyFill="1" applyAlignment="1">
      <alignment horizontal="center"/>
    </xf>
    <xf numFmtId="0" fontId="0" fillId="0" borderId="64" xfId="0" applyBorder="1" applyAlignment="1">
      <alignment horizontal="center" wrapText="1"/>
    </xf>
    <xf numFmtId="0" fontId="0" fillId="0" borderId="64" xfId="0" applyBorder="1" applyAlignment="1">
      <alignment vertical="top" wrapText="1"/>
    </xf>
    <xf numFmtId="0" fontId="0" fillId="0" borderId="0" xfId="0" applyFont="1" applyFill="1"/>
    <xf numFmtId="0" fontId="0" fillId="0" borderId="0" xfId="0" applyFont="1" applyFill="1" applyBorder="1" applyAlignment="1">
      <alignment vertical="center" wrapText="1"/>
    </xf>
    <xf numFmtId="0" fontId="0" fillId="0" borderId="0" xfId="0" applyFill="1" applyAlignment="1">
      <alignment horizontal="center"/>
    </xf>
    <xf numFmtId="0" fontId="16" fillId="0" borderId="0" xfId="0" applyFont="1" applyFill="1" applyBorder="1" applyAlignment="1">
      <alignment horizontal="center"/>
    </xf>
    <xf numFmtId="167" fontId="0" fillId="0" borderId="0" xfId="0" applyNumberFormat="1" applyFill="1" applyBorder="1"/>
    <xf numFmtId="167" fontId="70" fillId="0" borderId="0" xfId="0" applyNumberFormat="1" applyFont="1" applyFill="1" applyBorder="1"/>
    <xf numFmtId="0" fontId="82" fillId="0" borderId="53" xfId="0" applyNumberFormat="1" applyFont="1" applyFill="1" applyBorder="1" applyAlignment="1" applyProtection="1">
      <alignment horizontal="left" wrapText="1"/>
    </xf>
    <xf numFmtId="1" fontId="0" fillId="0" borderId="13" xfId="0" applyNumberFormat="1" applyBorder="1"/>
    <xf numFmtId="1" fontId="0" fillId="0" borderId="10" xfId="0" applyNumberFormat="1" applyBorder="1"/>
    <xf numFmtId="1" fontId="0" fillId="0" borderId="0" xfId="0" applyNumberFormat="1"/>
    <xf numFmtId="166" fontId="0" fillId="0" borderId="0" xfId="0" applyNumberFormat="1" applyFill="1"/>
    <xf numFmtId="170" fontId="0" fillId="0" borderId="0" xfId="0" applyNumberFormat="1"/>
    <xf numFmtId="0" fontId="138" fillId="0" borderId="0" xfId="0" applyFont="1"/>
    <xf numFmtId="0" fontId="138" fillId="0" borderId="0" xfId="0" applyFont="1" applyFill="1"/>
    <xf numFmtId="167" fontId="138" fillId="0" borderId="10" xfId="0" applyNumberFormat="1" applyFont="1" applyFill="1" applyBorder="1" applyAlignment="1">
      <alignment horizontal="center" vertical="center"/>
    </xf>
    <xf numFmtId="0" fontId="138" fillId="0" borderId="10" xfId="0" applyFont="1" applyFill="1" applyBorder="1" applyAlignment="1">
      <alignment horizontal="center" vertical="center"/>
    </xf>
    <xf numFmtId="49" fontId="138" fillId="0" borderId="0" xfId="0" applyNumberFormat="1" applyFont="1" applyFill="1"/>
    <xf numFmtId="0" fontId="0" fillId="0" borderId="0" xfId="0" applyAlignment="1">
      <alignment wrapText="1"/>
    </xf>
    <xf numFmtId="0" fontId="138" fillId="0" borderId="19" xfId="0" applyFont="1" applyFill="1" applyBorder="1" applyAlignment="1">
      <alignment horizontal="center" vertical="center"/>
    </xf>
    <xf numFmtId="49" fontId="138" fillId="0" borderId="19" xfId="0" applyNumberFormat="1" applyFont="1" applyFill="1" applyBorder="1" applyAlignment="1">
      <alignment horizontal="center" vertical="center"/>
    </xf>
    <xf numFmtId="0" fontId="138" fillId="0" borderId="19" xfId="0" applyFont="1" applyFill="1" applyBorder="1" applyAlignment="1">
      <alignment wrapText="1"/>
    </xf>
    <xf numFmtId="0" fontId="138" fillId="0" borderId="10" xfId="0" applyFont="1" applyFill="1" applyBorder="1" applyAlignment="1">
      <alignment wrapText="1"/>
    </xf>
    <xf numFmtId="9" fontId="0" fillId="0" borderId="0" xfId="2" applyFont="1"/>
    <xf numFmtId="0" fontId="0" fillId="0" borderId="0" xfId="0" applyFill="1" applyAlignment="1">
      <alignment horizontal="center"/>
    </xf>
    <xf numFmtId="0" fontId="16" fillId="0" borderId="21" xfId="0" applyFont="1" applyFill="1" applyBorder="1" applyAlignment="1">
      <alignment horizontal="center"/>
    </xf>
    <xf numFmtId="0" fontId="16" fillId="0" borderId="0" xfId="0" applyFont="1" applyFill="1"/>
    <xf numFmtId="0" fontId="138" fillId="0" borderId="0" xfId="0" applyFont="1" applyAlignment="1">
      <alignment horizontal="center" vertical="center"/>
    </xf>
    <xf numFmtId="0" fontId="138" fillId="0" borderId="11" xfId="0" applyFont="1" applyFill="1" applyBorder="1" applyAlignment="1">
      <alignment horizontal="center" vertical="center" wrapText="1"/>
    </xf>
    <xf numFmtId="0" fontId="138" fillId="0" borderId="47" xfId="0" applyFont="1" applyFill="1" applyBorder="1" applyAlignment="1">
      <alignment horizontal="center" vertical="center" wrapText="1"/>
    </xf>
    <xf numFmtId="49" fontId="138" fillId="0" borderId="47" xfId="0" applyNumberFormat="1" applyFont="1" applyFill="1" applyBorder="1" applyAlignment="1">
      <alignment horizontal="center" vertical="center" wrapText="1"/>
    </xf>
    <xf numFmtId="0" fontId="138" fillId="0" borderId="47" xfId="0" applyFont="1" applyBorder="1" applyAlignment="1">
      <alignment horizontal="center" vertical="center" wrapText="1"/>
    </xf>
    <xf numFmtId="0" fontId="138" fillId="112" borderId="10" xfId="0" applyFont="1" applyFill="1" applyBorder="1" applyAlignment="1">
      <alignment horizontal="center" vertical="center" wrapText="1"/>
    </xf>
    <xf numFmtId="0" fontId="138" fillId="0" borderId="0" xfId="0" applyFont="1" applyFill="1" applyAlignment="1">
      <alignment horizontal="center" vertical="center"/>
    </xf>
    <xf numFmtId="167" fontId="139" fillId="0" borderId="0" xfId="0" applyNumberFormat="1" applyFont="1" applyFill="1" applyBorder="1" applyAlignment="1">
      <alignment horizontal="center" vertical="center"/>
    </xf>
    <xf numFmtId="17" fontId="0" fillId="0" borderId="0" xfId="0" applyNumberFormat="1"/>
    <xf numFmtId="9" fontId="138" fillId="0" borderId="0" xfId="0" applyNumberFormat="1" applyFont="1"/>
    <xf numFmtId="9" fontId="138" fillId="0" borderId="0" xfId="0" applyNumberFormat="1" applyFont="1" applyFill="1"/>
    <xf numFmtId="6" fontId="0" fillId="0" borderId="0" xfId="0" applyNumberFormat="1"/>
    <xf numFmtId="0" fontId="0" fillId="0" borderId="0" xfId="0"/>
    <xf numFmtId="0" fontId="0" fillId="0" borderId="0" xfId="0" applyAlignment="1">
      <alignment horizontal="center"/>
    </xf>
    <xf numFmtId="168" fontId="0" fillId="0" borderId="0" xfId="0" applyNumberFormat="1"/>
    <xf numFmtId="0" fontId="0" fillId="0" borderId="0" xfId="0" applyAlignment="1">
      <alignment horizontal="center" vertical="center"/>
    </xf>
    <xf numFmtId="0" fontId="69" fillId="0" borderId="10" xfId="0" applyFont="1" applyFill="1" applyBorder="1" applyAlignment="1">
      <alignment vertical="center" wrapText="1"/>
    </xf>
    <xf numFmtId="0" fontId="0" fillId="0" borderId="0" xfId="0"/>
    <xf numFmtId="6" fontId="0" fillId="0" borderId="10" xfId="0" applyNumberFormat="1" applyFill="1" applyBorder="1"/>
    <xf numFmtId="0" fontId="0" fillId="0" borderId="0" xfId="0"/>
    <xf numFmtId="0" fontId="0" fillId="0" borderId="0" xfId="0" applyFill="1"/>
    <xf numFmtId="167" fontId="138" fillId="0" borderId="0" xfId="0" applyNumberFormat="1" applyFont="1" applyFill="1" applyBorder="1" applyAlignment="1">
      <alignment horizontal="center" vertical="center"/>
    </xf>
    <xf numFmtId="207" fontId="0" fillId="0" borderId="0" xfId="0" applyNumberFormat="1" applyFont="1" applyFill="1"/>
    <xf numFmtId="44" fontId="0" fillId="0" borderId="0" xfId="0" applyNumberFormat="1" applyFont="1" applyFill="1"/>
    <xf numFmtId="44" fontId="0" fillId="0" borderId="0" xfId="0" quotePrefix="1" applyNumberFormat="1"/>
    <xf numFmtId="0" fontId="0" fillId="0" borderId="0" xfId="0" applyFill="1" applyBorder="1" applyAlignment="1">
      <alignment vertical="top" wrapText="1"/>
    </xf>
    <xf numFmtId="0" fontId="0" fillId="0" borderId="0" xfId="0" applyAlignment="1"/>
    <xf numFmtId="0" fontId="72" fillId="0" borderId="10" xfId="0" applyFont="1" applyFill="1" applyBorder="1"/>
    <xf numFmtId="170" fontId="72" fillId="0" borderId="10" xfId="48" applyNumberFormat="1" applyFont="1" applyFill="1" applyBorder="1"/>
    <xf numFmtId="167" fontId="72" fillId="0" borderId="10" xfId="48" applyNumberFormat="1" applyFont="1" applyFill="1" applyBorder="1"/>
    <xf numFmtId="43" fontId="0" fillId="0" borderId="0" xfId="48" applyFont="1"/>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1" fontId="0" fillId="0" borderId="10" xfId="0" applyNumberFormat="1" applyBorder="1" applyAlignment="1">
      <alignment horizontal="center" vertical="center"/>
    </xf>
    <xf numFmtId="3" fontId="16" fillId="0" borderId="10" xfId="48" applyNumberFormat="1" applyFont="1" applyBorder="1"/>
    <xf numFmtId="3" fontId="16" fillId="0" borderId="10" xfId="0" applyNumberFormat="1" applyFont="1" applyBorder="1"/>
    <xf numFmtId="167" fontId="16" fillId="0" borderId="10" xfId="0" applyNumberFormat="1" applyFont="1" applyBorder="1"/>
    <xf numFmtId="0" fontId="0" fillId="0" borderId="0" xfId="0" applyFill="1" applyAlignment="1"/>
    <xf numFmtId="172" fontId="16" fillId="0" borderId="10" xfId="48" applyNumberFormat="1" applyFont="1" applyFill="1" applyBorder="1"/>
    <xf numFmtId="0" fontId="0" fillId="0" borderId="0" xfId="0"/>
    <xf numFmtId="170" fontId="0" fillId="0" borderId="10" xfId="48" applyNumberFormat="1" applyFont="1" applyBorder="1"/>
    <xf numFmtId="170" fontId="16" fillId="0" borderId="10" xfId="48" applyNumberFormat="1" applyFont="1" applyBorder="1"/>
    <xf numFmtId="167" fontId="16" fillId="0" borderId="10" xfId="48" applyNumberFormat="1" applyFont="1" applyBorder="1"/>
    <xf numFmtId="0" fontId="0" fillId="0" borderId="0" xfId="0" applyAlignment="1">
      <alignment horizontal="left"/>
    </xf>
    <xf numFmtId="0" fontId="21" fillId="0" borderId="10" xfId="0" applyFont="1" applyBorder="1" applyAlignment="1">
      <alignment horizontal="right" vertical="center"/>
    </xf>
    <xf numFmtId="0" fontId="21" fillId="0" borderId="0" xfId="0" applyFont="1" applyFill="1" applyBorder="1" applyAlignment="1">
      <alignment horizontal="right" vertical="center"/>
    </xf>
    <xf numFmtId="0" fontId="21" fillId="0" borderId="10" xfId="0" applyFont="1" applyFill="1" applyBorder="1" applyAlignment="1">
      <alignment horizontal="right" vertical="center"/>
    </xf>
    <xf numFmtId="0" fontId="21" fillId="0" borderId="0" xfId="0" applyFont="1" applyBorder="1" applyAlignment="1">
      <alignment horizontal="right" vertical="center"/>
    </xf>
    <xf numFmtId="0" fontId="21" fillId="0" borderId="0" xfId="0" applyFont="1" applyBorder="1" applyAlignment="1">
      <alignment horizontal="left" vertical="center"/>
    </xf>
    <xf numFmtId="0" fontId="23" fillId="0" borderId="0" xfId="0" applyFont="1" applyFill="1" applyBorder="1" applyAlignment="1"/>
    <xf numFmtId="0" fontId="0" fillId="0" borderId="0" xfId="0" applyFont="1" applyAlignment="1">
      <alignment vertical="center"/>
    </xf>
    <xf numFmtId="0" fontId="0" fillId="112" borderId="0" xfId="0" applyFill="1"/>
    <xf numFmtId="0" fontId="0" fillId="35" borderId="0" xfId="0" applyFill="1"/>
    <xf numFmtId="0" fontId="0" fillId="0" borderId="0" xfId="0" applyFont="1" applyFill="1" applyBorder="1" applyAlignment="1"/>
    <xf numFmtId="0" fontId="72" fillId="0" borderId="10" xfId="0" applyFont="1" applyFill="1" applyBorder="1" applyAlignment="1">
      <alignment horizontal="center" vertical="center" wrapText="1"/>
    </xf>
    <xf numFmtId="3" fontId="72" fillId="0" borderId="10" xfId="0" applyNumberFormat="1" applyFont="1" applyFill="1" applyBorder="1" applyAlignment="1">
      <alignment horizontal="center" vertical="center" wrapText="1"/>
    </xf>
    <xf numFmtId="167" fontId="72" fillId="0" borderId="10" xfId="0" applyNumberFormat="1" applyFont="1" applyFill="1" applyBorder="1"/>
    <xf numFmtId="0" fontId="14" fillId="0" borderId="0" xfId="0" applyFont="1" applyFill="1" applyBorder="1" applyAlignment="1">
      <alignment vertical="center" wrapText="1"/>
    </xf>
    <xf numFmtId="0" fontId="138" fillId="0" borderId="0" xfId="0" applyFont="1" applyFill="1" applyBorder="1" applyAlignment="1">
      <alignment horizontal="left" vertical="center"/>
    </xf>
    <xf numFmtId="208" fontId="0" fillId="0" borderId="0" xfId="0" applyNumberFormat="1" applyFill="1"/>
    <xf numFmtId="208" fontId="0" fillId="0" borderId="0" xfId="0" applyNumberFormat="1"/>
    <xf numFmtId="1" fontId="16" fillId="0" borderId="10" xfId="48" applyNumberFormat="1" applyFont="1" applyBorder="1"/>
    <xf numFmtId="0" fontId="16" fillId="112" borderId="10" xfId="0" applyFont="1" applyFill="1" applyBorder="1" applyAlignment="1">
      <alignment horizontal="center" vertical="center" wrapText="1"/>
    </xf>
    <xf numFmtId="3" fontId="16" fillId="112" borderId="10" xfId="0" applyNumberFormat="1" applyFont="1" applyFill="1" applyBorder="1" applyAlignment="1">
      <alignment horizontal="center" vertical="center" wrapText="1"/>
    </xf>
    <xf numFmtId="167" fontId="16" fillId="112" borderId="10" xfId="0" applyNumberFormat="1" applyFont="1" applyFill="1" applyBorder="1" applyAlignment="1">
      <alignment horizontal="center" vertical="center" wrapText="1"/>
    </xf>
    <xf numFmtId="0" fontId="16" fillId="35" borderId="10" xfId="0" applyFont="1" applyFill="1" applyBorder="1" applyAlignment="1">
      <alignment horizontal="center" vertical="center" wrapText="1"/>
    </xf>
    <xf numFmtId="3" fontId="16" fillId="35" borderId="10" xfId="0" applyNumberFormat="1" applyFont="1" applyFill="1" applyBorder="1" applyAlignment="1">
      <alignment horizontal="center" vertical="center" wrapText="1"/>
    </xf>
    <xf numFmtId="167" fontId="16" fillId="35" borderId="10" xfId="0" applyNumberFormat="1" applyFont="1" applyFill="1" applyBorder="1" applyAlignment="1">
      <alignment horizontal="center" vertical="center" wrapText="1"/>
    </xf>
    <xf numFmtId="2" fontId="0" fillId="0" borderId="0" xfId="0" applyNumberFormat="1"/>
    <xf numFmtId="208" fontId="0" fillId="0" borderId="0" xfId="0" applyNumberFormat="1" applyAlignment="1">
      <alignment horizontal="center"/>
    </xf>
    <xf numFmtId="9" fontId="0" fillId="0" borderId="0" xfId="2" applyNumberFormat="1" applyFont="1"/>
    <xf numFmtId="208" fontId="0" fillId="0" borderId="10" xfId="0" applyNumberFormat="1" applyBorder="1"/>
    <xf numFmtId="167" fontId="16" fillId="0" borderId="10" xfId="48" applyNumberFormat="1" applyFont="1" applyFill="1" applyBorder="1"/>
    <xf numFmtId="0" fontId="76" fillId="0" borderId="70" xfId="0" applyFont="1" applyBorder="1" applyAlignment="1">
      <alignment horizontal="center" vertical="center" wrapText="1"/>
    </xf>
    <xf numFmtId="0" fontId="37" fillId="0" borderId="0" xfId="0" applyFont="1"/>
    <xf numFmtId="0" fontId="0" fillId="0" borderId="0" xfId="0" applyFont="1"/>
    <xf numFmtId="0" fontId="16" fillId="35" borderId="10" xfId="0" applyFont="1" applyFill="1" applyBorder="1" applyAlignment="1">
      <alignment horizontal="center" vertical="center" wrapText="1"/>
    </xf>
    <xf numFmtId="0" fontId="16" fillId="112" borderId="10" xfId="0" applyFont="1" applyFill="1" applyBorder="1" applyAlignment="1">
      <alignment horizontal="center" vertical="center" wrapText="1"/>
    </xf>
    <xf numFmtId="0" fontId="0" fillId="0" borderId="0" xfId="0"/>
    <xf numFmtId="0" fontId="0" fillId="0" borderId="0" xfId="0" applyAlignment="1">
      <alignment wrapText="1"/>
    </xf>
    <xf numFmtId="167" fontId="0" fillId="0" borderId="0" xfId="0" applyNumberFormat="1"/>
    <xf numFmtId="0" fontId="0" fillId="0" borderId="10" xfId="0" applyBorder="1"/>
    <xf numFmtId="170" fontId="0" fillId="0" borderId="0" xfId="0" applyNumberFormat="1"/>
    <xf numFmtId="0" fontId="37" fillId="0" borderId="0" xfId="0" applyFont="1" applyAlignment="1">
      <alignment wrapText="1"/>
    </xf>
    <xf numFmtId="209" fontId="0" fillId="0" borderId="10" xfId="0" applyNumberFormat="1" applyBorder="1"/>
    <xf numFmtId="170" fontId="0" fillId="0" borderId="10" xfId="0" applyNumberFormat="1" applyBorder="1"/>
    <xf numFmtId="44" fontId="0" fillId="0" borderId="10" xfId="1" applyFont="1" applyBorder="1"/>
    <xf numFmtId="0" fontId="138" fillId="0" borderId="0" xfId="0" applyFont="1" applyFill="1" applyBorder="1" applyAlignment="1">
      <alignment horizontal="center" vertical="center"/>
    </xf>
    <xf numFmtId="0" fontId="143" fillId="0" borderId="0" xfId="0" applyFont="1" applyBorder="1" applyAlignment="1">
      <alignment horizontal="right" vertical="center"/>
    </xf>
    <xf numFmtId="6" fontId="143" fillId="0" borderId="0" xfId="0" applyNumberFormat="1" applyFont="1" applyBorder="1" applyAlignment="1">
      <alignment horizontal="right" vertical="center" wrapText="1"/>
    </xf>
    <xf numFmtId="167" fontId="0" fillId="0" borderId="0" xfId="0" applyNumberFormat="1" applyFont="1" applyFill="1"/>
    <xf numFmtId="167" fontId="138" fillId="0" borderId="0" xfId="0" applyNumberFormat="1" applyFont="1" applyFill="1"/>
    <xf numFmtId="167" fontId="142" fillId="0" borderId="0" xfId="0" applyNumberFormat="1" applyFont="1" applyFill="1"/>
    <xf numFmtId="1" fontId="0" fillId="0" borderId="0" xfId="0" applyNumberFormat="1" applyFont="1" applyFill="1" applyAlignment="1">
      <alignment horizontal="center"/>
    </xf>
    <xf numFmtId="0" fontId="124" fillId="0" borderId="0" xfId="42031"/>
    <xf numFmtId="0" fontId="19" fillId="81" borderId="0" xfId="45" applyNumberFormat="1" applyFill="1" applyBorder="1" applyAlignment="1" applyProtection="1"/>
    <xf numFmtId="166" fontId="0" fillId="0" borderId="0" xfId="0" applyNumberFormat="1" applyFont="1" applyFill="1"/>
    <xf numFmtId="0" fontId="19" fillId="0" borderId="0" xfId="45" applyFill="1" applyAlignment="1"/>
    <xf numFmtId="0" fontId="0" fillId="0" borderId="0" xfId="0" applyFill="1" applyAlignment="1">
      <alignment horizontal="left" wrapText="1"/>
    </xf>
    <xf numFmtId="0" fontId="0" fillId="0" borderId="0" xfId="0" applyFill="1" applyAlignment="1">
      <alignment horizontal="right"/>
    </xf>
    <xf numFmtId="178" fontId="0" fillId="0" borderId="0" xfId="2" applyNumberFormat="1" applyFont="1" applyFill="1"/>
    <xf numFmtId="0" fontId="138" fillId="0" borderId="10" xfId="0" applyFont="1" applyFill="1" applyBorder="1" applyAlignment="1">
      <alignment horizontal="center" vertical="center" wrapText="1"/>
    </xf>
    <xf numFmtId="167" fontId="138" fillId="0" borderId="19" xfId="0" applyNumberFormat="1" applyFont="1" applyFill="1" applyBorder="1" applyAlignment="1">
      <alignment horizontal="center" vertical="center"/>
    </xf>
    <xf numFmtId="167" fontId="138" fillId="0" borderId="10" xfId="0" applyNumberFormat="1" applyFont="1" applyFill="1" applyBorder="1" applyAlignment="1">
      <alignment horizontal="center" vertical="center" wrapText="1"/>
    </xf>
    <xf numFmtId="167" fontId="139" fillId="0" borderId="19" xfId="0" applyNumberFormat="1" applyFont="1" applyFill="1" applyBorder="1" applyAlignment="1">
      <alignment horizontal="center" vertical="center"/>
    </xf>
    <xf numFmtId="49" fontId="138" fillId="0" borderId="10" xfId="0" applyNumberFormat="1" applyFont="1" applyFill="1" applyBorder="1" applyAlignment="1">
      <alignment horizontal="center" vertical="center" wrapText="1"/>
    </xf>
    <xf numFmtId="0" fontId="138" fillId="113" borderId="14" xfId="0" applyFont="1" applyFill="1" applyBorder="1" applyAlignment="1">
      <alignment horizontal="center" vertical="center" wrapText="1"/>
    </xf>
    <xf numFmtId="0" fontId="138" fillId="113" borderId="11" xfId="0" applyFont="1" applyFill="1" applyBorder="1" applyAlignment="1">
      <alignment horizontal="center" vertical="center" wrapText="1"/>
    </xf>
    <xf numFmtId="0" fontId="138" fillId="112" borderId="47" xfId="0" applyFont="1" applyFill="1" applyBorder="1" applyAlignment="1">
      <alignment horizontal="center" vertical="center" wrapText="1"/>
    </xf>
    <xf numFmtId="0" fontId="138" fillId="0" borderId="15" xfId="0" applyFont="1" applyBorder="1" applyAlignment="1">
      <alignment horizontal="center" vertical="center" wrapText="1"/>
    </xf>
    <xf numFmtId="167" fontId="138" fillId="114" borderId="10" xfId="0" applyNumberFormat="1" applyFont="1" applyFill="1" applyBorder="1" applyAlignment="1">
      <alignment horizontal="center" vertical="center"/>
    </xf>
    <xf numFmtId="167" fontId="138" fillId="114" borderId="19" xfId="0" applyNumberFormat="1" applyFont="1" applyFill="1" applyBorder="1" applyAlignment="1">
      <alignment horizontal="center" vertical="center"/>
    </xf>
    <xf numFmtId="167" fontId="138" fillId="115" borderId="10" xfId="0" applyNumberFormat="1" applyFont="1" applyFill="1" applyBorder="1" applyAlignment="1">
      <alignment horizontal="center" vertical="center"/>
    </xf>
    <xf numFmtId="167" fontId="0" fillId="114" borderId="0" xfId="0" applyNumberFormat="1" applyFill="1"/>
    <xf numFmtId="167" fontId="0" fillId="115" borderId="0" xfId="0" applyNumberFormat="1" applyFill="1"/>
    <xf numFmtId="6" fontId="146" fillId="116" borderId="75" xfId="0" applyNumberFormat="1" applyFont="1" applyFill="1" applyBorder="1" applyAlignment="1">
      <alignment horizontal="center" vertical="center" wrapText="1"/>
    </xf>
    <xf numFmtId="6" fontId="146" fillId="116" borderId="76" xfId="0" applyNumberFormat="1" applyFont="1" applyFill="1" applyBorder="1" applyAlignment="1">
      <alignment horizontal="center" vertical="center" wrapText="1"/>
    </xf>
    <xf numFmtId="0" fontId="146" fillId="116" borderId="76" xfId="0" applyFont="1" applyFill="1" applyBorder="1" applyAlignment="1">
      <alignment horizontal="center" vertical="center" wrapText="1"/>
    </xf>
    <xf numFmtId="167" fontId="0" fillId="116" borderId="0" xfId="0" applyNumberFormat="1" applyFill="1"/>
    <xf numFmtId="0" fontId="145" fillId="0" borderId="0" xfId="0" applyFont="1" applyFill="1"/>
    <xf numFmtId="1" fontId="0" fillId="0" borderId="10" xfId="0" applyNumberFormat="1" applyBorder="1" applyAlignment="1">
      <alignment horizontal="center"/>
    </xf>
    <xf numFmtId="1" fontId="0" fillId="0" borderId="10" xfId="0" applyNumberFormat="1" applyFill="1" applyBorder="1"/>
    <xf numFmtId="0" fontId="22" fillId="0" borderId="0" xfId="0" applyFont="1" applyBorder="1" applyAlignment="1">
      <alignment vertical="center"/>
    </xf>
    <xf numFmtId="0" fontId="22" fillId="0" borderId="10" xfId="0" applyFont="1" applyBorder="1" applyAlignment="1">
      <alignment horizontal="center" vertical="center"/>
    </xf>
    <xf numFmtId="0" fontId="21" fillId="0" borderId="10" xfId="0" applyFont="1" applyFill="1" applyBorder="1" applyAlignment="1">
      <alignment horizontal="center" vertical="center"/>
    </xf>
    <xf numFmtId="2" fontId="0" fillId="0" borderId="10" xfId="0" applyNumberFormat="1" applyFill="1" applyBorder="1"/>
    <xf numFmtId="0" fontId="0" fillId="33" borderId="10" xfId="0" applyFill="1" applyBorder="1"/>
    <xf numFmtId="0" fontId="0" fillId="0" borderId="10" xfId="0" applyFill="1" applyBorder="1" applyAlignment="1">
      <alignment horizontal="center" vertical="center" wrapText="1"/>
    </xf>
    <xf numFmtId="206" fontId="147" fillId="0" borderId="28" xfId="61064" applyNumberFormat="1" applyFont="1" applyBorder="1" applyAlignment="1">
      <alignment horizontal="right" vertical="top" wrapText="1"/>
    </xf>
    <xf numFmtId="0" fontId="124" fillId="0" borderId="0" xfId="42031" applyAlignment="1">
      <alignment horizontal="left"/>
    </xf>
    <xf numFmtId="0" fontId="124" fillId="0" borderId="0" xfId="42031" applyAlignment="1">
      <alignment horizontal="center" wrapText="1"/>
    </xf>
    <xf numFmtId="178" fontId="124" fillId="33" borderId="0" xfId="2" applyNumberFormat="1" applyFont="1" applyFill="1"/>
    <xf numFmtId="0" fontId="124" fillId="33" borderId="0" xfId="42031" applyFill="1"/>
    <xf numFmtId="206" fontId="147" fillId="33" borderId="28" xfId="61064" applyNumberFormat="1" applyFont="1" applyFill="1" applyBorder="1" applyAlignment="1">
      <alignment horizontal="right" vertical="top" wrapText="1"/>
    </xf>
    <xf numFmtId="10" fontId="0" fillId="0" borderId="0" xfId="2" applyNumberFormat="1" applyFont="1" applyFill="1"/>
    <xf numFmtId="207" fontId="0" fillId="0" borderId="0" xfId="0" applyNumberFormat="1"/>
    <xf numFmtId="0" fontId="68" fillId="0" borderId="72" xfId="0" applyFont="1" applyFill="1" applyBorder="1" applyAlignment="1">
      <alignment vertical="center" wrapText="1"/>
    </xf>
    <xf numFmtId="0" fontId="68" fillId="0" borderId="73" xfId="0" applyFont="1" applyFill="1" applyBorder="1" applyAlignment="1">
      <alignment horizontal="left" vertical="top" wrapText="1" indent="2"/>
    </xf>
    <xf numFmtId="0" fontId="37" fillId="0" borderId="73" xfId="0" applyFont="1" applyFill="1" applyBorder="1" applyAlignment="1">
      <alignment horizontal="left" vertical="top" indent="2"/>
    </xf>
    <xf numFmtId="0" fontId="68" fillId="0" borderId="73" xfId="0" applyFont="1" applyFill="1" applyBorder="1" applyAlignment="1">
      <alignment vertical="top" wrapText="1"/>
    </xf>
    <xf numFmtId="0" fontId="68" fillId="0" borderId="74" xfId="0" applyFont="1" applyFill="1" applyBorder="1" applyAlignment="1">
      <alignment horizontal="left" vertical="top" wrapText="1" indent="2"/>
    </xf>
    <xf numFmtId="0" fontId="37" fillId="0" borderId="73" xfId="0" applyFont="1" applyFill="1" applyBorder="1" applyAlignment="1">
      <alignment vertical="top" wrapText="1"/>
    </xf>
    <xf numFmtId="0" fontId="68" fillId="0" borderId="74" xfId="0" applyFont="1" applyFill="1" applyBorder="1" applyAlignment="1">
      <alignment vertical="top" wrapText="1"/>
    </xf>
    <xf numFmtId="0" fontId="76" fillId="0" borderId="71" xfId="0" applyFont="1" applyFill="1" applyBorder="1" applyAlignment="1">
      <alignment horizontal="center" vertical="center" wrapText="1"/>
    </xf>
    <xf numFmtId="179" fontId="37" fillId="0" borderId="73" xfId="0" applyNumberFormat="1" applyFont="1" applyFill="1" applyBorder="1" applyAlignment="1">
      <alignment vertical="center" wrapText="1"/>
    </xf>
    <xf numFmtId="0" fontId="138" fillId="112" borderId="19" xfId="0" applyFont="1" applyFill="1" applyBorder="1" applyAlignment="1">
      <alignment horizontal="center" vertical="center" wrapText="1"/>
    </xf>
    <xf numFmtId="167" fontId="138" fillId="0" borderId="16" xfId="0" applyNumberFormat="1" applyFont="1" applyFill="1" applyBorder="1" applyAlignment="1">
      <alignment horizontal="center" vertical="center" wrapText="1"/>
    </xf>
    <xf numFmtId="0" fontId="138" fillId="0" borderId="48" xfId="0" applyFont="1" applyFill="1" applyBorder="1" applyAlignment="1">
      <alignment horizontal="center" vertical="center" wrapText="1"/>
    </xf>
    <xf numFmtId="17" fontId="138" fillId="0" borderId="19" xfId="0" applyNumberFormat="1" applyFont="1" applyFill="1" applyBorder="1" applyAlignment="1">
      <alignment horizontal="center" vertical="center" wrapText="1"/>
    </xf>
    <xf numFmtId="0" fontId="138" fillId="0" borderId="16" xfId="0" applyFont="1" applyFill="1" applyBorder="1" applyAlignment="1">
      <alignment horizontal="center" vertical="center" wrapText="1"/>
    </xf>
    <xf numFmtId="17" fontId="138" fillId="0" borderId="10" xfId="0" applyNumberFormat="1" applyFont="1" applyFill="1" applyBorder="1" applyAlignment="1">
      <alignment horizontal="center" vertical="center" wrapText="1"/>
    </xf>
    <xf numFmtId="0" fontId="138" fillId="0" borderId="19" xfId="0" applyFont="1" applyFill="1" applyBorder="1" applyAlignment="1">
      <alignment horizontal="center" vertical="center" wrapText="1"/>
    </xf>
    <xf numFmtId="167" fontId="14" fillId="0" borderId="0" xfId="0" applyNumberFormat="1" applyFont="1"/>
    <xf numFmtId="0" fontId="138" fillId="0" borderId="19" xfId="0" applyFont="1" applyFill="1" applyBorder="1" applyAlignment="1">
      <alignment horizontal="center" vertical="center" wrapText="1"/>
    </xf>
    <xf numFmtId="49" fontId="138" fillId="0" borderId="19" xfId="0" applyNumberFormat="1" applyFont="1" applyFill="1" applyBorder="1" applyAlignment="1">
      <alignment horizontal="center" vertical="center" wrapText="1"/>
    </xf>
    <xf numFmtId="0" fontId="138" fillId="0" borderId="10" xfId="0" applyFont="1" applyFill="1" applyBorder="1" applyAlignment="1">
      <alignment horizontal="center" vertical="center" wrapText="1"/>
    </xf>
    <xf numFmtId="167" fontId="138" fillId="0" borderId="10" xfId="0" applyNumberFormat="1" applyFont="1" applyFill="1" applyBorder="1" applyAlignment="1">
      <alignment horizontal="center" vertical="center"/>
    </xf>
    <xf numFmtId="0" fontId="138" fillId="0" borderId="10" xfId="0" applyFont="1" applyFill="1" applyBorder="1" applyAlignment="1">
      <alignment wrapText="1"/>
    </xf>
    <xf numFmtId="167" fontId="138" fillId="0" borderId="10" xfId="0" applyNumberFormat="1" applyFont="1" applyFill="1" applyBorder="1" applyAlignment="1">
      <alignment horizontal="center" vertical="center" wrapText="1"/>
    </xf>
    <xf numFmtId="0" fontId="138" fillId="112" borderId="10" xfId="0" applyFont="1" applyFill="1" applyBorder="1" applyAlignment="1">
      <alignment horizontal="center" vertical="center" wrapText="1"/>
    </xf>
    <xf numFmtId="167" fontId="138" fillId="0" borderId="16" xfId="0" applyNumberFormat="1" applyFont="1" applyFill="1" applyBorder="1" applyAlignment="1">
      <alignment horizontal="center" vertical="center" wrapText="1"/>
    </xf>
    <xf numFmtId="0" fontId="138" fillId="0" borderId="16" xfId="0" applyFont="1" applyFill="1" applyBorder="1" applyAlignment="1">
      <alignment horizontal="center" vertical="center" wrapText="1"/>
    </xf>
    <xf numFmtId="17" fontId="138" fillId="0" borderId="10" xfId="0" applyNumberFormat="1" applyFont="1" applyFill="1" applyBorder="1" applyAlignment="1">
      <alignment horizontal="center" vertical="center" wrapText="1"/>
    </xf>
    <xf numFmtId="6" fontId="0" fillId="116" borderId="0" xfId="0" applyNumberFormat="1" applyFill="1"/>
    <xf numFmtId="0" fontId="0" fillId="0" borderId="10" xfId="0" applyBorder="1" applyAlignment="1"/>
    <xf numFmtId="0" fontId="0" fillId="0" borderId="0" xfId="0" applyBorder="1" applyAlignment="1"/>
    <xf numFmtId="0" fontId="144" fillId="0" borderId="0" xfId="0" applyFont="1" applyFill="1"/>
    <xf numFmtId="1" fontId="70" fillId="0" borderId="0" xfId="0" applyNumberFormat="1" applyFont="1" applyFill="1" applyAlignment="1">
      <alignment horizontal="center"/>
    </xf>
    <xf numFmtId="3" fontId="0" fillId="0" borderId="0" xfId="0" applyNumberFormat="1" applyFill="1"/>
    <xf numFmtId="0" fontId="16" fillId="0" borderId="0" xfId="0" applyFont="1" applyAlignment="1">
      <alignment horizontal="right"/>
    </xf>
    <xf numFmtId="167" fontId="16" fillId="0" borderId="0" xfId="0" applyNumberFormat="1" applyFont="1"/>
    <xf numFmtId="167" fontId="0" fillId="0" borderId="0" xfId="0" applyNumberFormat="1" applyFont="1" applyBorder="1"/>
    <xf numFmtId="9" fontId="0" fillId="0" borderId="0" xfId="0" applyNumberFormat="1"/>
    <xf numFmtId="0" fontId="148" fillId="0" borderId="0" xfId="0" applyFont="1" applyFill="1" applyBorder="1" applyAlignment="1">
      <alignment vertical="center"/>
    </xf>
    <xf numFmtId="0" fontId="149" fillId="0" borderId="0" xfId="0" applyFont="1" applyBorder="1"/>
    <xf numFmtId="0" fontId="149" fillId="0" borderId="0" xfId="0" applyFont="1"/>
    <xf numFmtId="0" fontId="149" fillId="0" borderId="0" xfId="0" applyFont="1" applyAlignment="1">
      <alignment wrapText="1"/>
    </xf>
    <xf numFmtId="0" fontId="148" fillId="34" borderId="10" xfId="0" applyFont="1" applyFill="1" applyBorder="1" applyAlignment="1">
      <alignment horizontal="center" vertical="center" wrapText="1"/>
    </xf>
    <xf numFmtId="0" fontId="149" fillId="0" borderId="0" xfId="0" applyFont="1" applyBorder="1" applyAlignment="1">
      <alignment wrapText="1"/>
    </xf>
    <xf numFmtId="0" fontId="150" fillId="34" borderId="17" xfId="0" applyFont="1" applyFill="1" applyBorder="1" applyAlignment="1">
      <alignment vertical="center"/>
    </xf>
    <xf numFmtId="0" fontId="150" fillId="34" borderId="18" xfId="0" applyFont="1" applyFill="1" applyBorder="1" applyAlignment="1">
      <alignment vertical="center"/>
    </xf>
    <xf numFmtId="179" fontId="148" fillId="0" borderId="10" xfId="0" applyNumberFormat="1" applyFont="1" applyFill="1" applyBorder="1" applyAlignment="1">
      <alignment vertical="center"/>
    </xf>
    <xf numFmtId="0" fontId="149" fillId="0" borderId="0" xfId="0" applyFont="1" applyFill="1"/>
    <xf numFmtId="179" fontId="152" fillId="0" borderId="10" xfId="1" applyNumberFormat="1" applyFont="1" applyFill="1" applyBorder="1"/>
    <xf numFmtId="0" fontId="151" fillId="0" borderId="0" xfId="0" applyFont="1" applyBorder="1" applyAlignment="1">
      <alignment vertical="center"/>
    </xf>
    <xf numFmtId="179" fontId="148" fillId="0" borderId="48" xfId="0" applyNumberFormat="1" applyFont="1" applyFill="1" applyBorder="1" applyAlignment="1">
      <alignment vertical="center" wrapText="1"/>
    </xf>
    <xf numFmtId="179" fontId="148" fillId="0" borderId="0" xfId="0" applyNumberFormat="1" applyFont="1" applyBorder="1" applyAlignment="1">
      <alignment vertical="center"/>
    </xf>
    <xf numFmtId="0" fontId="149" fillId="0" borderId="0" xfId="0" applyFont="1" applyFill="1" applyBorder="1"/>
    <xf numFmtId="179" fontId="148" fillId="0" borderId="49" xfId="0" applyNumberFormat="1" applyFont="1" applyFill="1" applyBorder="1" applyAlignment="1">
      <alignment horizontal="center" vertical="center"/>
    </xf>
    <xf numFmtId="179" fontId="148" fillId="0" borderId="49" xfId="0" applyNumberFormat="1" applyFont="1" applyFill="1" applyBorder="1" applyAlignment="1">
      <alignment vertical="center" wrapText="1"/>
    </xf>
    <xf numFmtId="179" fontId="148" fillId="0" borderId="0" xfId="0" applyNumberFormat="1" applyFont="1" applyFill="1" applyBorder="1" applyAlignment="1">
      <alignment vertical="center"/>
    </xf>
    <xf numFmtId="179" fontId="148" fillId="0" borderId="49" xfId="0" applyNumberFormat="1" applyFont="1" applyFill="1" applyBorder="1" applyAlignment="1">
      <alignment vertical="center"/>
    </xf>
    <xf numFmtId="179" fontId="148" fillId="0" borderId="50" xfId="0" applyNumberFormat="1" applyFont="1" applyFill="1" applyBorder="1" applyAlignment="1">
      <alignment vertical="center" wrapText="1"/>
    </xf>
    <xf numFmtId="179" fontId="151" fillId="0" borderId="0" xfId="0" applyNumberFormat="1" applyFont="1" applyBorder="1" applyAlignment="1">
      <alignment vertical="center"/>
    </xf>
    <xf numFmtId="179" fontId="71" fillId="0" borderId="10" xfId="0" applyNumberFormat="1" applyFont="1" applyFill="1" applyBorder="1" applyAlignment="1">
      <alignment vertical="center"/>
    </xf>
    <xf numFmtId="0" fontId="71" fillId="0" borderId="0" xfId="0" applyFont="1" applyFill="1" applyBorder="1"/>
    <xf numFmtId="179" fontId="71" fillId="0" borderId="49" xfId="0" applyNumberFormat="1" applyFont="1" applyFill="1" applyBorder="1" applyAlignment="1">
      <alignment vertical="center"/>
    </xf>
    <xf numFmtId="179" fontId="148" fillId="0" borderId="10" xfId="0" applyNumberFormat="1" applyFont="1" applyFill="1" applyBorder="1" applyAlignment="1">
      <alignment horizontal="right" vertical="center"/>
    </xf>
    <xf numFmtId="179" fontId="148" fillId="0" borderId="49" xfId="0" applyNumberFormat="1" applyFont="1" applyFill="1" applyBorder="1" applyAlignment="1">
      <alignment horizontal="right" vertical="center"/>
    </xf>
    <xf numFmtId="179" fontId="152" fillId="0" borderId="49" xfId="1" applyNumberFormat="1" applyFont="1" applyFill="1" applyBorder="1"/>
    <xf numFmtId="179" fontId="152" fillId="0" borderId="0" xfId="1" applyNumberFormat="1" applyFont="1" applyFill="1" applyBorder="1"/>
    <xf numFmtId="179" fontId="71" fillId="0" borderId="0" xfId="0" applyNumberFormat="1" applyFont="1" applyFill="1" applyBorder="1" applyAlignment="1">
      <alignment vertical="center"/>
    </xf>
    <xf numFmtId="0" fontId="153" fillId="0" borderId="0" xfId="0" applyFont="1" applyBorder="1"/>
    <xf numFmtId="0" fontId="153" fillId="0" borderId="0" xfId="0" applyFont="1"/>
    <xf numFmtId="167" fontId="149" fillId="0" borderId="0" xfId="0" applyNumberFormat="1" applyFont="1"/>
    <xf numFmtId="167" fontId="149" fillId="0" borderId="0" xfId="0" applyNumberFormat="1" applyFont="1" applyBorder="1"/>
    <xf numFmtId="167" fontId="151" fillId="0" borderId="0" xfId="0" applyNumberFormat="1" applyFont="1" applyBorder="1" applyAlignment="1">
      <alignment vertical="center"/>
    </xf>
    <xf numFmtId="2" fontId="150" fillId="34" borderId="10" xfId="48" applyNumberFormat="1" applyFont="1" applyFill="1" applyBorder="1" applyAlignment="1">
      <alignment horizontal="center" vertical="center"/>
    </xf>
    <xf numFmtId="179" fontId="154" fillId="33" borderId="10" xfId="1" applyNumberFormat="1" applyFont="1" applyFill="1" applyBorder="1" applyAlignment="1">
      <alignment horizontal="center"/>
    </xf>
    <xf numFmtId="0" fontId="37" fillId="0" borderId="72" xfId="0" applyFont="1" applyFill="1" applyBorder="1" applyAlignment="1">
      <alignment vertical="center" wrapText="1"/>
    </xf>
    <xf numFmtId="167" fontId="138" fillId="0" borderId="0" xfId="0" applyNumberFormat="1" applyFont="1"/>
    <xf numFmtId="0" fontId="138" fillId="0" borderId="0" xfId="0" applyFont="1" applyAlignment="1">
      <alignment horizontal="center"/>
    </xf>
    <xf numFmtId="167" fontId="0" fillId="0" borderId="0" xfId="0" applyNumberFormat="1" applyFont="1" applyFill="1" applyAlignment="1">
      <alignment horizontal="center"/>
    </xf>
    <xf numFmtId="0" fontId="16" fillId="0" borderId="0" xfId="0" applyFont="1" applyFill="1" applyBorder="1"/>
    <xf numFmtId="3" fontId="16" fillId="0" borderId="10" xfId="0" applyNumberFormat="1" applyFont="1" applyBorder="1" applyAlignment="1">
      <alignment horizontal="center" vertical="center" wrapText="1"/>
    </xf>
    <xf numFmtId="0" fontId="16" fillId="112" borderId="10" xfId="0" applyFont="1" applyFill="1" applyBorder="1" applyAlignment="1">
      <alignment horizontal="center" vertical="center" wrapText="1"/>
    </xf>
    <xf numFmtId="3" fontId="16" fillId="112" borderId="10" xfId="0" applyNumberFormat="1" applyFont="1" applyFill="1" applyBorder="1" applyAlignment="1">
      <alignment horizontal="center" vertical="center" wrapText="1"/>
    </xf>
    <xf numFmtId="0" fontId="16" fillId="35" borderId="10" xfId="0" applyFont="1" applyFill="1" applyBorder="1" applyAlignment="1">
      <alignment horizontal="center" vertical="center" wrapText="1"/>
    </xf>
    <xf numFmtId="3" fontId="16" fillId="35" borderId="10" xfId="0" applyNumberFormat="1" applyFont="1" applyFill="1" applyBorder="1" applyAlignment="1">
      <alignment horizontal="center" vertical="center" wrapText="1"/>
    </xf>
    <xf numFmtId="9" fontId="149" fillId="0" borderId="0" xfId="2" applyFont="1"/>
    <xf numFmtId="0" fontId="124" fillId="0" borderId="0" xfId="61065"/>
    <xf numFmtId="0" fontId="155" fillId="0" borderId="30" xfId="61065" applyNumberFormat="1" applyFont="1" applyBorder="1" applyAlignment="1">
      <alignment horizontal="center" vertical="center" wrapText="1"/>
    </xf>
    <xf numFmtId="0" fontId="155" fillId="0" borderId="31" xfId="61065" applyNumberFormat="1" applyFont="1" applyBorder="1" applyAlignment="1">
      <alignment horizontal="center" vertical="center" wrapText="1"/>
    </xf>
    <xf numFmtId="0" fontId="155" fillId="0" borderId="26" xfId="61065" applyNumberFormat="1" applyFont="1" applyBorder="1" applyAlignment="1">
      <alignment horizontal="center" vertical="center" wrapText="1"/>
    </xf>
    <xf numFmtId="0" fontId="155" fillId="0" borderId="33" xfId="61065" applyNumberFormat="1" applyFont="1" applyBorder="1" applyAlignment="1">
      <alignment horizontal="center" vertical="center" wrapText="1"/>
    </xf>
    <xf numFmtId="205" fontId="156" fillId="0" borderId="28" xfId="61065" applyNumberFormat="1" applyFont="1" applyBorder="1" applyAlignment="1">
      <alignment horizontal="right" vertical="top" wrapText="1"/>
    </xf>
    <xf numFmtId="206" fontId="156" fillId="0" borderId="28" xfId="61065" applyNumberFormat="1" applyFont="1" applyBorder="1" applyAlignment="1">
      <alignment horizontal="right" vertical="top" wrapText="1"/>
    </xf>
    <xf numFmtId="206" fontId="156" fillId="0" borderId="0" xfId="61065" applyNumberFormat="1" applyFont="1" applyAlignment="1">
      <alignment horizontal="right" vertical="top" wrapText="1"/>
    </xf>
    <xf numFmtId="206" fontId="156" fillId="0" borderId="32" xfId="61065" applyNumberFormat="1" applyFont="1" applyBorder="1" applyAlignment="1">
      <alignment horizontal="right" vertical="top" wrapText="1"/>
    </xf>
    <xf numFmtId="0" fontId="156" fillId="0" borderId="0" xfId="61065" applyNumberFormat="1" applyFont="1" applyAlignment="1">
      <alignment horizontal="left" vertical="top" wrapText="1"/>
    </xf>
    <xf numFmtId="0" fontId="156" fillId="0" borderId="34" xfId="61065" applyNumberFormat="1" applyFont="1" applyBorder="1" applyAlignment="1">
      <alignment vertical="top" wrapText="1"/>
    </xf>
    <xf numFmtId="9" fontId="0" fillId="0" borderId="10" xfId="0" applyNumberFormat="1" applyBorder="1"/>
    <xf numFmtId="0" fontId="149" fillId="0" borderId="0" xfId="0" applyFont="1" applyAlignment="1">
      <alignment horizontal="center"/>
    </xf>
    <xf numFmtId="0" fontId="150" fillId="34" borderId="17" xfId="0" applyFont="1" applyFill="1" applyBorder="1" applyAlignment="1">
      <alignment horizontal="center" vertical="center"/>
    </xf>
    <xf numFmtId="0" fontId="148" fillId="0" borderId="48" xfId="0" applyFont="1" applyFill="1" applyBorder="1" applyAlignment="1">
      <alignment horizontal="center" vertical="center"/>
    </xf>
    <xf numFmtId="0" fontId="151" fillId="0" borderId="16" xfId="0" applyFont="1" applyBorder="1" applyAlignment="1">
      <alignment horizontal="center" vertical="center"/>
    </xf>
    <xf numFmtId="179" fontId="148" fillId="0" borderId="48" xfId="0" applyNumberFormat="1" applyFont="1" applyFill="1" applyBorder="1" applyAlignment="1">
      <alignment horizontal="center" vertical="center" wrapText="1"/>
    </xf>
    <xf numFmtId="179" fontId="148" fillId="0" borderId="78" xfId="0" applyNumberFormat="1" applyFont="1" applyFill="1" applyBorder="1" applyAlignment="1">
      <alignment horizontal="center" vertical="center" wrapText="1"/>
    </xf>
    <xf numFmtId="179" fontId="148" fillId="0" borderId="49" xfId="0" applyNumberFormat="1" applyFont="1" applyFill="1" applyBorder="1" applyAlignment="1">
      <alignment horizontal="center" vertical="center" wrapText="1"/>
    </xf>
    <xf numFmtId="179" fontId="148" fillId="0" borderId="50" xfId="0" applyNumberFormat="1" applyFont="1" applyFill="1" applyBorder="1" applyAlignment="1">
      <alignment horizontal="center" vertical="center" wrapText="1"/>
    </xf>
    <xf numFmtId="179" fontId="151" fillId="0" borderId="50" xfId="0" applyNumberFormat="1" applyFont="1" applyBorder="1" applyAlignment="1">
      <alignment horizontal="center" vertical="center"/>
    </xf>
    <xf numFmtId="179" fontId="148" fillId="0" borderId="10" xfId="0" applyNumberFormat="1" applyFont="1" applyFill="1" applyBorder="1" applyAlignment="1">
      <alignment horizontal="center" vertical="center"/>
    </xf>
    <xf numFmtId="179" fontId="151" fillId="0" borderId="49" xfId="0" applyNumberFormat="1" applyFont="1" applyFill="1" applyBorder="1" applyAlignment="1">
      <alignment horizontal="center" vertical="center"/>
    </xf>
    <xf numFmtId="179" fontId="148" fillId="0" borderId="48" xfId="0" applyNumberFormat="1" applyFont="1" applyFill="1" applyBorder="1" applyAlignment="1">
      <alignment horizontal="center" vertical="center"/>
    </xf>
    <xf numFmtId="179" fontId="151" fillId="0" borderId="0" xfId="0" applyNumberFormat="1" applyFont="1" applyBorder="1" applyAlignment="1">
      <alignment horizontal="center" vertical="center"/>
    </xf>
    <xf numFmtId="179" fontId="71" fillId="0" borderId="16" xfId="0" applyNumberFormat="1" applyFont="1" applyFill="1" applyBorder="1" applyAlignment="1">
      <alignment horizontal="center" vertical="center"/>
    </xf>
    <xf numFmtId="179" fontId="151" fillId="0" borderId="16" xfId="0" applyNumberFormat="1" applyFont="1" applyBorder="1" applyAlignment="1">
      <alignment horizontal="center" vertical="center"/>
    </xf>
    <xf numFmtId="167" fontId="149" fillId="0" borderId="0" xfId="0" applyNumberFormat="1" applyFont="1" applyAlignment="1">
      <alignment horizontal="center"/>
    </xf>
    <xf numFmtId="167" fontId="151" fillId="0" borderId="16" xfId="0" applyNumberFormat="1" applyFont="1" applyBorder="1" applyAlignment="1">
      <alignment horizontal="center" vertical="center"/>
    </xf>
    <xf numFmtId="0" fontId="150" fillId="34" borderId="16" xfId="0" applyFont="1" applyFill="1" applyBorder="1" applyAlignment="1">
      <alignment horizontal="center" vertical="center"/>
    </xf>
    <xf numFmtId="0" fontId="150" fillId="34" borderId="10" xfId="0" applyFont="1" applyFill="1" applyBorder="1" applyAlignment="1">
      <alignment horizontal="center" vertical="center"/>
    </xf>
    <xf numFmtId="0" fontId="0" fillId="0" borderId="0" xfId="0" applyAlignment="1">
      <alignment vertical="center" wrapText="1"/>
    </xf>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0" fontId="157" fillId="0" borderId="0" xfId="0" applyFont="1"/>
    <xf numFmtId="1" fontId="16" fillId="0" borderId="10" xfId="0" applyNumberFormat="1" applyFont="1" applyBorder="1"/>
    <xf numFmtId="0" fontId="16" fillId="0" borderId="64" xfId="0" applyFont="1" applyBorder="1"/>
    <xf numFmtId="3" fontId="16" fillId="0" borderId="64" xfId="0" applyNumberFormat="1" applyFont="1" applyBorder="1"/>
    <xf numFmtId="1" fontId="16" fillId="0" borderId="64" xfId="0" applyNumberFormat="1" applyFont="1" applyBorder="1"/>
    <xf numFmtId="167" fontId="16" fillId="0" borderId="64" xfId="0" applyNumberFormat="1" applyFont="1" applyBorder="1"/>
    <xf numFmtId="0" fontId="16" fillId="0" borderId="10" xfId="0" applyFont="1" applyFill="1" applyBorder="1" applyAlignment="1">
      <alignment horizontal="center" vertical="center" wrapText="1"/>
    </xf>
    <xf numFmtId="0" fontId="16" fillId="0" borderId="10" xfId="0" applyFont="1" applyBorder="1" applyAlignment="1">
      <alignment horizontal="center" wrapText="1"/>
    </xf>
    <xf numFmtId="0" fontId="16" fillId="0" borderId="10" xfId="0" applyFont="1" applyFill="1" applyBorder="1"/>
    <xf numFmtId="178" fontId="154" fillId="33" borderId="10" xfId="2" applyNumberFormat="1" applyFont="1" applyFill="1" applyBorder="1" applyAlignment="1">
      <alignment horizontal="center"/>
    </xf>
    <xf numFmtId="179" fontId="148" fillId="0" borderId="79" xfId="0" applyNumberFormat="1" applyFont="1" applyFill="1" applyBorder="1" applyAlignment="1">
      <alignment vertical="center"/>
    </xf>
    <xf numFmtId="179" fontId="148" fillId="0" borderId="79" xfId="0" applyNumberFormat="1" applyFont="1" applyFill="1" applyBorder="1" applyAlignment="1">
      <alignment horizontal="center" vertical="center"/>
    </xf>
    <xf numFmtId="179" fontId="148" fillId="0" borderId="78" xfId="0" applyNumberFormat="1" applyFont="1" applyFill="1" applyBorder="1" applyAlignment="1">
      <alignment horizontal="center" vertical="center"/>
    </xf>
    <xf numFmtId="179" fontId="71" fillId="0" borderId="79" xfId="0" applyNumberFormat="1" applyFont="1" applyFill="1" applyBorder="1" applyAlignment="1">
      <alignment vertical="center"/>
    </xf>
    <xf numFmtId="179" fontId="151" fillId="0" borderId="64" xfId="0" applyNumberFormat="1" applyFont="1" applyFill="1" applyBorder="1" applyAlignment="1">
      <alignment horizontal="center" vertical="center"/>
    </xf>
    <xf numFmtId="179" fontId="152" fillId="0" borderId="64" xfId="1" applyNumberFormat="1" applyFont="1" applyFill="1" applyBorder="1"/>
    <xf numFmtId="179" fontId="148" fillId="0" borderId="64" xfId="0" applyNumberFormat="1" applyFont="1" applyFill="1" applyBorder="1" applyAlignment="1">
      <alignment vertical="center"/>
    </xf>
    <xf numFmtId="0" fontId="149" fillId="0" borderId="64" xfId="0" applyFont="1" applyBorder="1"/>
    <xf numFmtId="179" fontId="151" fillId="0" borderId="64" xfId="0" applyNumberFormat="1" applyFont="1" applyBorder="1" applyAlignment="1">
      <alignment horizontal="center" vertical="center"/>
    </xf>
    <xf numFmtId="179" fontId="148" fillId="0" borderId="19" xfId="0" applyNumberFormat="1" applyFont="1" applyFill="1" applyBorder="1" applyAlignment="1">
      <alignment vertical="center"/>
    </xf>
    <xf numFmtId="179" fontId="148" fillId="0" borderId="64" xfId="0" applyNumberFormat="1" applyFont="1" applyFill="1" applyBorder="1" applyAlignment="1">
      <alignment horizontal="center" vertical="center"/>
    </xf>
    <xf numFmtId="0" fontId="19" fillId="0" borderId="0" xfId="45" applyAlignment="1">
      <alignment vertical="center"/>
    </xf>
    <xf numFmtId="0" fontId="158" fillId="0" borderId="0" xfId="0" applyFont="1" applyAlignment="1">
      <alignment vertical="center"/>
    </xf>
    <xf numFmtId="167" fontId="159" fillId="0" borderId="10" xfId="0" applyNumberFormat="1" applyFont="1" applyBorder="1" applyAlignment="1">
      <alignment horizontal="center" vertical="center" wrapText="1"/>
    </xf>
    <xf numFmtId="167" fontId="14" fillId="0" borderId="10" xfId="0" applyNumberFormat="1" applyFont="1" applyBorder="1"/>
    <xf numFmtId="167" fontId="159" fillId="0" borderId="10" xfId="0" applyNumberFormat="1" applyFont="1" applyBorder="1"/>
    <xf numFmtId="167" fontId="159" fillId="35" borderId="10" xfId="0" applyNumberFormat="1" applyFont="1" applyFill="1" applyBorder="1" applyAlignment="1">
      <alignment horizontal="center" vertical="center" wrapText="1"/>
    </xf>
    <xf numFmtId="179" fontId="148" fillId="0" borderId="64" xfId="0" applyNumberFormat="1" applyFont="1" applyFill="1" applyBorder="1" applyAlignment="1">
      <alignment horizontal="right" vertical="center"/>
    </xf>
    <xf numFmtId="0" fontId="0" fillId="0" borderId="0" xfId="0" applyFill="1" applyAlignment="1">
      <alignment horizontal="center"/>
    </xf>
    <xf numFmtId="0" fontId="21" fillId="0" borderId="0" xfId="0" applyFont="1" applyFill="1" applyBorder="1" applyAlignment="1">
      <alignment horizontal="left" vertical="center"/>
    </xf>
    <xf numFmtId="14" fontId="0" fillId="0" borderId="0" xfId="0" applyNumberFormat="1"/>
    <xf numFmtId="0" fontId="130" fillId="82" borderId="53" xfId="0" applyNumberFormat="1" applyFont="1" applyFill="1" applyBorder="1" applyAlignment="1" applyProtection="1">
      <alignment horizontal="center" wrapText="1"/>
    </xf>
    <xf numFmtId="0" fontId="43" fillId="81" borderId="53" xfId="0" applyNumberFormat="1" applyFont="1" applyFill="1" applyBorder="1" applyAlignment="1" applyProtection="1">
      <alignment horizontal="left" wrapText="1"/>
    </xf>
    <xf numFmtId="0" fontId="43" fillId="81" borderId="53" xfId="0" applyNumberFormat="1" applyFont="1" applyFill="1" applyBorder="1" applyAlignment="1" applyProtection="1">
      <alignment horizontal="right" wrapText="1"/>
    </xf>
    <xf numFmtId="0" fontId="0" fillId="0" borderId="0" xfId="0"/>
    <xf numFmtId="0" fontId="164" fillId="81" borderId="0" xfId="0" applyNumberFormat="1" applyFont="1" applyFill="1" applyBorder="1" applyAlignment="1" applyProtection="1"/>
    <xf numFmtId="0" fontId="130" fillId="82" borderId="53" xfId="0" applyNumberFormat="1" applyFont="1" applyFill="1" applyBorder="1" applyAlignment="1" applyProtection="1">
      <alignment horizontal="center" wrapText="1"/>
    </xf>
    <xf numFmtId="0" fontId="43" fillId="81" borderId="53" xfId="0" applyNumberFormat="1" applyFont="1" applyFill="1" applyBorder="1" applyAlignment="1" applyProtection="1">
      <alignment horizontal="left" wrapText="1"/>
    </xf>
    <xf numFmtId="0" fontId="43" fillId="81" borderId="53" xfId="0" applyNumberFormat="1" applyFont="1" applyFill="1" applyBorder="1" applyAlignment="1" applyProtection="1">
      <alignment horizontal="right" wrapText="1"/>
    </xf>
    <xf numFmtId="0" fontId="0" fillId="0" borderId="10" xfId="0" applyBorder="1" applyAlignment="1">
      <alignment horizontal="center"/>
    </xf>
    <xf numFmtId="0" fontId="16" fillId="0" borderId="10" xfId="0" applyFont="1" applyBorder="1" applyAlignment="1">
      <alignment horizontal="center" vertical="center" wrapText="1"/>
    </xf>
    <xf numFmtId="0" fontId="0" fillId="0" borderId="16" xfId="0" applyBorder="1" applyAlignment="1">
      <alignment horizontal="center"/>
    </xf>
    <xf numFmtId="0" fontId="0" fillId="0" borderId="12" xfId="0" applyBorder="1"/>
    <xf numFmtId="0" fontId="0" fillId="0" borderId="83" xfId="0" applyBorder="1"/>
    <xf numFmtId="0" fontId="166" fillId="119" borderId="89" xfId="0" applyFont="1" applyFill="1" applyBorder="1" applyAlignment="1">
      <alignment horizontal="center" vertical="center" wrapText="1"/>
    </xf>
    <xf numFmtId="0" fontId="166" fillId="119" borderId="93" xfId="0" applyFont="1" applyFill="1" applyBorder="1" applyAlignment="1">
      <alignment horizontal="center" vertical="center" wrapText="1"/>
    </xf>
    <xf numFmtId="0" fontId="0" fillId="0" borderId="94" xfId="0" applyBorder="1"/>
    <xf numFmtId="0" fontId="0" fillId="0" borderId="95" xfId="0" applyBorder="1"/>
    <xf numFmtId="0" fontId="0" fillId="0" borderId="96" xfId="0" applyBorder="1"/>
    <xf numFmtId="0" fontId="0" fillId="0" borderId="97" xfId="0" applyBorder="1"/>
    <xf numFmtId="0" fontId="168" fillId="119" borderId="93" xfId="0" applyFont="1" applyFill="1" applyBorder="1" applyAlignment="1">
      <alignment horizontal="center" vertical="center" wrapText="1"/>
    </xf>
    <xf numFmtId="0" fontId="169" fillId="120" borderId="98" xfId="0" applyFont="1" applyFill="1" applyBorder="1" applyAlignment="1">
      <alignment horizontal="center" vertical="center" wrapText="1"/>
    </xf>
    <xf numFmtId="0" fontId="170" fillId="120" borderId="99" xfId="0" applyFont="1" applyFill="1" applyBorder="1" applyAlignment="1">
      <alignment horizontal="center" vertical="center" wrapText="1"/>
    </xf>
    <xf numFmtId="0" fontId="170" fillId="120" borderId="100" xfId="0" applyFont="1" applyFill="1" applyBorder="1" applyAlignment="1">
      <alignment horizontal="center" vertical="center" wrapText="1"/>
    </xf>
    <xf numFmtId="0" fontId="169" fillId="120" borderId="100" xfId="0" applyFont="1" applyFill="1" applyBorder="1" applyAlignment="1">
      <alignment horizontal="center" vertical="center" wrapText="1"/>
    </xf>
    <xf numFmtId="0" fontId="170" fillId="120" borderId="101" xfId="0" applyFont="1" applyFill="1" applyBorder="1" applyAlignment="1">
      <alignment horizontal="center" vertical="center" wrapText="1"/>
    </xf>
    <xf numFmtId="0" fontId="170" fillId="120" borderId="102" xfId="0" applyFont="1" applyFill="1" applyBorder="1" applyAlignment="1">
      <alignment horizontal="center" vertical="center" wrapText="1"/>
    </xf>
    <xf numFmtId="0" fontId="169" fillId="120" borderId="102" xfId="0" applyFont="1" applyFill="1" applyBorder="1" applyAlignment="1">
      <alignment horizontal="center" vertical="center" wrapText="1"/>
    </xf>
    <xf numFmtId="0" fontId="170" fillId="120" borderId="103" xfId="0" applyFont="1" applyFill="1" applyBorder="1" applyAlignment="1">
      <alignment horizontal="center" vertical="center" wrapText="1"/>
    </xf>
    <xf numFmtId="209" fontId="16" fillId="0" borderId="104" xfId="0" applyNumberFormat="1" applyFont="1" applyBorder="1"/>
    <xf numFmtId="209" fontId="16" fillId="0" borderId="19" xfId="0" applyNumberFormat="1" applyFont="1" applyBorder="1"/>
    <xf numFmtId="209" fontId="16" fillId="0" borderId="48" xfId="0" applyNumberFormat="1" applyFont="1" applyBorder="1"/>
    <xf numFmtId="208" fontId="0" fillId="0" borderId="104" xfId="0" applyNumberFormat="1" applyBorder="1"/>
    <xf numFmtId="208" fontId="0" fillId="0" borderId="105" xfId="0" applyNumberFormat="1" applyBorder="1"/>
    <xf numFmtId="0" fontId="169" fillId="120" borderId="106" xfId="0" applyFont="1" applyFill="1" applyBorder="1" applyAlignment="1">
      <alignment horizontal="center" vertical="center" wrapText="1"/>
    </xf>
    <xf numFmtId="2" fontId="170" fillId="120" borderId="102" xfId="0" applyNumberFormat="1" applyFont="1" applyFill="1" applyBorder="1" applyAlignment="1">
      <alignment horizontal="center" vertical="center" wrapText="1"/>
    </xf>
    <xf numFmtId="2" fontId="169" fillId="120" borderId="102" xfId="0" applyNumberFormat="1" applyFont="1" applyFill="1" applyBorder="1" applyAlignment="1">
      <alignment horizontal="center" vertical="center" wrapText="1"/>
    </xf>
    <xf numFmtId="2" fontId="170" fillId="120" borderId="103" xfId="0" applyNumberFormat="1" applyFont="1" applyFill="1" applyBorder="1" applyAlignment="1">
      <alignment horizontal="center" vertical="center" wrapText="1"/>
    </xf>
    <xf numFmtId="0" fontId="146" fillId="0" borderId="98" xfId="0" applyFont="1" applyBorder="1" applyAlignment="1">
      <alignment horizontal="center" vertical="center" wrapText="1"/>
    </xf>
    <xf numFmtId="1" fontId="171" fillId="0" borderId="107" xfId="0" applyNumberFormat="1" applyFont="1" applyBorder="1" applyAlignment="1">
      <alignment horizontal="center" vertical="center" wrapText="1"/>
    </xf>
    <xf numFmtId="208" fontId="171" fillId="0" borderId="102" xfId="0" applyNumberFormat="1" applyFont="1" applyBorder="1" applyAlignment="1">
      <alignment horizontal="center" vertical="center" wrapText="1"/>
    </xf>
    <xf numFmtId="1" fontId="171" fillId="0" borderId="102" xfId="0" applyNumberFormat="1" applyFont="1" applyBorder="1" applyAlignment="1">
      <alignment horizontal="center" vertical="center" wrapText="1"/>
    </xf>
    <xf numFmtId="208" fontId="171" fillId="0" borderId="108" xfId="0" applyNumberFormat="1" applyFont="1" applyBorder="1" applyAlignment="1">
      <alignment horizontal="center" vertical="center" wrapText="1"/>
    </xf>
    <xf numFmtId="209" fontId="16" fillId="0" borderId="13" xfId="0" applyNumberFormat="1" applyFont="1" applyBorder="1"/>
    <xf numFmtId="209" fontId="16" fillId="0" borderId="10" xfId="0" applyNumberFormat="1" applyFont="1" applyBorder="1"/>
    <xf numFmtId="209" fontId="16" fillId="0" borderId="16" xfId="0" applyNumberFormat="1" applyFont="1" applyBorder="1"/>
    <xf numFmtId="208" fontId="0" fillId="0" borderId="13" xfId="0" applyNumberFormat="1" applyBorder="1"/>
    <xf numFmtId="208" fontId="0" fillId="0" borderId="76" xfId="0" applyNumberFormat="1" applyBorder="1"/>
    <xf numFmtId="0" fontId="146" fillId="0" borderId="106" xfId="0" applyFont="1" applyBorder="1" applyAlignment="1">
      <alignment horizontal="center" vertical="center" wrapText="1"/>
    </xf>
    <xf numFmtId="208" fontId="146" fillId="0" borderId="102" xfId="0" applyNumberFormat="1" applyFont="1" applyBorder="1" applyAlignment="1">
      <alignment horizontal="center" vertical="center" wrapText="1"/>
    </xf>
    <xf numFmtId="2" fontId="146" fillId="0" borderId="102" xfId="0" applyNumberFormat="1" applyFont="1" applyBorder="1" applyAlignment="1">
      <alignment horizontal="center" vertical="center" wrapText="1"/>
    </xf>
    <xf numFmtId="2" fontId="146" fillId="0" borderId="103" xfId="0" applyNumberFormat="1" applyFont="1" applyBorder="1" applyAlignment="1">
      <alignment horizontal="center" vertical="center" wrapText="1"/>
    </xf>
    <xf numFmtId="209" fontId="0" fillId="0" borderId="13" xfId="0" applyNumberFormat="1" applyBorder="1"/>
    <xf numFmtId="209" fontId="0" fillId="0" borderId="16" xfId="0" applyNumberFormat="1" applyBorder="1"/>
    <xf numFmtId="0" fontId="170" fillId="120" borderId="107" xfId="0" applyFont="1" applyFill="1" applyBorder="1" applyAlignment="1">
      <alignment horizontal="center" vertical="center" wrapText="1"/>
    </xf>
    <xf numFmtId="0" fontId="169" fillId="120" borderId="108" xfId="0" applyFont="1" applyFill="1" applyBorder="1" applyAlignment="1">
      <alignment horizontal="center" vertical="center" wrapText="1"/>
    </xf>
    <xf numFmtId="0" fontId="169" fillId="120" borderId="103" xfId="0" applyFont="1" applyFill="1" applyBorder="1" applyAlignment="1">
      <alignment horizontal="center" vertical="center" wrapText="1"/>
    </xf>
    <xf numFmtId="208" fontId="170" fillId="120" borderId="102" xfId="0" applyNumberFormat="1" applyFont="1" applyFill="1" applyBorder="1" applyAlignment="1">
      <alignment horizontal="center" vertical="center" wrapText="1"/>
    </xf>
    <xf numFmtId="208" fontId="169" fillId="120" borderId="102" xfId="0" applyNumberFormat="1" applyFont="1" applyFill="1" applyBorder="1" applyAlignment="1">
      <alignment horizontal="center" vertical="center" wrapText="1"/>
    </xf>
    <xf numFmtId="2" fontId="169" fillId="120" borderId="103" xfId="0" applyNumberFormat="1" applyFont="1" applyFill="1" applyBorder="1" applyAlignment="1">
      <alignment horizontal="center" vertical="center" wrapText="1"/>
    </xf>
    <xf numFmtId="0" fontId="146" fillId="121" borderId="98" xfId="0" applyFont="1" applyFill="1" applyBorder="1" applyAlignment="1">
      <alignment horizontal="center" vertical="center" wrapText="1"/>
    </xf>
    <xf numFmtId="0" fontId="171" fillId="121" borderId="107" xfId="0" applyFont="1" applyFill="1" applyBorder="1" applyAlignment="1">
      <alignment horizontal="center" vertical="center" wrapText="1"/>
    </xf>
    <xf numFmtId="0" fontId="146" fillId="121" borderId="102" xfId="0" applyFont="1" applyFill="1" applyBorder="1" applyAlignment="1">
      <alignment horizontal="center" vertical="center" wrapText="1"/>
    </xf>
    <xf numFmtId="0" fontId="146" fillId="121" borderId="108" xfId="0" applyFont="1" applyFill="1" applyBorder="1" applyAlignment="1">
      <alignment horizontal="center" vertical="center" wrapText="1"/>
    </xf>
    <xf numFmtId="0" fontId="171" fillId="121" borderId="102" xfId="0" applyFont="1" applyFill="1" applyBorder="1" applyAlignment="1">
      <alignment horizontal="center" vertical="center" wrapText="1"/>
    </xf>
    <xf numFmtId="0" fontId="146" fillId="121" borderId="103" xfId="0" applyFont="1" applyFill="1" applyBorder="1" applyAlignment="1">
      <alignment horizontal="center" vertical="center" wrapText="1"/>
    </xf>
    <xf numFmtId="209" fontId="0" fillId="33" borderId="13" xfId="0" applyNumberFormat="1" applyFill="1" applyBorder="1"/>
    <xf numFmtId="209" fontId="0" fillId="33" borderId="10" xfId="0" applyNumberFormat="1" applyFill="1" applyBorder="1"/>
    <xf numFmtId="209" fontId="0" fillId="33" borderId="16" xfId="0" applyNumberFormat="1" applyFill="1" applyBorder="1"/>
    <xf numFmtId="208" fontId="0" fillId="33" borderId="13" xfId="0" applyNumberFormat="1" applyFill="1" applyBorder="1"/>
    <xf numFmtId="208" fontId="0" fillId="33" borderId="76" xfId="0" applyNumberFormat="1" applyFill="1" applyBorder="1"/>
    <xf numFmtId="0" fontId="146" fillId="121" borderId="106" xfId="0" applyFont="1" applyFill="1" applyBorder="1" applyAlignment="1">
      <alignment horizontal="center" vertical="center" wrapText="1"/>
    </xf>
    <xf numFmtId="208" fontId="171" fillId="121" borderId="102" xfId="0" applyNumberFormat="1" applyFont="1" applyFill="1" applyBorder="1" applyAlignment="1">
      <alignment horizontal="center" vertical="center" wrapText="1"/>
    </xf>
    <xf numFmtId="208" fontId="146" fillId="121" borderId="102" xfId="0" applyNumberFormat="1" applyFont="1" applyFill="1" applyBorder="1" applyAlignment="1">
      <alignment horizontal="center" vertical="center" wrapText="1"/>
    </xf>
    <xf numFmtId="2" fontId="146" fillId="121" borderId="102" xfId="0" applyNumberFormat="1" applyFont="1" applyFill="1" applyBorder="1" applyAlignment="1">
      <alignment horizontal="center" vertical="center" wrapText="1"/>
    </xf>
    <xf numFmtId="2" fontId="146" fillId="121" borderId="103" xfId="0" applyNumberFormat="1" applyFont="1" applyFill="1" applyBorder="1" applyAlignment="1">
      <alignment horizontal="center" vertical="center" wrapText="1"/>
    </xf>
    <xf numFmtId="209" fontId="0" fillId="33" borderId="94" xfId="0" applyNumberFormat="1" applyFill="1" applyBorder="1"/>
    <xf numFmtId="209" fontId="0" fillId="33" borderId="95" xfId="0" applyNumberFormat="1" applyFill="1" applyBorder="1"/>
    <xf numFmtId="209" fontId="0" fillId="33" borderId="96" xfId="0" applyNumberFormat="1" applyFill="1" applyBorder="1"/>
    <xf numFmtId="208" fontId="0" fillId="33" borderId="94" xfId="0" applyNumberFormat="1" applyFill="1" applyBorder="1"/>
    <xf numFmtId="208" fontId="0" fillId="33" borderId="97" xfId="0" applyNumberFormat="1" applyFill="1" applyBorder="1"/>
    <xf numFmtId="0" fontId="146" fillId="121" borderId="109" xfId="0" applyFont="1" applyFill="1" applyBorder="1" applyAlignment="1">
      <alignment horizontal="center" vertical="center" wrapText="1"/>
    </xf>
    <xf numFmtId="0" fontId="171" fillId="121" borderId="110" xfId="0" applyFont="1" applyFill="1" applyBorder="1" applyAlignment="1">
      <alignment horizontal="center" vertical="center" wrapText="1"/>
    </xf>
    <xf numFmtId="0" fontId="171" fillId="121" borderId="111" xfId="0" applyFont="1" applyFill="1" applyBorder="1" applyAlignment="1">
      <alignment horizontal="center" vertical="center" wrapText="1"/>
    </xf>
    <xf numFmtId="0" fontId="146" fillId="121" borderId="111" xfId="0" applyFont="1" applyFill="1" applyBorder="1" applyAlignment="1">
      <alignment horizontal="center" vertical="center" wrapText="1"/>
    </xf>
    <xf numFmtId="0" fontId="171" fillId="121" borderId="112" xfId="0" applyFont="1" applyFill="1" applyBorder="1" applyAlignment="1">
      <alignment horizontal="center" vertical="center" wrapText="1"/>
    </xf>
    <xf numFmtId="0" fontId="171" fillId="121" borderId="93" xfId="0" applyFont="1" applyFill="1" applyBorder="1" applyAlignment="1">
      <alignment horizontal="center" vertical="center" wrapText="1"/>
    </xf>
    <xf numFmtId="2" fontId="0" fillId="0" borderId="19" xfId="0" applyNumberFormat="1" applyFont="1" applyBorder="1"/>
    <xf numFmtId="172" fontId="0" fillId="0" borderId="0" xfId="48" applyNumberFormat="1" applyFont="1" applyFill="1"/>
    <xf numFmtId="3" fontId="70" fillId="0" borderId="10" xfId="0" applyNumberFormat="1" applyFont="1" applyFill="1" applyBorder="1" applyAlignment="1">
      <alignment horizontal="right" vertical="center" wrapText="1"/>
    </xf>
    <xf numFmtId="167" fontId="16" fillId="0" borderId="10" xfId="0" applyNumberFormat="1" applyFont="1" applyFill="1" applyBorder="1"/>
    <xf numFmtId="0" fontId="21" fillId="0" borderId="114" xfId="0" applyFont="1" applyFill="1" applyBorder="1" applyAlignment="1">
      <alignment horizontal="right" vertical="center"/>
    </xf>
    <xf numFmtId="2" fontId="0" fillId="0" borderId="0" xfId="0" applyNumberFormat="1" applyAlignment="1">
      <alignment wrapText="1"/>
    </xf>
    <xf numFmtId="2" fontId="0" fillId="0" borderId="0" xfId="48" applyNumberFormat="1" applyFont="1"/>
    <xf numFmtId="2" fontId="0" fillId="0" borderId="0" xfId="48" applyNumberFormat="1" applyFont="1" applyFill="1"/>
    <xf numFmtId="1" fontId="0" fillId="0" borderId="0" xfId="48" applyNumberFormat="1" applyFont="1"/>
    <xf numFmtId="1" fontId="0" fillId="0" borderId="0" xfId="0" applyNumberFormat="1" applyFill="1"/>
    <xf numFmtId="0" fontId="0" fillId="0" borderId="0" xfId="0" applyAlignment="1">
      <alignment horizontal="center" vertical="center" wrapText="1"/>
    </xf>
    <xf numFmtId="167" fontId="16" fillId="0" borderId="10" xfId="0" applyNumberFormat="1" applyFont="1" applyFill="1" applyBorder="1" applyAlignment="1">
      <alignment horizontal="center" vertical="center" wrapText="1"/>
    </xf>
    <xf numFmtId="0" fontId="173" fillId="0" borderId="21" xfId="0" applyFont="1" applyBorder="1" applyAlignment="1">
      <alignment horizontal="center" vertical="center" wrapText="1"/>
    </xf>
    <xf numFmtId="0" fontId="173" fillId="0" borderId="22" xfId="0" applyFont="1" applyBorder="1" applyAlignment="1">
      <alignment horizontal="center" vertical="center" wrapText="1"/>
    </xf>
    <xf numFmtId="0" fontId="173" fillId="0" borderId="115" xfId="0" applyFont="1" applyBorder="1" applyAlignment="1">
      <alignment horizontal="center" vertical="center" wrapText="1"/>
    </xf>
    <xf numFmtId="0" fontId="16" fillId="0" borderId="116"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115" xfId="0" applyFont="1" applyBorder="1" applyAlignment="1">
      <alignment horizontal="center" vertical="center" wrapText="1"/>
    </xf>
    <xf numFmtId="0" fontId="174" fillId="0" borderId="21" xfId="0" applyFont="1" applyBorder="1" applyAlignment="1">
      <alignment horizontal="center" vertical="center" wrapText="1"/>
    </xf>
    <xf numFmtId="0" fontId="174" fillId="0" borderId="117" xfId="0" applyFont="1" applyBorder="1" applyAlignment="1">
      <alignment horizontal="center" vertical="center" wrapText="1"/>
    </xf>
    <xf numFmtId="0" fontId="174" fillId="0" borderId="118" xfId="0" applyFont="1" applyBorder="1" applyAlignment="1">
      <alignment horizontal="center" vertical="center" wrapText="1"/>
    </xf>
    <xf numFmtId="0" fontId="175" fillId="122" borderId="12" xfId="0" applyFont="1" applyFill="1" applyBorder="1" applyAlignment="1">
      <alignment horizontal="center" vertical="center"/>
    </xf>
    <xf numFmtId="0" fontId="175" fillId="122" borderId="20" xfId="0" applyFont="1" applyFill="1" applyBorder="1"/>
    <xf numFmtId="0" fontId="175" fillId="122" borderId="20" xfId="0" applyFont="1" applyFill="1" applyBorder="1" applyAlignment="1">
      <alignment horizontal="center"/>
    </xf>
    <xf numFmtId="0" fontId="175" fillId="122" borderId="20" xfId="0" applyFont="1" applyFill="1" applyBorder="1" applyAlignment="1">
      <alignment horizontal="center" vertical="center"/>
    </xf>
    <xf numFmtId="0" fontId="175" fillId="122" borderId="83" xfId="0" applyFont="1" applyFill="1" applyBorder="1" applyAlignment="1">
      <alignment horizontal="center" vertical="center"/>
    </xf>
    <xf numFmtId="0" fontId="0" fillId="123" borderId="119" xfId="0" applyFill="1" applyBorder="1" applyAlignment="1">
      <alignment horizontal="center"/>
    </xf>
    <xf numFmtId="0" fontId="0" fillId="123" borderId="20" xfId="0" applyFill="1" applyBorder="1" applyAlignment="1">
      <alignment horizontal="center"/>
    </xf>
    <xf numFmtId="0" fontId="0" fillId="123" borderId="23" xfId="0" applyFill="1" applyBorder="1" applyAlignment="1">
      <alignment horizontal="center"/>
    </xf>
    <xf numFmtId="171" fontId="176" fillId="124" borderId="12" xfId="0" applyNumberFormat="1" applyFont="1" applyFill="1" applyBorder="1" applyAlignment="1">
      <alignment horizontal="center"/>
    </xf>
    <xf numFmtId="171" fontId="176" fillId="124" borderId="23" xfId="1" applyNumberFormat="1" applyFont="1" applyFill="1" applyBorder="1" applyAlignment="1">
      <alignment horizontal="center"/>
    </xf>
    <xf numFmtId="171" fontId="176" fillId="124" borderId="83" xfId="1" applyNumberFormat="1" applyFont="1" applyFill="1" applyBorder="1" applyAlignment="1">
      <alignment horizontal="center"/>
    </xf>
    <xf numFmtId="0" fontId="175" fillId="0" borderId="13" xfId="0" applyFont="1" applyBorder="1" applyAlignment="1">
      <alignment horizontal="center" vertical="center"/>
    </xf>
    <xf numFmtId="0" fontId="175" fillId="0" borderId="10" xfId="0" applyFont="1" applyBorder="1"/>
    <xf numFmtId="0" fontId="175" fillId="0" borderId="10" xfId="0" applyFont="1" applyBorder="1" applyAlignment="1">
      <alignment horizontal="center"/>
    </xf>
    <xf numFmtId="0" fontId="175" fillId="0" borderId="10" xfId="0" applyFont="1" applyBorder="1" applyAlignment="1">
      <alignment horizontal="center" vertical="center"/>
    </xf>
    <xf numFmtId="0" fontId="175" fillId="0" borderId="76" xfId="0" applyFont="1" applyBorder="1" applyAlignment="1">
      <alignment horizontal="center" vertical="center"/>
    </xf>
    <xf numFmtId="0" fontId="0" fillId="0" borderId="18" xfId="0" applyBorder="1" applyAlignment="1">
      <alignment horizontal="center"/>
    </xf>
    <xf numFmtId="171" fontId="176" fillId="0" borderId="13" xfId="0" applyNumberFormat="1" applyFont="1" applyBorder="1" applyAlignment="1">
      <alignment horizontal="center"/>
    </xf>
    <xf numFmtId="171" fontId="176" fillId="0" borderId="16" xfId="1" applyNumberFormat="1" applyFont="1" applyBorder="1" applyAlignment="1">
      <alignment horizontal="center"/>
    </xf>
    <xf numFmtId="171" fontId="176" fillId="0" borderId="76" xfId="1" applyNumberFormat="1" applyFont="1" applyBorder="1" applyAlignment="1">
      <alignment horizontal="center"/>
    </xf>
    <xf numFmtId="0" fontId="175" fillId="122" borderId="13" xfId="0" applyFont="1" applyFill="1" applyBorder="1" applyAlignment="1">
      <alignment horizontal="center" vertical="center"/>
    </xf>
    <xf numFmtId="0" fontId="175" fillId="122" borderId="10" xfId="0" applyFont="1" applyFill="1" applyBorder="1"/>
    <xf numFmtId="0" fontId="175" fillId="122" borderId="10" xfId="0" applyFont="1" applyFill="1" applyBorder="1" applyAlignment="1">
      <alignment horizontal="center"/>
    </xf>
    <xf numFmtId="0" fontId="175" fillId="122" borderId="10" xfId="0" applyFont="1" applyFill="1" applyBorder="1" applyAlignment="1">
      <alignment horizontal="center" vertical="center"/>
    </xf>
    <xf numFmtId="0" fontId="175" fillId="122" borderId="76" xfId="0" applyFont="1" applyFill="1" applyBorder="1" applyAlignment="1">
      <alignment horizontal="center" vertical="center"/>
    </xf>
    <xf numFmtId="0" fontId="0" fillId="123" borderId="18" xfId="0" applyFill="1" applyBorder="1" applyAlignment="1">
      <alignment horizontal="center"/>
    </xf>
    <xf numFmtId="0" fontId="0" fillId="123" borderId="10" xfId="0" applyFill="1" applyBorder="1" applyAlignment="1">
      <alignment horizontal="center"/>
    </xf>
    <xf numFmtId="0" fontId="0" fillId="123" borderId="16" xfId="0" applyFill="1" applyBorder="1" applyAlignment="1">
      <alignment horizontal="center"/>
    </xf>
    <xf numFmtId="171" fontId="176" fillId="124" borderId="13" xfId="0" applyNumberFormat="1" applyFont="1" applyFill="1" applyBorder="1" applyAlignment="1">
      <alignment horizontal="center"/>
    </xf>
    <xf numFmtId="171" fontId="176" fillId="124" borderId="16" xfId="1" applyNumberFormat="1" applyFont="1" applyFill="1" applyBorder="1" applyAlignment="1">
      <alignment horizontal="center"/>
    </xf>
    <xf numFmtId="171" fontId="176" fillId="124" borderId="76" xfId="1" applyNumberFormat="1" applyFont="1" applyFill="1" applyBorder="1" applyAlignment="1">
      <alignment horizontal="center"/>
    </xf>
    <xf numFmtId="0" fontId="175" fillId="122" borderId="76" xfId="0" applyFont="1" applyFill="1" applyBorder="1" applyAlignment="1">
      <alignment horizontal="center"/>
    </xf>
    <xf numFmtId="0" fontId="175" fillId="0" borderId="76" xfId="0" applyFont="1" applyBorder="1" applyAlignment="1">
      <alignment horizontal="center"/>
    </xf>
    <xf numFmtId="0" fontId="175" fillId="122" borderId="94" xfId="0" applyFont="1" applyFill="1" applyBorder="1" applyAlignment="1">
      <alignment horizontal="center" vertical="center"/>
    </xf>
    <xf numFmtId="0" fontId="175" fillId="122" borderId="95" xfId="0" applyFont="1" applyFill="1" applyBorder="1"/>
    <xf numFmtId="0" fontId="175" fillId="122" borderId="95" xfId="0" applyFont="1" applyFill="1" applyBorder="1" applyAlignment="1">
      <alignment horizontal="center"/>
    </xf>
    <xf numFmtId="0" fontId="175" fillId="122" borderId="97" xfId="0" applyFont="1" applyFill="1" applyBorder="1" applyAlignment="1">
      <alignment horizontal="center"/>
    </xf>
    <xf numFmtId="0" fontId="0" fillId="123" borderId="120" xfId="0" applyFill="1" applyBorder="1" applyAlignment="1">
      <alignment horizontal="center"/>
    </xf>
    <xf numFmtId="0" fontId="0" fillId="123" borderId="95" xfId="0" applyFill="1" applyBorder="1" applyAlignment="1">
      <alignment horizontal="center"/>
    </xf>
    <xf numFmtId="0" fontId="0" fillId="123" borderId="96" xfId="0" applyFill="1" applyBorder="1" applyAlignment="1">
      <alignment horizontal="center"/>
    </xf>
    <xf numFmtId="171" fontId="176" fillId="124" borderId="94" xfId="0" applyNumberFormat="1" applyFont="1" applyFill="1" applyBorder="1" applyAlignment="1">
      <alignment horizontal="center"/>
    </xf>
    <xf numFmtId="171" fontId="176" fillId="124" borderId="96" xfId="1" applyNumberFormat="1" applyFont="1" applyFill="1" applyBorder="1" applyAlignment="1">
      <alignment horizontal="center"/>
    </xf>
    <xf numFmtId="171" fontId="176" fillId="124" borderId="97" xfId="1" applyNumberFormat="1" applyFont="1" applyFill="1" applyBorder="1" applyAlignment="1">
      <alignment horizontal="center"/>
    </xf>
    <xf numFmtId="171" fontId="16" fillId="0" borderId="0" xfId="0" applyNumberFormat="1" applyFont="1"/>
    <xf numFmtId="0" fontId="173" fillId="0" borderId="21" xfId="0" applyFont="1" applyBorder="1" applyAlignment="1">
      <alignment horizontal="left" vertical="center" wrapText="1"/>
    </xf>
    <xf numFmtId="0" fontId="173" fillId="0" borderId="121" xfId="0" applyFont="1" applyBorder="1" applyAlignment="1">
      <alignment horizontal="center" vertical="center" wrapText="1"/>
    </xf>
    <xf numFmtId="0" fontId="174" fillId="0" borderId="122" xfId="0" applyFont="1" applyBorder="1" applyAlignment="1">
      <alignment horizontal="center" vertical="center" wrapText="1"/>
    </xf>
    <xf numFmtId="0" fontId="175" fillId="122" borderId="12" xfId="0" applyFont="1" applyFill="1" applyBorder="1" applyAlignment="1">
      <alignment horizontal="left" vertical="center"/>
    </xf>
    <xf numFmtId="0" fontId="175" fillId="122" borderId="23" xfId="0" applyFont="1" applyFill="1" applyBorder="1" applyAlignment="1">
      <alignment horizontal="center" vertical="center"/>
    </xf>
    <xf numFmtId="171" fontId="176" fillId="124" borderId="123" xfId="1" applyNumberFormat="1" applyFont="1" applyFill="1" applyBorder="1" applyAlignment="1">
      <alignment horizontal="center"/>
    </xf>
    <xf numFmtId="0" fontId="175" fillId="0" borderId="13" xfId="0" applyFont="1" applyBorder="1" applyAlignment="1">
      <alignment horizontal="left" vertical="center"/>
    </xf>
    <xf numFmtId="0" fontId="175" fillId="0" borderId="16" xfId="0" applyFont="1" applyBorder="1" applyAlignment="1">
      <alignment horizontal="center" vertical="center"/>
    </xf>
    <xf numFmtId="171" fontId="176" fillId="0" borderId="124" xfId="1" applyNumberFormat="1" applyFont="1" applyBorder="1" applyAlignment="1">
      <alignment horizontal="center"/>
    </xf>
    <xf numFmtId="0" fontId="175" fillId="122" borderId="13" xfId="0" applyFont="1" applyFill="1" applyBorder="1" applyAlignment="1">
      <alignment horizontal="left" vertical="center"/>
    </xf>
    <xf numFmtId="0" fontId="175" fillId="122" borderId="16" xfId="0" applyFont="1" applyFill="1" applyBorder="1" applyAlignment="1">
      <alignment horizontal="center" vertical="center"/>
    </xf>
    <xf numFmtId="171" fontId="176" fillId="124" borderId="124" xfId="1" applyNumberFormat="1" applyFont="1" applyFill="1" applyBorder="1" applyAlignment="1">
      <alignment horizontal="center"/>
    </xf>
    <xf numFmtId="0" fontId="175" fillId="0" borderId="94" xfId="0" applyFont="1" applyBorder="1" applyAlignment="1">
      <alignment horizontal="left" vertical="center"/>
    </xf>
    <xf numFmtId="0" fontId="175" fillId="0" borderId="96" xfId="0" applyFont="1" applyBorder="1" applyAlignment="1">
      <alignment horizontal="center" vertical="center"/>
    </xf>
    <xf numFmtId="171" fontId="176" fillId="0" borderId="125" xfId="1" applyNumberFormat="1" applyFont="1" applyBorder="1" applyAlignment="1">
      <alignment horizontal="center"/>
    </xf>
    <xf numFmtId="171" fontId="176" fillId="0" borderId="97" xfId="1" applyNumberFormat="1" applyFont="1" applyBorder="1" applyAlignment="1">
      <alignment horizontal="center"/>
    </xf>
    <xf numFmtId="171" fontId="174" fillId="0" borderId="126" xfId="0" applyNumberFormat="1" applyFont="1" applyBorder="1" applyAlignment="1">
      <alignment horizontal="center"/>
    </xf>
    <xf numFmtId="171" fontId="174" fillId="0" borderId="127" xfId="0" applyNumberFormat="1" applyFont="1" applyBorder="1" applyAlignment="1">
      <alignment horizontal="center"/>
    </xf>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0" fontId="0" fillId="0" borderId="0" xfId="0" applyAlignment="1">
      <alignment horizontal="center" wrapText="1"/>
    </xf>
    <xf numFmtId="0" fontId="178" fillId="0" borderId="10" xfId="0" applyFont="1" applyBorder="1" applyAlignment="1">
      <alignment horizontal="center" vertical="center"/>
    </xf>
    <xf numFmtId="0" fontId="179" fillId="0" borderId="0" xfId="0" applyFont="1" applyFill="1"/>
    <xf numFmtId="0" fontId="179" fillId="0" borderId="0" xfId="0" applyFont="1"/>
    <xf numFmtId="0" fontId="179" fillId="0" borderId="10" xfId="0" applyFont="1" applyBorder="1" applyAlignment="1">
      <alignment horizontal="left" vertical="center"/>
    </xf>
    <xf numFmtId="9" fontId="179" fillId="0" borderId="10" xfId="2" applyFont="1" applyBorder="1"/>
    <xf numFmtId="0" fontId="179" fillId="0" borderId="64" xfId="0" applyFont="1" applyBorder="1" applyAlignment="1">
      <alignment horizontal="left" vertical="center"/>
    </xf>
    <xf numFmtId="1" fontId="179" fillId="0" borderId="64" xfId="2" applyNumberFormat="1" applyFont="1" applyBorder="1"/>
    <xf numFmtId="1" fontId="179" fillId="0" borderId="10" xfId="2" applyNumberFormat="1" applyFont="1" applyFill="1" applyBorder="1"/>
    <xf numFmtId="0" fontId="179" fillId="0" borderId="10" xfId="0" applyFont="1" applyFill="1" applyBorder="1"/>
    <xf numFmtId="9" fontId="179" fillId="0" borderId="10" xfId="0" applyNumberFormat="1" applyFont="1" applyFill="1" applyBorder="1"/>
    <xf numFmtId="0" fontId="179" fillId="0" borderId="10" xfId="0" applyFont="1" applyFill="1" applyBorder="1" applyAlignment="1">
      <alignment vertical="top"/>
    </xf>
    <xf numFmtId="9" fontId="179" fillId="0" borderId="10" xfId="2" applyFont="1" applyFill="1" applyBorder="1" applyAlignment="1">
      <alignment vertical="top"/>
    </xf>
    <xf numFmtId="0" fontId="179" fillId="0" borderId="10" xfId="0" applyFont="1" applyFill="1" applyBorder="1" applyAlignment="1">
      <alignment vertical="top" wrapText="1"/>
    </xf>
    <xf numFmtId="0" fontId="179" fillId="0" borderId="64" xfId="0" applyFont="1" applyFill="1" applyBorder="1"/>
    <xf numFmtId="167" fontId="179" fillId="0" borderId="64" xfId="0" applyNumberFormat="1" applyFont="1" applyFill="1" applyBorder="1"/>
    <xf numFmtId="3" fontId="179" fillId="0" borderId="64" xfId="0" applyNumberFormat="1" applyFont="1" applyFill="1" applyBorder="1"/>
    <xf numFmtId="0" fontId="179" fillId="0" borderId="64" xfId="0" applyFont="1" applyFill="1" applyBorder="1" applyAlignment="1">
      <alignment horizontal="left" indent="2"/>
    </xf>
    <xf numFmtId="3" fontId="179" fillId="0" borderId="10" xfId="0" applyNumberFormat="1" applyFont="1" applyFill="1" applyBorder="1"/>
    <xf numFmtId="3" fontId="31" fillId="0" borderId="10" xfId="0" applyNumberFormat="1" applyFont="1" applyBorder="1"/>
    <xf numFmtId="178" fontId="179" fillId="0" borderId="10" xfId="2" applyNumberFormat="1" applyFont="1" applyFill="1" applyBorder="1"/>
    <xf numFmtId="9" fontId="179" fillId="0" borderId="10" xfId="2" applyFont="1" applyFill="1" applyBorder="1"/>
    <xf numFmtId="10" fontId="179" fillId="0" borderId="17" xfId="2" applyNumberFormat="1" applyFont="1" applyFill="1" applyBorder="1"/>
    <xf numFmtId="0" fontId="179" fillId="0" borderId="16" xfId="0" applyFont="1" applyFill="1" applyBorder="1"/>
    <xf numFmtId="166" fontId="179" fillId="0" borderId="10" xfId="0" applyNumberFormat="1" applyFont="1" applyBorder="1"/>
    <xf numFmtId="166" fontId="31" fillId="0" borderId="10" xfId="0" applyNumberFormat="1" applyFont="1" applyFill="1" applyBorder="1"/>
    <xf numFmtId="0" fontId="31" fillId="0" borderId="10" xfId="0" applyFont="1" applyBorder="1"/>
    <xf numFmtId="167" fontId="179" fillId="0" borderId="10" xfId="0" applyNumberFormat="1" applyFont="1" applyFill="1" applyBorder="1"/>
    <xf numFmtId="167" fontId="179" fillId="0" borderId="17" xfId="0" applyNumberFormat="1" applyFont="1" applyFill="1" applyBorder="1"/>
    <xf numFmtId="11" fontId="31" fillId="0" borderId="10" xfId="0" applyNumberFormat="1" applyFont="1" applyBorder="1"/>
    <xf numFmtId="0" fontId="31" fillId="0" borderId="17" xfId="0" applyFont="1" applyBorder="1"/>
    <xf numFmtId="0" fontId="31" fillId="0" borderId="0" xfId="0" applyFont="1"/>
    <xf numFmtId="0" fontId="182" fillId="117" borderId="77" xfId="0" applyFont="1" applyFill="1" applyBorder="1" applyAlignment="1">
      <alignment horizontal="left" vertical="top" wrapText="1"/>
    </xf>
    <xf numFmtId="0" fontId="182" fillId="117" borderId="27" xfId="0" applyFont="1" applyFill="1" applyBorder="1" applyAlignment="1">
      <alignment horizontal="left" vertical="top" wrapText="1"/>
    </xf>
    <xf numFmtId="0" fontId="45" fillId="118" borderId="25" xfId="0" applyFont="1" applyFill="1" applyBorder="1" applyAlignment="1">
      <alignment horizontal="left" vertical="top" wrapText="1"/>
    </xf>
    <xf numFmtId="0" fontId="45" fillId="118" borderId="25" xfId="0" applyFont="1" applyFill="1" applyBorder="1" applyAlignment="1">
      <alignment horizontal="center" vertical="top" wrapText="1"/>
    </xf>
    <xf numFmtId="1" fontId="31" fillId="0" borderId="25" xfId="0" applyNumberFormat="1" applyFont="1" applyBorder="1" applyAlignment="1">
      <alignment horizontal="left" vertical="top" shrinkToFit="1"/>
    </xf>
    <xf numFmtId="210" fontId="31" fillId="0" borderId="25" xfId="0" applyNumberFormat="1" applyFont="1" applyBorder="1" applyAlignment="1">
      <alignment horizontal="right" vertical="top" shrinkToFit="1"/>
    </xf>
    <xf numFmtId="211" fontId="31" fillId="0" borderId="25" xfId="0" applyNumberFormat="1" applyFont="1" applyBorder="1" applyAlignment="1">
      <alignment horizontal="right" vertical="top" shrinkToFit="1"/>
    </xf>
    <xf numFmtId="0" fontId="178" fillId="0" borderId="10" xfId="0" applyFont="1" applyBorder="1" applyAlignment="1">
      <alignment horizontal="center" vertical="top"/>
    </xf>
    <xf numFmtId="0" fontId="179" fillId="0" borderId="10" xfId="0" applyFont="1" applyBorder="1" applyAlignment="1">
      <alignment vertical="top"/>
    </xf>
    <xf numFmtId="0" fontId="180" fillId="0" borderId="10" xfId="45" applyFont="1" applyBorder="1" applyAlignment="1">
      <alignment vertical="top"/>
    </xf>
    <xf numFmtId="170" fontId="179" fillId="0" borderId="10" xfId="0" applyNumberFormat="1" applyFont="1" applyFill="1" applyBorder="1" applyAlignment="1">
      <alignment vertical="top"/>
    </xf>
    <xf numFmtId="0" fontId="179" fillId="0" borderId="64" xfId="0" applyFont="1" applyFill="1" applyBorder="1" applyAlignment="1">
      <alignment vertical="top"/>
    </xf>
    <xf numFmtId="0" fontId="31" fillId="0" borderId="10" xfId="0" applyFont="1" applyBorder="1" applyAlignment="1">
      <alignment vertical="top"/>
    </xf>
    <xf numFmtId="0" fontId="31" fillId="0" borderId="0" xfId="0" applyFont="1" applyAlignment="1">
      <alignment vertical="top"/>
    </xf>
    <xf numFmtId="0" fontId="179" fillId="0" borderId="0" xfId="0" applyFont="1" applyAlignment="1">
      <alignment vertical="top"/>
    </xf>
    <xf numFmtId="0" fontId="0" fillId="0" borderId="0" xfId="0" quotePrefix="1" applyAlignment="1">
      <alignment horizontal="center"/>
    </xf>
    <xf numFmtId="1" fontId="0" fillId="0" borderId="0" xfId="2" applyNumberFormat="1" applyFont="1"/>
    <xf numFmtId="49" fontId="16" fillId="0" borderId="0" xfId="0" applyNumberFormat="1" applyFont="1" applyAlignment="1">
      <alignment horizontal="left"/>
    </xf>
    <xf numFmtId="49" fontId="0" fillId="0" borderId="0" xfId="0" applyNumberFormat="1" applyAlignment="1">
      <alignment horizontal="left"/>
    </xf>
    <xf numFmtId="167" fontId="0" fillId="125" borderId="16" xfId="0" applyNumberFormat="1" applyFill="1" applyBorder="1"/>
    <xf numFmtId="0" fontId="148" fillId="33" borderId="10" xfId="0" applyFont="1" applyFill="1" applyBorder="1" applyAlignment="1">
      <alignment horizontal="center" vertical="center" wrapText="1"/>
    </xf>
    <xf numFmtId="2" fontId="179" fillId="125" borderId="10" xfId="2" applyNumberFormat="1" applyFont="1" applyFill="1" applyBorder="1"/>
    <xf numFmtId="167" fontId="0" fillId="125" borderId="10" xfId="0" applyNumberFormat="1" applyFill="1" applyBorder="1"/>
    <xf numFmtId="167" fontId="70" fillId="125" borderId="10" xfId="0" applyNumberFormat="1" applyFont="1" applyFill="1" applyBorder="1"/>
    <xf numFmtId="167" fontId="14" fillId="125" borderId="10" xfId="0" applyNumberFormat="1" applyFont="1" applyFill="1" applyBorder="1"/>
    <xf numFmtId="0" fontId="179" fillId="0" borderId="10" xfId="48" applyNumberFormat="1" applyFont="1" applyFill="1" applyBorder="1" applyAlignment="1">
      <alignment vertical="top"/>
    </xf>
    <xf numFmtId="0" fontId="148" fillId="0" borderId="0" xfId="0" applyFont="1" applyFill="1" applyBorder="1" applyAlignment="1">
      <alignment vertical="center" wrapText="1"/>
    </xf>
    <xf numFmtId="0" fontId="150" fillId="34" borderId="16" xfId="0" applyFont="1" applyFill="1" applyBorder="1" applyAlignment="1">
      <alignment vertical="center" wrapText="1"/>
    </xf>
    <xf numFmtId="0" fontId="148" fillId="0" borderId="48" xfId="0" applyFont="1" applyFill="1" applyBorder="1" applyAlignment="1">
      <alignment vertical="center" wrapText="1"/>
    </xf>
    <xf numFmtId="0" fontId="151" fillId="0" borderId="16" xfId="0" applyFont="1" applyBorder="1" applyAlignment="1">
      <alignment vertical="center" wrapText="1"/>
    </xf>
    <xf numFmtId="179" fontId="151" fillId="0" borderId="50" xfId="0" applyNumberFormat="1" applyFont="1" applyBorder="1" applyAlignment="1">
      <alignment vertical="center" wrapText="1"/>
    </xf>
    <xf numFmtId="179" fontId="148" fillId="0" borderId="10" xfId="0" applyNumberFormat="1" applyFont="1" applyFill="1" applyBorder="1" applyAlignment="1">
      <alignment vertical="center" wrapText="1"/>
    </xf>
    <xf numFmtId="179" fontId="151" fillId="0" borderId="49" xfId="0" applyNumberFormat="1" applyFont="1" applyFill="1" applyBorder="1" applyAlignment="1">
      <alignment vertical="center" wrapText="1"/>
    </xf>
    <xf numFmtId="179" fontId="148" fillId="0" borderId="64" xfId="0" applyNumberFormat="1" applyFont="1" applyFill="1" applyBorder="1" applyAlignment="1">
      <alignment vertical="center" wrapText="1"/>
    </xf>
    <xf numFmtId="179" fontId="148" fillId="0" borderId="78" xfId="0" applyNumberFormat="1" applyFont="1" applyFill="1" applyBorder="1" applyAlignment="1">
      <alignment vertical="center" wrapText="1"/>
    </xf>
    <xf numFmtId="179" fontId="151" fillId="0" borderId="64" xfId="0" applyNumberFormat="1" applyFont="1" applyFill="1" applyBorder="1" applyAlignment="1">
      <alignment vertical="center" wrapText="1"/>
    </xf>
    <xf numFmtId="179" fontId="151" fillId="0" borderId="0" xfId="0" applyNumberFormat="1" applyFont="1" applyBorder="1" applyAlignment="1">
      <alignment vertical="center" wrapText="1"/>
    </xf>
    <xf numFmtId="179" fontId="71" fillId="0" borderId="16" xfId="0" applyNumberFormat="1" applyFont="1" applyFill="1" applyBorder="1" applyAlignment="1">
      <alignment vertical="center" wrapText="1"/>
    </xf>
    <xf numFmtId="179" fontId="151" fillId="0" borderId="16" xfId="0" applyNumberFormat="1" applyFont="1" applyBorder="1" applyAlignment="1">
      <alignment vertical="center" wrapText="1"/>
    </xf>
    <xf numFmtId="167" fontId="149" fillId="0" borderId="0" xfId="0" applyNumberFormat="1" applyFont="1" applyAlignment="1">
      <alignment wrapText="1"/>
    </xf>
    <xf numFmtId="167" fontId="151" fillId="0" borderId="16" xfId="0" applyNumberFormat="1" applyFont="1" applyBorder="1" applyAlignment="1">
      <alignment vertical="center" wrapText="1"/>
    </xf>
    <xf numFmtId="0" fontId="150" fillId="34" borderId="10" xfId="0" applyFont="1" applyFill="1" applyBorder="1" applyAlignment="1">
      <alignment vertical="center" wrapText="1"/>
    </xf>
    <xf numFmtId="0" fontId="37" fillId="0" borderId="73" xfId="0" applyFont="1" applyFill="1" applyBorder="1" applyAlignment="1">
      <alignment horizontal="left" vertical="top" wrapText="1" indent="2"/>
    </xf>
    <xf numFmtId="0" fontId="37" fillId="0" borderId="52" xfId="0" applyFont="1" applyBorder="1" applyAlignment="1">
      <alignment wrapText="1"/>
    </xf>
    <xf numFmtId="179" fontId="37" fillId="0" borderId="74" xfId="0" applyNumberFormat="1" applyFont="1" applyFill="1" applyBorder="1" applyAlignment="1">
      <alignment vertical="center" wrapText="1"/>
    </xf>
    <xf numFmtId="0" fontId="37" fillId="0" borderId="78" xfId="0" applyFont="1" applyBorder="1"/>
    <xf numFmtId="0" fontId="37" fillId="0" borderId="0" xfId="0" applyFont="1" applyBorder="1" applyAlignment="1">
      <alignment wrapText="1"/>
    </xf>
    <xf numFmtId="0" fontId="37" fillId="0" borderId="0" xfId="0" applyFont="1" applyBorder="1"/>
    <xf numFmtId="0" fontId="37" fillId="0" borderId="128" xfId="0" applyFont="1" applyFill="1" applyBorder="1" applyAlignment="1">
      <alignment horizontal="left" vertical="top" indent="2"/>
    </xf>
    <xf numFmtId="0" fontId="37" fillId="0" borderId="74" xfId="0" applyFont="1" applyFill="1" applyBorder="1" applyAlignment="1">
      <alignment vertical="top" wrapText="1"/>
    </xf>
    <xf numFmtId="0" fontId="184" fillId="0" borderId="17" xfId="0" applyFont="1" applyBorder="1" applyAlignment="1">
      <alignment horizontal="right"/>
    </xf>
    <xf numFmtId="0" fontId="37" fillId="0" borderId="16" xfId="0" applyFont="1" applyBorder="1" applyAlignment="1">
      <alignment horizontal="left" indent="2"/>
    </xf>
    <xf numFmtId="170" fontId="37" fillId="0" borderId="73" xfId="48" applyNumberFormat="1" applyFont="1" applyFill="1" applyBorder="1" applyAlignment="1">
      <alignment horizontal="right" vertical="center" wrapText="1"/>
    </xf>
    <xf numFmtId="3" fontId="16" fillId="112" borderId="10" xfId="0" applyNumberFormat="1" applyFont="1" applyFill="1" applyBorder="1" applyAlignment="1">
      <alignment horizontal="center" vertical="center" wrapText="1"/>
    </xf>
    <xf numFmtId="3" fontId="16" fillId="35" borderId="10" xfId="0" applyNumberFormat="1" applyFont="1" applyFill="1" applyBorder="1" applyAlignment="1">
      <alignment horizontal="center" vertical="center" wrapText="1"/>
    </xf>
    <xf numFmtId="3" fontId="16" fillId="0" borderId="10" xfId="0" applyNumberFormat="1" applyFont="1" applyBorder="1" applyAlignment="1">
      <alignment horizontal="center" vertical="center" wrapText="1"/>
    </xf>
    <xf numFmtId="178" fontId="179" fillId="0" borderId="10" xfId="2" applyNumberFormat="1" applyFont="1" applyFill="1" applyBorder="1" applyAlignment="1">
      <alignment vertical="top"/>
    </xf>
    <xf numFmtId="3" fontId="159" fillId="112" borderId="10" xfId="0" applyNumberFormat="1" applyFont="1" applyFill="1" applyBorder="1" applyAlignment="1">
      <alignment horizontal="center" vertical="center" wrapText="1"/>
    </xf>
    <xf numFmtId="3" fontId="159" fillId="0" borderId="10" xfId="0" applyNumberFormat="1" applyFont="1" applyBorder="1" applyAlignment="1">
      <alignment horizontal="center" vertical="center" wrapText="1"/>
    </xf>
    <xf numFmtId="3" fontId="159" fillId="35" borderId="10" xfId="0" applyNumberFormat="1" applyFont="1" applyFill="1" applyBorder="1" applyAlignment="1">
      <alignment horizontal="center" vertical="center" wrapText="1"/>
    </xf>
    <xf numFmtId="9" fontId="179" fillId="0" borderId="10" xfId="48" applyNumberFormat="1" applyFont="1" applyFill="1" applyBorder="1" applyAlignment="1">
      <alignment vertical="top"/>
    </xf>
    <xf numFmtId="166" fontId="179" fillId="0" borderId="10" xfId="0" applyNumberFormat="1" applyFont="1" applyFill="1" applyBorder="1" applyAlignment="1">
      <alignment vertical="top"/>
    </xf>
    <xf numFmtId="0" fontId="179" fillId="0" borderId="10" xfId="0" applyFont="1" applyBorder="1" applyAlignment="1">
      <alignment vertical="top" wrapText="1"/>
    </xf>
    <xf numFmtId="0" fontId="185" fillId="0" borderId="0" xfId="0" applyFont="1"/>
    <xf numFmtId="0" fontId="185" fillId="126" borderId="0" xfId="0" applyFont="1" applyFill="1" applyAlignment="1">
      <alignment vertical="center" wrapText="1"/>
    </xf>
    <xf numFmtId="0" fontId="0" fillId="0" borderId="10" xfId="0" applyBorder="1" applyAlignment="1">
      <alignment horizontal="center"/>
    </xf>
    <xf numFmtId="14" fontId="0" fillId="0" borderId="10" xfId="0" applyNumberFormat="1" applyBorder="1" applyAlignment="1">
      <alignment horizontal="center"/>
    </xf>
    <xf numFmtId="9" fontId="149" fillId="0" borderId="0" xfId="2" applyFont="1" applyFill="1"/>
    <xf numFmtId="171" fontId="174" fillId="33" borderId="21" xfId="0" applyNumberFormat="1" applyFont="1" applyFill="1" applyBorder="1" applyAlignment="1">
      <alignment horizontal="center"/>
    </xf>
    <xf numFmtId="0" fontId="16" fillId="33" borderId="21" xfId="0" applyFont="1" applyFill="1" applyBorder="1" applyAlignment="1">
      <alignment horizontal="center"/>
    </xf>
    <xf numFmtId="0" fontId="16" fillId="33" borderId="18" xfId="0" applyFont="1" applyFill="1" applyBorder="1" applyAlignment="1">
      <alignment horizontal="center"/>
    </xf>
    <xf numFmtId="171" fontId="16" fillId="33" borderId="18" xfId="1" applyNumberFormat="1" applyFont="1" applyFill="1" applyBorder="1" applyAlignment="1">
      <alignment horizontal="center"/>
    </xf>
    <xf numFmtId="0" fontId="72" fillId="0" borderId="21" xfId="0" applyFont="1" applyFill="1" applyBorder="1" applyAlignment="1">
      <alignment horizontal="center" vertical="center" wrapText="1"/>
    </xf>
    <xf numFmtId="0" fontId="72" fillId="0" borderId="22" xfId="0" applyFont="1" applyFill="1" applyBorder="1" applyAlignment="1">
      <alignment horizontal="center" vertical="center" wrapText="1"/>
    </xf>
    <xf numFmtId="0" fontId="72" fillId="0" borderId="115" xfId="0" applyFont="1" applyFill="1" applyBorder="1" applyAlignment="1">
      <alignment horizontal="center" vertical="center" wrapText="1"/>
    </xf>
    <xf numFmtId="0" fontId="70" fillId="0" borderId="12" xfId="0" applyFont="1" applyFill="1" applyBorder="1" applyAlignment="1">
      <alignment horizontal="center" vertical="center"/>
    </xf>
    <xf numFmtId="0" fontId="70" fillId="0" borderId="20" xfId="0" applyFont="1" applyFill="1" applyBorder="1"/>
    <xf numFmtId="0" fontId="70" fillId="0" borderId="20" xfId="0" applyFont="1" applyFill="1" applyBorder="1" applyAlignment="1">
      <alignment horizontal="center"/>
    </xf>
    <xf numFmtId="0" fontId="70" fillId="0" borderId="20" xfId="0" applyFont="1" applyFill="1" applyBorder="1" applyAlignment="1">
      <alignment horizontal="center" vertical="center"/>
    </xf>
    <xf numFmtId="0" fontId="186" fillId="0" borderId="0" xfId="0" applyFont="1" applyFill="1"/>
    <xf numFmtId="1" fontId="70" fillId="0" borderId="20" xfId="0" applyNumberFormat="1" applyFont="1" applyFill="1" applyBorder="1" applyAlignment="1">
      <alignment horizontal="center" vertical="center"/>
    </xf>
    <xf numFmtId="2" fontId="70" fillId="0" borderId="20" xfId="0" applyNumberFormat="1" applyFont="1" applyFill="1" applyBorder="1" applyAlignment="1">
      <alignment horizontal="center" vertical="center"/>
    </xf>
    <xf numFmtId="209" fontId="70" fillId="0" borderId="20" xfId="0" applyNumberFormat="1" applyFont="1" applyFill="1" applyBorder="1" applyAlignment="1">
      <alignment horizontal="center" vertical="center"/>
    </xf>
    <xf numFmtId="208" fontId="70" fillId="0" borderId="20" xfId="0" applyNumberFormat="1" applyFont="1" applyFill="1" applyBorder="1" applyAlignment="1">
      <alignment horizontal="center" vertical="center"/>
    </xf>
    <xf numFmtId="0" fontId="70" fillId="0" borderId="13" xfId="0" applyFont="1" applyFill="1" applyBorder="1" applyAlignment="1">
      <alignment horizontal="center" vertical="center"/>
    </xf>
    <xf numFmtId="0" fontId="70" fillId="0" borderId="10" xfId="0" applyFont="1" applyFill="1" applyBorder="1"/>
    <xf numFmtId="0" fontId="70" fillId="0" borderId="10" xfId="0" applyFont="1" applyFill="1" applyBorder="1" applyAlignment="1">
      <alignment horizontal="center"/>
    </xf>
    <xf numFmtId="0" fontId="70" fillId="0" borderId="10" xfId="0" applyFont="1" applyFill="1" applyBorder="1" applyAlignment="1">
      <alignment horizontal="center" vertical="center"/>
    </xf>
    <xf numFmtId="1" fontId="70" fillId="0" borderId="10" xfId="0" applyNumberFormat="1" applyFont="1" applyFill="1" applyBorder="1" applyAlignment="1">
      <alignment horizontal="center" vertical="center"/>
    </xf>
    <xf numFmtId="2" fontId="70" fillId="0" borderId="10" xfId="0" applyNumberFormat="1" applyFont="1" applyFill="1" applyBorder="1" applyAlignment="1">
      <alignment horizontal="center" vertical="center"/>
    </xf>
    <xf numFmtId="209" fontId="70" fillId="0" borderId="10" xfId="0" applyNumberFormat="1" applyFont="1" applyFill="1" applyBorder="1" applyAlignment="1">
      <alignment horizontal="center" vertical="center"/>
    </xf>
    <xf numFmtId="208" fontId="70" fillId="0" borderId="10" xfId="0" applyNumberFormat="1" applyFont="1" applyFill="1" applyBorder="1" applyAlignment="1">
      <alignment horizontal="center" vertical="center"/>
    </xf>
    <xf numFmtId="0" fontId="0" fillId="0" borderId="25" xfId="0" applyFill="1" applyBorder="1" applyAlignment="1">
      <alignment horizontal="right" vertical="top" wrapText="1"/>
    </xf>
    <xf numFmtId="171" fontId="0" fillId="0" borderId="0" xfId="0" applyNumberFormat="1" applyFill="1" applyBorder="1"/>
    <xf numFmtId="171" fontId="0" fillId="0" borderId="0" xfId="0" applyNumberFormat="1" applyFill="1"/>
    <xf numFmtId="179" fontId="160" fillId="0" borderId="16" xfId="0" applyNumberFormat="1" applyFont="1" applyFill="1" applyBorder="1" applyAlignment="1">
      <alignment horizontal="center" vertical="center"/>
    </xf>
    <xf numFmtId="179" fontId="160" fillId="0" borderId="18" xfId="0" applyNumberFormat="1" applyFont="1" applyFill="1" applyBorder="1" applyAlignment="1">
      <alignment horizontal="center" vertical="center"/>
    </xf>
    <xf numFmtId="0" fontId="149" fillId="0" borderId="0" xfId="0" applyFont="1" applyFill="1" applyAlignment="1">
      <alignment horizontal="left" vertical="center" wrapText="1"/>
    </xf>
    <xf numFmtId="0" fontId="148" fillId="34" borderId="10" xfId="0" applyFont="1" applyFill="1" applyBorder="1" applyAlignment="1">
      <alignment horizontal="center" vertical="center" textRotation="90" wrapText="1"/>
    </xf>
    <xf numFmtId="0" fontId="148" fillId="34" borderId="10" xfId="0" applyFont="1" applyFill="1" applyBorder="1" applyAlignment="1">
      <alignment horizontal="center" vertical="center" wrapText="1"/>
    </xf>
    <xf numFmtId="0" fontId="148" fillId="33" borderId="10" xfId="0" applyFont="1" applyFill="1" applyBorder="1" applyAlignment="1">
      <alignment horizontal="center" vertical="center" wrapText="1"/>
    </xf>
    <xf numFmtId="0" fontId="76" fillId="0" borderId="0" xfId="0" applyFont="1" applyBorder="1" applyAlignment="1">
      <alignment horizontal="center" vertical="center" wrapText="1"/>
    </xf>
    <xf numFmtId="0" fontId="76" fillId="0" borderId="70" xfId="0" applyFont="1" applyBorder="1" applyAlignment="1">
      <alignment horizontal="center" vertical="center" wrapText="1"/>
    </xf>
    <xf numFmtId="0" fontId="37" fillId="0" borderId="10" xfId="0" applyFont="1" applyFill="1" applyBorder="1" applyAlignment="1">
      <alignment horizontal="left" vertical="center" wrapText="1"/>
    </xf>
    <xf numFmtId="0" fontId="178" fillId="33" borderId="16" xfId="0" applyFont="1" applyFill="1" applyBorder="1" applyAlignment="1">
      <alignment horizontal="center"/>
    </xf>
    <xf numFmtId="0" fontId="178" fillId="33" borderId="17" xfId="0" applyFont="1" applyFill="1" applyBorder="1" applyAlignment="1">
      <alignment horizontal="center"/>
    </xf>
    <xf numFmtId="0" fontId="178" fillId="33" borderId="18" xfId="0" applyFont="1" applyFill="1" applyBorder="1" applyAlignment="1">
      <alignment horizontal="center"/>
    </xf>
    <xf numFmtId="0" fontId="31" fillId="0" borderId="79" xfId="0" applyFont="1" applyBorder="1" applyAlignment="1">
      <alignment horizontal="left" vertical="top"/>
    </xf>
    <xf numFmtId="0" fontId="31" fillId="0" borderId="114" xfId="0" applyFont="1" applyBorder="1" applyAlignment="1">
      <alignment horizontal="left" vertical="top"/>
    </xf>
    <xf numFmtId="0" fontId="31" fillId="0" borderId="19" xfId="0" applyFont="1" applyBorder="1" applyAlignment="1">
      <alignment horizontal="left" vertical="top"/>
    </xf>
    <xf numFmtId="0" fontId="179" fillId="0" borderId="79" xfId="0" applyFont="1" applyBorder="1" applyAlignment="1">
      <alignment horizontal="left" vertical="top"/>
    </xf>
    <xf numFmtId="0" fontId="179" fillId="0" borderId="19" xfId="0" applyFont="1" applyBorder="1" applyAlignment="1">
      <alignment horizontal="left" vertical="top"/>
    </xf>
    <xf numFmtId="0" fontId="179" fillId="0" borderId="79" xfId="0" applyFont="1" applyFill="1" applyBorder="1" applyAlignment="1">
      <alignment horizontal="left" vertical="top"/>
    </xf>
    <xf numFmtId="0" fontId="179" fillId="0" borderId="114" xfId="0" applyFont="1" applyFill="1" applyBorder="1" applyAlignment="1">
      <alignment horizontal="left" vertical="top"/>
    </xf>
    <xf numFmtId="0" fontId="179" fillId="0" borderId="19" xfId="0" applyFont="1" applyFill="1" applyBorder="1" applyAlignment="1">
      <alignment horizontal="left" vertical="top"/>
    </xf>
    <xf numFmtId="0" fontId="0" fillId="0" borderId="0" xfId="0" applyFill="1" applyAlignment="1">
      <alignment horizontal="center"/>
    </xf>
    <xf numFmtId="0" fontId="24" fillId="0" borderId="24" xfId="0" applyFont="1" applyFill="1" applyBorder="1" applyAlignment="1">
      <alignment horizontal="center"/>
    </xf>
    <xf numFmtId="0" fontId="16" fillId="112" borderId="14" xfId="0" applyFont="1" applyFill="1" applyBorder="1" applyAlignment="1">
      <alignment horizontal="center"/>
    </xf>
    <xf numFmtId="0" fontId="16" fillId="112" borderId="15" xfId="0" applyFont="1" applyFill="1" applyBorder="1" applyAlignment="1">
      <alignment horizontal="center"/>
    </xf>
    <xf numFmtId="0" fontId="16" fillId="112" borderId="47" xfId="0" applyFont="1" applyFill="1" applyBorder="1" applyAlignment="1">
      <alignment horizontal="center"/>
    </xf>
    <xf numFmtId="0" fontId="173" fillId="33" borderId="90" xfId="0" applyFont="1" applyFill="1" applyBorder="1" applyAlignment="1">
      <alignment horizontal="right" vertical="center"/>
    </xf>
    <xf numFmtId="0" fontId="173" fillId="33" borderId="17" xfId="0" applyFont="1" applyFill="1" applyBorder="1" applyAlignment="1">
      <alignment horizontal="right" vertical="center"/>
    </xf>
    <xf numFmtId="0" fontId="173" fillId="33" borderId="91" xfId="0" applyFont="1" applyFill="1" applyBorder="1" applyAlignment="1">
      <alignment horizontal="right" vertical="center"/>
    </xf>
    <xf numFmtId="0" fontId="0" fillId="0" borderId="24" xfId="0" applyBorder="1" applyAlignment="1">
      <alignment horizontal="center"/>
    </xf>
    <xf numFmtId="167" fontId="16" fillId="35" borderId="16" xfId="0" applyNumberFormat="1" applyFont="1" applyFill="1" applyBorder="1" applyAlignment="1">
      <alignment horizontal="center"/>
    </xf>
    <xf numFmtId="167" fontId="16" fillId="35" borderId="17" xfId="0" applyNumberFormat="1" applyFont="1" applyFill="1" applyBorder="1" applyAlignment="1">
      <alignment horizontal="center"/>
    </xf>
    <xf numFmtId="167" fontId="16" fillId="35" borderId="18" xfId="0" applyNumberFormat="1" applyFont="1" applyFill="1" applyBorder="1" applyAlignment="1">
      <alignment horizontal="center"/>
    </xf>
    <xf numFmtId="3" fontId="16" fillId="112" borderId="16" xfId="0" applyNumberFormat="1" applyFont="1" applyFill="1" applyBorder="1" applyAlignment="1">
      <alignment horizontal="center" wrapText="1"/>
    </xf>
    <xf numFmtId="3" fontId="16" fillId="112" borderId="17" xfId="0" applyNumberFormat="1" applyFont="1" applyFill="1" applyBorder="1" applyAlignment="1">
      <alignment horizontal="center" wrapText="1"/>
    </xf>
    <xf numFmtId="3" fontId="16" fillId="112" borderId="18" xfId="0" applyNumberFormat="1" applyFont="1" applyFill="1" applyBorder="1" applyAlignment="1">
      <alignment horizontal="center" wrapText="1"/>
    </xf>
    <xf numFmtId="168" fontId="16" fillId="112" borderId="16" xfId="0" applyNumberFormat="1" applyFont="1" applyFill="1" applyBorder="1" applyAlignment="1">
      <alignment horizontal="center" wrapText="1"/>
    </xf>
    <xf numFmtId="168" fontId="16" fillId="112" borderId="17" xfId="0" applyNumberFormat="1" applyFont="1" applyFill="1" applyBorder="1" applyAlignment="1">
      <alignment horizontal="center" wrapText="1"/>
    </xf>
    <xf numFmtId="168" fontId="16" fillId="112" borderId="18" xfId="0" applyNumberFormat="1" applyFont="1" applyFill="1" applyBorder="1" applyAlignment="1">
      <alignment horizontal="center" wrapText="1"/>
    </xf>
    <xf numFmtId="167" fontId="16" fillId="112" borderId="16" xfId="0" applyNumberFormat="1" applyFont="1" applyFill="1" applyBorder="1" applyAlignment="1">
      <alignment horizontal="center"/>
    </xf>
    <xf numFmtId="167" fontId="16" fillId="112" borderId="17" xfId="0" applyNumberFormat="1" applyFont="1" applyFill="1" applyBorder="1" applyAlignment="1">
      <alignment horizontal="center"/>
    </xf>
    <xf numFmtId="167" fontId="16" fillId="112" borderId="18" xfId="0" applyNumberFormat="1" applyFont="1" applyFill="1" applyBorder="1" applyAlignment="1">
      <alignment horizontal="center"/>
    </xf>
    <xf numFmtId="3" fontId="16" fillId="35" borderId="16" xfId="0" applyNumberFormat="1" applyFont="1" applyFill="1" applyBorder="1" applyAlignment="1">
      <alignment horizontal="center" wrapText="1"/>
    </xf>
    <xf numFmtId="3" fontId="16" fillId="35" borderId="17" xfId="0" applyNumberFormat="1" applyFont="1" applyFill="1" applyBorder="1" applyAlignment="1">
      <alignment horizontal="center" wrapText="1"/>
    </xf>
    <xf numFmtId="3" fontId="16" fillId="35" borderId="18" xfId="0" applyNumberFormat="1" applyFont="1" applyFill="1" applyBorder="1" applyAlignment="1">
      <alignment horizontal="center" wrapText="1"/>
    </xf>
    <xf numFmtId="168" fontId="16" fillId="35" borderId="16" xfId="0" applyNumberFormat="1" applyFont="1" applyFill="1" applyBorder="1" applyAlignment="1">
      <alignment horizontal="center" wrapText="1"/>
    </xf>
    <xf numFmtId="168" fontId="16" fillId="35" borderId="17" xfId="0" applyNumberFormat="1" applyFont="1" applyFill="1" applyBorder="1" applyAlignment="1">
      <alignment horizontal="center" wrapText="1"/>
    </xf>
    <xf numFmtId="168" fontId="16" fillId="35" borderId="18" xfId="0" applyNumberFormat="1" applyFont="1" applyFill="1" applyBorder="1" applyAlignment="1">
      <alignment horizontal="center" wrapText="1"/>
    </xf>
    <xf numFmtId="0" fontId="16" fillId="112" borderId="10" xfId="0" applyFont="1" applyFill="1" applyBorder="1" applyAlignment="1">
      <alignment horizontal="center" vertical="center" wrapText="1"/>
    </xf>
    <xf numFmtId="3" fontId="16" fillId="112" borderId="10" xfId="0" applyNumberFormat="1" applyFont="1" applyFill="1" applyBorder="1" applyAlignment="1">
      <alignment horizontal="center" vertical="center" wrapText="1"/>
    </xf>
    <xf numFmtId="0" fontId="16" fillId="35" borderId="10" xfId="0" applyFont="1" applyFill="1" applyBorder="1" applyAlignment="1">
      <alignment horizontal="center" vertical="center" wrapText="1"/>
    </xf>
    <xf numFmtId="3" fontId="16" fillId="35" borderId="10" xfId="0" applyNumberFormat="1" applyFont="1" applyFill="1" applyBorder="1" applyAlignment="1">
      <alignment horizontal="center" vertical="center" wrapText="1"/>
    </xf>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3" fontId="16" fillId="0" borderId="16" xfId="0" applyNumberFormat="1" applyFont="1" applyBorder="1" applyAlignment="1">
      <alignment horizontal="center" wrapText="1"/>
    </xf>
    <xf numFmtId="3" fontId="16" fillId="0" borderId="17" xfId="0" applyNumberFormat="1" applyFont="1" applyBorder="1" applyAlignment="1">
      <alignment horizontal="center" wrapText="1"/>
    </xf>
    <xf numFmtId="3" fontId="16" fillId="0" borderId="18" xfId="0" applyNumberFormat="1" applyFont="1" applyBorder="1" applyAlignment="1">
      <alignment horizontal="center" wrapText="1"/>
    </xf>
    <xf numFmtId="168" fontId="16" fillId="0" borderId="16" xfId="0" applyNumberFormat="1" applyFont="1" applyBorder="1" applyAlignment="1">
      <alignment horizontal="center" wrapText="1"/>
    </xf>
    <xf numFmtId="168" fontId="16" fillId="0" borderId="17" xfId="0" applyNumberFormat="1" applyFont="1" applyBorder="1" applyAlignment="1">
      <alignment horizontal="center" wrapText="1"/>
    </xf>
    <xf numFmtId="168" fontId="16" fillId="0" borderId="18" xfId="0" applyNumberFormat="1" applyFont="1" applyBorder="1" applyAlignment="1">
      <alignment horizontal="center" wrapText="1"/>
    </xf>
    <xf numFmtId="167" fontId="16" fillId="0" borderId="16" xfId="0" applyNumberFormat="1" applyFont="1" applyBorder="1" applyAlignment="1">
      <alignment horizontal="center"/>
    </xf>
    <xf numFmtId="167" fontId="16" fillId="0" borderId="17" xfId="0" applyNumberFormat="1" applyFont="1" applyBorder="1" applyAlignment="1">
      <alignment horizontal="center"/>
    </xf>
    <xf numFmtId="167" fontId="16" fillId="0" borderId="18" xfId="0" applyNumberFormat="1" applyFont="1" applyBorder="1" applyAlignment="1">
      <alignment horizontal="center"/>
    </xf>
    <xf numFmtId="0" fontId="16" fillId="112" borderId="49" xfId="0" applyFont="1" applyFill="1" applyBorder="1" applyAlignment="1">
      <alignment horizontal="center" vertical="center" wrapText="1"/>
    </xf>
    <xf numFmtId="0" fontId="16" fillId="112" borderId="19" xfId="0" applyFont="1" applyFill="1" applyBorder="1" applyAlignment="1">
      <alignment horizontal="center" vertical="center" wrapText="1"/>
    </xf>
    <xf numFmtId="3" fontId="16" fillId="112" borderId="49" xfId="0" applyNumberFormat="1" applyFont="1" applyFill="1" applyBorder="1" applyAlignment="1">
      <alignment horizontal="center" vertical="center" wrapText="1"/>
    </xf>
    <xf numFmtId="3" fontId="16" fillId="112" borderId="19" xfId="0" applyNumberFormat="1" applyFont="1" applyFill="1" applyBorder="1" applyAlignment="1">
      <alignment horizontal="center" vertical="center" wrapText="1"/>
    </xf>
    <xf numFmtId="0" fontId="21" fillId="0" borderId="10" xfId="0" applyFont="1" applyFill="1" applyBorder="1" applyAlignment="1">
      <alignment horizontal="center" vertical="center"/>
    </xf>
    <xf numFmtId="0" fontId="22" fillId="0" borderId="10" xfId="0" applyFont="1" applyBorder="1" applyAlignment="1">
      <alignment horizontal="center" vertical="center" wrapText="1"/>
    </xf>
    <xf numFmtId="0" fontId="22" fillId="0" borderId="16" xfId="0" applyFont="1" applyBorder="1" applyAlignment="1">
      <alignment horizontal="left" vertical="center"/>
    </xf>
    <xf numFmtId="0" fontId="22" fillId="0" borderId="17" xfId="0" applyFont="1" applyBorder="1" applyAlignment="1">
      <alignment horizontal="left" vertical="center"/>
    </xf>
    <xf numFmtId="0" fontId="22" fillId="0" borderId="18" xfId="0" applyFont="1" applyBorder="1" applyAlignment="1">
      <alignment horizontal="left" vertical="center"/>
    </xf>
    <xf numFmtId="0" fontId="21" fillId="0" borderId="16" xfId="0" applyFont="1" applyFill="1" applyBorder="1" applyAlignment="1">
      <alignment horizontal="center" vertical="center"/>
    </xf>
    <xf numFmtId="0" fontId="21" fillId="0" borderId="17" xfId="0" applyFont="1" applyFill="1" applyBorder="1" applyAlignment="1">
      <alignment horizontal="center" vertical="center"/>
    </xf>
    <xf numFmtId="0" fontId="21" fillId="0" borderId="18" xfId="0" applyFont="1" applyFill="1" applyBorder="1" applyAlignment="1">
      <alignment horizontal="center" vertical="center"/>
    </xf>
    <xf numFmtId="0" fontId="16" fillId="0" borderId="49" xfId="0" applyFont="1" applyFill="1" applyBorder="1" applyAlignment="1">
      <alignment horizontal="center"/>
    </xf>
    <xf numFmtId="0" fontId="16" fillId="0" borderId="16" xfId="0" applyFont="1" applyFill="1" applyBorder="1" applyAlignment="1">
      <alignment horizontal="center"/>
    </xf>
    <xf numFmtId="0" fontId="16" fillId="0" borderId="17" xfId="0" applyFont="1" applyFill="1" applyBorder="1" applyAlignment="1">
      <alignment horizontal="center"/>
    </xf>
    <xf numFmtId="0" fontId="16" fillId="0" borderId="18" xfId="0" applyFont="1" applyFill="1" applyBorder="1" applyAlignment="1">
      <alignment horizontal="center"/>
    </xf>
    <xf numFmtId="0" fontId="0" fillId="0" borderId="0" xfId="0" applyFont="1" applyFill="1" applyAlignment="1">
      <alignment horizontal="left" vertical="center" wrapText="1"/>
    </xf>
    <xf numFmtId="0" fontId="0" fillId="0" borderId="0" xfId="0" applyFont="1"/>
    <xf numFmtId="0" fontId="0" fillId="0" borderId="0" xfId="0" applyFont="1" applyAlignment="1">
      <alignment horizontal="left" vertical="center" wrapText="1"/>
    </xf>
    <xf numFmtId="0" fontId="165" fillId="0" borderId="80" xfId="0" applyFont="1" applyBorder="1" applyAlignment="1">
      <alignment horizontal="center"/>
    </xf>
    <xf numFmtId="0" fontId="165" fillId="0" borderId="81" xfId="0" applyFont="1" applyBorder="1" applyAlignment="1">
      <alignment horizontal="center"/>
    </xf>
    <xf numFmtId="0" fontId="165" fillId="0" borderId="82" xfId="0" applyFont="1" applyBorder="1" applyAlignment="1">
      <alignment horizontal="center"/>
    </xf>
    <xf numFmtId="0" fontId="0" fillId="0" borderId="12"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83" xfId="0" applyBorder="1" applyAlignment="1">
      <alignment horizontal="center"/>
    </xf>
    <xf numFmtId="0" fontId="166" fillId="119" borderId="84" xfId="0" applyFont="1" applyFill="1" applyBorder="1" applyAlignment="1">
      <alignment horizontal="center" vertical="center" wrapText="1"/>
    </xf>
    <xf numFmtId="0" fontId="166" fillId="119" borderId="88" xfId="0" applyFont="1" applyFill="1" applyBorder="1" applyAlignment="1">
      <alignment horizontal="center" vertical="center" wrapText="1"/>
    </xf>
    <xf numFmtId="0" fontId="166" fillId="119" borderId="92" xfId="0" applyFont="1" applyFill="1" applyBorder="1" applyAlignment="1">
      <alignment horizontal="center" vertical="center" wrapText="1"/>
    </xf>
    <xf numFmtId="0" fontId="166" fillId="119" borderId="85" xfId="0" applyFont="1" applyFill="1" applyBorder="1" applyAlignment="1">
      <alignment horizontal="center" vertical="center" wrapText="1"/>
    </xf>
    <xf numFmtId="0" fontId="166" fillId="119" borderId="86" xfId="0" applyFont="1" applyFill="1" applyBorder="1" applyAlignment="1">
      <alignment horizontal="center" vertical="center" wrapText="1"/>
    </xf>
    <xf numFmtId="0" fontId="166" fillId="119" borderId="87" xfId="0" applyFont="1" applyFill="1" applyBorder="1" applyAlignment="1">
      <alignment horizontal="center" vertical="center" wrapText="1"/>
    </xf>
    <xf numFmtId="0" fontId="0" fillId="0" borderId="13" xfId="0" applyBorder="1" applyAlignment="1">
      <alignment horizontal="center"/>
    </xf>
    <xf numFmtId="0" fontId="0" fillId="0" borderId="10" xfId="0" applyBorder="1" applyAlignment="1">
      <alignment horizontal="center"/>
    </xf>
    <xf numFmtId="0" fontId="0" fillId="0" borderId="16" xfId="0" applyBorder="1" applyAlignment="1">
      <alignment horizontal="center"/>
    </xf>
    <xf numFmtId="0" fontId="172" fillId="0" borderId="113" xfId="0" applyFont="1" applyBorder="1" applyAlignment="1">
      <alignment vertical="center" wrapText="1"/>
    </xf>
    <xf numFmtId="0" fontId="0" fillId="0" borderId="90" xfId="0" applyBorder="1" applyAlignment="1">
      <alignment horizontal="center"/>
    </xf>
    <xf numFmtId="0" fontId="0" fillId="0" borderId="91" xfId="0" applyBorder="1" applyAlignment="1">
      <alignment horizontal="center"/>
    </xf>
    <xf numFmtId="0" fontId="167" fillId="119" borderId="85" xfId="0" applyFont="1" applyFill="1" applyBorder="1" applyAlignment="1">
      <alignment horizontal="center" vertical="center" wrapText="1"/>
    </xf>
    <xf numFmtId="0" fontId="167" fillId="119" borderId="87" xfId="0" applyFont="1" applyFill="1" applyBorder="1" applyAlignment="1">
      <alignment horizontal="center" vertical="center" wrapText="1"/>
    </xf>
    <xf numFmtId="0" fontId="21" fillId="120" borderId="0" xfId="0" applyFont="1" applyFill="1" applyAlignment="1">
      <alignment vertical="center" wrapText="1"/>
    </xf>
    <xf numFmtId="0" fontId="69" fillId="0" borderId="0" xfId="0" applyFont="1" applyAlignment="1">
      <alignment vertical="center" wrapText="1"/>
    </xf>
    <xf numFmtId="0" fontId="21" fillId="121" borderId="0" xfId="0" applyFont="1" applyFill="1" applyAlignment="1">
      <alignment vertical="center" wrapText="1"/>
    </xf>
    <xf numFmtId="0" fontId="79" fillId="81" borderId="0" xfId="0" applyNumberFormat="1" applyFont="1" applyFill="1" applyBorder="1" applyAlignment="1" applyProtection="1">
      <alignment horizontal="center" wrapText="1"/>
    </xf>
    <xf numFmtId="0" fontId="130" fillId="82" borderId="54" xfId="0" applyNumberFormat="1" applyFont="1" applyFill="1" applyBorder="1" applyAlignment="1" applyProtection="1">
      <alignment horizontal="center" wrapText="1"/>
    </xf>
    <xf numFmtId="0" fontId="130" fillId="82" borderId="55" xfId="0" applyNumberFormat="1" applyFont="1" applyFill="1" applyBorder="1" applyAlignment="1" applyProtection="1">
      <alignment horizontal="center" wrapText="1"/>
    </xf>
    <xf numFmtId="0" fontId="130" fillId="82" borderId="56" xfId="0" applyNumberFormat="1" applyFont="1" applyFill="1" applyBorder="1" applyAlignment="1" applyProtection="1">
      <alignment horizontal="center" wrapText="1"/>
    </xf>
    <xf numFmtId="0" fontId="163" fillId="81" borderId="57" xfId="0" applyNumberFormat="1" applyFont="1" applyFill="1" applyBorder="1" applyAlignment="1" applyProtection="1">
      <alignment horizontal="left" wrapText="1"/>
    </xf>
    <xf numFmtId="0" fontId="155" fillId="0" borderId="0" xfId="61065" applyNumberFormat="1" applyFont="1" applyAlignment="1">
      <alignment horizontal="center" vertical="center" wrapText="1"/>
    </xf>
    <xf numFmtId="0" fontId="155" fillId="0" borderId="29" xfId="61065" applyNumberFormat="1" applyFont="1" applyBorder="1" applyAlignment="1">
      <alignment horizontal="center" vertical="center" wrapText="1"/>
    </xf>
    <xf numFmtId="0" fontId="155" fillId="0" borderId="30" xfId="61065" applyNumberFormat="1" applyFont="1" applyBorder="1" applyAlignment="1">
      <alignment horizontal="center" vertical="center" wrapText="1"/>
    </xf>
    <xf numFmtId="0" fontId="155" fillId="0" borderId="26" xfId="61065" applyNumberFormat="1" applyFont="1" applyBorder="1" applyAlignment="1">
      <alignment horizontal="center" vertical="center" wrapText="1"/>
    </xf>
    <xf numFmtId="0" fontId="155" fillId="0" borderId="27" xfId="61065" applyNumberFormat="1" applyFont="1" applyBorder="1" applyAlignment="1">
      <alignment horizontal="center" vertical="top" wrapText="1"/>
    </xf>
    <xf numFmtId="0" fontId="155" fillId="0" borderId="33" xfId="61065" applyNumberFormat="1" applyFont="1" applyBorder="1" applyAlignment="1">
      <alignment horizontal="center" vertical="center" wrapText="1"/>
    </xf>
    <xf numFmtId="0" fontId="156" fillId="0" borderId="0" xfId="61065" applyNumberFormat="1" applyFont="1" applyAlignment="1">
      <alignment horizontal="center" vertical="center" wrapText="1"/>
    </xf>
  </cellXfs>
  <cellStyles count="61074">
    <cellStyle name="%" xfId="607" xr:uid="{00000000-0005-0000-0000-000000000000}"/>
    <cellStyle name="‡" xfId="51" xr:uid="{00000000-0005-0000-0000-000001000000}"/>
    <cellStyle name="10pt Gen bold" xfId="613" xr:uid="{00000000-0005-0000-0000-000002000000}"/>
    <cellStyle name="10pt Geneva" xfId="614" xr:uid="{00000000-0005-0000-0000-000003000000}"/>
    <cellStyle name="20% - Accent1" xfId="21" builtinId="30" customBuiltin="1"/>
    <cellStyle name="20% - Accent1 10 2 2" xfId="615" xr:uid="{00000000-0005-0000-0000-000005000000}"/>
    <cellStyle name="20% - Accent1 10 2 3" xfId="616" xr:uid="{00000000-0005-0000-0000-000006000000}"/>
    <cellStyle name="20% - Accent1 10 3" xfId="617" xr:uid="{00000000-0005-0000-0000-000007000000}"/>
    <cellStyle name="20% - Accent1 10 4" xfId="618" xr:uid="{00000000-0005-0000-0000-000008000000}"/>
    <cellStyle name="20% - Accent1 10 5" xfId="619" xr:uid="{00000000-0005-0000-0000-000009000000}"/>
    <cellStyle name="20% - Accent1 10 6" xfId="620" xr:uid="{00000000-0005-0000-0000-00000A000000}"/>
    <cellStyle name="20% - Accent1 11" xfId="621" xr:uid="{00000000-0005-0000-0000-00000B000000}"/>
    <cellStyle name="20% - Accent1 11 2" xfId="622" xr:uid="{00000000-0005-0000-0000-00000C000000}"/>
    <cellStyle name="20% - Accent1 11 2 2" xfId="623" xr:uid="{00000000-0005-0000-0000-00000D000000}"/>
    <cellStyle name="20% - Accent1 11 2 3" xfId="624" xr:uid="{00000000-0005-0000-0000-00000E000000}"/>
    <cellStyle name="20% - Accent1 11 3" xfId="625" xr:uid="{00000000-0005-0000-0000-00000F000000}"/>
    <cellStyle name="20% - Accent1 11 4" xfId="626" xr:uid="{00000000-0005-0000-0000-000010000000}"/>
    <cellStyle name="20% - Accent1 11 5" xfId="627" xr:uid="{00000000-0005-0000-0000-000011000000}"/>
    <cellStyle name="20% - Accent1 11 6" xfId="628" xr:uid="{00000000-0005-0000-0000-000012000000}"/>
    <cellStyle name="20% - Accent1 12" xfId="629" xr:uid="{00000000-0005-0000-0000-000013000000}"/>
    <cellStyle name="20% - Accent1 12 2" xfId="630" xr:uid="{00000000-0005-0000-0000-000014000000}"/>
    <cellStyle name="20% - Accent1 12 2 2" xfId="631" xr:uid="{00000000-0005-0000-0000-000015000000}"/>
    <cellStyle name="20% - Accent1 12 2 3" xfId="632" xr:uid="{00000000-0005-0000-0000-000016000000}"/>
    <cellStyle name="20% - Accent1 12 3" xfId="633" xr:uid="{00000000-0005-0000-0000-000017000000}"/>
    <cellStyle name="20% - Accent1 12 4" xfId="634" xr:uid="{00000000-0005-0000-0000-000018000000}"/>
    <cellStyle name="20% - Accent1 12 5" xfId="635" xr:uid="{00000000-0005-0000-0000-000019000000}"/>
    <cellStyle name="20% - Accent1 12 6" xfId="636" xr:uid="{00000000-0005-0000-0000-00001A000000}"/>
    <cellStyle name="20% - Accent1 13" xfId="637" xr:uid="{00000000-0005-0000-0000-00001B000000}"/>
    <cellStyle name="20% - Accent1 13 2" xfId="638" xr:uid="{00000000-0005-0000-0000-00001C000000}"/>
    <cellStyle name="20% - Accent1 13 3" xfId="639" xr:uid="{00000000-0005-0000-0000-00001D000000}"/>
    <cellStyle name="20% - Accent1 14" xfId="640" xr:uid="{00000000-0005-0000-0000-00001E000000}"/>
    <cellStyle name="20% - Accent1 15" xfId="641" xr:uid="{00000000-0005-0000-0000-00001F000000}"/>
    <cellStyle name="20% - Accent1 16" xfId="642" xr:uid="{00000000-0005-0000-0000-000020000000}"/>
    <cellStyle name="20% - Accent1 17" xfId="643" xr:uid="{00000000-0005-0000-0000-000021000000}"/>
    <cellStyle name="20% - Accent1 18" xfId="644" xr:uid="{00000000-0005-0000-0000-000022000000}"/>
    <cellStyle name="20% - Accent1 2" xfId="52" xr:uid="{00000000-0005-0000-0000-000023000000}"/>
    <cellStyle name="20% - Accent1 2 2" xfId="279" xr:uid="{00000000-0005-0000-0000-000024000000}"/>
    <cellStyle name="20% - Accent1 2 3" xfId="280" xr:uid="{00000000-0005-0000-0000-000025000000}"/>
    <cellStyle name="20% - Accent1 3" xfId="281" xr:uid="{00000000-0005-0000-0000-000026000000}"/>
    <cellStyle name="20% - Accent1 3 10" xfId="645" xr:uid="{00000000-0005-0000-0000-000027000000}"/>
    <cellStyle name="20% - Accent1 3 10 2" xfId="646" xr:uid="{00000000-0005-0000-0000-000028000000}"/>
    <cellStyle name="20% - Accent1 3 10 2 2" xfId="647" xr:uid="{00000000-0005-0000-0000-000029000000}"/>
    <cellStyle name="20% - Accent1 3 10 2 3" xfId="648" xr:uid="{00000000-0005-0000-0000-00002A000000}"/>
    <cellStyle name="20% - Accent1 3 10 3" xfId="649" xr:uid="{00000000-0005-0000-0000-00002B000000}"/>
    <cellStyle name="20% - Accent1 3 10 4" xfId="650" xr:uid="{00000000-0005-0000-0000-00002C000000}"/>
    <cellStyle name="20% - Accent1 3 10 5" xfId="651" xr:uid="{00000000-0005-0000-0000-00002D000000}"/>
    <cellStyle name="20% - Accent1 3 10 6" xfId="652" xr:uid="{00000000-0005-0000-0000-00002E000000}"/>
    <cellStyle name="20% - Accent1 3 11" xfId="653" xr:uid="{00000000-0005-0000-0000-00002F000000}"/>
    <cellStyle name="20% - Accent1 3 11 2" xfId="654" xr:uid="{00000000-0005-0000-0000-000030000000}"/>
    <cellStyle name="20% - Accent1 3 11 2 2" xfId="655" xr:uid="{00000000-0005-0000-0000-000031000000}"/>
    <cellStyle name="20% - Accent1 3 11 2 3" xfId="656" xr:uid="{00000000-0005-0000-0000-000032000000}"/>
    <cellStyle name="20% - Accent1 3 11 3" xfId="657" xr:uid="{00000000-0005-0000-0000-000033000000}"/>
    <cellStyle name="20% - Accent1 3 11 4" xfId="658" xr:uid="{00000000-0005-0000-0000-000034000000}"/>
    <cellStyle name="20% - Accent1 3 11 5" xfId="659" xr:uid="{00000000-0005-0000-0000-000035000000}"/>
    <cellStyle name="20% - Accent1 3 11 6" xfId="660" xr:uid="{00000000-0005-0000-0000-000036000000}"/>
    <cellStyle name="20% - Accent1 3 12" xfId="661" xr:uid="{00000000-0005-0000-0000-000037000000}"/>
    <cellStyle name="20% - Accent1 3 12 2" xfId="662" xr:uid="{00000000-0005-0000-0000-000038000000}"/>
    <cellStyle name="20% - Accent1 3 12 3" xfId="663" xr:uid="{00000000-0005-0000-0000-000039000000}"/>
    <cellStyle name="20% - Accent1 3 13" xfId="664" xr:uid="{00000000-0005-0000-0000-00003A000000}"/>
    <cellStyle name="20% - Accent1 3 14" xfId="665" xr:uid="{00000000-0005-0000-0000-00003B000000}"/>
    <cellStyle name="20% - Accent1 3 15" xfId="666" xr:uid="{00000000-0005-0000-0000-00003C000000}"/>
    <cellStyle name="20% - Accent1 3 16" xfId="667" xr:uid="{00000000-0005-0000-0000-00003D000000}"/>
    <cellStyle name="20% - Accent1 3 2" xfId="668" xr:uid="{00000000-0005-0000-0000-00003E000000}"/>
    <cellStyle name="20% - Accent1 3 2 10" xfId="669" xr:uid="{00000000-0005-0000-0000-00003F000000}"/>
    <cellStyle name="20% - Accent1 3 2 10 2" xfId="670" xr:uid="{00000000-0005-0000-0000-000040000000}"/>
    <cellStyle name="20% - Accent1 3 2 10 3" xfId="671" xr:uid="{00000000-0005-0000-0000-000041000000}"/>
    <cellStyle name="20% - Accent1 3 2 11" xfId="672" xr:uid="{00000000-0005-0000-0000-000042000000}"/>
    <cellStyle name="20% - Accent1 3 2 12" xfId="673" xr:uid="{00000000-0005-0000-0000-000043000000}"/>
    <cellStyle name="20% - Accent1 3 2 13" xfId="674" xr:uid="{00000000-0005-0000-0000-000044000000}"/>
    <cellStyle name="20% - Accent1 3 2 14" xfId="675" xr:uid="{00000000-0005-0000-0000-000045000000}"/>
    <cellStyle name="20% - Accent1 3 2 2" xfId="676" xr:uid="{00000000-0005-0000-0000-000046000000}"/>
    <cellStyle name="20% - Accent1 3 2 2 10" xfId="677" xr:uid="{00000000-0005-0000-0000-000047000000}"/>
    <cellStyle name="20% - Accent1 3 2 2 11" xfId="678" xr:uid="{00000000-0005-0000-0000-000048000000}"/>
    <cellStyle name="20% - Accent1 3 2 2 12" xfId="679" xr:uid="{00000000-0005-0000-0000-000049000000}"/>
    <cellStyle name="20% - Accent1 3 2 2 13" xfId="680" xr:uid="{00000000-0005-0000-0000-00004A000000}"/>
    <cellStyle name="20% - Accent1 3 2 2 2" xfId="681" xr:uid="{00000000-0005-0000-0000-00004B000000}"/>
    <cellStyle name="20% - Accent1 3 2 2 2 10" xfId="682" xr:uid="{00000000-0005-0000-0000-00004C000000}"/>
    <cellStyle name="20% - Accent1 3 2 2 2 2" xfId="683" xr:uid="{00000000-0005-0000-0000-00004D000000}"/>
    <cellStyle name="20% - Accent1 3 2 2 2 2 2" xfId="684" xr:uid="{00000000-0005-0000-0000-00004E000000}"/>
    <cellStyle name="20% - Accent1 3 2 2 2 2 2 2" xfId="685" xr:uid="{00000000-0005-0000-0000-00004F000000}"/>
    <cellStyle name="20% - Accent1 3 2 2 2 2 2 2 2" xfId="686" xr:uid="{00000000-0005-0000-0000-000050000000}"/>
    <cellStyle name="20% - Accent1 3 2 2 2 2 2 2 3" xfId="687" xr:uid="{00000000-0005-0000-0000-000051000000}"/>
    <cellStyle name="20% - Accent1 3 2 2 2 2 2 3" xfId="688" xr:uid="{00000000-0005-0000-0000-000052000000}"/>
    <cellStyle name="20% - Accent1 3 2 2 2 2 2 4" xfId="689" xr:uid="{00000000-0005-0000-0000-000053000000}"/>
    <cellStyle name="20% - Accent1 3 2 2 2 2 2 5" xfId="690" xr:uid="{00000000-0005-0000-0000-000054000000}"/>
    <cellStyle name="20% - Accent1 3 2 2 2 2 2 6" xfId="691" xr:uid="{00000000-0005-0000-0000-000055000000}"/>
    <cellStyle name="20% - Accent1 3 2 2 2 2 3" xfId="692" xr:uid="{00000000-0005-0000-0000-000056000000}"/>
    <cellStyle name="20% - Accent1 3 2 2 2 2 3 2" xfId="693" xr:uid="{00000000-0005-0000-0000-000057000000}"/>
    <cellStyle name="20% - Accent1 3 2 2 2 2 3 2 2" xfId="694" xr:uid="{00000000-0005-0000-0000-000058000000}"/>
    <cellStyle name="20% - Accent1 3 2 2 2 2 3 2 3" xfId="695" xr:uid="{00000000-0005-0000-0000-000059000000}"/>
    <cellStyle name="20% - Accent1 3 2 2 2 2 3 3" xfId="696" xr:uid="{00000000-0005-0000-0000-00005A000000}"/>
    <cellStyle name="20% - Accent1 3 2 2 2 2 3 4" xfId="697" xr:uid="{00000000-0005-0000-0000-00005B000000}"/>
    <cellStyle name="20% - Accent1 3 2 2 2 2 3 5" xfId="698" xr:uid="{00000000-0005-0000-0000-00005C000000}"/>
    <cellStyle name="20% - Accent1 3 2 2 2 2 3 6" xfId="699" xr:uid="{00000000-0005-0000-0000-00005D000000}"/>
    <cellStyle name="20% - Accent1 3 2 2 2 2 4" xfId="700" xr:uid="{00000000-0005-0000-0000-00005E000000}"/>
    <cellStyle name="20% - Accent1 3 2 2 2 2 4 2" xfId="701" xr:uid="{00000000-0005-0000-0000-00005F000000}"/>
    <cellStyle name="20% - Accent1 3 2 2 2 2 4 3" xfId="702" xr:uid="{00000000-0005-0000-0000-000060000000}"/>
    <cellStyle name="20% - Accent1 3 2 2 2 2 5" xfId="703" xr:uid="{00000000-0005-0000-0000-000061000000}"/>
    <cellStyle name="20% - Accent1 3 2 2 2 2 6" xfId="704" xr:uid="{00000000-0005-0000-0000-000062000000}"/>
    <cellStyle name="20% - Accent1 3 2 2 2 2 7" xfId="705" xr:uid="{00000000-0005-0000-0000-000063000000}"/>
    <cellStyle name="20% - Accent1 3 2 2 2 2 8" xfId="706" xr:uid="{00000000-0005-0000-0000-000064000000}"/>
    <cellStyle name="20% - Accent1 3 2 2 2 3" xfId="707" xr:uid="{00000000-0005-0000-0000-000065000000}"/>
    <cellStyle name="20% - Accent1 3 2 2 2 3 2" xfId="708" xr:uid="{00000000-0005-0000-0000-000066000000}"/>
    <cellStyle name="20% - Accent1 3 2 2 2 3 2 2" xfId="709" xr:uid="{00000000-0005-0000-0000-000067000000}"/>
    <cellStyle name="20% - Accent1 3 2 2 2 3 2 2 2" xfId="710" xr:uid="{00000000-0005-0000-0000-000068000000}"/>
    <cellStyle name="20% - Accent1 3 2 2 2 3 2 2 3" xfId="711" xr:uid="{00000000-0005-0000-0000-000069000000}"/>
    <cellStyle name="20% - Accent1 3 2 2 2 3 2 3" xfId="712" xr:uid="{00000000-0005-0000-0000-00006A000000}"/>
    <cellStyle name="20% - Accent1 3 2 2 2 3 2 4" xfId="713" xr:uid="{00000000-0005-0000-0000-00006B000000}"/>
    <cellStyle name="20% - Accent1 3 2 2 2 3 2 5" xfId="714" xr:uid="{00000000-0005-0000-0000-00006C000000}"/>
    <cellStyle name="20% - Accent1 3 2 2 2 3 2 6" xfId="715" xr:uid="{00000000-0005-0000-0000-00006D000000}"/>
    <cellStyle name="20% - Accent1 3 2 2 2 3 3" xfId="716" xr:uid="{00000000-0005-0000-0000-00006E000000}"/>
    <cellStyle name="20% - Accent1 3 2 2 2 3 3 2" xfId="717" xr:uid="{00000000-0005-0000-0000-00006F000000}"/>
    <cellStyle name="20% - Accent1 3 2 2 2 3 3 3" xfId="718" xr:uid="{00000000-0005-0000-0000-000070000000}"/>
    <cellStyle name="20% - Accent1 3 2 2 2 3 4" xfId="719" xr:uid="{00000000-0005-0000-0000-000071000000}"/>
    <cellStyle name="20% - Accent1 3 2 2 2 3 5" xfId="720" xr:uid="{00000000-0005-0000-0000-000072000000}"/>
    <cellStyle name="20% - Accent1 3 2 2 2 3 6" xfId="721" xr:uid="{00000000-0005-0000-0000-000073000000}"/>
    <cellStyle name="20% - Accent1 3 2 2 2 3 7" xfId="722" xr:uid="{00000000-0005-0000-0000-000074000000}"/>
    <cellStyle name="20% - Accent1 3 2 2 2 4" xfId="723" xr:uid="{00000000-0005-0000-0000-000075000000}"/>
    <cellStyle name="20% - Accent1 3 2 2 2 4 2" xfId="724" xr:uid="{00000000-0005-0000-0000-000076000000}"/>
    <cellStyle name="20% - Accent1 3 2 2 2 4 2 2" xfId="725" xr:uid="{00000000-0005-0000-0000-000077000000}"/>
    <cellStyle name="20% - Accent1 3 2 2 2 4 2 3" xfId="726" xr:uid="{00000000-0005-0000-0000-000078000000}"/>
    <cellStyle name="20% - Accent1 3 2 2 2 4 3" xfId="727" xr:uid="{00000000-0005-0000-0000-000079000000}"/>
    <cellStyle name="20% - Accent1 3 2 2 2 4 4" xfId="728" xr:uid="{00000000-0005-0000-0000-00007A000000}"/>
    <cellStyle name="20% - Accent1 3 2 2 2 4 5" xfId="729" xr:uid="{00000000-0005-0000-0000-00007B000000}"/>
    <cellStyle name="20% - Accent1 3 2 2 2 4 6" xfId="730" xr:uid="{00000000-0005-0000-0000-00007C000000}"/>
    <cellStyle name="20% - Accent1 3 2 2 2 5" xfId="731" xr:uid="{00000000-0005-0000-0000-00007D000000}"/>
    <cellStyle name="20% - Accent1 3 2 2 2 5 2" xfId="732" xr:uid="{00000000-0005-0000-0000-00007E000000}"/>
    <cellStyle name="20% - Accent1 3 2 2 2 5 2 2" xfId="733" xr:uid="{00000000-0005-0000-0000-00007F000000}"/>
    <cellStyle name="20% - Accent1 3 2 2 2 5 2 3" xfId="734" xr:uid="{00000000-0005-0000-0000-000080000000}"/>
    <cellStyle name="20% - Accent1 3 2 2 2 5 3" xfId="735" xr:uid="{00000000-0005-0000-0000-000081000000}"/>
    <cellStyle name="20% - Accent1 3 2 2 2 5 4" xfId="736" xr:uid="{00000000-0005-0000-0000-000082000000}"/>
    <cellStyle name="20% - Accent1 3 2 2 2 5 5" xfId="737" xr:uid="{00000000-0005-0000-0000-000083000000}"/>
    <cellStyle name="20% - Accent1 3 2 2 2 5 6" xfId="738" xr:uid="{00000000-0005-0000-0000-000084000000}"/>
    <cellStyle name="20% - Accent1 3 2 2 2 6" xfId="739" xr:uid="{00000000-0005-0000-0000-000085000000}"/>
    <cellStyle name="20% - Accent1 3 2 2 2 6 2" xfId="740" xr:uid="{00000000-0005-0000-0000-000086000000}"/>
    <cellStyle name="20% - Accent1 3 2 2 2 6 3" xfId="741" xr:uid="{00000000-0005-0000-0000-000087000000}"/>
    <cellStyle name="20% - Accent1 3 2 2 2 7" xfId="742" xr:uid="{00000000-0005-0000-0000-000088000000}"/>
    <cellStyle name="20% - Accent1 3 2 2 2 8" xfId="743" xr:uid="{00000000-0005-0000-0000-000089000000}"/>
    <cellStyle name="20% - Accent1 3 2 2 2 9" xfId="744" xr:uid="{00000000-0005-0000-0000-00008A000000}"/>
    <cellStyle name="20% - Accent1 3 2 2 3" xfId="745" xr:uid="{00000000-0005-0000-0000-00008B000000}"/>
    <cellStyle name="20% - Accent1 3 2 2 3 2" xfId="746" xr:uid="{00000000-0005-0000-0000-00008C000000}"/>
    <cellStyle name="20% - Accent1 3 2 2 3 2 2" xfId="747" xr:uid="{00000000-0005-0000-0000-00008D000000}"/>
    <cellStyle name="20% - Accent1 3 2 2 3 2 2 2" xfId="748" xr:uid="{00000000-0005-0000-0000-00008E000000}"/>
    <cellStyle name="20% - Accent1 3 2 2 3 2 2 2 2" xfId="749" xr:uid="{00000000-0005-0000-0000-00008F000000}"/>
    <cellStyle name="20% - Accent1 3 2 2 3 2 2 2 3" xfId="750" xr:uid="{00000000-0005-0000-0000-000090000000}"/>
    <cellStyle name="20% - Accent1 3 2 2 3 2 2 3" xfId="751" xr:uid="{00000000-0005-0000-0000-000091000000}"/>
    <cellStyle name="20% - Accent1 3 2 2 3 2 2 4" xfId="752" xr:uid="{00000000-0005-0000-0000-000092000000}"/>
    <cellStyle name="20% - Accent1 3 2 2 3 2 2 5" xfId="753" xr:uid="{00000000-0005-0000-0000-000093000000}"/>
    <cellStyle name="20% - Accent1 3 2 2 3 2 2 6" xfId="754" xr:uid="{00000000-0005-0000-0000-000094000000}"/>
    <cellStyle name="20% - Accent1 3 2 2 3 2 3" xfId="755" xr:uid="{00000000-0005-0000-0000-000095000000}"/>
    <cellStyle name="20% - Accent1 3 2 2 3 2 3 2" xfId="756" xr:uid="{00000000-0005-0000-0000-000096000000}"/>
    <cellStyle name="20% - Accent1 3 2 2 3 2 3 3" xfId="757" xr:uid="{00000000-0005-0000-0000-000097000000}"/>
    <cellStyle name="20% - Accent1 3 2 2 3 2 4" xfId="758" xr:uid="{00000000-0005-0000-0000-000098000000}"/>
    <cellStyle name="20% - Accent1 3 2 2 3 2 5" xfId="759" xr:uid="{00000000-0005-0000-0000-000099000000}"/>
    <cellStyle name="20% - Accent1 3 2 2 3 2 6" xfId="760" xr:uid="{00000000-0005-0000-0000-00009A000000}"/>
    <cellStyle name="20% - Accent1 3 2 2 3 2 7" xfId="761" xr:uid="{00000000-0005-0000-0000-00009B000000}"/>
    <cellStyle name="20% - Accent1 3 2 2 3 3" xfId="762" xr:uid="{00000000-0005-0000-0000-00009C000000}"/>
    <cellStyle name="20% - Accent1 3 2 2 3 3 2" xfId="763" xr:uid="{00000000-0005-0000-0000-00009D000000}"/>
    <cellStyle name="20% - Accent1 3 2 2 3 3 2 2" xfId="764" xr:uid="{00000000-0005-0000-0000-00009E000000}"/>
    <cellStyle name="20% - Accent1 3 2 2 3 3 2 3" xfId="765" xr:uid="{00000000-0005-0000-0000-00009F000000}"/>
    <cellStyle name="20% - Accent1 3 2 2 3 3 3" xfId="766" xr:uid="{00000000-0005-0000-0000-0000A0000000}"/>
    <cellStyle name="20% - Accent1 3 2 2 3 3 4" xfId="767" xr:uid="{00000000-0005-0000-0000-0000A1000000}"/>
    <cellStyle name="20% - Accent1 3 2 2 3 3 5" xfId="768" xr:uid="{00000000-0005-0000-0000-0000A2000000}"/>
    <cellStyle name="20% - Accent1 3 2 2 3 3 6" xfId="769" xr:uid="{00000000-0005-0000-0000-0000A3000000}"/>
    <cellStyle name="20% - Accent1 3 2 2 3 4" xfId="770" xr:uid="{00000000-0005-0000-0000-0000A4000000}"/>
    <cellStyle name="20% - Accent1 3 2 2 3 4 2" xfId="771" xr:uid="{00000000-0005-0000-0000-0000A5000000}"/>
    <cellStyle name="20% - Accent1 3 2 2 3 4 2 2" xfId="772" xr:uid="{00000000-0005-0000-0000-0000A6000000}"/>
    <cellStyle name="20% - Accent1 3 2 2 3 4 2 3" xfId="773" xr:uid="{00000000-0005-0000-0000-0000A7000000}"/>
    <cellStyle name="20% - Accent1 3 2 2 3 4 3" xfId="774" xr:uid="{00000000-0005-0000-0000-0000A8000000}"/>
    <cellStyle name="20% - Accent1 3 2 2 3 4 4" xfId="775" xr:uid="{00000000-0005-0000-0000-0000A9000000}"/>
    <cellStyle name="20% - Accent1 3 2 2 3 4 5" xfId="776" xr:uid="{00000000-0005-0000-0000-0000AA000000}"/>
    <cellStyle name="20% - Accent1 3 2 2 3 4 6" xfId="777" xr:uid="{00000000-0005-0000-0000-0000AB000000}"/>
    <cellStyle name="20% - Accent1 3 2 2 3 5" xfId="778" xr:uid="{00000000-0005-0000-0000-0000AC000000}"/>
    <cellStyle name="20% - Accent1 3 2 2 3 5 2" xfId="779" xr:uid="{00000000-0005-0000-0000-0000AD000000}"/>
    <cellStyle name="20% - Accent1 3 2 2 3 5 3" xfId="780" xr:uid="{00000000-0005-0000-0000-0000AE000000}"/>
    <cellStyle name="20% - Accent1 3 2 2 3 6" xfId="781" xr:uid="{00000000-0005-0000-0000-0000AF000000}"/>
    <cellStyle name="20% - Accent1 3 2 2 3 7" xfId="782" xr:uid="{00000000-0005-0000-0000-0000B0000000}"/>
    <cellStyle name="20% - Accent1 3 2 2 3 8" xfId="783" xr:uid="{00000000-0005-0000-0000-0000B1000000}"/>
    <cellStyle name="20% - Accent1 3 2 2 3 9" xfId="784" xr:uid="{00000000-0005-0000-0000-0000B2000000}"/>
    <cellStyle name="20% - Accent1 3 2 2 4" xfId="785" xr:uid="{00000000-0005-0000-0000-0000B3000000}"/>
    <cellStyle name="20% - Accent1 3 2 2 4 2" xfId="786" xr:uid="{00000000-0005-0000-0000-0000B4000000}"/>
    <cellStyle name="20% - Accent1 3 2 2 4 2 2" xfId="787" xr:uid="{00000000-0005-0000-0000-0000B5000000}"/>
    <cellStyle name="20% - Accent1 3 2 2 4 2 2 2" xfId="788" xr:uid="{00000000-0005-0000-0000-0000B6000000}"/>
    <cellStyle name="20% - Accent1 3 2 2 4 2 2 3" xfId="789" xr:uid="{00000000-0005-0000-0000-0000B7000000}"/>
    <cellStyle name="20% - Accent1 3 2 2 4 2 3" xfId="790" xr:uid="{00000000-0005-0000-0000-0000B8000000}"/>
    <cellStyle name="20% - Accent1 3 2 2 4 2 4" xfId="791" xr:uid="{00000000-0005-0000-0000-0000B9000000}"/>
    <cellStyle name="20% - Accent1 3 2 2 4 2 5" xfId="792" xr:uid="{00000000-0005-0000-0000-0000BA000000}"/>
    <cellStyle name="20% - Accent1 3 2 2 4 2 6" xfId="793" xr:uid="{00000000-0005-0000-0000-0000BB000000}"/>
    <cellStyle name="20% - Accent1 3 2 2 4 3" xfId="794" xr:uid="{00000000-0005-0000-0000-0000BC000000}"/>
    <cellStyle name="20% - Accent1 3 2 2 4 3 2" xfId="795" xr:uid="{00000000-0005-0000-0000-0000BD000000}"/>
    <cellStyle name="20% - Accent1 3 2 2 4 3 3" xfId="796" xr:uid="{00000000-0005-0000-0000-0000BE000000}"/>
    <cellStyle name="20% - Accent1 3 2 2 4 4" xfId="797" xr:uid="{00000000-0005-0000-0000-0000BF000000}"/>
    <cellStyle name="20% - Accent1 3 2 2 4 5" xfId="798" xr:uid="{00000000-0005-0000-0000-0000C0000000}"/>
    <cellStyle name="20% - Accent1 3 2 2 4 6" xfId="799" xr:uid="{00000000-0005-0000-0000-0000C1000000}"/>
    <cellStyle name="20% - Accent1 3 2 2 4 7" xfId="800" xr:uid="{00000000-0005-0000-0000-0000C2000000}"/>
    <cellStyle name="20% - Accent1 3 2 2 5" xfId="801" xr:uid="{00000000-0005-0000-0000-0000C3000000}"/>
    <cellStyle name="20% - Accent1 3 2 2 5 2" xfId="802" xr:uid="{00000000-0005-0000-0000-0000C4000000}"/>
    <cellStyle name="20% - Accent1 3 2 2 5 2 2" xfId="803" xr:uid="{00000000-0005-0000-0000-0000C5000000}"/>
    <cellStyle name="20% - Accent1 3 2 2 5 2 3" xfId="804" xr:uid="{00000000-0005-0000-0000-0000C6000000}"/>
    <cellStyle name="20% - Accent1 3 2 2 5 3" xfId="805" xr:uid="{00000000-0005-0000-0000-0000C7000000}"/>
    <cellStyle name="20% - Accent1 3 2 2 5 4" xfId="806" xr:uid="{00000000-0005-0000-0000-0000C8000000}"/>
    <cellStyle name="20% - Accent1 3 2 2 5 5" xfId="807" xr:uid="{00000000-0005-0000-0000-0000C9000000}"/>
    <cellStyle name="20% - Accent1 3 2 2 5 6" xfId="808" xr:uid="{00000000-0005-0000-0000-0000CA000000}"/>
    <cellStyle name="20% - Accent1 3 2 2 6" xfId="809" xr:uid="{00000000-0005-0000-0000-0000CB000000}"/>
    <cellStyle name="20% - Accent1 3 2 2 6 2" xfId="810" xr:uid="{00000000-0005-0000-0000-0000CC000000}"/>
    <cellStyle name="20% - Accent1 3 2 2 6 2 2" xfId="811" xr:uid="{00000000-0005-0000-0000-0000CD000000}"/>
    <cellStyle name="20% - Accent1 3 2 2 6 2 3" xfId="812" xr:uid="{00000000-0005-0000-0000-0000CE000000}"/>
    <cellStyle name="20% - Accent1 3 2 2 6 3" xfId="813" xr:uid="{00000000-0005-0000-0000-0000CF000000}"/>
    <cellStyle name="20% - Accent1 3 2 2 6 4" xfId="814" xr:uid="{00000000-0005-0000-0000-0000D0000000}"/>
    <cellStyle name="20% - Accent1 3 2 2 6 5" xfId="815" xr:uid="{00000000-0005-0000-0000-0000D1000000}"/>
    <cellStyle name="20% - Accent1 3 2 2 6 6" xfId="816" xr:uid="{00000000-0005-0000-0000-0000D2000000}"/>
    <cellStyle name="20% - Accent1 3 2 2 7" xfId="817" xr:uid="{00000000-0005-0000-0000-0000D3000000}"/>
    <cellStyle name="20% - Accent1 3 2 2 7 2" xfId="818" xr:uid="{00000000-0005-0000-0000-0000D4000000}"/>
    <cellStyle name="20% - Accent1 3 2 2 7 2 2" xfId="819" xr:uid="{00000000-0005-0000-0000-0000D5000000}"/>
    <cellStyle name="20% - Accent1 3 2 2 7 2 3" xfId="820" xr:uid="{00000000-0005-0000-0000-0000D6000000}"/>
    <cellStyle name="20% - Accent1 3 2 2 7 3" xfId="821" xr:uid="{00000000-0005-0000-0000-0000D7000000}"/>
    <cellStyle name="20% - Accent1 3 2 2 7 4" xfId="822" xr:uid="{00000000-0005-0000-0000-0000D8000000}"/>
    <cellStyle name="20% - Accent1 3 2 2 7 5" xfId="823" xr:uid="{00000000-0005-0000-0000-0000D9000000}"/>
    <cellStyle name="20% - Accent1 3 2 2 7 6" xfId="824" xr:uid="{00000000-0005-0000-0000-0000DA000000}"/>
    <cellStyle name="20% - Accent1 3 2 2 8" xfId="825" xr:uid="{00000000-0005-0000-0000-0000DB000000}"/>
    <cellStyle name="20% - Accent1 3 2 2 8 2" xfId="826" xr:uid="{00000000-0005-0000-0000-0000DC000000}"/>
    <cellStyle name="20% - Accent1 3 2 2 8 2 2" xfId="827" xr:uid="{00000000-0005-0000-0000-0000DD000000}"/>
    <cellStyle name="20% - Accent1 3 2 2 8 2 3" xfId="828" xr:uid="{00000000-0005-0000-0000-0000DE000000}"/>
    <cellStyle name="20% - Accent1 3 2 2 8 3" xfId="829" xr:uid="{00000000-0005-0000-0000-0000DF000000}"/>
    <cellStyle name="20% - Accent1 3 2 2 8 4" xfId="830" xr:uid="{00000000-0005-0000-0000-0000E0000000}"/>
    <cellStyle name="20% - Accent1 3 2 2 8 5" xfId="831" xr:uid="{00000000-0005-0000-0000-0000E1000000}"/>
    <cellStyle name="20% - Accent1 3 2 2 8 6" xfId="832" xr:uid="{00000000-0005-0000-0000-0000E2000000}"/>
    <cellStyle name="20% - Accent1 3 2 2 9" xfId="833" xr:uid="{00000000-0005-0000-0000-0000E3000000}"/>
    <cellStyle name="20% - Accent1 3 2 2 9 2" xfId="834" xr:uid="{00000000-0005-0000-0000-0000E4000000}"/>
    <cellStyle name="20% - Accent1 3 2 2 9 3" xfId="835" xr:uid="{00000000-0005-0000-0000-0000E5000000}"/>
    <cellStyle name="20% - Accent1 3 2 3" xfId="836" xr:uid="{00000000-0005-0000-0000-0000E6000000}"/>
    <cellStyle name="20% - Accent1 3 2 3 10" xfId="837" xr:uid="{00000000-0005-0000-0000-0000E7000000}"/>
    <cellStyle name="20% - Accent1 3 2 3 2" xfId="838" xr:uid="{00000000-0005-0000-0000-0000E8000000}"/>
    <cellStyle name="20% - Accent1 3 2 3 2 2" xfId="839" xr:uid="{00000000-0005-0000-0000-0000E9000000}"/>
    <cellStyle name="20% - Accent1 3 2 3 2 2 2" xfId="840" xr:uid="{00000000-0005-0000-0000-0000EA000000}"/>
    <cellStyle name="20% - Accent1 3 2 3 2 2 2 2" xfId="841" xr:uid="{00000000-0005-0000-0000-0000EB000000}"/>
    <cellStyle name="20% - Accent1 3 2 3 2 2 2 3" xfId="842" xr:uid="{00000000-0005-0000-0000-0000EC000000}"/>
    <cellStyle name="20% - Accent1 3 2 3 2 2 3" xfId="843" xr:uid="{00000000-0005-0000-0000-0000ED000000}"/>
    <cellStyle name="20% - Accent1 3 2 3 2 2 4" xfId="844" xr:uid="{00000000-0005-0000-0000-0000EE000000}"/>
    <cellStyle name="20% - Accent1 3 2 3 2 2 5" xfId="845" xr:uid="{00000000-0005-0000-0000-0000EF000000}"/>
    <cellStyle name="20% - Accent1 3 2 3 2 2 6" xfId="846" xr:uid="{00000000-0005-0000-0000-0000F0000000}"/>
    <cellStyle name="20% - Accent1 3 2 3 2 3" xfId="847" xr:uid="{00000000-0005-0000-0000-0000F1000000}"/>
    <cellStyle name="20% - Accent1 3 2 3 2 3 2" xfId="848" xr:uid="{00000000-0005-0000-0000-0000F2000000}"/>
    <cellStyle name="20% - Accent1 3 2 3 2 3 2 2" xfId="849" xr:uid="{00000000-0005-0000-0000-0000F3000000}"/>
    <cellStyle name="20% - Accent1 3 2 3 2 3 2 3" xfId="850" xr:uid="{00000000-0005-0000-0000-0000F4000000}"/>
    <cellStyle name="20% - Accent1 3 2 3 2 3 3" xfId="851" xr:uid="{00000000-0005-0000-0000-0000F5000000}"/>
    <cellStyle name="20% - Accent1 3 2 3 2 3 4" xfId="852" xr:uid="{00000000-0005-0000-0000-0000F6000000}"/>
    <cellStyle name="20% - Accent1 3 2 3 2 3 5" xfId="853" xr:uid="{00000000-0005-0000-0000-0000F7000000}"/>
    <cellStyle name="20% - Accent1 3 2 3 2 3 6" xfId="854" xr:uid="{00000000-0005-0000-0000-0000F8000000}"/>
    <cellStyle name="20% - Accent1 3 2 3 2 4" xfId="855" xr:uid="{00000000-0005-0000-0000-0000F9000000}"/>
    <cellStyle name="20% - Accent1 3 2 3 2 4 2" xfId="856" xr:uid="{00000000-0005-0000-0000-0000FA000000}"/>
    <cellStyle name="20% - Accent1 3 2 3 2 4 3" xfId="857" xr:uid="{00000000-0005-0000-0000-0000FB000000}"/>
    <cellStyle name="20% - Accent1 3 2 3 2 5" xfId="858" xr:uid="{00000000-0005-0000-0000-0000FC000000}"/>
    <cellStyle name="20% - Accent1 3 2 3 2 6" xfId="859" xr:uid="{00000000-0005-0000-0000-0000FD000000}"/>
    <cellStyle name="20% - Accent1 3 2 3 2 7" xfId="860" xr:uid="{00000000-0005-0000-0000-0000FE000000}"/>
    <cellStyle name="20% - Accent1 3 2 3 2 8" xfId="861" xr:uid="{00000000-0005-0000-0000-0000FF000000}"/>
    <cellStyle name="20% - Accent1 3 2 3 3" xfId="862" xr:uid="{00000000-0005-0000-0000-000000010000}"/>
    <cellStyle name="20% - Accent1 3 2 3 3 2" xfId="863" xr:uid="{00000000-0005-0000-0000-000001010000}"/>
    <cellStyle name="20% - Accent1 3 2 3 3 2 2" xfId="864" xr:uid="{00000000-0005-0000-0000-000002010000}"/>
    <cellStyle name="20% - Accent1 3 2 3 3 2 2 2" xfId="865" xr:uid="{00000000-0005-0000-0000-000003010000}"/>
    <cellStyle name="20% - Accent1 3 2 3 3 2 2 3" xfId="866" xr:uid="{00000000-0005-0000-0000-000004010000}"/>
    <cellStyle name="20% - Accent1 3 2 3 3 2 3" xfId="867" xr:uid="{00000000-0005-0000-0000-000005010000}"/>
    <cellStyle name="20% - Accent1 3 2 3 3 2 4" xfId="868" xr:uid="{00000000-0005-0000-0000-000006010000}"/>
    <cellStyle name="20% - Accent1 3 2 3 3 2 5" xfId="869" xr:uid="{00000000-0005-0000-0000-000007010000}"/>
    <cellStyle name="20% - Accent1 3 2 3 3 2 6" xfId="870" xr:uid="{00000000-0005-0000-0000-000008010000}"/>
    <cellStyle name="20% - Accent1 3 2 3 3 3" xfId="871" xr:uid="{00000000-0005-0000-0000-000009010000}"/>
    <cellStyle name="20% - Accent1 3 2 3 3 3 2" xfId="872" xr:uid="{00000000-0005-0000-0000-00000A010000}"/>
    <cellStyle name="20% - Accent1 3 2 3 3 3 3" xfId="873" xr:uid="{00000000-0005-0000-0000-00000B010000}"/>
    <cellStyle name="20% - Accent1 3 2 3 3 4" xfId="874" xr:uid="{00000000-0005-0000-0000-00000C010000}"/>
    <cellStyle name="20% - Accent1 3 2 3 3 5" xfId="875" xr:uid="{00000000-0005-0000-0000-00000D010000}"/>
    <cellStyle name="20% - Accent1 3 2 3 3 6" xfId="876" xr:uid="{00000000-0005-0000-0000-00000E010000}"/>
    <cellStyle name="20% - Accent1 3 2 3 3 7" xfId="877" xr:uid="{00000000-0005-0000-0000-00000F010000}"/>
    <cellStyle name="20% - Accent1 3 2 3 4" xfId="878" xr:uid="{00000000-0005-0000-0000-000010010000}"/>
    <cellStyle name="20% - Accent1 3 2 3 4 2" xfId="879" xr:uid="{00000000-0005-0000-0000-000011010000}"/>
    <cellStyle name="20% - Accent1 3 2 3 4 2 2" xfId="880" xr:uid="{00000000-0005-0000-0000-000012010000}"/>
    <cellStyle name="20% - Accent1 3 2 3 4 2 3" xfId="881" xr:uid="{00000000-0005-0000-0000-000013010000}"/>
    <cellStyle name="20% - Accent1 3 2 3 4 3" xfId="882" xr:uid="{00000000-0005-0000-0000-000014010000}"/>
    <cellStyle name="20% - Accent1 3 2 3 4 4" xfId="883" xr:uid="{00000000-0005-0000-0000-000015010000}"/>
    <cellStyle name="20% - Accent1 3 2 3 4 5" xfId="884" xr:uid="{00000000-0005-0000-0000-000016010000}"/>
    <cellStyle name="20% - Accent1 3 2 3 4 6" xfId="885" xr:uid="{00000000-0005-0000-0000-000017010000}"/>
    <cellStyle name="20% - Accent1 3 2 3 5" xfId="886" xr:uid="{00000000-0005-0000-0000-000018010000}"/>
    <cellStyle name="20% - Accent1 3 2 3 5 2" xfId="887" xr:uid="{00000000-0005-0000-0000-000019010000}"/>
    <cellStyle name="20% - Accent1 3 2 3 5 2 2" xfId="888" xr:uid="{00000000-0005-0000-0000-00001A010000}"/>
    <cellStyle name="20% - Accent1 3 2 3 5 2 3" xfId="889" xr:uid="{00000000-0005-0000-0000-00001B010000}"/>
    <cellStyle name="20% - Accent1 3 2 3 5 3" xfId="890" xr:uid="{00000000-0005-0000-0000-00001C010000}"/>
    <cellStyle name="20% - Accent1 3 2 3 5 4" xfId="891" xr:uid="{00000000-0005-0000-0000-00001D010000}"/>
    <cellStyle name="20% - Accent1 3 2 3 5 5" xfId="892" xr:uid="{00000000-0005-0000-0000-00001E010000}"/>
    <cellStyle name="20% - Accent1 3 2 3 5 6" xfId="893" xr:uid="{00000000-0005-0000-0000-00001F010000}"/>
    <cellStyle name="20% - Accent1 3 2 3 6" xfId="894" xr:uid="{00000000-0005-0000-0000-000020010000}"/>
    <cellStyle name="20% - Accent1 3 2 3 6 2" xfId="895" xr:uid="{00000000-0005-0000-0000-000021010000}"/>
    <cellStyle name="20% - Accent1 3 2 3 6 3" xfId="896" xr:uid="{00000000-0005-0000-0000-000022010000}"/>
    <cellStyle name="20% - Accent1 3 2 3 7" xfId="897" xr:uid="{00000000-0005-0000-0000-000023010000}"/>
    <cellStyle name="20% - Accent1 3 2 3 8" xfId="898" xr:uid="{00000000-0005-0000-0000-000024010000}"/>
    <cellStyle name="20% - Accent1 3 2 3 9" xfId="899" xr:uid="{00000000-0005-0000-0000-000025010000}"/>
    <cellStyle name="20% - Accent1 3 2 4" xfId="900" xr:uid="{00000000-0005-0000-0000-000026010000}"/>
    <cellStyle name="20% - Accent1 3 2 4 2" xfId="901" xr:uid="{00000000-0005-0000-0000-000027010000}"/>
    <cellStyle name="20% - Accent1 3 2 4 2 2" xfId="902" xr:uid="{00000000-0005-0000-0000-000028010000}"/>
    <cellStyle name="20% - Accent1 3 2 4 2 2 2" xfId="903" xr:uid="{00000000-0005-0000-0000-000029010000}"/>
    <cellStyle name="20% - Accent1 3 2 4 2 2 2 2" xfId="904" xr:uid="{00000000-0005-0000-0000-00002A010000}"/>
    <cellStyle name="20% - Accent1 3 2 4 2 2 2 3" xfId="905" xr:uid="{00000000-0005-0000-0000-00002B010000}"/>
    <cellStyle name="20% - Accent1 3 2 4 2 2 3" xfId="906" xr:uid="{00000000-0005-0000-0000-00002C010000}"/>
    <cellStyle name="20% - Accent1 3 2 4 2 2 4" xfId="907" xr:uid="{00000000-0005-0000-0000-00002D010000}"/>
    <cellStyle name="20% - Accent1 3 2 4 2 2 5" xfId="908" xr:uid="{00000000-0005-0000-0000-00002E010000}"/>
    <cellStyle name="20% - Accent1 3 2 4 2 2 6" xfId="909" xr:uid="{00000000-0005-0000-0000-00002F010000}"/>
    <cellStyle name="20% - Accent1 3 2 4 2 3" xfId="910" xr:uid="{00000000-0005-0000-0000-000030010000}"/>
    <cellStyle name="20% - Accent1 3 2 4 2 3 2" xfId="911" xr:uid="{00000000-0005-0000-0000-000031010000}"/>
    <cellStyle name="20% - Accent1 3 2 4 2 3 3" xfId="912" xr:uid="{00000000-0005-0000-0000-000032010000}"/>
    <cellStyle name="20% - Accent1 3 2 4 2 4" xfId="913" xr:uid="{00000000-0005-0000-0000-000033010000}"/>
    <cellStyle name="20% - Accent1 3 2 4 2 5" xfId="914" xr:uid="{00000000-0005-0000-0000-000034010000}"/>
    <cellStyle name="20% - Accent1 3 2 4 2 6" xfId="915" xr:uid="{00000000-0005-0000-0000-000035010000}"/>
    <cellStyle name="20% - Accent1 3 2 4 2 7" xfId="916" xr:uid="{00000000-0005-0000-0000-000036010000}"/>
    <cellStyle name="20% - Accent1 3 2 4 3" xfId="917" xr:uid="{00000000-0005-0000-0000-000037010000}"/>
    <cellStyle name="20% - Accent1 3 2 4 3 2" xfId="918" xr:uid="{00000000-0005-0000-0000-000038010000}"/>
    <cellStyle name="20% - Accent1 3 2 4 3 2 2" xfId="919" xr:uid="{00000000-0005-0000-0000-000039010000}"/>
    <cellStyle name="20% - Accent1 3 2 4 3 2 3" xfId="920" xr:uid="{00000000-0005-0000-0000-00003A010000}"/>
    <cellStyle name="20% - Accent1 3 2 4 3 3" xfId="921" xr:uid="{00000000-0005-0000-0000-00003B010000}"/>
    <cellStyle name="20% - Accent1 3 2 4 3 4" xfId="922" xr:uid="{00000000-0005-0000-0000-00003C010000}"/>
    <cellStyle name="20% - Accent1 3 2 4 3 5" xfId="923" xr:uid="{00000000-0005-0000-0000-00003D010000}"/>
    <cellStyle name="20% - Accent1 3 2 4 3 6" xfId="924" xr:uid="{00000000-0005-0000-0000-00003E010000}"/>
    <cellStyle name="20% - Accent1 3 2 4 4" xfId="925" xr:uid="{00000000-0005-0000-0000-00003F010000}"/>
    <cellStyle name="20% - Accent1 3 2 4 4 2" xfId="926" xr:uid="{00000000-0005-0000-0000-000040010000}"/>
    <cellStyle name="20% - Accent1 3 2 4 4 2 2" xfId="927" xr:uid="{00000000-0005-0000-0000-000041010000}"/>
    <cellStyle name="20% - Accent1 3 2 4 4 2 3" xfId="928" xr:uid="{00000000-0005-0000-0000-000042010000}"/>
    <cellStyle name="20% - Accent1 3 2 4 4 3" xfId="929" xr:uid="{00000000-0005-0000-0000-000043010000}"/>
    <cellStyle name="20% - Accent1 3 2 4 4 4" xfId="930" xr:uid="{00000000-0005-0000-0000-000044010000}"/>
    <cellStyle name="20% - Accent1 3 2 4 4 5" xfId="931" xr:uid="{00000000-0005-0000-0000-000045010000}"/>
    <cellStyle name="20% - Accent1 3 2 4 4 6" xfId="932" xr:uid="{00000000-0005-0000-0000-000046010000}"/>
    <cellStyle name="20% - Accent1 3 2 4 5" xfId="933" xr:uid="{00000000-0005-0000-0000-000047010000}"/>
    <cellStyle name="20% - Accent1 3 2 4 5 2" xfId="934" xr:uid="{00000000-0005-0000-0000-000048010000}"/>
    <cellStyle name="20% - Accent1 3 2 4 5 3" xfId="935" xr:uid="{00000000-0005-0000-0000-000049010000}"/>
    <cellStyle name="20% - Accent1 3 2 4 6" xfId="936" xr:uid="{00000000-0005-0000-0000-00004A010000}"/>
    <cellStyle name="20% - Accent1 3 2 4 7" xfId="937" xr:uid="{00000000-0005-0000-0000-00004B010000}"/>
    <cellStyle name="20% - Accent1 3 2 4 8" xfId="938" xr:uid="{00000000-0005-0000-0000-00004C010000}"/>
    <cellStyle name="20% - Accent1 3 2 4 9" xfId="939" xr:uid="{00000000-0005-0000-0000-00004D010000}"/>
    <cellStyle name="20% - Accent1 3 2 5" xfId="940" xr:uid="{00000000-0005-0000-0000-00004E010000}"/>
    <cellStyle name="20% - Accent1 3 2 5 2" xfId="941" xr:uid="{00000000-0005-0000-0000-00004F010000}"/>
    <cellStyle name="20% - Accent1 3 2 5 2 2" xfId="942" xr:uid="{00000000-0005-0000-0000-000050010000}"/>
    <cellStyle name="20% - Accent1 3 2 5 2 2 2" xfId="943" xr:uid="{00000000-0005-0000-0000-000051010000}"/>
    <cellStyle name="20% - Accent1 3 2 5 2 2 3" xfId="944" xr:uid="{00000000-0005-0000-0000-000052010000}"/>
    <cellStyle name="20% - Accent1 3 2 5 2 3" xfId="945" xr:uid="{00000000-0005-0000-0000-000053010000}"/>
    <cellStyle name="20% - Accent1 3 2 5 2 4" xfId="946" xr:uid="{00000000-0005-0000-0000-000054010000}"/>
    <cellStyle name="20% - Accent1 3 2 5 2 5" xfId="947" xr:uid="{00000000-0005-0000-0000-000055010000}"/>
    <cellStyle name="20% - Accent1 3 2 5 2 6" xfId="948" xr:uid="{00000000-0005-0000-0000-000056010000}"/>
    <cellStyle name="20% - Accent1 3 2 5 3" xfId="949" xr:uid="{00000000-0005-0000-0000-000057010000}"/>
    <cellStyle name="20% - Accent1 3 2 5 3 2" xfId="950" xr:uid="{00000000-0005-0000-0000-000058010000}"/>
    <cellStyle name="20% - Accent1 3 2 5 3 3" xfId="951" xr:uid="{00000000-0005-0000-0000-000059010000}"/>
    <cellStyle name="20% - Accent1 3 2 5 4" xfId="952" xr:uid="{00000000-0005-0000-0000-00005A010000}"/>
    <cellStyle name="20% - Accent1 3 2 5 5" xfId="953" xr:uid="{00000000-0005-0000-0000-00005B010000}"/>
    <cellStyle name="20% - Accent1 3 2 5 6" xfId="954" xr:uid="{00000000-0005-0000-0000-00005C010000}"/>
    <cellStyle name="20% - Accent1 3 2 5 7" xfId="955" xr:uid="{00000000-0005-0000-0000-00005D010000}"/>
    <cellStyle name="20% - Accent1 3 2 6" xfId="956" xr:uid="{00000000-0005-0000-0000-00005E010000}"/>
    <cellStyle name="20% - Accent1 3 2 6 2" xfId="957" xr:uid="{00000000-0005-0000-0000-00005F010000}"/>
    <cellStyle name="20% - Accent1 3 2 6 2 2" xfId="958" xr:uid="{00000000-0005-0000-0000-000060010000}"/>
    <cellStyle name="20% - Accent1 3 2 6 2 3" xfId="959" xr:uid="{00000000-0005-0000-0000-000061010000}"/>
    <cellStyle name="20% - Accent1 3 2 6 3" xfId="960" xr:uid="{00000000-0005-0000-0000-000062010000}"/>
    <cellStyle name="20% - Accent1 3 2 6 4" xfId="961" xr:uid="{00000000-0005-0000-0000-000063010000}"/>
    <cellStyle name="20% - Accent1 3 2 6 5" xfId="962" xr:uid="{00000000-0005-0000-0000-000064010000}"/>
    <cellStyle name="20% - Accent1 3 2 6 6" xfId="963" xr:uid="{00000000-0005-0000-0000-000065010000}"/>
    <cellStyle name="20% - Accent1 3 2 7" xfId="964" xr:uid="{00000000-0005-0000-0000-000066010000}"/>
    <cellStyle name="20% - Accent1 3 2 7 2" xfId="965" xr:uid="{00000000-0005-0000-0000-000067010000}"/>
    <cellStyle name="20% - Accent1 3 2 7 2 2" xfId="966" xr:uid="{00000000-0005-0000-0000-000068010000}"/>
    <cellStyle name="20% - Accent1 3 2 7 2 3" xfId="967" xr:uid="{00000000-0005-0000-0000-000069010000}"/>
    <cellStyle name="20% - Accent1 3 2 7 3" xfId="968" xr:uid="{00000000-0005-0000-0000-00006A010000}"/>
    <cellStyle name="20% - Accent1 3 2 7 4" xfId="969" xr:uid="{00000000-0005-0000-0000-00006B010000}"/>
    <cellStyle name="20% - Accent1 3 2 7 5" xfId="970" xr:uid="{00000000-0005-0000-0000-00006C010000}"/>
    <cellStyle name="20% - Accent1 3 2 7 6" xfId="971" xr:uid="{00000000-0005-0000-0000-00006D010000}"/>
    <cellStyle name="20% - Accent1 3 2 8" xfId="972" xr:uid="{00000000-0005-0000-0000-00006E010000}"/>
    <cellStyle name="20% - Accent1 3 2 8 2" xfId="973" xr:uid="{00000000-0005-0000-0000-00006F010000}"/>
    <cellStyle name="20% - Accent1 3 2 8 2 2" xfId="974" xr:uid="{00000000-0005-0000-0000-000070010000}"/>
    <cellStyle name="20% - Accent1 3 2 8 2 3" xfId="975" xr:uid="{00000000-0005-0000-0000-000071010000}"/>
    <cellStyle name="20% - Accent1 3 2 8 3" xfId="976" xr:uid="{00000000-0005-0000-0000-000072010000}"/>
    <cellStyle name="20% - Accent1 3 2 8 4" xfId="977" xr:uid="{00000000-0005-0000-0000-000073010000}"/>
    <cellStyle name="20% - Accent1 3 2 8 5" xfId="978" xr:uid="{00000000-0005-0000-0000-000074010000}"/>
    <cellStyle name="20% - Accent1 3 2 8 6" xfId="979" xr:uid="{00000000-0005-0000-0000-000075010000}"/>
    <cellStyle name="20% - Accent1 3 2 9" xfId="980" xr:uid="{00000000-0005-0000-0000-000076010000}"/>
    <cellStyle name="20% - Accent1 3 2 9 2" xfId="981" xr:uid="{00000000-0005-0000-0000-000077010000}"/>
    <cellStyle name="20% - Accent1 3 2 9 2 2" xfId="982" xr:uid="{00000000-0005-0000-0000-000078010000}"/>
    <cellStyle name="20% - Accent1 3 2 9 2 3" xfId="983" xr:uid="{00000000-0005-0000-0000-000079010000}"/>
    <cellStyle name="20% - Accent1 3 2 9 3" xfId="984" xr:uid="{00000000-0005-0000-0000-00007A010000}"/>
    <cellStyle name="20% - Accent1 3 2 9 4" xfId="985" xr:uid="{00000000-0005-0000-0000-00007B010000}"/>
    <cellStyle name="20% - Accent1 3 2 9 5" xfId="986" xr:uid="{00000000-0005-0000-0000-00007C010000}"/>
    <cellStyle name="20% - Accent1 3 2 9 6" xfId="987" xr:uid="{00000000-0005-0000-0000-00007D010000}"/>
    <cellStyle name="20% - Accent1 3 3" xfId="988" xr:uid="{00000000-0005-0000-0000-00007E010000}"/>
    <cellStyle name="20% - Accent1 3 3 10" xfId="989" xr:uid="{00000000-0005-0000-0000-00007F010000}"/>
    <cellStyle name="20% - Accent1 3 3 10 2" xfId="990" xr:uid="{00000000-0005-0000-0000-000080010000}"/>
    <cellStyle name="20% - Accent1 3 3 10 3" xfId="991" xr:uid="{00000000-0005-0000-0000-000081010000}"/>
    <cellStyle name="20% - Accent1 3 3 11" xfId="992" xr:uid="{00000000-0005-0000-0000-000082010000}"/>
    <cellStyle name="20% - Accent1 3 3 12" xfId="993" xr:uid="{00000000-0005-0000-0000-000083010000}"/>
    <cellStyle name="20% - Accent1 3 3 13" xfId="994" xr:uid="{00000000-0005-0000-0000-000084010000}"/>
    <cellStyle name="20% - Accent1 3 3 14" xfId="995" xr:uid="{00000000-0005-0000-0000-000085010000}"/>
    <cellStyle name="20% - Accent1 3 3 2" xfId="996" xr:uid="{00000000-0005-0000-0000-000086010000}"/>
    <cellStyle name="20% - Accent1 3 3 2 10" xfId="997" xr:uid="{00000000-0005-0000-0000-000087010000}"/>
    <cellStyle name="20% - Accent1 3 3 2 11" xfId="998" xr:uid="{00000000-0005-0000-0000-000088010000}"/>
    <cellStyle name="20% - Accent1 3 3 2 12" xfId="999" xr:uid="{00000000-0005-0000-0000-000089010000}"/>
    <cellStyle name="20% - Accent1 3 3 2 13" xfId="1000" xr:uid="{00000000-0005-0000-0000-00008A010000}"/>
    <cellStyle name="20% - Accent1 3 3 2 2" xfId="1001" xr:uid="{00000000-0005-0000-0000-00008B010000}"/>
    <cellStyle name="20% - Accent1 3 3 2 2 10" xfId="1002" xr:uid="{00000000-0005-0000-0000-00008C010000}"/>
    <cellStyle name="20% - Accent1 3 3 2 2 2" xfId="1003" xr:uid="{00000000-0005-0000-0000-00008D010000}"/>
    <cellStyle name="20% - Accent1 3 3 2 2 2 2" xfId="1004" xr:uid="{00000000-0005-0000-0000-00008E010000}"/>
    <cellStyle name="20% - Accent1 3 3 2 2 2 2 2" xfId="1005" xr:uid="{00000000-0005-0000-0000-00008F010000}"/>
    <cellStyle name="20% - Accent1 3 3 2 2 2 2 2 2" xfId="1006" xr:uid="{00000000-0005-0000-0000-000090010000}"/>
    <cellStyle name="20% - Accent1 3 3 2 2 2 2 2 3" xfId="1007" xr:uid="{00000000-0005-0000-0000-000091010000}"/>
    <cellStyle name="20% - Accent1 3 3 2 2 2 2 3" xfId="1008" xr:uid="{00000000-0005-0000-0000-000092010000}"/>
    <cellStyle name="20% - Accent1 3 3 2 2 2 2 4" xfId="1009" xr:uid="{00000000-0005-0000-0000-000093010000}"/>
    <cellStyle name="20% - Accent1 3 3 2 2 2 2 5" xfId="1010" xr:uid="{00000000-0005-0000-0000-000094010000}"/>
    <cellStyle name="20% - Accent1 3 3 2 2 2 2 6" xfId="1011" xr:uid="{00000000-0005-0000-0000-000095010000}"/>
    <cellStyle name="20% - Accent1 3 3 2 2 2 3" xfId="1012" xr:uid="{00000000-0005-0000-0000-000096010000}"/>
    <cellStyle name="20% - Accent1 3 3 2 2 2 3 2" xfId="1013" xr:uid="{00000000-0005-0000-0000-000097010000}"/>
    <cellStyle name="20% - Accent1 3 3 2 2 2 3 2 2" xfId="1014" xr:uid="{00000000-0005-0000-0000-000098010000}"/>
    <cellStyle name="20% - Accent1 3 3 2 2 2 3 2 3" xfId="1015" xr:uid="{00000000-0005-0000-0000-000099010000}"/>
    <cellStyle name="20% - Accent1 3 3 2 2 2 3 3" xfId="1016" xr:uid="{00000000-0005-0000-0000-00009A010000}"/>
    <cellStyle name="20% - Accent1 3 3 2 2 2 3 4" xfId="1017" xr:uid="{00000000-0005-0000-0000-00009B010000}"/>
    <cellStyle name="20% - Accent1 3 3 2 2 2 3 5" xfId="1018" xr:uid="{00000000-0005-0000-0000-00009C010000}"/>
    <cellStyle name="20% - Accent1 3 3 2 2 2 3 6" xfId="1019" xr:uid="{00000000-0005-0000-0000-00009D010000}"/>
    <cellStyle name="20% - Accent1 3 3 2 2 2 4" xfId="1020" xr:uid="{00000000-0005-0000-0000-00009E010000}"/>
    <cellStyle name="20% - Accent1 3 3 2 2 2 4 2" xfId="1021" xr:uid="{00000000-0005-0000-0000-00009F010000}"/>
    <cellStyle name="20% - Accent1 3 3 2 2 2 4 3" xfId="1022" xr:uid="{00000000-0005-0000-0000-0000A0010000}"/>
    <cellStyle name="20% - Accent1 3 3 2 2 2 5" xfId="1023" xr:uid="{00000000-0005-0000-0000-0000A1010000}"/>
    <cellStyle name="20% - Accent1 3 3 2 2 2 6" xfId="1024" xr:uid="{00000000-0005-0000-0000-0000A2010000}"/>
    <cellStyle name="20% - Accent1 3 3 2 2 2 7" xfId="1025" xr:uid="{00000000-0005-0000-0000-0000A3010000}"/>
    <cellStyle name="20% - Accent1 3 3 2 2 2 8" xfId="1026" xr:uid="{00000000-0005-0000-0000-0000A4010000}"/>
    <cellStyle name="20% - Accent1 3 3 2 2 3" xfId="1027" xr:uid="{00000000-0005-0000-0000-0000A5010000}"/>
    <cellStyle name="20% - Accent1 3 3 2 2 3 2" xfId="1028" xr:uid="{00000000-0005-0000-0000-0000A6010000}"/>
    <cellStyle name="20% - Accent1 3 3 2 2 3 2 2" xfId="1029" xr:uid="{00000000-0005-0000-0000-0000A7010000}"/>
    <cellStyle name="20% - Accent1 3 3 2 2 3 2 2 2" xfId="1030" xr:uid="{00000000-0005-0000-0000-0000A8010000}"/>
    <cellStyle name="20% - Accent1 3 3 2 2 3 2 2 3" xfId="1031" xr:uid="{00000000-0005-0000-0000-0000A9010000}"/>
    <cellStyle name="20% - Accent1 3 3 2 2 3 2 3" xfId="1032" xr:uid="{00000000-0005-0000-0000-0000AA010000}"/>
    <cellStyle name="20% - Accent1 3 3 2 2 3 2 4" xfId="1033" xr:uid="{00000000-0005-0000-0000-0000AB010000}"/>
    <cellStyle name="20% - Accent1 3 3 2 2 3 2 5" xfId="1034" xr:uid="{00000000-0005-0000-0000-0000AC010000}"/>
    <cellStyle name="20% - Accent1 3 3 2 2 3 2 6" xfId="1035" xr:uid="{00000000-0005-0000-0000-0000AD010000}"/>
    <cellStyle name="20% - Accent1 3 3 2 2 3 3" xfId="1036" xr:uid="{00000000-0005-0000-0000-0000AE010000}"/>
    <cellStyle name="20% - Accent1 3 3 2 2 3 3 2" xfId="1037" xr:uid="{00000000-0005-0000-0000-0000AF010000}"/>
    <cellStyle name="20% - Accent1 3 3 2 2 3 3 3" xfId="1038" xr:uid="{00000000-0005-0000-0000-0000B0010000}"/>
    <cellStyle name="20% - Accent1 3 3 2 2 3 4" xfId="1039" xr:uid="{00000000-0005-0000-0000-0000B1010000}"/>
    <cellStyle name="20% - Accent1 3 3 2 2 3 5" xfId="1040" xr:uid="{00000000-0005-0000-0000-0000B2010000}"/>
    <cellStyle name="20% - Accent1 3 3 2 2 3 6" xfId="1041" xr:uid="{00000000-0005-0000-0000-0000B3010000}"/>
    <cellStyle name="20% - Accent1 3 3 2 2 3 7" xfId="1042" xr:uid="{00000000-0005-0000-0000-0000B4010000}"/>
    <cellStyle name="20% - Accent1 3 3 2 2 4" xfId="1043" xr:uid="{00000000-0005-0000-0000-0000B5010000}"/>
    <cellStyle name="20% - Accent1 3 3 2 2 4 2" xfId="1044" xr:uid="{00000000-0005-0000-0000-0000B6010000}"/>
    <cellStyle name="20% - Accent1 3 3 2 2 4 2 2" xfId="1045" xr:uid="{00000000-0005-0000-0000-0000B7010000}"/>
    <cellStyle name="20% - Accent1 3 3 2 2 4 2 3" xfId="1046" xr:uid="{00000000-0005-0000-0000-0000B8010000}"/>
    <cellStyle name="20% - Accent1 3 3 2 2 4 3" xfId="1047" xr:uid="{00000000-0005-0000-0000-0000B9010000}"/>
    <cellStyle name="20% - Accent1 3 3 2 2 4 4" xfId="1048" xr:uid="{00000000-0005-0000-0000-0000BA010000}"/>
    <cellStyle name="20% - Accent1 3 3 2 2 4 5" xfId="1049" xr:uid="{00000000-0005-0000-0000-0000BB010000}"/>
    <cellStyle name="20% - Accent1 3 3 2 2 4 6" xfId="1050" xr:uid="{00000000-0005-0000-0000-0000BC010000}"/>
    <cellStyle name="20% - Accent1 3 3 2 2 5" xfId="1051" xr:uid="{00000000-0005-0000-0000-0000BD010000}"/>
    <cellStyle name="20% - Accent1 3 3 2 2 5 2" xfId="1052" xr:uid="{00000000-0005-0000-0000-0000BE010000}"/>
    <cellStyle name="20% - Accent1 3 3 2 2 5 2 2" xfId="1053" xr:uid="{00000000-0005-0000-0000-0000BF010000}"/>
    <cellStyle name="20% - Accent1 3 3 2 2 5 2 3" xfId="1054" xr:uid="{00000000-0005-0000-0000-0000C0010000}"/>
    <cellStyle name="20% - Accent1 3 3 2 2 5 3" xfId="1055" xr:uid="{00000000-0005-0000-0000-0000C1010000}"/>
    <cellStyle name="20% - Accent1 3 3 2 2 5 4" xfId="1056" xr:uid="{00000000-0005-0000-0000-0000C2010000}"/>
    <cellStyle name="20% - Accent1 3 3 2 2 5 5" xfId="1057" xr:uid="{00000000-0005-0000-0000-0000C3010000}"/>
    <cellStyle name="20% - Accent1 3 3 2 2 5 6" xfId="1058" xr:uid="{00000000-0005-0000-0000-0000C4010000}"/>
    <cellStyle name="20% - Accent1 3 3 2 2 6" xfId="1059" xr:uid="{00000000-0005-0000-0000-0000C5010000}"/>
    <cellStyle name="20% - Accent1 3 3 2 2 6 2" xfId="1060" xr:uid="{00000000-0005-0000-0000-0000C6010000}"/>
    <cellStyle name="20% - Accent1 3 3 2 2 6 3" xfId="1061" xr:uid="{00000000-0005-0000-0000-0000C7010000}"/>
    <cellStyle name="20% - Accent1 3 3 2 2 7" xfId="1062" xr:uid="{00000000-0005-0000-0000-0000C8010000}"/>
    <cellStyle name="20% - Accent1 3 3 2 2 8" xfId="1063" xr:uid="{00000000-0005-0000-0000-0000C9010000}"/>
    <cellStyle name="20% - Accent1 3 3 2 2 9" xfId="1064" xr:uid="{00000000-0005-0000-0000-0000CA010000}"/>
    <cellStyle name="20% - Accent1 3 3 2 3" xfId="1065" xr:uid="{00000000-0005-0000-0000-0000CB010000}"/>
    <cellStyle name="20% - Accent1 3 3 2 3 2" xfId="1066" xr:uid="{00000000-0005-0000-0000-0000CC010000}"/>
    <cellStyle name="20% - Accent1 3 3 2 3 2 2" xfId="1067" xr:uid="{00000000-0005-0000-0000-0000CD010000}"/>
    <cellStyle name="20% - Accent1 3 3 2 3 2 2 2" xfId="1068" xr:uid="{00000000-0005-0000-0000-0000CE010000}"/>
    <cellStyle name="20% - Accent1 3 3 2 3 2 2 2 2" xfId="1069" xr:uid="{00000000-0005-0000-0000-0000CF010000}"/>
    <cellStyle name="20% - Accent1 3 3 2 3 2 2 2 3" xfId="1070" xr:uid="{00000000-0005-0000-0000-0000D0010000}"/>
    <cellStyle name="20% - Accent1 3 3 2 3 2 2 3" xfId="1071" xr:uid="{00000000-0005-0000-0000-0000D1010000}"/>
    <cellStyle name="20% - Accent1 3 3 2 3 2 2 4" xfId="1072" xr:uid="{00000000-0005-0000-0000-0000D2010000}"/>
    <cellStyle name="20% - Accent1 3 3 2 3 2 2 5" xfId="1073" xr:uid="{00000000-0005-0000-0000-0000D3010000}"/>
    <cellStyle name="20% - Accent1 3 3 2 3 2 2 6" xfId="1074" xr:uid="{00000000-0005-0000-0000-0000D4010000}"/>
    <cellStyle name="20% - Accent1 3 3 2 3 2 3" xfId="1075" xr:uid="{00000000-0005-0000-0000-0000D5010000}"/>
    <cellStyle name="20% - Accent1 3 3 2 3 2 3 2" xfId="1076" xr:uid="{00000000-0005-0000-0000-0000D6010000}"/>
    <cellStyle name="20% - Accent1 3 3 2 3 2 3 3" xfId="1077" xr:uid="{00000000-0005-0000-0000-0000D7010000}"/>
    <cellStyle name="20% - Accent1 3 3 2 3 2 4" xfId="1078" xr:uid="{00000000-0005-0000-0000-0000D8010000}"/>
    <cellStyle name="20% - Accent1 3 3 2 3 2 5" xfId="1079" xr:uid="{00000000-0005-0000-0000-0000D9010000}"/>
    <cellStyle name="20% - Accent1 3 3 2 3 2 6" xfId="1080" xr:uid="{00000000-0005-0000-0000-0000DA010000}"/>
    <cellStyle name="20% - Accent1 3 3 2 3 2 7" xfId="1081" xr:uid="{00000000-0005-0000-0000-0000DB010000}"/>
    <cellStyle name="20% - Accent1 3 3 2 3 3" xfId="1082" xr:uid="{00000000-0005-0000-0000-0000DC010000}"/>
    <cellStyle name="20% - Accent1 3 3 2 3 3 2" xfId="1083" xr:uid="{00000000-0005-0000-0000-0000DD010000}"/>
    <cellStyle name="20% - Accent1 3 3 2 3 3 2 2" xfId="1084" xr:uid="{00000000-0005-0000-0000-0000DE010000}"/>
    <cellStyle name="20% - Accent1 3 3 2 3 3 2 3" xfId="1085" xr:uid="{00000000-0005-0000-0000-0000DF010000}"/>
    <cellStyle name="20% - Accent1 3 3 2 3 3 3" xfId="1086" xr:uid="{00000000-0005-0000-0000-0000E0010000}"/>
    <cellStyle name="20% - Accent1 3 3 2 3 3 4" xfId="1087" xr:uid="{00000000-0005-0000-0000-0000E1010000}"/>
    <cellStyle name="20% - Accent1 3 3 2 3 3 5" xfId="1088" xr:uid="{00000000-0005-0000-0000-0000E2010000}"/>
    <cellStyle name="20% - Accent1 3 3 2 3 3 6" xfId="1089" xr:uid="{00000000-0005-0000-0000-0000E3010000}"/>
    <cellStyle name="20% - Accent1 3 3 2 3 4" xfId="1090" xr:uid="{00000000-0005-0000-0000-0000E4010000}"/>
    <cellStyle name="20% - Accent1 3 3 2 3 4 2" xfId="1091" xr:uid="{00000000-0005-0000-0000-0000E5010000}"/>
    <cellStyle name="20% - Accent1 3 3 2 3 4 2 2" xfId="1092" xr:uid="{00000000-0005-0000-0000-0000E6010000}"/>
    <cellStyle name="20% - Accent1 3 3 2 3 4 2 3" xfId="1093" xr:uid="{00000000-0005-0000-0000-0000E7010000}"/>
    <cellStyle name="20% - Accent1 3 3 2 3 4 3" xfId="1094" xr:uid="{00000000-0005-0000-0000-0000E8010000}"/>
    <cellStyle name="20% - Accent1 3 3 2 3 4 4" xfId="1095" xr:uid="{00000000-0005-0000-0000-0000E9010000}"/>
    <cellStyle name="20% - Accent1 3 3 2 3 4 5" xfId="1096" xr:uid="{00000000-0005-0000-0000-0000EA010000}"/>
    <cellStyle name="20% - Accent1 3 3 2 3 4 6" xfId="1097" xr:uid="{00000000-0005-0000-0000-0000EB010000}"/>
    <cellStyle name="20% - Accent1 3 3 2 3 5" xfId="1098" xr:uid="{00000000-0005-0000-0000-0000EC010000}"/>
    <cellStyle name="20% - Accent1 3 3 2 3 5 2" xfId="1099" xr:uid="{00000000-0005-0000-0000-0000ED010000}"/>
    <cellStyle name="20% - Accent1 3 3 2 3 5 3" xfId="1100" xr:uid="{00000000-0005-0000-0000-0000EE010000}"/>
    <cellStyle name="20% - Accent1 3 3 2 3 6" xfId="1101" xr:uid="{00000000-0005-0000-0000-0000EF010000}"/>
    <cellStyle name="20% - Accent1 3 3 2 3 7" xfId="1102" xr:uid="{00000000-0005-0000-0000-0000F0010000}"/>
    <cellStyle name="20% - Accent1 3 3 2 3 8" xfId="1103" xr:uid="{00000000-0005-0000-0000-0000F1010000}"/>
    <cellStyle name="20% - Accent1 3 3 2 3 9" xfId="1104" xr:uid="{00000000-0005-0000-0000-0000F2010000}"/>
    <cellStyle name="20% - Accent1 3 3 2 4" xfId="1105" xr:uid="{00000000-0005-0000-0000-0000F3010000}"/>
    <cellStyle name="20% - Accent1 3 3 2 4 2" xfId="1106" xr:uid="{00000000-0005-0000-0000-0000F4010000}"/>
    <cellStyle name="20% - Accent1 3 3 2 4 2 2" xfId="1107" xr:uid="{00000000-0005-0000-0000-0000F5010000}"/>
    <cellStyle name="20% - Accent1 3 3 2 4 2 2 2" xfId="1108" xr:uid="{00000000-0005-0000-0000-0000F6010000}"/>
    <cellStyle name="20% - Accent1 3 3 2 4 2 2 3" xfId="1109" xr:uid="{00000000-0005-0000-0000-0000F7010000}"/>
    <cellStyle name="20% - Accent1 3 3 2 4 2 3" xfId="1110" xr:uid="{00000000-0005-0000-0000-0000F8010000}"/>
    <cellStyle name="20% - Accent1 3 3 2 4 2 4" xfId="1111" xr:uid="{00000000-0005-0000-0000-0000F9010000}"/>
    <cellStyle name="20% - Accent1 3 3 2 4 2 5" xfId="1112" xr:uid="{00000000-0005-0000-0000-0000FA010000}"/>
    <cellStyle name="20% - Accent1 3 3 2 4 2 6" xfId="1113" xr:uid="{00000000-0005-0000-0000-0000FB010000}"/>
    <cellStyle name="20% - Accent1 3 3 2 4 3" xfId="1114" xr:uid="{00000000-0005-0000-0000-0000FC010000}"/>
    <cellStyle name="20% - Accent1 3 3 2 4 3 2" xfId="1115" xr:uid="{00000000-0005-0000-0000-0000FD010000}"/>
    <cellStyle name="20% - Accent1 3 3 2 4 3 3" xfId="1116" xr:uid="{00000000-0005-0000-0000-0000FE010000}"/>
    <cellStyle name="20% - Accent1 3 3 2 4 4" xfId="1117" xr:uid="{00000000-0005-0000-0000-0000FF010000}"/>
    <cellStyle name="20% - Accent1 3 3 2 4 5" xfId="1118" xr:uid="{00000000-0005-0000-0000-000000020000}"/>
    <cellStyle name="20% - Accent1 3 3 2 4 6" xfId="1119" xr:uid="{00000000-0005-0000-0000-000001020000}"/>
    <cellStyle name="20% - Accent1 3 3 2 4 7" xfId="1120" xr:uid="{00000000-0005-0000-0000-000002020000}"/>
    <cellStyle name="20% - Accent1 3 3 2 5" xfId="1121" xr:uid="{00000000-0005-0000-0000-000003020000}"/>
    <cellStyle name="20% - Accent1 3 3 2 5 2" xfId="1122" xr:uid="{00000000-0005-0000-0000-000004020000}"/>
    <cellStyle name="20% - Accent1 3 3 2 5 2 2" xfId="1123" xr:uid="{00000000-0005-0000-0000-000005020000}"/>
    <cellStyle name="20% - Accent1 3 3 2 5 2 3" xfId="1124" xr:uid="{00000000-0005-0000-0000-000006020000}"/>
    <cellStyle name="20% - Accent1 3 3 2 5 3" xfId="1125" xr:uid="{00000000-0005-0000-0000-000007020000}"/>
    <cellStyle name="20% - Accent1 3 3 2 5 4" xfId="1126" xr:uid="{00000000-0005-0000-0000-000008020000}"/>
    <cellStyle name="20% - Accent1 3 3 2 5 5" xfId="1127" xr:uid="{00000000-0005-0000-0000-000009020000}"/>
    <cellStyle name="20% - Accent1 3 3 2 5 6" xfId="1128" xr:uid="{00000000-0005-0000-0000-00000A020000}"/>
    <cellStyle name="20% - Accent1 3 3 2 6" xfId="1129" xr:uid="{00000000-0005-0000-0000-00000B020000}"/>
    <cellStyle name="20% - Accent1 3 3 2 6 2" xfId="1130" xr:uid="{00000000-0005-0000-0000-00000C020000}"/>
    <cellStyle name="20% - Accent1 3 3 2 6 2 2" xfId="1131" xr:uid="{00000000-0005-0000-0000-00000D020000}"/>
    <cellStyle name="20% - Accent1 3 3 2 6 2 3" xfId="1132" xr:uid="{00000000-0005-0000-0000-00000E020000}"/>
    <cellStyle name="20% - Accent1 3 3 2 6 3" xfId="1133" xr:uid="{00000000-0005-0000-0000-00000F020000}"/>
    <cellStyle name="20% - Accent1 3 3 2 6 4" xfId="1134" xr:uid="{00000000-0005-0000-0000-000010020000}"/>
    <cellStyle name="20% - Accent1 3 3 2 6 5" xfId="1135" xr:uid="{00000000-0005-0000-0000-000011020000}"/>
    <cellStyle name="20% - Accent1 3 3 2 6 6" xfId="1136" xr:uid="{00000000-0005-0000-0000-000012020000}"/>
    <cellStyle name="20% - Accent1 3 3 2 7" xfId="1137" xr:uid="{00000000-0005-0000-0000-000013020000}"/>
    <cellStyle name="20% - Accent1 3 3 2 7 2" xfId="1138" xr:uid="{00000000-0005-0000-0000-000014020000}"/>
    <cellStyle name="20% - Accent1 3 3 2 7 2 2" xfId="1139" xr:uid="{00000000-0005-0000-0000-000015020000}"/>
    <cellStyle name="20% - Accent1 3 3 2 7 2 3" xfId="1140" xr:uid="{00000000-0005-0000-0000-000016020000}"/>
    <cellStyle name="20% - Accent1 3 3 2 7 3" xfId="1141" xr:uid="{00000000-0005-0000-0000-000017020000}"/>
    <cellStyle name="20% - Accent1 3 3 2 7 4" xfId="1142" xr:uid="{00000000-0005-0000-0000-000018020000}"/>
    <cellStyle name="20% - Accent1 3 3 2 7 5" xfId="1143" xr:uid="{00000000-0005-0000-0000-000019020000}"/>
    <cellStyle name="20% - Accent1 3 3 2 7 6" xfId="1144" xr:uid="{00000000-0005-0000-0000-00001A020000}"/>
    <cellStyle name="20% - Accent1 3 3 2 8" xfId="1145" xr:uid="{00000000-0005-0000-0000-00001B020000}"/>
    <cellStyle name="20% - Accent1 3 3 2 8 2" xfId="1146" xr:uid="{00000000-0005-0000-0000-00001C020000}"/>
    <cellStyle name="20% - Accent1 3 3 2 8 2 2" xfId="1147" xr:uid="{00000000-0005-0000-0000-00001D020000}"/>
    <cellStyle name="20% - Accent1 3 3 2 8 2 3" xfId="1148" xr:uid="{00000000-0005-0000-0000-00001E020000}"/>
    <cellStyle name="20% - Accent1 3 3 2 8 3" xfId="1149" xr:uid="{00000000-0005-0000-0000-00001F020000}"/>
    <cellStyle name="20% - Accent1 3 3 2 8 4" xfId="1150" xr:uid="{00000000-0005-0000-0000-000020020000}"/>
    <cellStyle name="20% - Accent1 3 3 2 8 5" xfId="1151" xr:uid="{00000000-0005-0000-0000-000021020000}"/>
    <cellStyle name="20% - Accent1 3 3 2 8 6" xfId="1152" xr:uid="{00000000-0005-0000-0000-000022020000}"/>
    <cellStyle name="20% - Accent1 3 3 2 9" xfId="1153" xr:uid="{00000000-0005-0000-0000-000023020000}"/>
    <cellStyle name="20% - Accent1 3 3 2 9 2" xfId="1154" xr:uid="{00000000-0005-0000-0000-000024020000}"/>
    <cellStyle name="20% - Accent1 3 3 2 9 3" xfId="1155" xr:uid="{00000000-0005-0000-0000-000025020000}"/>
    <cellStyle name="20% - Accent1 3 3 3" xfId="1156" xr:uid="{00000000-0005-0000-0000-000026020000}"/>
    <cellStyle name="20% - Accent1 3 3 3 10" xfId="1157" xr:uid="{00000000-0005-0000-0000-000027020000}"/>
    <cellStyle name="20% - Accent1 3 3 3 2" xfId="1158" xr:uid="{00000000-0005-0000-0000-000028020000}"/>
    <cellStyle name="20% - Accent1 3 3 3 2 2" xfId="1159" xr:uid="{00000000-0005-0000-0000-000029020000}"/>
    <cellStyle name="20% - Accent1 3 3 3 2 2 2" xfId="1160" xr:uid="{00000000-0005-0000-0000-00002A020000}"/>
    <cellStyle name="20% - Accent1 3 3 3 2 2 2 2" xfId="1161" xr:uid="{00000000-0005-0000-0000-00002B020000}"/>
    <cellStyle name="20% - Accent1 3 3 3 2 2 2 3" xfId="1162" xr:uid="{00000000-0005-0000-0000-00002C020000}"/>
    <cellStyle name="20% - Accent1 3 3 3 2 2 3" xfId="1163" xr:uid="{00000000-0005-0000-0000-00002D020000}"/>
    <cellStyle name="20% - Accent1 3 3 3 2 2 4" xfId="1164" xr:uid="{00000000-0005-0000-0000-00002E020000}"/>
    <cellStyle name="20% - Accent1 3 3 3 2 2 5" xfId="1165" xr:uid="{00000000-0005-0000-0000-00002F020000}"/>
    <cellStyle name="20% - Accent1 3 3 3 2 2 6" xfId="1166" xr:uid="{00000000-0005-0000-0000-000030020000}"/>
    <cellStyle name="20% - Accent1 3 3 3 2 3" xfId="1167" xr:uid="{00000000-0005-0000-0000-000031020000}"/>
    <cellStyle name="20% - Accent1 3 3 3 2 3 2" xfId="1168" xr:uid="{00000000-0005-0000-0000-000032020000}"/>
    <cellStyle name="20% - Accent1 3 3 3 2 3 2 2" xfId="1169" xr:uid="{00000000-0005-0000-0000-000033020000}"/>
    <cellStyle name="20% - Accent1 3 3 3 2 3 2 3" xfId="1170" xr:uid="{00000000-0005-0000-0000-000034020000}"/>
    <cellStyle name="20% - Accent1 3 3 3 2 3 3" xfId="1171" xr:uid="{00000000-0005-0000-0000-000035020000}"/>
    <cellStyle name="20% - Accent1 3 3 3 2 3 4" xfId="1172" xr:uid="{00000000-0005-0000-0000-000036020000}"/>
    <cellStyle name="20% - Accent1 3 3 3 2 3 5" xfId="1173" xr:uid="{00000000-0005-0000-0000-000037020000}"/>
    <cellStyle name="20% - Accent1 3 3 3 2 3 6" xfId="1174" xr:uid="{00000000-0005-0000-0000-000038020000}"/>
    <cellStyle name="20% - Accent1 3 3 3 2 4" xfId="1175" xr:uid="{00000000-0005-0000-0000-000039020000}"/>
    <cellStyle name="20% - Accent1 3 3 3 2 4 2" xfId="1176" xr:uid="{00000000-0005-0000-0000-00003A020000}"/>
    <cellStyle name="20% - Accent1 3 3 3 2 4 3" xfId="1177" xr:uid="{00000000-0005-0000-0000-00003B020000}"/>
    <cellStyle name="20% - Accent1 3 3 3 2 5" xfId="1178" xr:uid="{00000000-0005-0000-0000-00003C020000}"/>
    <cellStyle name="20% - Accent1 3 3 3 2 6" xfId="1179" xr:uid="{00000000-0005-0000-0000-00003D020000}"/>
    <cellStyle name="20% - Accent1 3 3 3 2 7" xfId="1180" xr:uid="{00000000-0005-0000-0000-00003E020000}"/>
    <cellStyle name="20% - Accent1 3 3 3 2 8" xfId="1181" xr:uid="{00000000-0005-0000-0000-00003F020000}"/>
    <cellStyle name="20% - Accent1 3 3 3 3" xfId="1182" xr:uid="{00000000-0005-0000-0000-000040020000}"/>
    <cellStyle name="20% - Accent1 3 3 3 3 2" xfId="1183" xr:uid="{00000000-0005-0000-0000-000041020000}"/>
    <cellStyle name="20% - Accent1 3 3 3 3 2 2" xfId="1184" xr:uid="{00000000-0005-0000-0000-000042020000}"/>
    <cellStyle name="20% - Accent1 3 3 3 3 2 2 2" xfId="1185" xr:uid="{00000000-0005-0000-0000-000043020000}"/>
    <cellStyle name="20% - Accent1 3 3 3 3 2 2 3" xfId="1186" xr:uid="{00000000-0005-0000-0000-000044020000}"/>
    <cellStyle name="20% - Accent1 3 3 3 3 2 3" xfId="1187" xr:uid="{00000000-0005-0000-0000-000045020000}"/>
    <cellStyle name="20% - Accent1 3 3 3 3 2 4" xfId="1188" xr:uid="{00000000-0005-0000-0000-000046020000}"/>
    <cellStyle name="20% - Accent1 3 3 3 3 2 5" xfId="1189" xr:uid="{00000000-0005-0000-0000-000047020000}"/>
    <cellStyle name="20% - Accent1 3 3 3 3 2 6" xfId="1190" xr:uid="{00000000-0005-0000-0000-000048020000}"/>
    <cellStyle name="20% - Accent1 3 3 3 3 3" xfId="1191" xr:uid="{00000000-0005-0000-0000-000049020000}"/>
    <cellStyle name="20% - Accent1 3 3 3 3 3 2" xfId="1192" xr:uid="{00000000-0005-0000-0000-00004A020000}"/>
    <cellStyle name="20% - Accent1 3 3 3 3 3 3" xfId="1193" xr:uid="{00000000-0005-0000-0000-00004B020000}"/>
    <cellStyle name="20% - Accent1 3 3 3 3 4" xfId="1194" xr:uid="{00000000-0005-0000-0000-00004C020000}"/>
    <cellStyle name="20% - Accent1 3 3 3 3 5" xfId="1195" xr:uid="{00000000-0005-0000-0000-00004D020000}"/>
    <cellStyle name="20% - Accent1 3 3 3 3 6" xfId="1196" xr:uid="{00000000-0005-0000-0000-00004E020000}"/>
    <cellStyle name="20% - Accent1 3 3 3 3 7" xfId="1197" xr:uid="{00000000-0005-0000-0000-00004F020000}"/>
    <cellStyle name="20% - Accent1 3 3 3 4" xfId="1198" xr:uid="{00000000-0005-0000-0000-000050020000}"/>
    <cellStyle name="20% - Accent1 3 3 3 4 2" xfId="1199" xr:uid="{00000000-0005-0000-0000-000051020000}"/>
    <cellStyle name="20% - Accent1 3 3 3 4 2 2" xfId="1200" xr:uid="{00000000-0005-0000-0000-000052020000}"/>
    <cellStyle name="20% - Accent1 3 3 3 4 2 3" xfId="1201" xr:uid="{00000000-0005-0000-0000-000053020000}"/>
    <cellStyle name="20% - Accent1 3 3 3 4 3" xfId="1202" xr:uid="{00000000-0005-0000-0000-000054020000}"/>
    <cellStyle name="20% - Accent1 3 3 3 4 4" xfId="1203" xr:uid="{00000000-0005-0000-0000-000055020000}"/>
    <cellStyle name="20% - Accent1 3 3 3 4 5" xfId="1204" xr:uid="{00000000-0005-0000-0000-000056020000}"/>
    <cellStyle name="20% - Accent1 3 3 3 4 6" xfId="1205" xr:uid="{00000000-0005-0000-0000-000057020000}"/>
    <cellStyle name="20% - Accent1 3 3 3 5" xfId="1206" xr:uid="{00000000-0005-0000-0000-000058020000}"/>
    <cellStyle name="20% - Accent1 3 3 3 5 2" xfId="1207" xr:uid="{00000000-0005-0000-0000-000059020000}"/>
    <cellStyle name="20% - Accent1 3 3 3 5 2 2" xfId="1208" xr:uid="{00000000-0005-0000-0000-00005A020000}"/>
    <cellStyle name="20% - Accent1 3 3 3 5 2 3" xfId="1209" xr:uid="{00000000-0005-0000-0000-00005B020000}"/>
    <cellStyle name="20% - Accent1 3 3 3 5 3" xfId="1210" xr:uid="{00000000-0005-0000-0000-00005C020000}"/>
    <cellStyle name="20% - Accent1 3 3 3 5 4" xfId="1211" xr:uid="{00000000-0005-0000-0000-00005D020000}"/>
    <cellStyle name="20% - Accent1 3 3 3 5 5" xfId="1212" xr:uid="{00000000-0005-0000-0000-00005E020000}"/>
    <cellStyle name="20% - Accent1 3 3 3 5 6" xfId="1213" xr:uid="{00000000-0005-0000-0000-00005F020000}"/>
    <cellStyle name="20% - Accent1 3 3 3 6" xfId="1214" xr:uid="{00000000-0005-0000-0000-000060020000}"/>
    <cellStyle name="20% - Accent1 3 3 3 6 2" xfId="1215" xr:uid="{00000000-0005-0000-0000-000061020000}"/>
    <cellStyle name="20% - Accent1 3 3 3 6 3" xfId="1216" xr:uid="{00000000-0005-0000-0000-000062020000}"/>
    <cellStyle name="20% - Accent1 3 3 3 7" xfId="1217" xr:uid="{00000000-0005-0000-0000-000063020000}"/>
    <cellStyle name="20% - Accent1 3 3 3 8" xfId="1218" xr:uid="{00000000-0005-0000-0000-000064020000}"/>
    <cellStyle name="20% - Accent1 3 3 3 9" xfId="1219" xr:uid="{00000000-0005-0000-0000-000065020000}"/>
    <cellStyle name="20% - Accent1 3 3 4" xfId="1220" xr:uid="{00000000-0005-0000-0000-000066020000}"/>
    <cellStyle name="20% - Accent1 3 3 4 2" xfId="1221" xr:uid="{00000000-0005-0000-0000-000067020000}"/>
    <cellStyle name="20% - Accent1 3 3 4 2 2" xfId="1222" xr:uid="{00000000-0005-0000-0000-000068020000}"/>
    <cellStyle name="20% - Accent1 3 3 4 2 2 2" xfId="1223" xr:uid="{00000000-0005-0000-0000-000069020000}"/>
    <cellStyle name="20% - Accent1 3 3 4 2 2 2 2" xfId="1224" xr:uid="{00000000-0005-0000-0000-00006A020000}"/>
    <cellStyle name="20% - Accent1 3 3 4 2 2 2 3" xfId="1225" xr:uid="{00000000-0005-0000-0000-00006B020000}"/>
    <cellStyle name="20% - Accent1 3 3 4 2 2 3" xfId="1226" xr:uid="{00000000-0005-0000-0000-00006C020000}"/>
    <cellStyle name="20% - Accent1 3 3 4 2 2 4" xfId="1227" xr:uid="{00000000-0005-0000-0000-00006D020000}"/>
    <cellStyle name="20% - Accent1 3 3 4 2 2 5" xfId="1228" xr:uid="{00000000-0005-0000-0000-00006E020000}"/>
    <cellStyle name="20% - Accent1 3 3 4 2 2 6" xfId="1229" xr:uid="{00000000-0005-0000-0000-00006F020000}"/>
    <cellStyle name="20% - Accent1 3 3 4 2 3" xfId="1230" xr:uid="{00000000-0005-0000-0000-000070020000}"/>
    <cellStyle name="20% - Accent1 3 3 4 2 3 2" xfId="1231" xr:uid="{00000000-0005-0000-0000-000071020000}"/>
    <cellStyle name="20% - Accent1 3 3 4 2 3 3" xfId="1232" xr:uid="{00000000-0005-0000-0000-000072020000}"/>
    <cellStyle name="20% - Accent1 3 3 4 2 4" xfId="1233" xr:uid="{00000000-0005-0000-0000-000073020000}"/>
    <cellStyle name="20% - Accent1 3 3 4 2 5" xfId="1234" xr:uid="{00000000-0005-0000-0000-000074020000}"/>
    <cellStyle name="20% - Accent1 3 3 4 2 6" xfId="1235" xr:uid="{00000000-0005-0000-0000-000075020000}"/>
    <cellStyle name="20% - Accent1 3 3 4 2 7" xfId="1236" xr:uid="{00000000-0005-0000-0000-000076020000}"/>
    <cellStyle name="20% - Accent1 3 3 4 3" xfId="1237" xr:uid="{00000000-0005-0000-0000-000077020000}"/>
    <cellStyle name="20% - Accent1 3 3 4 3 2" xfId="1238" xr:uid="{00000000-0005-0000-0000-000078020000}"/>
    <cellStyle name="20% - Accent1 3 3 4 3 2 2" xfId="1239" xr:uid="{00000000-0005-0000-0000-000079020000}"/>
    <cellStyle name="20% - Accent1 3 3 4 3 2 3" xfId="1240" xr:uid="{00000000-0005-0000-0000-00007A020000}"/>
    <cellStyle name="20% - Accent1 3 3 4 3 3" xfId="1241" xr:uid="{00000000-0005-0000-0000-00007B020000}"/>
    <cellStyle name="20% - Accent1 3 3 4 3 4" xfId="1242" xr:uid="{00000000-0005-0000-0000-00007C020000}"/>
    <cellStyle name="20% - Accent1 3 3 4 3 5" xfId="1243" xr:uid="{00000000-0005-0000-0000-00007D020000}"/>
    <cellStyle name="20% - Accent1 3 3 4 3 6" xfId="1244" xr:uid="{00000000-0005-0000-0000-00007E020000}"/>
    <cellStyle name="20% - Accent1 3 3 4 4" xfId="1245" xr:uid="{00000000-0005-0000-0000-00007F020000}"/>
    <cellStyle name="20% - Accent1 3 3 4 4 2" xfId="1246" xr:uid="{00000000-0005-0000-0000-000080020000}"/>
    <cellStyle name="20% - Accent1 3 3 4 4 2 2" xfId="1247" xr:uid="{00000000-0005-0000-0000-000081020000}"/>
    <cellStyle name="20% - Accent1 3 3 4 4 2 3" xfId="1248" xr:uid="{00000000-0005-0000-0000-000082020000}"/>
    <cellStyle name="20% - Accent1 3 3 4 4 3" xfId="1249" xr:uid="{00000000-0005-0000-0000-000083020000}"/>
    <cellStyle name="20% - Accent1 3 3 4 4 4" xfId="1250" xr:uid="{00000000-0005-0000-0000-000084020000}"/>
    <cellStyle name="20% - Accent1 3 3 4 4 5" xfId="1251" xr:uid="{00000000-0005-0000-0000-000085020000}"/>
    <cellStyle name="20% - Accent1 3 3 4 4 6" xfId="1252" xr:uid="{00000000-0005-0000-0000-000086020000}"/>
    <cellStyle name="20% - Accent1 3 3 4 5" xfId="1253" xr:uid="{00000000-0005-0000-0000-000087020000}"/>
    <cellStyle name="20% - Accent1 3 3 4 5 2" xfId="1254" xr:uid="{00000000-0005-0000-0000-000088020000}"/>
    <cellStyle name="20% - Accent1 3 3 4 5 3" xfId="1255" xr:uid="{00000000-0005-0000-0000-000089020000}"/>
    <cellStyle name="20% - Accent1 3 3 4 6" xfId="1256" xr:uid="{00000000-0005-0000-0000-00008A020000}"/>
    <cellStyle name="20% - Accent1 3 3 4 7" xfId="1257" xr:uid="{00000000-0005-0000-0000-00008B020000}"/>
    <cellStyle name="20% - Accent1 3 3 4 8" xfId="1258" xr:uid="{00000000-0005-0000-0000-00008C020000}"/>
    <cellStyle name="20% - Accent1 3 3 4 9" xfId="1259" xr:uid="{00000000-0005-0000-0000-00008D020000}"/>
    <cellStyle name="20% - Accent1 3 3 5" xfId="1260" xr:uid="{00000000-0005-0000-0000-00008E020000}"/>
    <cellStyle name="20% - Accent1 3 3 5 2" xfId="1261" xr:uid="{00000000-0005-0000-0000-00008F020000}"/>
    <cellStyle name="20% - Accent1 3 3 5 2 2" xfId="1262" xr:uid="{00000000-0005-0000-0000-000090020000}"/>
    <cellStyle name="20% - Accent1 3 3 5 2 2 2" xfId="1263" xr:uid="{00000000-0005-0000-0000-000091020000}"/>
    <cellStyle name="20% - Accent1 3 3 5 2 2 3" xfId="1264" xr:uid="{00000000-0005-0000-0000-000092020000}"/>
    <cellStyle name="20% - Accent1 3 3 5 2 3" xfId="1265" xr:uid="{00000000-0005-0000-0000-000093020000}"/>
    <cellStyle name="20% - Accent1 3 3 5 2 4" xfId="1266" xr:uid="{00000000-0005-0000-0000-000094020000}"/>
    <cellStyle name="20% - Accent1 3 3 5 2 5" xfId="1267" xr:uid="{00000000-0005-0000-0000-000095020000}"/>
    <cellStyle name="20% - Accent1 3 3 5 2 6" xfId="1268" xr:uid="{00000000-0005-0000-0000-000096020000}"/>
    <cellStyle name="20% - Accent1 3 3 5 3" xfId="1269" xr:uid="{00000000-0005-0000-0000-000097020000}"/>
    <cellStyle name="20% - Accent1 3 3 5 3 2" xfId="1270" xr:uid="{00000000-0005-0000-0000-000098020000}"/>
    <cellStyle name="20% - Accent1 3 3 5 3 3" xfId="1271" xr:uid="{00000000-0005-0000-0000-000099020000}"/>
    <cellStyle name="20% - Accent1 3 3 5 4" xfId="1272" xr:uid="{00000000-0005-0000-0000-00009A020000}"/>
    <cellStyle name="20% - Accent1 3 3 5 5" xfId="1273" xr:uid="{00000000-0005-0000-0000-00009B020000}"/>
    <cellStyle name="20% - Accent1 3 3 5 6" xfId="1274" xr:uid="{00000000-0005-0000-0000-00009C020000}"/>
    <cellStyle name="20% - Accent1 3 3 5 7" xfId="1275" xr:uid="{00000000-0005-0000-0000-00009D020000}"/>
    <cellStyle name="20% - Accent1 3 3 6" xfId="1276" xr:uid="{00000000-0005-0000-0000-00009E020000}"/>
    <cellStyle name="20% - Accent1 3 3 6 2" xfId="1277" xr:uid="{00000000-0005-0000-0000-00009F020000}"/>
    <cellStyle name="20% - Accent1 3 3 6 2 2" xfId="1278" xr:uid="{00000000-0005-0000-0000-0000A0020000}"/>
    <cellStyle name="20% - Accent1 3 3 6 2 3" xfId="1279" xr:uid="{00000000-0005-0000-0000-0000A1020000}"/>
    <cellStyle name="20% - Accent1 3 3 6 3" xfId="1280" xr:uid="{00000000-0005-0000-0000-0000A2020000}"/>
    <cellStyle name="20% - Accent1 3 3 6 4" xfId="1281" xr:uid="{00000000-0005-0000-0000-0000A3020000}"/>
    <cellStyle name="20% - Accent1 3 3 6 5" xfId="1282" xr:uid="{00000000-0005-0000-0000-0000A4020000}"/>
    <cellStyle name="20% - Accent1 3 3 6 6" xfId="1283" xr:uid="{00000000-0005-0000-0000-0000A5020000}"/>
    <cellStyle name="20% - Accent1 3 3 7" xfId="1284" xr:uid="{00000000-0005-0000-0000-0000A6020000}"/>
    <cellStyle name="20% - Accent1 3 3 7 2" xfId="1285" xr:uid="{00000000-0005-0000-0000-0000A7020000}"/>
    <cellStyle name="20% - Accent1 3 3 7 2 2" xfId="1286" xr:uid="{00000000-0005-0000-0000-0000A8020000}"/>
    <cellStyle name="20% - Accent1 3 3 7 2 3" xfId="1287" xr:uid="{00000000-0005-0000-0000-0000A9020000}"/>
    <cellStyle name="20% - Accent1 3 3 7 3" xfId="1288" xr:uid="{00000000-0005-0000-0000-0000AA020000}"/>
    <cellStyle name="20% - Accent1 3 3 7 4" xfId="1289" xr:uid="{00000000-0005-0000-0000-0000AB020000}"/>
    <cellStyle name="20% - Accent1 3 3 7 5" xfId="1290" xr:uid="{00000000-0005-0000-0000-0000AC020000}"/>
    <cellStyle name="20% - Accent1 3 3 7 6" xfId="1291" xr:uid="{00000000-0005-0000-0000-0000AD020000}"/>
    <cellStyle name="20% - Accent1 3 3 8" xfId="1292" xr:uid="{00000000-0005-0000-0000-0000AE020000}"/>
    <cellStyle name="20% - Accent1 3 3 8 2" xfId="1293" xr:uid="{00000000-0005-0000-0000-0000AF020000}"/>
    <cellStyle name="20% - Accent1 3 3 8 2 2" xfId="1294" xr:uid="{00000000-0005-0000-0000-0000B0020000}"/>
    <cellStyle name="20% - Accent1 3 3 8 2 3" xfId="1295" xr:uid="{00000000-0005-0000-0000-0000B1020000}"/>
    <cellStyle name="20% - Accent1 3 3 8 3" xfId="1296" xr:uid="{00000000-0005-0000-0000-0000B2020000}"/>
    <cellStyle name="20% - Accent1 3 3 8 4" xfId="1297" xr:uid="{00000000-0005-0000-0000-0000B3020000}"/>
    <cellStyle name="20% - Accent1 3 3 8 5" xfId="1298" xr:uid="{00000000-0005-0000-0000-0000B4020000}"/>
    <cellStyle name="20% - Accent1 3 3 8 6" xfId="1299" xr:uid="{00000000-0005-0000-0000-0000B5020000}"/>
    <cellStyle name="20% - Accent1 3 3 9" xfId="1300" xr:uid="{00000000-0005-0000-0000-0000B6020000}"/>
    <cellStyle name="20% - Accent1 3 3 9 2" xfId="1301" xr:uid="{00000000-0005-0000-0000-0000B7020000}"/>
    <cellStyle name="20% - Accent1 3 3 9 2 2" xfId="1302" xr:uid="{00000000-0005-0000-0000-0000B8020000}"/>
    <cellStyle name="20% - Accent1 3 3 9 2 3" xfId="1303" xr:uid="{00000000-0005-0000-0000-0000B9020000}"/>
    <cellStyle name="20% - Accent1 3 3 9 3" xfId="1304" xr:uid="{00000000-0005-0000-0000-0000BA020000}"/>
    <cellStyle name="20% - Accent1 3 3 9 4" xfId="1305" xr:uid="{00000000-0005-0000-0000-0000BB020000}"/>
    <cellStyle name="20% - Accent1 3 3 9 5" xfId="1306" xr:uid="{00000000-0005-0000-0000-0000BC020000}"/>
    <cellStyle name="20% - Accent1 3 3 9 6" xfId="1307" xr:uid="{00000000-0005-0000-0000-0000BD020000}"/>
    <cellStyle name="20% - Accent1 3 4" xfId="1308" xr:uid="{00000000-0005-0000-0000-0000BE020000}"/>
    <cellStyle name="20% - Accent1 3 4 10" xfId="1309" xr:uid="{00000000-0005-0000-0000-0000BF020000}"/>
    <cellStyle name="20% - Accent1 3 4 11" xfId="1310" xr:uid="{00000000-0005-0000-0000-0000C0020000}"/>
    <cellStyle name="20% - Accent1 3 4 12" xfId="1311" xr:uid="{00000000-0005-0000-0000-0000C1020000}"/>
    <cellStyle name="20% - Accent1 3 4 13" xfId="1312" xr:uid="{00000000-0005-0000-0000-0000C2020000}"/>
    <cellStyle name="20% - Accent1 3 4 2" xfId="1313" xr:uid="{00000000-0005-0000-0000-0000C3020000}"/>
    <cellStyle name="20% - Accent1 3 4 2 10" xfId="1314" xr:uid="{00000000-0005-0000-0000-0000C4020000}"/>
    <cellStyle name="20% - Accent1 3 4 2 2" xfId="1315" xr:uid="{00000000-0005-0000-0000-0000C5020000}"/>
    <cellStyle name="20% - Accent1 3 4 2 2 2" xfId="1316" xr:uid="{00000000-0005-0000-0000-0000C6020000}"/>
    <cellStyle name="20% - Accent1 3 4 2 2 2 2" xfId="1317" xr:uid="{00000000-0005-0000-0000-0000C7020000}"/>
    <cellStyle name="20% - Accent1 3 4 2 2 2 2 2" xfId="1318" xr:uid="{00000000-0005-0000-0000-0000C8020000}"/>
    <cellStyle name="20% - Accent1 3 4 2 2 2 2 3" xfId="1319" xr:uid="{00000000-0005-0000-0000-0000C9020000}"/>
    <cellStyle name="20% - Accent1 3 4 2 2 2 3" xfId="1320" xr:uid="{00000000-0005-0000-0000-0000CA020000}"/>
    <cellStyle name="20% - Accent1 3 4 2 2 2 4" xfId="1321" xr:uid="{00000000-0005-0000-0000-0000CB020000}"/>
    <cellStyle name="20% - Accent1 3 4 2 2 2 5" xfId="1322" xr:uid="{00000000-0005-0000-0000-0000CC020000}"/>
    <cellStyle name="20% - Accent1 3 4 2 2 2 6" xfId="1323" xr:uid="{00000000-0005-0000-0000-0000CD020000}"/>
    <cellStyle name="20% - Accent1 3 4 2 2 3" xfId="1324" xr:uid="{00000000-0005-0000-0000-0000CE020000}"/>
    <cellStyle name="20% - Accent1 3 4 2 2 3 2" xfId="1325" xr:uid="{00000000-0005-0000-0000-0000CF020000}"/>
    <cellStyle name="20% - Accent1 3 4 2 2 3 2 2" xfId="1326" xr:uid="{00000000-0005-0000-0000-0000D0020000}"/>
    <cellStyle name="20% - Accent1 3 4 2 2 3 2 3" xfId="1327" xr:uid="{00000000-0005-0000-0000-0000D1020000}"/>
    <cellStyle name="20% - Accent1 3 4 2 2 3 3" xfId="1328" xr:uid="{00000000-0005-0000-0000-0000D2020000}"/>
    <cellStyle name="20% - Accent1 3 4 2 2 3 4" xfId="1329" xr:uid="{00000000-0005-0000-0000-0000D3020000}"/>
    <cellStyle name="20% - Accent1 3 4 2 2 3 5" xfId="1330" xr:uid="{00000000-0005-0000-0000-0000D4020000}"/>
    <cellStyle name="20% - Accent1 3 4 2 2 3 6" xfId="1331" xr:uid="{00000000-0005-0000-0000-0000D5020000}"/>
    <cellStyle name="20% - Accent1 3 4 2 2 4" xfId="1332" xr:uid="{00000000-0005-0000-0000-0000D6020000}"/>
    <cellStyle name="20% - Accent1 3 4 2 2 4 2" xfId="1333" xr:uid="{00000000-0005-0000-0000-0000D7020000}"/>
    <cellStyle name="20% - Accent1 3 4 2 2 4 3" xfId="1334" xr:uid="{00000000-0005-0000-0000-0000D8020000}"/>
    <cellStyle name="20% - Accent1 3 4 2 2 5" xfId="1335" xr:uid="{00000000-0005-0000-0000-0000D9020000}"/>
    <cellStyle name="20% - Accent1 3 4 2 2 6" xfId="1336" xr:uid="{00000000-0005-0000-0000-0000DA020000}"/>
    <cellStyle name="20% - Accent1 3 4 2 2 7" xfId="1337" xr:uid="{00000000-0005-0000-0000-0000DB020000}"/>
    <cellStyle name="20% - Accent1 3 4 2 2 8" xfId="1338" xr:uid="{00000000-0005-0000-0000-0000DC020000}"/>
    <cellStyle name="20% - Accent1 3 4 2 3" xfId="1339" xr:uid="{00000000-0005-0000-0000-0000DD020000}"/>
    <cellStyle name="20% - Accent1 3 4 2 3 2" xfId="1340" xr:uid="{00000000-0005-0000-0000-0000DE020000}"/>
    <cellStyle name="20% - Accent1 3 4 2 3 2 2" xfId="1341" xr:uid="{00000000-0005-0000-0000-0000DF020000}"/>
    <cellStyle name="20% - Accent1 3 4 2 3 2 2 2" xfId="1342" xr:uid="{00000000-0005-0000-0000-0000E0020000}"/>
    <cellStyle name="20% - Accent1 3 4 2 3 2 2 3" xfId="1343" xr:uid="{00000000-0005-0000-0000-0000E1020000}"/>
    <cellStyle name="20% - Accent1 3 4 2 3 2 3" xfId="1344" xr:uid="{00000000-0005-0000-0000-0000E2020000}"/>
    <cellStyle name="20% - Accent1 3 4 2 3 2 4" xfId="1345" xr:uid="{00000000-0005-0000-0000-0000E3020000}"/>
    <cellStyle name="20% - Accent1 3 4 2 3 2 5" xfId="1346" xr:uid="{00000000-0005-0000-0000-0000E4020000}"/>
    <cellStyle name="20% - Accent1 3 4 2 3 2 6" xfId="1347" xr:uid="{00000000-0005-0000-0000-0000E5020000}"/>
    <cellStyle name="20% - Accent1 3 4 2 3 3" xfId="1348" xr:uid="{00000000-0005-0000-0000-0000E6020000}"/>
    <cellStyle name="20% - Accent1 3 4 2 3 3 2" xfId="1349" xr:uid="{00000000-0005-0000-0000-0000E7020000}"/>
    <cellStyle name="20% - Accent1 3 4 2 3 3 3" xfId="1350" xr:uid="{00000000-0005-0000-0000-0000E8020000}"/>
    <cellStyle name="20% - Accent1 3 4 2 3 4" xfId="1351" xr:uid="{00000000-0005-0000-0000-0000E9020000}"/>
    <cellStyle name="20% - Accent1 3 4 2 3 5" xfId="1352" xr:uid="{00000000-0005-0000-0000-0000EA020000}"/>
    <cellStyle name="20% - Accent1 3 4 2 3 6" xfId="1353" xr:uid="{00000000-0005-0000-0000-0000EB020000}"/>
    <cellStyle name="20% - Accent1 3 4 2 3 7" xfId="1354" xr:uid="{00000000-0005-0000-0000-0000EC020000}"/>
    <cellStyle name="20% - Accent1 3 4 2 4" xfId="1355" xr:uid="{00000000-0005-0000-0000-0000ED020000}"/>
    <cellStyle name="20% - Accent1 3 4 2 4 2" xfId="1356" xr:uid="{00000000-0005-0000-0000-0000EE020000}"/>
    <cellStyle name="20% - Accent1 3 4 2 4 2 2" xfId="1357" xr:uid="{00000000-0005-0000-0000-0000EF020000}"/>
    <cellStyle name="20% - Accent1 3 4 2 4 2 3" xfId="1358" xr:uid="{00000000-0005-0000-0000-0000F0020000}"/>
    <cellStyle name="20% - Accent1 3 4 2 4 3" xfId="1359" xr:uid="{00000000-0005-0000-0000-0000F1020000}"/>
    <cellStyle name="20% - Accent1 3 4 2 4 4" xfId="1360" xr:uid="{00000000-0005-0000-0000-0000F2020000}"/>
    <cellStyle name="20% - Accent1 3 4 2 4 5" xfId="1361" xr:uid="{00000000-0005-0000-0000-0000F3020000}"/>
    <cellStyle name="20% - Accent1 3 4 2 4 6" xfId="1362" xr:uid="{00000000-0005-0000-0000-0000F4020000}"/>
    <cellStyle name="20% - Accent1 3 4 2 5" xfId="1363" xr:uid="{00000000-0005-0000-0000-0000F5020000}"/>
    <cellStyle name="20% - Accent1 3 4 2 5 2" xfId="1364" xr:uid="{00000000-0005-0000-0000-0000F6020000}"/>
    <cellStyle name="20% - Accent1 3 4 2 5 2 2" xfId="1365" xr:uid="{00000000-0005-0000-0000-0000F7020000}"/>
    <cellStyle name="20% - Accent1 3 4 2 5 2 3" xfId="1366" xr:uid="{00000000-0005-0000-0000-0000F8020000}"/>
    <cellStyle name="20% - Accent1 3 4 2 5 3" xfId="1367" xr:uid="{00000000-0005-0000-0000-0000F9020000}"/>
    <cellStyle name="20% - Accent1 3 4 2 5 4" xfId="1368" xr:uid="{00000000-0005-0000-0000-0000FA020000}"/>
    <cellStyle name="20% - Accent1 3 4 2 5 5" xfId="1369" xr:uid="{00000000-0005-0000-0000-0000FB020000}"/>
    <cellStyle name="20% - Accent1 3 4 2 5 6" xfId="1370" xr:uid="{00000000-0005-0000-0000-0000FC020000}"/>
    <cellStyle name="20% - Accent1 3 4 2 6" xfId="1371" xr:uid="{00000000-0005-0000-0000-0000FD020000}"/>
    <cellStyle name="20% - Accent1 3 4 2 6 2" xfId="1372" xr:uid="{00000000-0005-0000-0000-0000FE020000}"/>
    <cellStyle name="20% - Accent1 3 4 2 6 3" xfId="1373" xr:uid="{00000000-0005-0000-0000-0000FF020000}"/>
    <cellStyle name="20% - Accent1 3 4 2 7" xfId="1374" xr:uid="{00000000-0005-0000-0000-000000030000}"/>
    <cellStyle name="20% - Accent1 3 4 2 8" xfId="1375" xr:uid="{00000000-0005-0000-0000-000001030000}"/>
    <cellStyle name="20% - Accent1 3 4 2 9" xfId="1376" xr:uid="{00000000-0005-0000-0000-000002030000}"/>
    <cellStyle name="20% - Accent1 3 4 3" xfId="1377" xr:uid="{00000000-0005-0000-0000-000003030000}"/>
    <cellStyle name="20% - Accent1 3 4 3 2" xfId="1378" xr:uid="{00000000-0005-0000-0000-000004030000}"/>
    <cellStyle name="20% - Accent1 3 4 3 2 2" xfId="1379" xr:uid="{00000000-0005-0000-0000-000005030000}"/>
    <cellStyle name="20% - Accent1 3 4 3 2 2 2" xfId="1380" xr:uid="{00000000-0005-0000-0000-000006030000}"/>
    <cellStyle name="20% - Accent1 3 4 3 2 2 2 2" xfId="1381" xr:uid="{00000000-0005-0000-0000-000007030000}"/>
    <cellStyle name="20% - Accent1 3 4 3 2 2 2 3" xfId="1382" xr:uid="{00000000-0005-0000-0000-000008030000}"/>
    <cellStyle name="20% - Accent1 3 4 3 2 2 3" xfId="1383" xr:uid="{00000000-0005-0000-0000-000009030000}"/>
    <cellStyle name="20% - Accent1 3 4 3 2 2 4" xfId="1384" xr:uid="{00000000-0005-0000-0000-00000A030000}"/>
    <cellStyle name="20% - Accent1 3 4 3 2 2 5" xfId="1385" xr:uid="{00000000-0005-0000-0000-00000B030000}"/>
    <cellStyle name="20% - Accent1 3 4 3 2 2 6" xfId="1386" xr:uid="{00000000-0005-0000-0000-00000C030000}"/>
    <cellStyle name="20% - Accent1 3 4 3 2 3" xfId="1387" xr:uid="{00000000-0005-0000-0000-00000D030000}"/>
    <cellStyle name="20% - Accent1 3 4 3 2 3 2" xfId="1388" xr:uid="{00000000-0005-0000-0000-00000E030000}"/>
    <cellStyle name="20% - Accent1 3 4 3 2 3 3" xfId="1389" xr:uid="{00000000-0005-0000-0000-00000F030000}"/>
    <cellStyle name="20% - Accent1 3 4 3 2 4" xfId="1390" xr:uid="{00000000-0005-0000-0000-000010030000}"/>
    <cellStyle name="20% - Accent1 3 4 3 2 5" xfId="1391" xr:uid="{00000000-0005-0000-0000-000011030000}"/>
    <cellStyle name="20% - Accent1 3 4 3 2 6" xfId="1392" xr:uid="{00000000-0005-0000-0000-000012030000}"/>
    <cellStyle name="20% - Accent1 3 4 3 2 7" xfId="1393" xr:uid="{00000000-0005-0000-0000-000013030000}"/>
    <cellStyle name="20% - Accent1 3 4 3 3" xfId="1394" xr:uid="{00000000-0005-0000-0000-000014030000}"/>
    <cellStyle name="20% - Accent1 3 4 3 3 2" xfId="1395" xr:uid="{00000000-0005-0000-0000-000015030000}"/>
    <cellStyle name="20% - Accent1 3 4 3 3 2 2" xfId="1396" xr:uid="{00000000-0005-0000-0000-000016030000}"/>
    <cellStyle name="20% - Accent1 3 4 3 3 2 3" xfId="1397" xr:uid="{00000000-0005-0000-0000-000017030000}"/>
    <cellStyle name="20% - Accent1 3 4 3 3 3" xfId="1398" xr:uid="{00000000-0005-0000-0000-000018030000}"/>
    <cellStyle name="20% - Accent1 3 4 3 3 4" xfId="1399" xr:uid="{00000000-0005-0000-0000-000019030000}"/>
    <cellStyle name="20% - Accent1 3 4 3 3 5" xfId="1400" xr:uid="{00000000-0005-0000-0000-00001A030000}"/>
    <cellStyle name="20% - Accent1 3 4 3 3 6" xfId="1401" xr:uid="{00000000-0005-0000-0000-00001B030000}"/>
    <cellStyle name="20% - Accent1 3 4 3 4" xfId="1402" xr:uid="{00000000-0005-0000-0000-00001C030000}"/>
    <cellStyle name="20% - Accent1 3 4 3 4 2" xfId="1403" xr:uid="{00000000-0005-0000-0000-00001D030000}"/>
    <cellStyle name="20% - Accent1 3 4 3 4 2 2" xfId="1404" xr:uid="{00000000-0005-0000-0000-00001E030000}"/>
    <cellStyle name="20% - Accent1 3 4 3 4 2 3" xfId="1405" xr:uid="{00000000-0005-0000-0000-00001F030000}"/>
    <cellStyle name="20% - Accent1 3 4 3 4 3" xfId="1406" xr:uid="{00000000-0005-0000-0000-000020030000}"/>
    <cellStyle name="20% - Accent1 3 4 3 4 4" xfId="1407" xr:uid="{00000000-0005-0000-0000-000021030000}"/>
    <cellStyle name="20% - Accent1 3 4 3 4 5" xfId="1408" xr:uid="{00000000-0005-0000-0000-000022030000}"/>
    <cellStyle name="20% - Accent1 3 4 3 4 6" xfId="1409" xr:uid="{00000000-0005-0000-0000-000023030000}"/>
    <cellStyle name="20% - Accent1 3 4 3 5" xfId="1410" xr:uid="{00000000-0005-0000-0000-000024030000}"/>
    <cellStyle name="20% - Accent1 3 4 3 5 2" xfId="1411" xr:uid="{00000000-0005-0000-0000-000025030000}"/>
    <cellStyle name="20% - Accent1 3 4 3 5 3" xfId="1412" xr:uid="{00000000-0005-0000-0000-000026030000}"/>
    <cellStyle name="20% - Accent1 3 4 3 6" xfId="1413" xr:uid="{00000000-0005-0000-0000-000027030000}"/>
    <cellStyle name="20% - Accent1 3 4 3 7" xfId="1414" xr:uid="{00000000-0005-0000-0000-000028030000}"/>
    <cellStyle name="20% - Accent1 3 4 3 8" xfId="1415" xr:uid="{00000000-0005-0000-0000-000029030000}"/>
    <cellStyle name="20% - Accent1 3 4 3 9" xfId="1416" xr:uid="{00000000-0005-0000-0000-00002A030000}"/>
    <cellStyle name="20% - Accent1 3 4 4" xfId="1417" xr:uid="{00000000-0005-0000-0000-00002B030000}"/>
    <cellStyle name="20% - Accent1 3 4 4 2" xfId="1418" xr:uid="{00000000-0005-0000-0000-00002C030000}"/>
    <cellStyle name="20% - Accent1 3 4 4 2 2" xfId="1419" xr:uid="{00000000-0005-0000-0000-00002D030000}"/>
    <cellStyle name="20% - Accent1 3 4 4 2 2 2" xfId="1420" xr:uid="{00000000-0005-0000-0000-00002E030000}"/>
    <cellStyle name="20% - Accent1 3 4 4 2 2 3" xfId="1421" xr:uid="{00000000-0005-0000-0000-00002F030000}"/>
    <cellStyle name="20% - Accent1 3 4 4 2 3" xfId="1422" xr:uid="{00000000-0005-0000-0000-000030030000}"/>
    <cellStyle name="20% - Accent1 3 4 4 2 4" xfId="1423" xr:uid="{00000000-0005-0000-0000-000031030000}"/>
    <cellStyle name="20% - Accent1 3 4 4 2 5" xfId="1424" xr:uid="{00000000-0005-0000-0000-000032030000}"/>
    <cellStyle name="20% - Accent1 3 4 4 2 6" xfId="1425" xr:uid="{00000000-0005-0000-0000-000033030000}"/>
    <cellStyle name="20% - Accent1 3 4 4 3" xfId="1426" xr:uid="{00000000-0005-0000-0000-000034030000}"/>
    <cellStyle name="20% - Accent1 3 4 4 3 2" xfId="1427" xr:uid="{00000000-0005-0000-0000-000035030000}"/>
    <cellStyle name="20% - Accent1 3 4 4 3 3" xfId="1428" xr:uid="{00000000-0005-0000-0000-000036030000}"/>
    <cellStyle name="20% - Accent1 3 4 4 4" xfId="1429" xr:uid="{00000000-0005-0000-0000-000037030000}"/>
    <cellStyle name="20% - Accent1 3 4 4 5" xfId="1430" xr:uid="{00000000-0005-0000-0000-000038030000}"/>
    <cellStyle name="20% - Accent1 3 4 4 6" xfId="1431" xr:uid="{00000000-0005-0000-0000-000039030000}"/>
    <cellStyle name="20% - Accent1 3 4 4 7" xfId="1432" xr:uid="{00000000-0005-0000-0000-00003A030000}"/>
    <cellStyle name="20% - Accent1 3 4 5" xfId="1433" xr:uid="{00000000-0005-0000-0000-00003B030000}"/>
    <cellStyle name="20% - Accent1 3 4 5 2" xfId="1434" xr:uid="{00000000-0005-0000-0000-00003C030000}"/>
    <cellStyle name="20% - Accent1 3 4 5 2 2" xfId="1435" xr:uid="{00000000-0005-0000-0000-00003D030000}"/>
    <cellStyle name="20% - Accent1 3 4 5 2 3" xfId="1436" xr:uid="{00000000-0005-0000-0000-00003E030000}"/>
    <cellStyle name="20% - Accent1 3 4 5 3" xfId="1437" xr:uid="{00000000-0005-0000-0000-00003F030000}"/>
    <cellStyle name="20% - Accent1 3 4 5 4" xfId="1438" xr:uid="{00000000-0005-0000-0000-000040030000}"/>
    <cellStyle name="20% - Accent1 3 4 5 5" xfId="1439" xr:uid="{00000000-0005-0000-0000-000041030000}"/>
    <cellStyle name="20% - Accent1 3 4 5 6" xfId="1440" xr:uid="{00000000-0005-0000-0000-000042030000}"/>
    <cellStyle name="20% - Accent1 3 4 6" xfId="1441" xr:uid="{00000000-0005-0000-0000-000043030000}"/>
    <cellStyle name="20% - Accent1 3 4 6 2" xfId="1442" xr:uid="{00000000-0005-0000-0000-000044030000}"/>
    <cellStyle name="20% - Accent1 3 4 6 2 2" xfId="1443" xr:uid="{00000000-0005-0000-0000-000045030000}"/>
    <cellStyle name="20% - Accent1 3 4 6 2 3" xfId="1444" xr:uid="{00000000-0005-0000-0000-000046030000}"/>
    <cellStyle name="20% - Accent1 3 4 6 3" xfId="1445" xr:uid="{00000000-0005-0000-0000-000047030000}"/>
    <cellStyle name="20% - Accent1 3 4 6 4" xfId="1446" xr:uid="{00000000-0005-0000-0000-000048030000}"/>
    <cellStyle name="20% - Accent1 3 4 6 5" xfId="1447" xr:uid="{00000000-0005-0000-0000-000049030000}"/>
    <cellStyle name="20% - Accent1 3 4 6 6" xfId="1448" xr:uid="{00000000-0005-0000-0000-00004A030000}"/>
    <cellStyle name="20% - Accent1 3 4 7" xfId="1449" xr:uid="{00000000-0005-0000-0000-00004B030000}"/>
    <cellStyle name="20% - Accent1 3 4 7 2" xfId="1450" xr:uid="{00000000-0005-0000-0000-00004C030000}"/>
    <cellStyle name="20% - Accent1 3 4 7 2 2" xfId="1451" xr:uid="{00000000-0005-0000-0000-00004D030000}"/>
    <cellStyle name="20% - Accent1 3 4 7 2 3" xfId="1452" xr:uid="{00000000-0005-0000-0000-00004E030000}"/>
    <cellStyle name="20% - Accent1 3 4 7 3" xfId="1453" xr:uid="{00000000-0005-0000-0000-00004F030000}"/>
    <cellStyle name="20% - Accent1 3 4 7 4" xfId="1454" xr:uid="{00000000-0005-0000-0000-000050030000}"/>
    <cellStyle name="20% - Accent1 3 4 7 5" xfId="1455" xr:uid="{00000000-0005-0000-0000-000051030000}"/>
    <cellStyle name="20% - Accent1 3 4 7 6" xfId="1456" xr:uid="{00000000-0005-0000-0000-000052030000}"/>
    <cellStyle name="20% - Accent1 3 4 8" xfId="1457" xr:uid="{00000000-0005-0000-0000-000053030000}"/>
    <cellStyle name="20% - Accent1 3 4 8 2" xfId="1458" xr:uid="{00000000-0005-0000-0000-000054030000}"/>
    <cellStyle name="20% - Accent1 3 4 8 2 2" xfId="1459" xr:uid="{00000000-0005-0000-0000-000055030000}"/>
    <cellStyle name="20% - Accent1 3 4 8 2 3" xfId="1460" xr:uid="{00000000-0005-0000-0000-000056030000}"/>
    <cellStyle name="20% - Accent1 3 4 8 3" xfId="1461" xr:uid="{00000000-0005-0000-0000-000057030000}"/>
    <cellStyle name="20% - Accent1 3 4 8 4" xfId="1462" xr:uid="{00000000-0005-0000-0000-000058030000}"/>
    <cellStyle name="20% - Accent1 3 4 8 5" xfId="1463" xr:uid="{00000000-0005-0000-0000-000059030000}"/>
    <cellStyle name="20% - Accent1 3 4 8 6" xfId="1464" xr:uid="{00000000-0005-0000-0000-00005A030000}"/>
    <cellStyle name="20% - Accent1 3 4 9" xfId="1465" xr:uid="{00000000-0005-0000-0000-00005B030000}"/>
    <cellStyle name="20% - Accent1 3 4 9 2" xfId="1466" xr:uid="{00000000-0005-0000-0000-00005C030000}"/>
    <cellStyle name="20% - Accent1 3 4 9 3" xfId="1467" xr:uid="{00000000-0005-0000-0000-00005D030000}"/>
    <cellStyle name="20% - Accent1 3 5" xfId="1468" xr:uid="{00000000-0005-0000-0000-00005E030000}"/>
    <cellStyle name="20% - Accent1 3 5 10" xfId="1469" xr:uid="{00000000-0005-0000-0000-00005F030000}"/>
    <cellStyle name="20% - Accent1 3 5 2" xfId="1470" xr:uid="{00000000-0005-0000-0000-000060030000}"/>
    <cellStyle name="20% - Accent1 3 5 2 2" xfId="1471" xr:uid="{00000000-0005-0000-0000-000061030000}"/>
    <cellStyle name="20% - Accent1 3 5 2 2 2" xfId="1472" xr:uid="{00000000-0005-0000-0000-000062030000}"/>
    <cellStyle name="20% - Accent1 3 5 2 2 2 2" xfId="1473" xr:uid="{00000000-0005-0000-0000-000063030000}"/>
    <cellStyle name="20% - Accent1 3 5 2 2 2 3" xfId="1474" xr:uid="{00000000-0005-0000-0000-000064030000}"/>
    <cellStyle name="20% - Accent1 3 5 2 2 3" xfId="1475" xr:uid="{00000000-0005-0000-0000-000065030000}"/>
    <cellStyle name="20% - Accent1 3 5 2 2 4" xfId="1476" xr:uid="{00000000-0005-0000-0000-000066030000}"/>
    <cellStyle name="20% - Accent1 3 5 2 2 5" xfId="1477" xr:uid="{00000000-0005-0000-0000-000067030000}"/>
    <cellStyle name="20% - Accent1 3 5 2 2 6" xfId="1478" xr:uid="{00000000-0005-0000-0000-000068030000}"/>
    <cellStyle name="20% - Accent1 3 5 2 3" xfId="1479" xr:uid="{00000000-0005-0000-0000-000069030000}"/>
    <cellStyle name="20% - Accent1 3 5 2 3 2" xfId="1480" xr:uid="{00000000-0005-0000-0000-00006A030000}"/>
    <cellStyle name="20% - Accent1 3 5 2 3 2 2" xfId="1481" xr:uid="{00000000-0005-0000-0000-00006B030000}"/>
    <cellStyle name="20% - Accent1 3 5 2 3 2 3" xfId="1482" xr:uid="{00000000-0005-0000-0000-00006C030000}"/>
    <cellStyle name="20% - Accent1 3 5 2 3 3" xfId="1483" xr:uid="{00000000-0005-0000-0000-00006D030000}"/>
    <cellStyle name="20% - Accent1 3 5 2 3 4" xfId="1484" xr:uid="{00000000-0005-0000-0000-00006E030000}"/>
    <cellStyle name="20% - Accent1 3 5 2 3 5" xfId="1485" xr:uid="{00000000-0005-0000-0000-00006F030000}"/>
    <cellStyle name="20% - Accent1 3 5 2 3 6" xfId="1486" xr:uid="{00000000-0005-0000-0000-000070030000}"/>
    <cellStyle name="20% - Accent1 3 5 2 4" xfId="1487" xr:uid="{00000000-0005-0000-0000-000071030000}"/>
    <cellStyle name="20% - Accent1 3 5 2 4 2" xfId="1488" xr:uid="{00000000-0005-0000-0000-000072030000}"/>
    <cellStyle name="20% - Accent1 3 5 2 4 3" xfId="1489" xr:uid="{00000000-0005-0000-0000-000073030000}"/>
    <cellStyle name="20% - Accent1 3 5 2 5" xfId="1490" xr:uid="{00000000-0005-0000-0000-000074030000}"/>
    <cellStyle name="20% - Accent1 3 5 2 6" xfId="1491" xr:uid="{00000000-0005-0000-0000-000075030000}"/>
    <cellStyle name="20% - Accent1 3 5 2 7" xfId="1492" xr:uid="{00000000-0005-0000-0000-000076030000}"/>
    <cellStyle name="20% - Accent1 3 5 2 8" xfId="1493" xr:uid="{00000000-0005-0000-0000-000077030000}"/>
    <cellStyle name="20% - Accent1 3 5 3" xfId="1494" xr:uid="{00000000-0005-0000-0000-000078030000}"/>
    <cellStyle name="20% - Accent1 3 5 3 2" xfId="1495" xr:uid="{00000000-0005-0000-0000-000079030000}"/>
    <cellStyle name="20% - Accent1 3 5 3 2 2" xfId="1496" xr:uid="{00000000-0005-0000-0000-00007A030000}"/>
    <cellStyle name="20% - Accent1 3 5 3 2 2 2" xfId="1497" xr:uid="{00000000-0005-0000-0000-00007B030000}"/>
    <cellStyle name="20% - Accent1 3 5 3 2 2 3" xfId="1498" xr:uid="{00000000-0005-0000-0000-00007C030000}"/>
    <cellStyle name="20% - Accent1 3 5 3 2 3" xfId="1499" xr:uid="{00000000-0005-0000-0000-00007D030000}"/>
    <cellStyle name="20% - Accent1 3 5 3 2 4" xfId="1500" xr:uid="{00000000-0005-0000-0000-00007E030000}"/>
    <cellStyle name="20% - Accent1 3 5 3 2 5" xfId="1501" xr:uid="{00000000-0005-0000-0000-00007F030000}"/>
    <cellStyle name="20% - Accent1 3 5 3 2 6" xfId="1502" xr:uid="{00000000-0005-0000-0000-000080030000}"/>
    <cellStyle name="20% - Accent1 3 5 3 3" xfId="1503" xr:uid="{00000000-0005-0000-0000-000081030000}"/>
    <cellStyle name="20% - Accent1 3 5 3 3 2" xfId="1504" xr:uid="{00000000-0005-0000-0000-000082030000}"/>
    <cellStyle name="20% - Accent1 3 5 3 3 3" xfId="1505" xr:uid="{00000000-0005-0000-0000-000083030000}"/>
    <cellStyle name="20% - Accent1 3 5 3 4" xfId="1506" xr:uid="{00000000-0005-0000-0000-000084030000}"/>
    <cellStyle name="20% - Accent1 3 5 3 5" xfId="1507" xr:uid="{00000000-0005-0000-0000-000085030000}"/>
    <cellStyle name="20% - Accent1 3 5 3 6" xfId="1508" xr:uid="{00000000-0005-0000-0000-000086030000}"/>
    <cellStyle name="20% - Accent1 3 5 3 7" xfId="1509" xr:uid="{00000000-0005-0000-0000-000087030000}"/>
    <cellStyle name="20% - Accent1 3 5 4" xfId="1510" xr:uid="{00000000-0005-0000-0000-000088030000}"/>
    <cellStyle name="20% - Accent1 3 5 4 2" xfId="1511" xr:uid="{00000000-0005-0000-0000-000089030000}"/>
    <cellStyle name="20% - Accent1 3 5 4 2 2" xfId="1512" xr:uid="{00000000-0005-0000-0000-00008A030000}"/>
    <cellStyle name="20% - Accent1 3 5 4 2 3" xfId="1513" xr:uid="{00000000-0005-0000-0000-00008B030000}"/>
    <cellStyle name="20% - Accent1 3 5 4 3" xfId="1514" xr:uid="{00000000-0005-0000-0000-00008C030000}"/>
    <cellStyle name="20% - Accent1 3 5 4 4" xfId="1515" xr:uid="{00000000-0005-0000-0000-00008D030000}"/>
    <cellStyle name="20% - Accent1 3 5 4 5" xfId="1516" xr:uid="{00000000-0005-0000-0000-00008E030000}"/>
    <cellStyle name="20% - Accent1 3 5 4 6" xfId="1517" xr:uid="{00000000-0005-0000-0000-00008F030000}"/>
    <cellStyle name="20% - Accent1 3 5 5" xfId="1518" xr:uid="{00000000-0005-0000-0000-000090030000}"/>
    <cellStyle name="20% - Accent1 3 5 5 2" xfId="1519" xr:uid="{00000000-0005-0000-0000-000091030000}"/>
    <cellStyle name="20% - Accent1 3 5 5 2 2" xfId="1520" xr:uid="{00000000-0005-0000-0000-000092030000}"/>
    <cellStyle name="20% - Accent1 3 5 5 2 3" xfId="1521" xr:uid="{00000000-0005-0000-0000-000093030000}"/>
    <cellStyle name="20% - Accent1 3 5 5 3" xfId="1522" xr:uid="{00000000-0005-0000-0000-000094030000}"/>
    <cellStyle name="20% - Accent1 3 5 5 4" xfId="1523" xr:uid="{00000000-0005-0000-0000-000095030000}"/>
    <cellStyle name="20% - Accent1 3 5 5 5" xfId="1524" xr:uid="{00000000-0005-0000-0000-000096030000}"/>
    <cellStyle name="20% - Accent1 3 5 5 6" xfId="1525" xr:uid="{00000000-0005-0000-0000-000097030000}"/>
    <cellStyle name="20% - Accent1 3 5 6" xfId="1526" xr:uid="{00000000-0005-0000-0000-000098030000}"/>
    <cellStyle name="20% - Accent1 3 5 6 2" xfId="1527" xr:uid="{00000000-0005-0000-0000-000099030000}"/>
    <cellStyle name="20% - Accent1 3 5 6 3" xfId="1528" xr:uid="{00000000-0005-0000-0000-00009A030000}"/>
    <cellStyle name="20% - Accent1 3 5 7" xfId="1529" xr:uid="{00000000-0005-0000-0000-00009B030000}"/>
    <cellStyle name="20% - Accent1 3 5 8" xfId="1530" xr:uid="{00000000-0005-0000-0000-00009C030000}"/>
    <cellStyle name="20% - Accent1 3 5 9" xfId="1531" xr:uid="{00000000-0005-0000-0000-00009D030000}"/>
    <cellStyle name="20% - Accent1 3 6" xfId="1532" xr:uid="{00000000-0005-0000-0000-00009E030000}"/>
    <cellStyle name="20% - Accent1 3 6 2" xfId="1533" xr:uid="{00000000-0005-0000-0000-00009F030000}"/>
    <cellStyle name="20% - Accent1 3 6 2 2" xfId="1534" xr:uid="{00000000-0005-0000-0000-0000A0030000}"/>
    <cellStyle name="20% - Accent1 3 6 2 2 2" xfId="1535" xr:uid="{00000000-0005-0000-0000-0000A1030000}"/>
    <cellStyle name="20% - Accent1 3 6 2 2 2 2" xfId="1536" xr:uid="{00000000-0005-0000-0000-0000A2030000}"/>
    <cellStyle name="20% - Accent1 3 6 2 2 2 3" xfId="1537" xr:uid="{00000000-0005-0000-0000-0000A3030000}"/>
    <cellStyle name="20% - Accent1 3 6 2 2 3" xfId="1538" xr:uid="{00000000-0005-0000-0000-0000A4030000}"/>
    <cellStyle name="20% - Accent1 3 6 2 2 4" xfId="1539" xr:uid="{00000000-0005-0000-0000-0000A5030000}"/>
    <cellStyle name="20% - Accent1 3 6 2 2 5" xfId="1540" xr:uid="{00000000-0005-0000-0000-0000A6030000}"/>
    <cellStyle name="20% - Accent1 3 6 2 2 6" xfId="1541" xr:uid="{00000000-0005-0000-0000-0000A7030000}"/>
    <cellStyle name="20% - Accent1 3 6 2 3" xfId="1542" xr:uid="{00000000-0005-0000-0000-0000A8030000}"/>
    <cellStyle name="20% - Accent1 3 6 2 3 2" xfId="1543" xr:uid="{00000000-0005-0000-0000-0000A9030000}"/>
    <cellStyle name="20% - Accent1 3 6 2 3 3" xfId="1544" xr:uid="{00000000-0005-0000-0000-0000AA030000}"/>
    <cellStyle name="20% - Accent1 3 6 2 4" xfId="1545" xr:uid="{00000000-0005-0000-0000-0000AB030000}"/>
    <cellStyle name="20% - Accent1 3 6 2 5" xfId="1546" xr:uid="{00000000-0005-0000-0000-0000AC030000}"/>
    <cellStyle name="20% - Accent1 3 6 2 6" xfId="1547" xr:uid="{00000000-0005-0000-0000-0000AD030000}"/>
    <cellStyle name="20% - Accent1 3 6 2 7" xfId="1548" xr:uid="{00000000-0005-0000-0000-0000AE030000}"/>
    <cellStyle name="20% - Accent1 3 6 3" xfId="1549" xr:uid="{00000000-0005-0000-0000-0000AF030000}"/>
    <cellStyle name="20% - Accent1 3 6 3 2" xfId="1550" xr:uid="{00000000-0005-0000-0000-0000B0030000}"/>
    <cellStyle name="20% - Accent1 3 6 3 2 2" xfId="1551" xr:uid="{00000000-0005-0000-0000-0000B1030000}"/>
    <cellStyle name="20% - Accent1 3 6 3 2 3" xfId="1552" xr:uid="{00000000-0005-0000-0000-0000B2030000}"/>
    <cellStyle name="20% - Accent1 3 6 3 3" xfId="1553" xr:uid="{00000000-0005-0000-0000-0000B3030000}"/>
    <cellStyle name="20% - Accent1 3 6 3 4" xfId="1554" xr:uid="{00000000-0005-0000-0000-0000B4030000}"/>
    <cellStyle name="20% - Accent1 3 6 3 5" xfId="1555" xr:uid="{00000000-0005-0000-0000-0000B5030000}"/>
    <cellStyle name="20% - Accent1 3 6 3 6" xfId="1556" xr:uid="{00000000-0005-0000-0000-0000B6030000}"/>
    <cellStyle name="20% - Accent1 3 6 4" xfId="1557" xr:uid="{00000000-0005-0000-0000-0000B7030000}"/>
    <cellStyle name="20% - Accent1 3 6 4 2" xfId="1558" xr:uid="{00000000-0005-0000-0000-0000B8030000}"/>
    <cellStyle name="20% - Accent1 3 6 4 2 2" xfId="1559" xr:uid="{00000000-0005-0000-0000-0000B9030000}"/>
    <cellStyle name="20% - Accent1 3 6 4 2 3" xfId="1560" xr:uid="{00000000-0005-0000-0000-0000BA030000}"/>
    <cellStyle name="20% - Accent1 3 6 4 3" xfId="1561" xr:uid="{00000000-0005-0000-0000-0000BB030000}"/>
    <cellStyle name="20% - Accent1 3 6 4 4" xfId="1562" xr:uid="{00000000-0005-0000-0000-0000BC030000}"/>
    <cellStyle name="20% - Accent1 3 6 4 5" xfId="1563" xr:uid="{00000000-0005-0000-0000-0000BD030000}"/>
    <cellStyle name="20% - Accent1 3 6 4 6" xfId="1564" xr:uid="{00000000-0005-0000-0000-0000BE030000}"/>
    <cellStyle name="20% - Accent1 3 6 5" xfId="1565" xr:uid="{00000000-0005-0000-0000-0000BF030000}"/>
    <cellStyle name="20% - Accent1 3 6 5 2" xfId="1566" xr:uid="{00000000-0005-0000-0000-0000C0030000}"/>
    <cellStyle name="20% - Accent1 3 6 5 3" xfId="1567" xr:uid="{00000000-0005-0000-0000-0000C1030000}"/>
    <cellStyle name="20% - Accent1 3 6 6" xfId="1568" xr:uid="{00000000-0005-0000-0000-0000C2030000}"/>
    <cellStyle name="20% - Accent1 3 6 7" xfId="1569" xr:uid="{00000000-0005-0000-0000-0000C3030000}"/>
    <cellStyle name="20% - Accent1 3 6 8" xfId="1570" xr:uid="{00000000-0005-0000-0000-0000C4030000}"/>
    <cellStyle name="20% - Accent1 3 6 9" xfId="1571" xr:uid="{00000000-0005-0000-0000-0000C5030000}"/>
    <cellStyle name="20% - Accent1 3 7" xfId="1572" xr:uid="{00000000-0005-0000-0000-0000C6030000}"/>
    <cellStyle name="20% - Accent1 3 7 2" xfId="1573" xr:uid="{00000000-0005-0000-0000-0000C7030000}"/>
    <cellStyle name="20% - Accent1 3 7 2 2" xfId="1574" xr:uid="{00000000-0005-0000-0000-0000C8030000}"/>
    <cellStyle name="20% - Accent1 3 7 2 2 2" xfId="1575" xr:uid="{00000000-0005-0000-0000-0000C9030000}"/>
    <cellStyle name="20% - Accent1 3 7 2 2 3" xfId="1576" xr:uid="{00000000-0005-0000-0000-0000CA030000}"/>
    <cellStyle name="20% - Accent1 3 7 2 3" xfId="1577" xr:uid="{00000000-0005-0000-0000-0000CB030000}"/>
    <cellStyle name="20% - Accent1 3 7 2 4" xfId="1578" xr:uid="{00000000-0005-0000-0000-0000CC030000}"/>
    <cellStyle name="20% - Accent1 3 7 2 5" xfId="1579" xr:uid="{00000000-0005-0000-0000-0000CD030000}"/>
    <cellStyle name="20% - Accent1 3 7 2 6" xfId="1580" xr:uid="{00000000-0005-0000-0000-0000CE030000}"/>
    <cellStyle name="20% - Accent1 3 7 3" xfId="1581" xr:uid="{00000000-0005-0000-0000-0000CF030000}"/>
    <cellStyle name="20% - Accent1 3 7 3 2" xfId="1582" xr:uid="{00000000-0005-0000-0000-0000D0030000}"/>
    <cellStyle name="20% - Accent1 3 7 3 3" xfId="1583" xr:uid="{00000000-0005-0000-0000-0000D1030000}"/>
    <cellStyle name="20% - Accent1 3 7 4" xfId="1584" xr:uid="{00000000-0005-0000-0000-0000D2030000}"/>
    <cellStyle name="20% - Accent1 3 7 5" xfId="1585" xr:uid="{00000000-0005-0000-0000-0000D3030000}"/>
    <cellStyle name="20% - Accent1 3 7 6" xfId="1586" xr:uid="{00000000-0005-0000-0000-0000D4030000}"/>
    <cellStyle name="20% - Accent1 3 7 7" xfId="1587" xr:uid="{00000000-0005-0000-0000-0000D5030000}"/>
    <cellStyle name="20% - Accent1 3 8" xfId="1588" xr:uid="{00000000-0005-0000-0000-0000D6030000}"/>
    <cellStyle name="20% - Accent1 3 8 2" xfId="1589" xr:uid="{00000000-0005-0000-0000-0000D7030000}"/>
    <cellStyle name="20% - Accent1 3 8 2 2" xfId="1590" xr:uid="{00000000-0005-0000-0000-0000D8030000}"/>
    <cellStyle name="20% - Accent1 3 8 2 3" xfId="1591" xr:uid="{00000000-0005-0000-0000-0000D9030000}"/>
    <cellStyle name="20% - Accent1 3 8 3" xfId="1592" xr:uid="{00000000-0005-0000-0000-0000DA030000}"/>
    <cellStyle name="20% - Accent1 3 8 4" xfId="1593" xr:uid="{00000000-0005-0000-0000-0000DB030000}"/>
    <cellStyle name="20% - Accent1 3 8 5" xfId="1594" xr:uid="{00000000-0005-0000-0000-0000DC030000}"/>
    <cellStyle name="20% - Accent1 3 8 6" xfId="1595" xr:uid="{00000000-0005-0000-0000-0000DD030000}"/>
    <cellStyle name="20% - Accent1 3 9" xfId="1596" xr:uid="{00000000-0005-0000-0000-0000DE030000}"/>
    <cellStyle name="20% - Accent1 3 9 2" xfId="1597" xr:uid="{00000000-0005-0000-0000-0000DF030000}"/>
    <cellStyle name="20% - Accent1 3 9 2 2" xfId="1598" xr:uid="{00000000-0005-0000-0000-0000E0030000}"/>
    <cellStyle name="20% - Accent1 3 9 2 3" xfId="1599" xr:uid="{00000000-0005-0000-0000-0000E1030000}"/>
    <cellStyle name="20% - Accent1 3 9 3" xfId="1600" xr:uid="{00000000-0005-0000-0000-0000E2030000}"/>
    <cellStyle name="20% - Accent1 3 9 4" xfId="1601" xr:uid="{00000000-0005-0000-0000-0000E3030000}"/>
    <cellStyle name="20% - Accent1 3 9 5" xfId="1602" xr:uid="{00000000-0005-0000-0000-0000E4030000}"/>
    <cellStyle name="20% - Accent1 3 9 6" xfId="1603" xr:uid="{00000000-0005-0000-0000-0000E5030000}"/>
    <cellStyle name="20% - Accent1 4" xfId="1604" xr:uid="{00000000-0005-0000-0000-0000E6030000}"/>
    <cellStyle name="20% - Accent1 4 10" xfId="1605" xr:uid="{00000000-0005-0000-0000-0000E7030000}"/>
    <cellStyle name="20% - Accent1 4 10 2" xfId="1606" xr:uid="{00000000-0005-0000-0000-0000E8030000}"/>
    <cellStyle name="20% - Accent1 4 10 2 2" xfId="1607" xr:uid="{00000000-0005-0000-0000-0000E9030000}"/>
    <cellStyle name="20% - Accent1 4 10 2 3" xfId="1608" xr:uid="{00000000-0005-0000-0000-0000EA030000}"/>
    <cellStyle name="20% - Accent1 4 10 3" xfId="1609" xr:uid="{00000000-0005-0000-0000-0000EB030000}"/>
    <cellStyle name="20% - Accent1 4 10 4" xfId="1610" xr:uid="{00000000-0005-0000-0000-0000EC030000}"/>
    <cellStyle name="20% - Accent1 4 10 5" xfId="1611" xr:uid="{00000000-0005-0000-0000-0000ED030000}"/>
    <cellStyle name="20% - Accent1 4 10 6" xfId="1612" xr:uid="{00000000-0005-0000-0000-0000EE030000}"/>
    <cellStyle name="20% - Accent1 4 11" xfId="1613" xr:uid="{00000000-0005-0000-0000-0000EF030000}"/>
    <cellStyle name="20% - Accent1 4 11 2" xfId="1614" xr:uid="{00000000-0005-0000-0000-0000F0030000}"/>
    <cellStyle name="20% - Accent1 4 11 3" xfId="1615" xr:uid="{00000000-0005-0000-0000-0000F1030000}"/>
    <cellStyle name="20% - Accent1 4 12" xfId="1616" xr:uid="{00000000-0005-0000-0000-0000F2030000}"/>
    <cellStyle name="20% - Accent1 4 13" xfId="1617" xr:uid="{00000000-0005-0000-0000-0000F3030000}"/>
    <cellStyle name="20% - Accent1 4 14" xfId="1618" xr:uid="{00000000-0005-0000-0000-0000F4030000}"/>
    <cellStyle name="20% - Accent1 4 15" xfId="1619" xr:uid="{00000000-0005-0000-0000-0000F5030000}"/>
    <cellStyle name="20% - Accent1 4 2" xfId="1620" xr:uid="{00000000-0005-0000-0000-0000F6030000}"/>
    <cellStyle name="20% - Accent1 4 2 10" xfId="1621" xr:uid="{00000000-0005-0000-0000-0000F7030000}"/>
    <cellStyle name="20% - Accent1 4 2 10 2" xfId="1622" xr:uid="{00000000-0005-0000-0000-0000F8030000}"/>
    <cellStyle name="20% - Accent1 4 2 10 3" xfId="1623" xr:uid="{00000000-0005-0000-0000-0000F9030000}"/>
    <cellStyle name="20% - Accent1 4 2 11" xfId="1624" xr:uid="{00000000-0005-0000-0000-0000FA030000}"/>
    <cellStyle name="20% - Accent1 4 2 12" xfId="1625" xr:uid="{00000000-0005-0000-0000-0000FB030000}"/>
    <cellStyle name="20% - Accent1 4 2 13" xfId="1626" xr:uid="{00000000-0005-0000-0000-0000FC030000}"/>
    <cellStyle name="20% - Accent1 4 2 14" xfId="1627" xr:uid="{00000000-0005-0000-0000-0000FD030000}"/>
    <cellStyle name="20% - Accent1 4 2 2" xfId="1628" xr:uid="{00000000-0005-0000-0000-0000FE030000}"/>
    <cellStyle name="20% - Accent1 4 2 2 10" xfId="1629" xr:uid="{00000000-0005-0000-0000-0000FF030000}"/>
    <cellStyle name="20% - Accent1 4 2 2 11" xfId="1630" xr:uid="{00000000-0005-0000-0000-000000040000}"/>
    <cellStyle name="20% - Accent1 4 2 2 12" xfId="1631" xr:uid="{00000000-0005-0000-0000-000001040000}"/>
    <cellStyle name="20% - Accent1 4 2 2 13" xfId="1632" xr:uid="{00000000-0005-0000-0000-000002040000}"/>
    <cellStyle name="20% - Accent1 4 2 2 2" xfId="1633" xr:uid="{00000000-0005-0000-0000-000003040000}"/>
    <cellStyle name="20% - Accent1 4 2 2 2 10" xfId="1634" xr:uid="{00000000-0005-0000-0000-000004040000}"/>
    <cellStyle name="20% - Accent1 4 2 2 2 2" xfId="1635" xr:uid="{00000000-0005-0000-0000-000005040000}"/>
    <cellStyle name="20% - Accent1 4 2 2 2 2 2" xfId="1636" xr:uid="{00000000-0005-0000-0000-000006040000}"/>
    <cellStyle name="20% - Accent1 4 2 2 2 2 2 2" xfId="1637" xr:uid="{00000000-0005-0000-0000-000007040000}"/>
    <cellStyle name="20% - Accent1 4 2 2 2 2 2 2 2" xfId="1638" xr:uid="{00000000-0005-0000-0000-000008040000}"/>
    <cellStyle name="20% - Accent1 4 2 2 2 2 2 2 3" xfId="1639" xr:uid="{00000000-0005-0000-0000-000009040000}"/>
    <cellStyle name="20% - Accent1 4 2 2 2 2 2 3" xfId="1640" xr:uid="{00000000-0005-0000-0000-00000A040000}"/>
    <cellStyle name="20% - Accent1 4 2 2 2 2 2 4" xfId="1641" xr:uid="{00000000-0005-0000-0000-00000B040000}"/>
    <cellStyle name="20% - Accent1 4 2 2 2 2 2 5" xfId="1642" xr:uid="{00000000-0005-0000-0000-00000C040000}"/>
    <cellStyle name="20% - Accent1 4 2 2 2 2 2 6" xfId="1643" xr:uid="{00000000-0005-0000-0000-00000D040000}"/>
    <cellStyle name="20% - Accent1 4 2 2 2 2 3" xfId="1644" xr:uid="{00000000-0005-0000-0000-00000E040000}"/>
    <cellStyle name="20% - Accent1 4 2 2 2 2 3 2" xfId="1645" xr:uid="{00000000-0005-0000-0000-00000F040000}"/>
    <cellStyle name="20% - Accent1 4 2 2 2 2 3 2 2" xfId="1646" xr:uid="{00000000-0005-0000-0000-000010040000}"/>
    <cellStyle name="20% - Accent1 4 2 2 2 2 3 2 3" xfId="1647" xr:uid="{00000000-0005-0000-0000-000011040000}"/>
    <cellStyle name="20% - Accent1 4 2 2 2 2 3 3" xfId="1648" xr:uid="{00000000-0005-0000-0000-000012040000}"/>
    <cellStyle name="20% - Accent1 4 2 2 2 2 3 4" xfId="1649" xr:uid="{00000000-0005-0000-0000-000013040000}"/>
    <cellStyle name="20% - Accent1 4 2 2 2 2 3 5" xfId="1650" xr:uid="{00000000-0005-0000-0000-000014040000}"/>
    <cellStyle name="20% - Accent1 4 2 2 2 2 3 6" xfId="1651" xr:uid="{00000000-0005-0000-0000-000015040000}"/>
    <cellStyle name="20% - Accent1 4 2 2 2 2 4" xfId="1652" xr:uid="{00000000-0005-0000-0000-000016040000}"/>
    <cellStyle name="20% - Accent1 4 2 2 2 2 4 2" xfId="1653" xr:uid="{00000000-0005-0000-0000-000017040000}"/>
    <cellStyle name="20% - Accent1 4 2 2 2 2 4 3" xfId="1654" xr:uid="{00000000-0005-0000-0000-000018040000}"/>
    <cellStyle name="20% - Accent1 4 2 2 2 2 5" xfId="1655" xr:uid="{00000000-0005-0000-0000-000019040000}"/>
    <cellStyle name="20% - Accent1 4 2 2 2 2 6" xfId="1656" xr:uid="{00000000-0005-0000-0000-00001A040000}"/>
    <cellStyle name="20% - Accent1 4 2 2 2 2 7" xfId="1657" xr:uid="{00000000-0005-0000-0000-00001B040000}"/>
    <cellStyle name="20% - Accent1 4 2 2 2 2 8" xfId="1658" xr:uid="{00000000-0005-0000-0000-00001C040000}"/>
    <cellStyle name="20% - Accent1 4 2 2 2 3" xfId="1659" xr:uid="{00000000-0005-0000-0000-00001D040000}"/>
    <cellStyle name="20% - Accent1 4 2 2 2 3 2" xfId="1660" xr:uid="{00000000-0005-0000-0000-00001E040000}"/>
    <cellStyle name="20% - Accent1 4 2 2 2 3 2 2" xfId="1661" xr:uid="{00000000-0005-0000-0000-00001F040000}"/>
    <cellStyle name="20% - Accent1 4 2 2 2 3 2 2 2" xfId="1662" xr:uid="{00000000-0005-0000-0000-000020040000}"/>
    <cellStyle name="20% - Accent1 4 2 2 2 3 2 2 3" xfId="1663" xr:uid="{00000000-0005-0000-0000-000021040000}"/>
    <cellStyle name="20% - Accent1 4 2 2 2 3 2 3" xfId="1664" xr:uid="{00000000-0005-0000-0000-000022040000}"/>
    <cellStyle name="20% - Accent1 4 2 2 2 3 2 4" xfId="1665" xr:uid="{00000000-0005-0000-0000-000023040000}"/>
    <cellStyle name="20% - Accent1 4 2 2 2 3 2 5" xfId="1666" xr:uid="{00000000-0005-0000-0000-000024040000}"/>
    <cellStyle name="20% - Accent1 4 2 2 2 3 2 6" xfId="1667" xr:uid="{00000000-0005-0000-0000-000025040000}"/>
    <cellStyle name="20% - Accent1 4 2 2 2 3 3" xfId="1668" xr:uid="{00000000-0005-0000-0000-000026040000}"/>
    <cellStyle name="20% - Accent1 4 2 2 2 3 3 2" xfId="1669" xr:uid="{00000000-0005-0000-0000-000027040000}"/>
    <cellStyle name="20% - Accent1 4 2 2 2 3 3 3" xfId="1670" xr:uid="{00000000-0005-0000-0000-000028040000}"/>
    <cellStyle name="20% - Accent1 4 2 2 2 3 4" xfId="1671" xr:uid="{00000000-0005-0000-0000-000029040000}"/>
    <cellStyle name="20% - Accent1 4 2 2 2 3 5" xfId="1672" xr:uid="{00000000-0005-0000-0000-00002A040000}"/>
    <cellStyle name="20% - Accent1 4 2 2 2 3 6" xfId="1673" xr:uid="{00000000-0005-0000-0000-00002B040000}"/>
    <cellStyle name="20% - Accent1 4 2 2 2 3 7" xfId="1674" xr:uid="{00000000-0005-0000-0000-00002C040000}"/>
    <cellStyle name="20% - Accent1 4 2 2 2 4" xfId="1675" xr:uid="{00000000-0005-0000-0000-00002D040000}"/>
    <cellStyle name="20% - Accent1 4 2 2 2 4 2" xfId="1676" xr:uid="{00000000-0005-0000-0000-00002E040000}"/>
    <cellStyle name="20% - Accent1 4 2 2 2 4 2 2" xfId="1677" xr:uid="{00000000-0005-0000-0000-00002F040000}"/>
    <cellStyle name="20% - Accent1 4 2 2 2 4 2 3" xfId="1678" xr:uid="{00000000-0005-0000-0000-000030040000}"/>
    <cellStyle name="20% - Accent1 4 2 2 2 4 3" xfId="1679" xr:uid="{00000000-0005-0000-0000-000031040000}"/>
    <cellStyle name="20% - Accent1 4 2 2 2 4 4" xfId="1680" xr:uid="{00000000-0005-0000-0000-000032040000}"/>
    <cellStyle name="20% - Accent1 4 2 2 2 4 5" xfId="1681" xr:uid="{00000000-0005-0000-0000-000033040000}"/>
    <cellStyle name="20% - Accent1 4 2 2 2 4 6" xfId="1682" xr:uid="{00000000-0005-0000-0000-000034040000}"/>
    <cellStyle name="20% - Accent1 4 2 2 2 5" xfId="1683" xr:uid="{00000000-0005-0000-0000-000035040000}"/>
    <cellStyle name="20% - Accent1 4 2 2 2 5 2" xfId="1684" xr:uid="{00000000-0005-0000-0000-000036040000}"/>
    <cellStyle name="20% - Accent1 4 2 2 2 5 2 2" xfId="1685" xr:uid="{00000000-0005-0000-0000-000037040000}"/>
    <cellStyle name="20% - Accent1 4 2 2 2 5 2 3" xfId="1686" xr:uid="{00000000-0005-0000-0000-000038040000}"/>
    <cellStyle name="20% - Accent1 4 2 2 2 5 3" xfId="1687" xr:uid="{00000000-0005-0000-0000-000039040000}"/>
    <cellStyle name="20% - Accent1 4 2 2 2 5 4" xfId="1688" xr:uid="{00000000-0005-0000-0000-00003A040000}"/>
    <cellStyle name="20% - Accent1 4 2 2 2 5 5" xfId="1689" xr:uid="{00000000-0005-0000-0000-00003B040000}"/>
    <cellStyle name="20% - Accent1 4 2 2 2 5 6" xfId="1690" xr:uid="{00000000-0005-0000-0000-00003C040000}"/>
    <cellStyle name="20% - Accent1 4 2 2 2 6" xfId="1691" xr:uid="{00000000-0005-0000-0000-00003D040000}"/>
    <cellStyle name="20% - Accent1 4 2 2 2 6 2" xfId="1692" xr:uid="{00000000-0005-0000-0000-00003E040000}"/>
    <cellStyle name="20% - Accent1 4 2 2 2 6 3" xfId="1693" xr:uid="{00000000-0005-0000-0000-00003F040000}"/>
    <cellStyle name="20% - Accent1 4 2 2 2 7" xfId="1694" xr:uid="{00000000-0005-0000-0000-000040040000}"/>
    <cellStyle name="20% - Accent1 4 2 2 2 8" xfId="1695" xr:uid="{00000000-0005-0000-0000-000041040000}"/>
    <cellStyle name="20% - Accent1 4 2 2 2 9" xfId="1696" xr:uid="{00000000-0005-0000-0000-000042040000}"/>
    <cellStyle name="20% - Accent1 4 2 2 3" xfId="1697" xr:uid="{00000000-0005-0000-0000-000043040000}"/>
    <cellStyle name="20% - Accent1 4 2 2 3 2" xfId="1698" xr:uid="{00000000-0005-0000-0000-000044040000}"/>
    <cellStyle name="20% - Accent1 4 2 2 3 2 2" xfId="1699" xr:uid="{00000000-0005-0000-0000-000045040000}"/>
    <cellStyle name="20% - Accent1 4 2 2 3 2 2 2" xfId="1700" xr:uid="{00000000-0005-0000-0000-000046040000}"/>
    <cellStyle name="20% - Accent1 4 2 2 3 2 2 2 2" xfId="1701" xr:uid="{00000000-0005-0000-0000-000047040000}"/>
    <cellStyle name="20% - Accent1 4 2 2 3 2 2 2 3" xfId="1702" xr:uid="{00000000-0005-0000-0000-000048040000}"/>
    <cellStyle name="20% - Accent1 4 2 2 3 2 2 3" xfId="1703" xr:uid="{00000000-0005-0000-0000-000049040000}"/>
    <cellStyle name="20% - Accent1 4 2 2 3 2 2 4" xfId="1704" xr:uid="{00000000-0005-0000-0000-00004A040000}"/>
    <cellStyle name="20% - Accent1 4 2 2 3 2 2 5" xfId="1705" xr:uid="{00000000-0005-0000-0000-00004B040000}"/>
    <cellStyle name="20% - Accent1 4 2 2 3 2 2 6" xfId="1706" xr:uid="{00000000-0005-0000-0000-00004C040000}"/>
    <cellStyle name="20% - Accent1 4 2 2 3 2 3" xfId="1707" xr:uid="{00000000-0005-0000-0000-00004D040000}"/>
    <cellStyle name="20% - Accent1 4 2 2 3 2 3 2" xfId="1708" xr:uid="{00000000-0005-0000-0000-00004E040000}"/>
    <cellStyle name="20% - Accent1 4 2 2 3 2 3 3" xfId="1709" xr:uid="{00000000-0005-0000-0000-00004F040000}"/>
    <cellStyle name="20% - Accent1 4 2 2 3 2 4" xfId="1710" xr:uid="{00000000-0005-0000-0000-000050040000}"/>
    <cellStyle name="20% - Accent1 4 2 2 3 2 5" xfId="1711" xr:uid="{00000000-0005-0000-0000-000051040000}"/>
    <cellStyle name="20% - Accent1 4 2 2 3 2 6" xfId="1712" xr:uid="{00000000-0005-0000-0000-000052040000}"/>
    <cellStyle name="20% - Accent1 4 2 2 3 2 7" xfId="1713" xr:uid="{00000000-0005-0000-0000-000053040000}"/>
    <cellStyle name="20% - Accent1 4 2 2 3 3" xfId="1714" xr:uid="{00000000-0005-0000-0000-000054040000}"/>
    <cellStyle name="20% - Accent1 4 2 2 3 3 2" xfId="1715" xr:uid="{00000000-0005-0000-0000-000055040000}"/>
    <cellStyle name="20% - Accent1 4 2 2 3 3 2 2" xfId="1716" xr:uid="{00000000-0005-0000-0000-000056040000}"/>
    <cellStyle name="20% - Accent1 4 2 2 3 3 2 3" xfId="1717" xr:uid="{00000000-0005-0000-0000-000057040000}"/>
    <cellStyle name="20% - Accent1 4 2 2 3 3 3" xfId="1718" xr:uid="{00000000-0005-0000-0000-000058040000}"/>
    <cellStyle name="20% - Accent1 4 2 2 3 3 4" xfId="1719" xr:uid="{00000000-0005-0000-0000-000059040000}"/>
    <cellStyle name="20% - Accent1 4 2 2 3 3 5" xfId="1720" xr:uid="{00000000-0005-0000-0000-00005A040000}"/>
    <cellStyle name="20% - Accent1 4 2 2 3 3 6" xfId="1721" xr:uid="{00000000-0005-0000-0000-00005B040000}"/>
    <cellStyle name="20% - Accent1 4 2 2 3 4" xfId="1722" xr:uid="{00000000-0005-0000-0000-00005C040000}"/>
    <cellStyle name="20% - Accent1 4 2 2 3 4 2" xfId="1723" xr:uid="{00000000-0005-0000-0000-00005D040000}"/>
    <cellStyle name="20% - Accent1 4 2 2 3 4 2 2" xfId="1724" xr:uid="{00000000-0005-0000-0000-00005E040000}"/>
    <cellStyle name="20% - Accent1 4 2 2 3 4 2 3" xfId="1725" xr:uid="{00000000-0005-0000-0000-00005F040000}"/>
    <cellStyle name="20% - Accent1 4 2 2 3 4 3" xfId="1726" xr:uid="{00000000-0005-0000-0000-000060040000}"/>
    <cellStyle name="20% - Accent1 4 2 2 3 4 4" xfId="1727" xr:uid="{00000000-0005-0000-0000-000061040000}"/>
    <cellStyle name="20% - Accent1 4 2 2 3 4 5" xfId="1728" xr:uid="{00000000-0005-0000-0000-000062040000}"/>
    <cellStyle name="20% - Accent1 4 2 2 3 4 6" xfId="1729" xr:uid="{00000000-0005-0000-0000-000063040000}"/>
    <cellStyle name="20% - Accent1 4 2 2 3 5" xfId="1730" xr:uid="{00000000-0005-0000-0000-000064040000}"/>
    <cellStyle name="20% - Accent1 4 2 2 3 5 2" xfId="1731" xr:uid="{00000000-0005-0000-0000-000065040000}"/>
    <cellStyle name="20% - Accent1 4 2 2 3 5 3" xfId="1732" xr:uid="{00000000-0005-0000-0000-000066040000}"/>
    <cellStyle name="20% - Accent1 4 2 2 3 6" xfId="1733" xr:uid="{00000000-0005-0000-0000-000067040000}"/>
    <cellStyle name="20% - Accent1 4 2 2 3 7" xfId="1734" xr:uid="{00000000-0005-0000-0000-000068040000}"/>
    <cellStyle name="20% - Accent1 4 2 2 3 8" xfId="1735" xr:uid="{00000000-0005-0000-0000-000069040000}"/>
    <cellStyle name="20% - Accent1 4 2 2 3 9" xfId="1736" xr:uid="{00000000-0005-0000-0000-00006A040000}"/>
    <cellStyle name="20% - Accent1 4 2 2 4" xfId="1737" xr:uid="{00000000-0005-0000-0000-00006B040000}"/>
    <cellStyle name="20% - Accent1 4 2 2 4 2" xfId="1738" xr:uid="{00000000-0005-0000-0000-00006C040000}"/>
    <cellStyle name="20% - Accent1 4 2 2 4 2 2" xfId="1739" xr:uid="{00000000-0005-0000-0000-00006D040000}"/>
    <cellStyle name="20% - Accent1 4 2 2 4 2 2 2" xfId="1740" xr:uid="{00000000-0005-0000-0000-00006E040000}"/>
    <cellStyle name="20% - Accent1 4 2 2 4 2 2 3" xfId="1741" xr:uid="{00000000-0005-0000-0000-00006F040000}"/>
    <cellStyle name="20% - Accent1 4 2 2 4 2 3" xfId="1742" xr:uid="{00000000-0005-0000-0000-000070040000}"/>
    <cellStyle name="20% - Accent1 4 2 2 4 2 4" xfId="1743" xr:uid="{00000000-0005-0000-0000-000071040000}"/>
    <cellStyle name="20% - Accent1 4 2 2 4 2 5" xfId="1744" xr:uid="{00000000-0005-0000-0000-000072040000}"/>
    <cellStyle name="20% - Accent1 4 2 2 4 2 6" xfId="1745" xr:uid="{00000000-0005-0000-0000-000073040000}"/>
    <cellStyle name="20% - Accent1 4 2 2 4 3" xfId="1746" xr:uid="{00000000-0005-0000-0000-000074040000}"/>
    <cellStyle name="20% - Accent1 4 2 2 4 3 2" xfId="1747" xr:uid="{00000000-0005-0000-0000-000075040000}"/>
    <cellStyle name="20% - Accent1 4 2 2 4 3 3" xfId="1748" xr:uid="{00000000-0005-0000-0000-000076040000}"/>
    <cellStyle name="20% - Accent1 4 2 2 4 4" xfId="1749" xr:uid="{00000000-0005-0000-0000-000077040000}"/>
    <cellStyle name="20% - Accent1 4 2 2 4 5" xfId="1750" xr:uid="{00000000-0005-0000-0000-000078040000}"/>
    <cellStyle name="20% - Accent1 4 2 2 4 6" xfId="1751" xr:uid="{00000000-0005-0000-0000-000079040000}"/>
    <cellStyle name="20% - Accent1 4 2 2 4 7" xfId="1752" xr:uid="{00000000-0005-0000-0000-00007A040000}"/>
    <cellStyle name="20% - Accent1 4 2 2 5" xfId="1753" xr:uid="{00000000-0005-0000-0000-00007B040000}"/>
    <cellStyle name="20% - Accent1 4 2 2 5 2" xfId="1754" xr:uid="{00000000-0005-0000-0000-00007C040000}"/>
    <cellStyle name="20% - Accent1 4 2 2 5 2 2" xfId="1755" xr:uid="{00000000-0005-0000-0000-00007D040000}"/>
    <cellStyle name="20% - Accent1 4 2 2 5 2 3" xfId="1756" xr:uid="{00000000-0005-0000-0000-00007E040000}"/>
    <cellStyle name="20% - Accent1 4 2 2 5 3" xfId="1757" xr:uid="{00000000-0005-0000-0000-00007F040000}"/>
    <cellStyle name="20% - Accent1 4 2 2 5 4" xfId="1758" xr:uid="{00000000-0005-0000-0000-000080040000}"/>
    <cellStyle name="20% - Accent1 4 2 2 5 5" xfId="1759" xr:uid="{00000000-0005-0000-0000-000081040000}"/>
    <cellStyle name="20% - Accent1 4 2 2 5 6" xfId="1760" xr:uid="{00000000-0005-0000-0000-000082040000}"/>
    <cellStyle name="20% - Accent1 4 2 2 6" xfId="1761" xr:uid="{00000000-0005-0000-0000-000083040000}"/>
    <cellStyle name="20% - Accent1 4 2 2 6 2" xfId="1762" xr:uid="{00000000-0005-0000-0000-000084040000}"/>
    <cellStyle name="20% - Accent1 4 2 2 6 2 2" xfId="1763" xr:uid="{00000000-0005-0000-0000-000085040000}"/>
    <cellStyle name="20% - Accent1 4 2 2 6 2 3" xfId="1764" xr:uid="{00000000-0005-0000-0000-000086040000}"/>
    <cellStyle name="20% - Accent1 4 2 2 6 3" xfId="1765" xr:uid="{00000000-0005-0000-0000-000087040000}"/>
    <cellStyle name="20% - Accent1 4 2 2 6 4" xfId="1766" xr:uid="{00000000-0005-0000-0000-000088040000}"/>
    <cellStyle name="20% - Accent1 4 2 2 6 5" xfId="1767" xr:uid="{00000000-0005-0000-0000-000089040000}"/>
    <cellStyle name="20% - Accent1 4 2 2 6 6" xfId="1768" xr:uid="{00000000-0005-0000-0000-00008A040000}"/>
    <cellStyle name="20% - Accent1 4 2 2 7" xfId="1769" xr:uid="{00000000-0005-0000-0000-00008B040000}"/>
    <cellStyle name="20% - Accent1 4 2 2 7 2" xfId="1770" xr:uid="{00000000-0005-0000-0000-00008C040000}"/>
    <cellStyle name="20% - Accent1 4 2 2 7 2 2" xfId="1771" xr:uid="{00000000-0005-0000-0000-00008D040000}"/>
    <cellStyle name="20% - Accent1 4 2 2 7 2 3" xfId="1772" xr:uid="{00000000-0005-0000-0000-00008E040000}"/>
    <cellStyle name="20% - Accent1 4 2 2 7 3" xfId="1773" xr:uid="{00000000-0005-0000-0000-00008F040000}"/>
    <cellStyle name="20% - Accent1 4 2 2 7 4" xfId="1774" xr:uid="{00000000-0005-0000-0000-000090040000}"/>
    <cellStyle name="20% - Accent1 4 2 2 7 5" xfId="1775" xr:uid="{00000000-0005-0000-0000-000091040000}"/>
    <cellStyle name="20% - Accent1 4 2 2 7 6" xfId="1776" xr:uid="{00000000-0005-0000-0000-000092040000}"/>
    <cellStyle name="20% - Accent1 4 2 2 8" xfId="1777" xr:uid="{00000000-0005-0000-0000-000093040000}"/>
    <cellStyle name="20% - Accent1 4 2 2 8 2" xfId="1778" xr:uid="{00000000-0005-0000-0000-000094040000}"/>
    <cellStyle name="20% - Accent1 4 2 2 8 2 2" xfId="1779" xr:uid="{00000000-0005-0000-0000-000095040000}"/>
    <cellStyle name="20% - Accent1 4 2 2 8 2 3" xfId="1780" xr:uid="{00000000-0005-0000-0000-000096040000}"/>
    <cellStyle name="20% - Accent1 4 2 2 8 3" xfId="1781" xr:uid="{00000000-0005-0000-0000-000097040000}"/>
    <cellStyle name="20% - Accent1 4 2 2 8 4" xfId="1782" xr:uid="{00000000-0005-0000-0000-000098040000}"/>
    <cellStyle name="20% - Accent1 4 2 2 8 5" xfId="1783" xr:uid="{00000000-0005-0000-0000-000099040000}"/>
    <cellStyle name="20% - Accent1 4 2 2 8 6" xfId="1784" xr:uid="{00000000-0005-0000-0000-00009A040000}"/>
    <cellStyle name="20% - Accent1 4 2 2 9" xfId="1785" xr:uid="{00000000-0005-0000-0000-00009B040000}"/>
    <cellStyle name="20% - Accent1 4 2 2 9 2" xfId="1786" xr:uid="{00000000-0005-0000-0000-00009C040000}"/>
    <cellStyle name="20% - Accent1 4 2 2 9 3" xfId="1787" xr:uid="{00000000-0005-0000-0000-00009D040000}"/>
    <cellStyle name="20% - Accent1 4 2 3" xfId="1788" xr:uid="{00000000-0005-0000-0000-00009E040000}"/>
    <cellStyle name="20% - Accent1 4 2 3 10" xfId="1789" xr:uid="{00000000-0005-0000-0000-00009F040000}"/>
    <cellStyle name="20% - Accent1 4 2 3 2" xfId="1790" xr:uid="{00000000-0005-0000-0000-0000A0040000}"/>
    <cellStyle name="20% - Accent1 4 2 3 2 2" xfId="1791" xr:uid="{00000000-0005-0000-0000-0000A1040000}"/>
    <cellStyle name="20% - Accent1 4 2 3 2 2 2" xfId="1792" xr:uid="{00000000-0005-0000-0000-0000A2040000}"/>
    <cellStyle name="20% - Accent1 4 2 3 2 2 2 2" xfId="1793" xr:uid="{00000000-0005-0000-0000-0000A3040000}"/>
    <cellStyle name="20% - Accent1 4 2 3 2 2 2 3" xfId="1794" xr:uid="{00000000-0005-0000-0000-0000A4040000}"/>
    <cellStyle name="20% - Accent1 4 2 3 2 2 3" xfId="1795" xr:uid="{00000000-0005-0000-0000-0000A5040000}"/>
    <cellStyle name="20% - Accent1 4 2 3 2 2 4" xfId="1796" xr:uid="{00000000-0005-0000-0000-0000A6040000}"/>
    <cellStyle name="20% - Accent1 4 2 3 2 2 5" xfId="1797" xr:uid="{00000000-0005-0000-0000-0000A7040000}"/>
    <cellStyle name="20% - Accent1 4 2 3 2 2 6" xfId="1798" xr:uid="{00000000-0005-0000-0000-0000A8040000}"/>
    <cellStyle name="20% - Accent1 4 2 3 2 3" xfId="1799" xr:uid="{00000000-0005-0000-0000-0000A9040000}"/>
    <cellStyle name="20% - Accent1 4 2 3 2 3 2" xfId="1800" xr:uid="{00000000-0005-0000-0000-0000AA040000}"/>
    <cellStyle name="20% - Accent1 4 2 3 2 3 2 2" xfId="1801" xr:uid="{00000000-0005-0000-0000-0000AB040000}"/>
    <cellStyle name="20% - Accent1 4 2 3 2 3 2 3" xfId="1802" xr:uid="{00000000-0005-0000-0000-0000AC040000}"/>
    <cellStyle name="20% - Accent1 4 2 3 2 3 3" xfId="1803" xr:uid="{00000000-0005-0000-0000-0000AD040000}"/>
    <cellStyle name="20% - Accent1 4 2 3 2 3 4" xfId="1804" xr:uid="{00000000-0005-0000-0000-0000AE040000}"/>
    <cellStyle name="20% - Accent1 4 2 3 2 3 5" xfId="1805" xr:uid="{00000000-0005-0000-0000-0000AF040000}"/>
    <cellStyle name="20% - Accent1 4 2 3 2 3 6" xfId="1806" xr:uid="{00000000-0005-0000-0000-0000B0040000}"/>
    <cellStyle name="20% - Accent1 4 2 3 2 4" xfId="1807" xr:uid="{00000000-0005-0000-0000-0000B1040000}"/>
    <cellStyle name="20% - Accent1 4 2 3 2 4 2" xfId="1808" xr:uid="{00000000-0005-0000-0000-0000B2040000}"/>
    <cellStyle name="20% - Accent1 4 2 3 2 4 3" xfId="1809" xr:uid="{00000000-0005-0000-0000-0000B3040000}"/>
    <cellStyle name="20% - Accent1 4 2 3 2 5" xfId="1810" xr:uid="{00000000-0005-0000-0000-0000B4040000}"/>
    <cellStyle name="20% - Accent1 4 2 3 2 6" xfId="1811" xr:uid="{00000000-0005-0000-0000-0000B5040000}"/>
    <cellStyle name="20% - Accent1 4 2 3 2 7" xfId="1812" xr:uid="{00000000-0005-0000-0000-0000B6040000}"/>
    <cellStyle name="20% - Accent1 4 2 3 2 8" xfId="1813" xr:uid="{00000000-0005-0000-0000-0000B7040000}"/>
    <cellStyle name="20% - Accent1 4 2 3 3" xfId="1814" xr:uid="{00000000-0005-0000-0000-0000B8040000}"/>
    <cellStyle name="20% - Accent1 4 2 3 3 2" xfId="1815" xr:uid="{00000000-0005-0000-0000-0000B9040000}"/>
    <cellStyle name="20% - Accent1 4 2 3 3 2 2" xfId="1816" xr:uid="{00000000-0005-0000-0000-0000BA040000}"/>
    <cellStyle name="20% - Accent1 4 2 3 3 2 2 2" xfId="1817" xr:uid="{00000000-0005-0000-0000-0000BB040000}"/>
    <cellStyle name="20% - Accent1 4 2 3 3 2 2 3" xfId="1818" xr:uid="{00000000-0005-0000-0000-0000BC040000}"/>
    <cellStyle name="20% - Accent1 4 2 3 3 2 3" xfId="1819" xr:uid="{00000000-0005-0000-0000-0000BD040000}"/>
    <cellStyle name="20% - Accent1 4 2 3 3 2 4" xfId="1820" xr:uid="{00000000-0005-0000-0000-0000BE040000}"/>
    <cellStyle name="20% - Accent1 4 2 3 3 2 5" xfId="1821" xr:uid="{00000000-0005-0000-0000-0000BF040000}"/>
    <cellStyle name="20% - Accent1 4 2 3 3 2 6" xfId="1822" xr:uid="{00000000-0005-0000-0000-0000C0040000}"/>
    <cellStyle name="20% - Accent1 4 2 3 3 3" xfId="1823" xr:uid="{00000000-0005-0000-0000-0000C1040000}"/>
    <cellStyle name="20% - Accent1 4 2 3 3 3 2" xfId="1824" xr:uid="{00000000-0005-0000-0000-0000C2040000}"/>
    <cellStyle name="20% - Accent1 4 2 3 3 3 3" xfId="1825" xr:uid="{00000000-0005-0000-0000-0000C3040000}"/>
    <cellStyle name="20% - Accent1 4 2 3 3 4" xfId="1826" xr:uid="{00000000-0005-0000-0000-0000C4040000}"/>
    <cellStyle name="20% - Accent1 4 2 3 3 5" xfId="1827" xr:uid="{00000000-0005-0000-0000-0000C5040000}"/>
    <cellStyle name="20% - Accent1 4 2 3 3 6" xfId="1828" xr:uid="{00000000-0005-0000-0000-0000C6040000}"/>
    <cellStyle name="20% - Accent1 4 2 3 3 7" xfId="1829" xr:uid="{00000000-0005-0000-0000-0000C7040000}"/>
    <cellStyle name="20% - Accent1 4 2 3 4" xfId="1830" xr:uid="{00000000-0005-0000-0000-0000C8040000}"/>
    <cellStyle name="20% - Accent1 4 2 3 4 2" xfId="1831" xr:uid="{00000000-0005-0000-0000-0000C9040000}"/>
    <cellStyle name="20% - Accent1 4 2 3 4 2 2" xfId="1832" xr:uid="{00000000-0005-0000-0000-0000CA040000}"/>
    <cellStyle name="20% - Accent1 4 2 3 4 2 3" xfId="1833" xr:uid="{00000000-0005-0000-0000-0000CB040000}"/>
    <cellStyle name="20% - Accent1 4 2 3 4 3" xfId="1834" xr:uid="{00000000-0005-0000-0000-0000CC040000}"/>
    <cellStyle name="20% - Accent1 4 2 3 4 4" xfId="1835" xr:uid="{00000000-0005-0000-0000-0000CD040000}"/>
    <cellStyle name="20% - Accent1 4 2 3 4 5" xfId="1836" xr:uid="{00000000-0005-0000-0000-0000CE040000}"/>
    <cellStyle name="20% - Accent1 4 2 3 4 6" xfId="1837" xr:uid="{00000000-0005-0000-0000-0000CF040000}"/>
    <cellStyle name="20% - Accent1 4 2 3 5" xfId="1838" xr:uid="{00000000-0005-0000-0000-0000D0040000}"/>
    <cellStyle name="20% - Accent1 4 2 3 5 2" xfId="1839" xr:uid="{00000000-0005-0000-0000-0000D1040000}"/>
    <cellStyle name="20% - Accent1 4 2 3 5 2 2" xfId="1840" xr:uid="{00000000-0005-0000-0000-0000D2040000}"/>
    <cellStyle name="20% - Accent1 4 2 3 5 2 3" xfId="1841" xr:uid="{00000000-0005-0000-0000-0000D3040000}"/>
    <cellStyle name="20% - Accent1 4 2 3 5 3" xfId="1842" xr:uid="{00000000-0005-0000-0000-0000D4040000}"/>
    <cellStyle name="20% - Accent1 4 2 3 5 4" xfId="1843" xr:uid="{00000000-0005-0000-0000-0000D5040000}"/>
    <cellStyle name="20% - Accent1 4 2 3 5 5" xfId="1844" xr:uid="{00000000-0005-0000-0000-0000D6040000}"/>
    <cellStyle name="20% - Accent1 4 2 3 5 6" xfId="1845" xr:uid="{00000000-0005-0000-0000-0000D7040000}"/>
    <cellStyle name="20% - Accent1 4 2 3 6" xfId="1846" xr:uid="{00000000-0005-0000-0000-0000D8040000}"/>
    <cellStyle name="20% - Accent1 4 2 3 6 2" xfId="1847" xr:uid="{00000000-0005-0000-0000-0000D9040000}"/>
    <cellStyle name="20% - Accent1 4 2 3 6 3" xfId="1848" xr:uid="{00000000-0005-0000-0000-0000DA040000}"/>
    <cellStyle name="20% - Accent1 4 2 3 7" xfId="1849" xr:uid="{00000000-0005-0000-0000-0000DB040000}"/>
    <cellStyle name="20% - Accent1 4 2 3 8" xfId="1850" xr:uid="{00000000-0005-0000-0000-0000DC040000}"/>
    <cellStyle name="20% - Accent1 4 2 3 9" xfId="1851" xr:uid="{00000000-0005-0000-0000-0000DD040000}"/>
    <cellStyle name="20% - Accent1 4 2 4" xfId="1852" xr:uid="{00000000-0005-0000-0000-0000DE040000}"/>
    <cellStyle name="20% - Accent1 4 2 4 2" xfId="1853" xr:uid="{00000000-0005-0000-0000-0000DF040000}"/>
    <cellStyle name="20% - Accent1 4 2 4 2 2" xfId="1854" xr:uid="{00000000-0005-0000-0000-0000E0040000}"/>
    <cellStyle name="20% - Accent1 4 2 4 2 2 2" xfId="1855" xr:uid="{00000000-0005-0000-0000-0000E1040000}"/>
    <cellStyle name="20% - Accent1 4 2 4 2 2 2 2" xfId="1856" xr:uid="{00000000-0005-0000-0000-0000E2040000}"/>
    <cellStyle name="20% - Accent1 4 2 4 2 2 2 3" xfId="1857" xr:uid="{00000000-0005-0000-0000-0000E3040000}"/>
    <cellStyle name="20% - Accent1 4 2 4 2 2 3" xfId="1858" xr:uid="{00000000-0005-0000-0000-0000E4040000}"/>
    <cellStyle name="20% - Accent1 4 2 4 2 2 4" xfId="1859" xr:uid="{00000000-0005-0000-0000-0000E5040000}"/>
    <cellStyle name="20% - Accent1 4 2 4 2 2 5" xfId="1860" xr:uid="{00000000-0005-0000-0000-0000E6040000}"/>
    <cellStyle name="20% - Accent1 4 2 4 2 2 6" xfId="1861" xr:uid="{00000000-0005-0000-0000-0000E7040000}"/>
    <cellStyle name="20% - Accent1 4 2 4 2 3" xfId="1862" xr:uid="{00000000-0005-0000-0000-0000E8040000}"/>
    <cellStyle name="20% - Accent1 4 2 4 2 3 2" xfId="1863" xr:uid="{00000000-0005-0000-0000-0000E9040000}"/>
    <cellStyle name="20% - Accent1 4 2 4 2 3 3" xfId="1864" xr:uid="{00000000-0005-0000-0000-0000EA040000}"/>
    <cellStyle name="20% - Accent1 4 2 4 2 4" xfId="1865" xr:uid="{00000000-0005-0000-0000-0000EB040000}"/>
    <cellStyle name="20% - Accent1 4 2 4 2 5" xfId="1866" xr:uid="{00000000-0005-0000-0000-0000EC040000}"/>
    <cellStyle name="20% - Accent1 4 2 4 2 6" xfId="1867" xr:uid="{00000000-0005-0000-0000-0000ED040000}"/>
    <cellStyle name="20% - Accent1 4 2 4 2 7" xfId="1868" xr:uid="{00000000-0005-0000-0000-0000EE040000}"/>
    <cellStyle name="20% - Accent1 4 2 4 3" xfId="1869" xr:uid="{00000000-0005-0000-0000-0000EF040000}"/>
    <cellStyle name="20% - Accent1 4 2 4 3 2" xfId="1870" xr:uid="{00000000-0005-0000-0000-0000F0040000}"/>
    <cellStyle name="20% - Accent1 4 2 4 3 2 2" xfId="1871" xr:uid="{00000000-0005-0000-0000-0000F1040000}"/>
    <cellStyle name="20% - Accent1 4 2 4 3 2 3" xfId="1872" xr:uid="{00000000-0005-0000-0000-0000F2040000}"/>
    <cellStyle name="20% - Accent1 4 2 4 3 3" xfId="1873" xr:uid="{00000000-0005-0000-0000-0000F3040000}"/>
    <cellStyle name="20% - Accent1 4 2 4 3 4" xfId="1874" xr:uid="{00000000-0005-0000-0000-0000F4040000}"/>
    <cellStyle name="20% - Accent1 4 2 4 3 5" xfId="1875" xr:uid="{00000000-0005-0000-0000-0000F5040000}"/>
    <cellStyle name="20% - Accent1 4 2 4 3 6" xfId="1876" xr:uid="{00000000-0005-0000-0000-0000F6040000}"/>
    <cellStyle name="20% - Accent1 4 2 4 4" xfId="1877" xr:uid="{00000000-0005-0000-0000-0000F7040000}"/>
    <cellStyle name="20% - Accent1 4 2 4 4 2" xfId="1878" xr:uid="{00000000-0005-0000-0000-0000F8040000}"/>
    <cellStyle name="20% - Accent1 4 2 4 4 2 2" xfId="1879" xr:uid="{00000000-0005-0000-0000-0000F9040000}"/>
    <cellStyle name="20% - Accent1 4 2 4 4 2 3" xfId="1880" xr:uid="{00000000-0005-0000-0000-0000FA040000}"/>
    <cellStyle name="20% - Accent1 4 2 4 4 3" xfId="1881" xr:uid="{00000000-0005-0000-0000-0000FB040000}"/>
    <cellStyle name="20% - Accent1 4 2 4 4 4" xfId="1882" xr:uid="{00000000-0005-0000-0000-0000FC040000}"/>
    <cellStyle name="20% - Accent1 4 2 4 4 5" xfId="1883" xr:uid="{00000000-0005-0000-0000-0000FD040000}"/>
    <cellStyle name="20% - Accent1 4 2 4 4 6" xfId="1884" xr:uid="{00000000-0005-0000-0000-0000FE040000}"/>
    <cellStyle name="20% - Accent1 4 2 4 5" xfId="1885" xr:uid="{00000000-0005-0000-0000-0000FF040000}"/>
    <cellStyle name="20% - Accent1 4 2 4 5 2" xfId="1886" xr:uid="{00000000-0005-0000-0000-000000050000}"/>
    <cellStyle name="20% - Accent1 4 2 4 5 3" xfId="1887" xr:uid="{00000000-0005-0000-0000-000001050000}"/>
    <cellStyle name="20% - Accent1 4 2 4 6" xfId="1888" xr:uid="{00000000-0005-0000-0000-000002050000}"/>
    <cellStyle name="20% - Accent1 4 2 4 7" xfId="1889" xr:uid="{00000000-0005-0000-0000-000003050000}"/>
    <cellStyle name="20% - Accent1 4 2 4 8" xfId="1890" xr:uid="{00000000-0005-0000-0000-000004050000}"/>
    <cellStyle name="20% - Accent1 4 2 4 9" xfId="1891" xr:uid="{00000000-0005-0000-0000-000005050000}"/>
    <cellStyle name="20% - Accent1 4 2 5" xfId="1892" xr:uid="{00000000-0005-0000-0000-000006050000}"/>
    <cellStyle name="20% - Accent1 4 2 5 2" xfId="1893" xr:uid="{00000000-0005-0000-0000-000007050000}"/>
    <cellStyle name="20% - Accent1 4 2 5 2 2" xfId="1894" xr:uid="{00000000-0005-0000-0000-000008050000}"/>
    <cellStyle name="20% - Accent1 4 2 5 2 2 2" xfId="1895" xr:uid="{00000000-0005-0000-0000-000009050000}"/>
    <cellStyle name="20% - Accent1 4 2 5 2 2 3" xfId="1896" xr:uid="{00000000-0005-0000-0000-00000A050000}"/>
    <cellStyle name="20% - Accent1 4 2 5 2 3" xfId="1897" xr:uid="{00000000-0005-0000-0000-00000B050000}"/>
    <cellStyle name="20% - Accent1 4 2 5 2 4" xfId="1898" xr:uid="{00000000-0005-0000-0000-00000C050000}"/>
    <cellStyle name="20% - Accent1 4 2 5 2 5" xfId="1899" xr:uid="{00000000-0005-0000-0000-00000D050000}"/>
    <cellStyle name="20% - Accent1 4 2 5 2 6" xfId="1900" xr:uid="{00000000-0005-0000-0000-00000E050000}"/>
    <cellStyle name="20% - Accent1 4 2 5 3" xfId="1901" xr:uid="{00000000-0005-0000-0000-00000F050000}"/>
    <cellStyle name="20% - Accent1 4 2 5 3 2" xfId="1902" xr:uid="{00000000-0005-0000-0000-000010050000}"/>
    <cellStyle name="20% - Accent1 4 2 5 3 3" xfId="1903" xr:uid="{00000000-0005-0000-0000-000011050000}"/>
    <cellStyle name="20% - Accent1 4 2 5 4" xfId="1904" xr:uid="{00000000-0005-0000-0000-000012050000}"/>
    <cellStyle name="20% - Accent1 4 2 5 5" xfId="1905" xr:uid="{00000000-0005-0000-0000-000013050000}"/>
    <cellStyle name="20% - Accent1 4 2 5 6" xfId="1906" xr:uid="{00000000-0005-0000-0000-000014050000}"/>
    <cellStyle name="20% - Accent1 4 2 5 7" xfId="1907" xr:uid="{00000000-0005-0000-0000-000015050000}"/>
    <cellStyle name="20% - Accent1 4 2 6" xfId="1908" xr:uid="{00000000-0005-0000-0000-000016050000}"/>
    <cellStyle name="20% - Accent1 4 2 6 2" xfId="1909" xr:uid="{00000000-0005-0000-0000-000017050000}"/>
    <cellStyle name="20% - Accent1 4 2 6 2 2" xfId="1910" xr:uid="{00000000-0005-0000-0000-000018050000}"/>
    <cellStyle name="20% - Accent1 4 2 6 2 3" xfId="1911" xr:uid="{00000000-0005-0000-0000-000019050000}"/>
    <cellStyle name="20% - Accent1 4 2 6 3" xfId="1912" xr:uid="{00000000-0005-0000-0000-00001A050000}"/>
    <cellStyle name="20% - Accent1 4 2 6 4" xfId="1913" xr:uid="{00000000-0005-0000-0000-00001B050000}"/>
    <cellStyle name="20% - Accent1 4 2 6 5" xfId="1914" xr:uid="{00000000-0005-0000-0000-00001C050000}"/>
    <cellStyle name="20% - Accent1 4 2 6 6" xfId="1915" xr:uid="{00000000-0005-0000-0000-00001D050000}"/>
    <cellStyle name="20% - Accent1 4 2 7" xfId="1916" xr:uid="{00000000-0005-0000-0000-00001E050000}"/>
    <cellStyle name="20% - Accent1 4 2 7 2" xfId="1917" xr:uid="{00000000-0005-0000-0000-00001F050000}"/>
    <cellStyle name="20% - Accent1 4 2 7 2 2" xfId="1918" xr:uid="{00000000-0005-0000-0000-000020050000}"/>
    <cellStyle name="20% - Accent1 4 2 7 2 3" xfId="1919" xr:uid="{00000000-0005-0000-0000-000021050000}"/>
    <cellStyle name="20% - Accent1 4 2 7 3" xfId="1920" xr:uid="{00000000-0005-0000-0000-000022050000}"/>
    <cellStyle name="20% - Accent1 4 2 7 4" xfId="1921" xr:uid="{00000000-0005-0000-0000-000023050000}"/>
    <cellStyle name="20% - Accent1 4 2 7 5" xfId="1922" xr:uid="{00000000-0005-0000-0000-000024050000}"/>
    <cellStyle name="20% - Accent1 4 2 7 6" xfId="1923" xr:uid="{00000000-0005-0000-0000-000025050000}"/>
    <cellStyle name="20% - Accent1 4 2 8" xfId="1924" xr:uid="{00000000-0005-0000-0000-000026050000}"/>
    <cellStyle name="20% - Accent1 4 2 8 2" xfId="1925" xr:uid="{00000000-0005-0000-0000-000027050000}"/>
    <cellStyle name="20% - Accent1 4 2 8 2 2" xfId="1926" xr:uid="{00000000-0005-0000-0000-000028050000}"/>
    <cellStyle name="20% - Accent1 4 2 8 2 3" xfId="1927" xr:uid="{00000000-0005-0000-0000-000029050000}"/>
    <cellStyle name="20% - Accent1 4 2 8 3" xfId="1928" xr:uid="{00000000-0005-0000-0000-00002A050000}"/>
    <cellStyle name="20% - Accent1 4 2 8 4" xfId="1929" xr:uid="{00000000-0005-0000-0000-00002B050000}"/>
    <cellStyle name="20% - Accent1 4 2 8 5" xfId="1930" xr:uid="{00000000-0005-0000-0000-00002C050000}"/>
    <cellStyle name="20% - Accent1 4 2 8 6" xfId="1931" xr:uid="{00000000-0005-0000-0000-00002D050000}"/>
    <cellStyle name="20% - Accent1 4 2 9" xfId="1932" xr:uid="{00000000-0005-0000-0000-00002E050000}"/>
    <cellStyle name="20% - Accent1 4 2 9 2" xfId="1933" xr:uid="{00000000-0005-0000-0000-00002F050000}"/>
    <cellStyle name="20% - Accent1 4 2 9 2 2" xfId="1934" xr:uid="{00000000-0005-0000-0000-000030050000}"/>
    <cellStyle name="20% - Accent1 4 2 9 2 3" xfId="1935" xr:uid="{00000000-0005-0000-0000-000031050000}"/>
    <cellStyle name="20% - Accent1 4 2 9 3" xfId="1936" xr:uid="{00000000-0005-0000-0000-000032050000}"/>
    <cellStyle name="20% - Accent1 4 2 9 4" xfId="1937" xr:uid="{00000000-0005-0000-0000-000033050000}"/>
    <cellStyle name="20% - Accent1 4 2 9 5" xfId="1938" xr:uid="{00000000-0005-0000-0000-000034050000}"/>
    <cellStyle name="20% - Accent1 4 2 9 6" xfId="1939" xr:uid="{00000000-0005-0000-0000-000035050000}"/>
    <cellStyle name="20% - Accent1 4 3" xfId="1940" xr:uid="{00000000-0005-0000-0000-000036050000}"/>
    <cellStyle name="20% - Accent1 4 3 10" xfId="1941" xr:uid="{00000000-0005-0000-0000-000037050000}"/>
    <cellStyle name="20% - Accent1 4 3 11" xfId="1942" xr:uid="{00000000-0005-0000-0000-000038050000}"/>
    <cellStyle name="20% - Accent1 4 3 12" xfId="1943" xr:uid="{00000000-0005-0000-0000-000039050000}"/>
    <cellStyle name="20% - Accent1 4 3 13" xfId="1944" xr:uid="{00000000-0005-0000-0000-00003A050000}"/>
    <cellStyle name="20% - Accent1 4 3 2" xfId="1945" xr:uid="{00000000-0005-0000-0000-00003B050000}"/>
    <cellStyle name="20% - Accent1 4 3 2 10" xfId="1946" xr:uid="{00000000-0005-0000-0000-00003C050000}"/>
    <cellStyle name="20% - Accent1 4 3 2 2" xfId="1947" xr:uid="{00000000-0005-0000-0000-00003D050000}"/>
    <cellStyle name="20% - Accent1 4 3 2 2 2" xfId="1948" xr:uid="{00000000-0005-0000-0000-00003E050000}"/>
    <cellStyle name="20% - Accent1 4 3 2 2 2 2" xfId="1949" xr:uid="{00000000-0005-0000-0000-00003F050000}"/>
    <cellStyle name="20% - Accent1 4 3 2 2 2 2 2" xfId="1950" xr:uid="{00000000-0005-0000-0000-000040050000}"/>
    <cellStyle name="20% - Accent1 4 3 2 2 2 2 3" xfId="1951" xr:uid="{00000000-0005-0000-0000-000041050000}"/>
    <cellStyle name="20% - Accent1 4 3 2 2 2 3" xfId="1952" xr:uid="{00000000-0005-0000-0000-000042050000}"/>
    <cellStyle name="20% - Accent1 4 3 2 2 2 4" xfId="1953" xr:uid="{00000000-0005-0000-0000-000043050000}"/>
    <cellStyle name="20% - Accent1 4 3 2 2 2 5" xfId="1954" xr:uid="{00000000-0005-0000-0000-000044050000}"/>
    <cellStyle name="20% - Accent1 4 3 2 2 2 6" xfId="1955" xr:uid="{00000000-0005-0000-0000-000045050000}"/>
    <cellStyle name="20% - Accent1 4 3 2 2 3" xfId="1956" xr:uid="{00000000-0005-0000-0000-000046050000}"/>
    <cellStyle name="20% - Accent1 4 3 2 2 3 2" xfId="1957" xr:uid="{00000000-0005-0000-0000-000047050000}"/>
    <cellStyle name="20% - Accent1 4 3 2 2 3 2 2" xfId="1958" xr:uid="{00000000-0005-0000-0000-000048050000}"/>
    <cellStyle name="20% - Accent1 4 3 2 2 3 2 3" xfId="1959" xr:uid="{00000000-0005-0000-0000-000049050000}"/>
    <cellStyle name="20% - Accent1 4 3 2 2 3 3" xfId="1960" xr:uid="{00000000-0005-0000-0000-00004A050000}"/>
    <cellStyle name="20% - Accent1 4 3 2 2 3 4" xfId="1961" xr:uid="{00000000-0005-0000-0000-00004B050000}"/>
    <cellStyle name="20% - Accent1 4 3 2 2 3 5" xfId="1962" xr:uid="{00000000-0005-0000-0000-00004C050000}"/>
    <cellStyle name="20% - Accent1 4 3 2 2 3 6" xfId="1963" xr:uid="{00000000-0005-0000-0000-00004D050000}"/>
    <cellStyle name="20% - Accent1 4 3 2 2 4" xfId="1964" xr:uid="{00000000-0005-0000-0000-00004E050000}"/>
    <cellStyle name="20% - Accent1 4 3 2 2 4 2" xfId="1965" xr:uid="{00000000-0005-0000-0000-00004F050000}"/>
    <cellStyle name="20% - Accent1 4 3 2 2 4 3" xfId="1966" xr:uid="{00000000-0005-0000-0000-000050050000}"/>
    <cellStyle name="20% - Accent1 4 3 2 2 5" xfId="1967" xr:uid="{00000000-0005-0000-0000-000051050000}"/>
    <cellStyle name="20% - Accent1 4 3 2 2 6" xfId="1968" xr:uid="{00000000-0005-0000-0000-000052050000}"/>
    <cellStyle name="20% - Accent1 4 3 2 2 7" xfId="1969" xr:uid="{00000000-0005-0000-0000-000053050000}"/>
    <cellStyle name="20% - Accent1 4 3 2 2 8" xfId="1970" xr:uid="{00000000-0005-0000-0000-000054050000}"/>
    <cellStyle name="20% - Accent1 4 3 2 3" xfId="1971" xr:uid="{00000000-0005-0000-0000-000055050000}"/>
    <cellStyle name="20% - Accent1 4 3 2 3 2" xfId="1972" xr:uid="{00000000-0005-0000-0000-000056050000}"/>
    <cellStyle name="20% - Accent1 4 3 2 3 2 2" xfId="1973" xr:uid="{00000000-0005-0000-0000-000057050000}"/>
    <cellStyle name="20% - Accent1 4 3 2 3 2 2 2" xfId="1974" xr:uid="{00000000-0005-0000-0000-000058050000}"/>
    <cellStyle name="20% - Accent1 4 3 2 3 2 2 3" xfId="1975" xr:uid="{00000000-0005-0000-0000-000059050000}"/>
    <cellStyle name="20% - Accent1 4 3 2 3 2 3" xfId="1976" xr:uid="{00000000-0005-0000-0000-00005A050000}"/>
    <cellStyle name="20% - Accent1 4 3 2 3 2 4" xfId="1977" xr:uid="{00000000-0005-0000-0000-00005B050000}"/>
    <cellStyle name="20% - Accent1 4 3 2 3 2 5" xfId="1978" xr:uid="{00000000-0005-0000-0000-00005C050000}"/>
    <cellStyle name="20% - Accent1 4 3 2 3 2 6" xfId="1979" xr:uid="{00000000-0005-0000-0000-00005D050000}"/>
    <cellStyle name="20% - Accent1 4 3 2 3 3" xfId="1980" xr:uid="{00000000-0005-0000-0000-00005E050000}"/>
    <cellStyle name="20% - Accent1 4 3 2 3 3 2" xfId="1981" xr:uid="{00000000-0005-0000-0000-00005F050000}"/>
    <cellStyle name="20% - Accent1 4 3 2 3 3 3" xfId="1982" xr:uid="{00000000-0005-0000-0000-000060050000}"/>
    <cellStyle name="20% - Accent1 4 3 2 3 4" xfId="1983" xr:uid="{00000000-0005-0000-0000-000061050000}"/>
    <cellStyle name="20% - Accent1 4 3 2 3 5" xfId="1984" xr:uid="{00000000-0005-0000-0000-000062050000}"/>
    <cellStyle name="20% - Accent1 4 3 2 3 6" xfId="1985" xr:uid="{00000000-0005-0000-0000-000063050000}"/>
    <cellStyle name="20% - Accent1 4 3 2 3 7" xfId="1986" xr:uid="{00000000-0005-0000-0000-000064050000}"/>
    <cellStyle name="20% - Accent1 4 3 2 4" xfId="1987" xr:uid="{00000000-0005-0000-0000-000065050000}"/>
    <cellStyle name="20% - Accent1 4 3 2 4 2" xfId="1988" xr:uid="{00000000-0005-0000-0000-000066050000}"/>
    <cellStyle name="20% - Accent1 4 3 2 4 2 2" xfId="1989" xr:uid="{00000000-0005-0000-0000-000067050000}"/>
    <cellStyle name="20% - Accent1 4 3 2 4 2 3" xfId="1990" xr:uid="{00000000-0005-0000-0000-000068050000}"/>
    <cellStyle name="20% - Accent1 4 3 2 4 3" xfId="1991" xr:uid="{00000000-0005-0000-0000-000069050000}"/>
    <cellStyle name="20% - Accent1 4 3 2 4 4" xfId="1992" xr:uid="{00000000-0005-0000-0000-00006A050000}"/>
    <cellStyle name="20% - Accent1 4 3 2 4 5" xfId="1993" xr:uid="{00000000-0005-0000-0000-00006B050000}"/>
    <cellStyle name="20% - Accent1 4 3 2 4 6" xfId="1994" xr:uid="{00000000-0005-0000-0000-00006C050000}"/>
    <cellStyle name="20% - Accent1 4 3 2 5" xfId="1995" xr:uid="{00000000-0005-0000-0000-00006D050000}"/>
    <cellStyle name="20% - Accent1 4 3 2 5 2" xfId="1996" xr:uid="{00000000-0005-0000-0000-00006E050000}"/>
    <cellStyle name="20% - Accent1 4 3 2 5 2 2" xfId="1997" xr:uid="{00000000-0005-0000-0000-00006F050000}"/>
    <cellStyle name="20% - Accent1 4 3 2 5 2 3" xfId="1998" xr:uid="{00000000-0005-0000-0000-000070050000}"/>
    <cellStyle name="20% - Accent1 4 3 2 5 3" xfId="1999" xr:uid="{00000000-0005-0000-0000-000071050000}"/>
    <cellStyle name="20% - Accent1 4 3 2 5 4" xfId="2000" xr:uid="{00000000-0005-0000-0000-000072050000}"/>
    <cellStyle name="20% - Accent1 4 3 2 5 5" xfId="2001" xr:uid="{00000000-0005-0000-0000-000073050000}"/>
    <cellStyle name="20% - Accent1 4 3 2 5 6" xfId="2002" xr:uid="{00000000-0005-0000-0000-000074050000}"/>
    <cellStyle name="20% - Accent1 4 3 2 6" xfId="2003" xr:uid="{00000000-0005-0000-0000-000075050000}"/>
    <cellStyle name="20% - Accent1 4 3 2 6 2" xfId="2004" xr:uid="{00000000-0005-0000-0000-000076050000}"/>
    <cellStyle name="20% - Accent1 4 3 2 6 3" xfId="2005" xr:uid="{00000000-0005-0000-0000-000077050000}"/>
    <cellStyle name="20% - Accent1 4 3 2 7" xfId="2006" xr:uid="{00000000-0005-0000-0000-000078050000}"/>
    <cellStyle name="20% - Accent1 4 3 2 8" xfId="2007" xr:uid="{00000000-0005-0000-0000-000079050000}"/>
    <cellStyle name="20% - Accent1 4 3 2 9" xfId="2008" xr:uid="{00000000-0005-0000-0000-00007A050000}"/>
    <cellStyle name="20% - Accent1 4 3 3" xfId="2009" xr:uid="{00000000-0005-0000-0000-00007B050000}"/>
    <cellStyle name="20% - Accent1 4 3 3 2" xfId="2010" xr:uid="{00000000-0005-0000-0000-00007C050000}"/>
    <cellStyle name="20% - Accent1 4 3 3 2 2" xfId="2011" xr:uid="{00000000-0005-0000-0000-00007D050000}"/>
    <cellStyle name="20% - Accent1 4 3 3 2 2 2" xfId="2012" xr:uid="{00000000-0005-0000-0000-00007E050000}"/>
    <cellStyle name="20% - Accent1 4 3 3 2 2 2 2" xfId="2013" xr:uid="{00000000-0005-0000-0000-00007F050000}"/>
    <cellStyle name="20% - Accent1 4 3 3 2 2 2 3" xfId="2014" xr:uid="{00000000-0005-0000-0000-000080050000}"/>
    <cellStyle name="20% - Accent1 4 3 3 2 2 3" xfId="2015" xr:uid="{00000000-0005-0000-0000-000081050000}"/>
    <cellStyle name="20% - Accent1 4 3 3 2 2 4" xfId="2016" xr:uid="{00000000-0005-0000-0000-000082050000}"/>
    <cellStyle name="20% - Accent1 4 3 3 2 2 5" xfId="2017" xr:uid="{00000000-0005-0000-0000-000083050000}"/>
    <cellStyle name="20% - Accent1 4 3 3 2 2 6" xfId="2018" xr:uid="{00000000-0005-0000-0000-000084050000}"/>
    <cellStyle name="20% - Accent1 4 3 3 2 3" xfId="2019" xr:uid="{00000000-0005-0000-0000-000085050000}"/>
    <cellStyle name="20% - Accent1 4 3 3 2 3 2" xfId="2020" xr:uid="{00000000-0005-0000-0000-000086050000}"/>
    <cellStyle name="20% - Accent1 4 3 3 2 3 3" xfId="2021" xr:uid="{00000000-0005-0000-0000-000087050000}"/>
    <cellStyle name="20% - Accent1 4 3 3 2 4" xfId="2022" xr:uid="{00000000-0005-0000-0000-000088050000}"/>
    <cellStyle name="20% - Accent1 4 3 3 2 5" xfId="2023" xr:uid="{00000000-0005-0000-0000-000089050000}"/>
    <cellStyle name="20% - Accent1 4 3 3 2 6" xfId="2024" xr:uid="{00000000-0005-0000-0000-00008A050000}"/>
    <cellStyle name="20% - Accent1 4 3 3 2 7" xfId="2025" xr:uid="{00000000-0005-0000-0000-00008B050000}"/>
    <cellStyle name="20% - Accent1 4 3 3 3" xfId="2026" xr:uid="{00000000-0005-0000-0000-00008C050000}"/>
    <cellStyle name="20% - Accent1 4 3 3 3 2" xfId="2027" xr:uid="{00000000-0005-0000-0000-00008D050000}"/>
    <cellStyle name="20% - Accent1 4 3 3 3 2 2" xfId="2028" xr:uid="{00000000-0005-0000-0000-00008E050000}"/>
    <cellStyle name="20% - Accent1 4 3 3 3 2 3" xfId="2029" xr:uid="{00000000-0005-0000-0000-00008F050000}"/>
    <cellStyle name="20% - Accent1 4 3 3 3 3" xfId="2030" xr:uid="{00000000-0005-0000-0000-000090050000}"/>
    <cellStyle name="20% - Accent1 4 3 3 3 4" xfId="2031" xr:uid="{00000000-0005-0000-0000-000091050000}"/>
    <cellStyle name="20% - Accent1 4 3 3 3 5" xfId="2032" xr:uid="{00000000-0005-0000-0000-000092050000}"/>
    <cellStyle name="20% - Accent1 4 3 3 3 6" xfId="2033" xr:uid="{00000000-0005-0000-0000-000093050000}"/>
    <cellStyle name="20% - Accent1 4 3 3 4" xfId="2034" xr:uid="{00000000-0005-0000-0000-000094050000}"/>
    <cellStyle name="20% - Accent1 4 3 3 4 2" xfId="2035" xr:uid="{00000000-0005-0000-0000-000095050000}"/>
    <cellStyle name="20% - Accent1 4 3 3 4 2 2" xfId="2036" xr:uid="{00000000-0005-0000-0000-000096050000}"/>
    <cellStyle name="20% - Accent1 4 3 3 4 2 3" xfId="2037" xr:uid="{00000000-0005-0000-0000-000097050000}"/>
    <cellStyle name="20% - Accent1 4 3 3 4 3" xfId="2038" xr:uid="{00000000-0005-0000-0000-000098050000}"/>
    <cellStyle name="20% - Accent1 4 3 3 4 4" xfId="2039" xr:uid="{00000000-0005-0000-0000-000099050000}"/>
    <cellStyle name="20% - Accent1 4 3 3 4 5" xfId="2040" xr:uid="{00000000-0005-0000-0000-00009A050000}"/>
    <cellStyle name="20% - Accent1 4 3 3 4 6" xfId="2041" xr:uid="{00000000-0005-0000-0000-00009B050000}"/>
    <cellStyle name="20% - Accent1 4 3 3 5" xfId="2042" xr:uid="{00000000-0005-0000-0000-00009C050000}"/>
    <cellStyle name="20% - Accent1 4 3 3 5 2" xfId="2043" xr:uid="{00000000-0005-0000-0000-00009D050000}"/>
    <cellStyle name="20% - Accent1 4 3 3 5 3" xfId="2044" xr:uid="{00000000-0005-0000-0000-00009E050000}"/>
    <cellStyle name="20% - Accent1 4 3 3 6" xfId="2045" xr:uid="{00000000-0005-0000-0000-00009F050000}"/>
    <cellStyle name="20% - Accent1 4 3 3 7" xfId="2046" xr:uid="{00000000-0005-0000-0000-0000A0050000}"/>
    <cellStyle name="20% - Accent1 4 3 3 8" xfId="2047" xr:uid="{00000000-0005-0000-0000-0000A1050000}"/>
    <cellStyle name="20% - Accent1 4 3 3 9" xfId="2048" xr:uid="{00000000-0005-0000-0000-0000A2050000}"/>
    <cellStyle name="20% - Accent1 4 3 4" xfId="2049" xr:uid="{00000000-0005-0000-0000-0000A3050000}"/>
    <cellStyle name="20% - Accent1 4 3 4 2" xfId="2050" xr:uid="{00000000-0005-0000-0000-0000A4050000}"/>
    <cellStyle name="20% - Accent1 4 3 4 2 2" xfId="2051" xr:uid="{00000000-0005-0000-0000-0000A5050000}"/>
    <cellStyle name="20% - Accent1 4 3 4 2 2 2" xfId="2052" xr:uid="{00000000-0005-0000-0000-0000A6050000}"/>
    <cellStyle name="20% - Accent1 4 3 4 2 2 3" xfId="2053" xr:uid="{00000000-0005-0000-0000-0000A7050000}"/>
    <cellStyle name="20% - Accent1 4 3 4 2 3" xfId="2054" xr:uid="{00000000-0005-0000-0000-0000A8050000}"/>
    <cellStyle name="20% - Accent1 4 3 4 2 4" xfId="2055" xr:uid="{00000000-0005-0000-0000-0000A9050000}"/>
    <cellStyle name="20% - Accent1 4 3 4 2 5" xfId="2056" xr:uid="{00000000-0005-0000-0000-0000AA050000}"/>
    <cellStyle name="20% - Accent1 4 3 4 2 6" xfId="2057" xr:uid="{00000000-0005-0000-0000-0000AB050000}"/>
    <cellStyle name="20% - Accent1 4 3 4 3" xfId="2058" xr:uid="{00000000-0005-0000-0000-0000AC050000}"/>
    <cellStyle name="20% - Accent1 4 3 4 3 2" xfId="2059" xr:uid="{00000000-0005-0000-0000-0000AD050000}"/>
    <cellStyle name="20% - Accent1 4 3 4 3 3" xfId="2060" xr:uid="{00000000-0005-0000-0000-0000AE050000}"/>
    <cellStyle name="20% - Accent1 4 3 4 4" xfId="2061" xr:uid="{00000000-0005-0000-0000-0000AF050000}"/>
    <cellStyle name="20% - Accent1 4 3 4 5" xfId="2062" xr:uid="{00000000-0005-0000-0000-0000B0050000}"/>
    <cellStyle name="20% - Accent1 4 3 4 6" xfId="2063" xr:uid="{00000000-0005-0000-0000-0000B1050000}"/>
    <cellStyle name="20% - Accent1 4 3 4 7" xfId="2064" xr:uid="{00000000-0005-0000-0000-0000B2050000}"/>
    <cellStyle name="20% - Accent1 4 3 5" xfId="2065" xr:uid="{00000000-0005-0000-0000-0000B3050000}"/>
    <cellStyle name="20% - Accent1 4 3 5 2" xfId="2066" xr:uid="{00000000-0005-0000-0000-0000B4050000}"/>
    <cellStyle name="20% - Accent1 4 3 5 2 2" xfId="2067" xr:uid="{00000000-0005-0000-0000-0000B5050000}"/>
    <cellStyle name="20% - Accent1 4 3 5 2 3" xfId="2068" xr:uid="{00000000-0005-0000-0000-0000B6050000}"/>
    <cellStyle name="20% - Accent1 4 3 5 3" xfId="2069" xr:uid="{00000000-0005-0000-0000-0000B7050000}"/>
    <cellStyle name="20% - Accent1 4 3 5 4" xfId="2070" xr:uid="{00000000-0005-0000-0000-0000B8050000}"/>
    <cellStyle name="20% - Accent1 4 3 5 5" xfId="2071" xr:uid="{00000000-0005-0000-0000-0000B9050000}"/>
    <cellStyle name="20% - Accent1 4 3 5 6" xfId="2072" xr:uid="{00000000-0005-0000-0000-0000BA050000}"/>
    <cellStyle name="20% - Accent1 4 3 6" xfId="2073" xr:uid="{00000000-0005-0000-0000-0000BB050000}"/>
    <cellStyle name="20% - Accent1 4 3 6 2" xfId="2074" xr:uid="{00000000-0005-0000-0000-0000BC050000}"/>
    <cellStyle name="20% - Accent1 4 3 6 2 2" xfId="2075" xr:uid="{00000000-0005-0000-0000-0000BD050000}"/>
    <cellStyle name="20% - Accent1 4 3 6 2 3" xfId="2076" xr:uid="{00000000-0005-0000-0000-0000BE050000}"/>
    <cellStyle name="20% - Accent1 4 3 6 3" xfId="2077" xr:uid="{00000000-0005-0000-0000-0000BF050000}"/>
    <cellStyle name="20% - Accent1 4 3 6 4" xfId="2078" xr:uid="{00000000-0005-0000-0000-0000C0050000}"/>
    <cellStyle name="20% - Accent1 4 3 6 5" xfId="2079" xr:uid="{00000000-0005-0000-0000-0000C1050000}"/>
    <cellStyle name="20% - Accent1 4 3 6 6" xfId="2080" xr:uid="{00000000-0005-0000-0000-0000C2050000}"/>
    <cellStyle name="20% - Accent1 4 3 7" xfId="2081" xr:uid="{00000000-0005-0000-0000-0000C3050000}"/>
    <cellStyle name="20% - Accent1 4 3 7 2" xfId="2082" xr:uid="{00000000-0005-0000-0000-0000C4050000}"/>
    <cellStyle name="20% - Accent1 4 3 7 2 2" xfId="2083" xr:uid="{00000000-0005-0000-0000-0000C5050000}"/>
    <cellStyle name="20% - Accent1 4 3 7 2 3" xfId="2084" xr:uid="{00000000-0005-0000-0000-0000C6050000}"/>
    <cellStyle name="20% - Accent1 4 3 7 3" xfId="2085" xr:uid="{00000000-0005-0000-0000-0000C7050000}"/>
    <cellStyle name="20% - Accent1 4 3 7 4" xfId="2086" xr:uid="{00000000-0005-0000-0000-0000C8050000}"/>
    <cellStyle name="20% - Accent1 4 3 7 5" xfId="2087" xr:uid="{00000000-0005-0000-0000-0000C9050000}"/>
    <cellStyle name="20% - Accent1 4 3 7 6" xfId="2088" xr:uid="{00000000-0005-0000-0000-0000CA050000}"/>
    <cellStyle name="20% - Accent1 4 3 8" xfId="2089" xr:uid="{00000000-0005-0000-0000-0000CB050000}"/>
    <cellStyle name="20% - Accent1 4 3 8 2" xfId="2090" xr:uid="{00000000-0005-0000-0000-0000CC050000}"/>
    <cellStyle name="20% - Accent1 4 3 8 2 2" xfId="2091" xr:uid="{00000000-0005-0000-0000-0000CD050000}"/>
    <cellStyle name="20% - Accent1 4 3 8 2 3" xfId="2092" xr:uid="{00000000-0005-0000-0000-0000CE050000}"/>
    <cellStyle name="20% - Accent1 4 3 8 3" xfId="2093" xr:uid="{00000000-0005-0000-0000-0000CF050000}"/>
    <cellStyle name="20% - Accent1 4 3 8 4" xfId="2094" xr:uid="{00000000-0005-0000-0000-0000D0050000}"/>
    <cellStyle name="20% - Accent1 4 3 8 5" xfId="2095" xr:uid="{00000000-0005-0000-0000-0000D1050000}"/>
    <cellStyle name="20% - Accent1 4 3 8 6" xfId="2096" xr:uid="{00000000-0005-0000-0000-0000D2050000}"/>
    <cellStyle name="20% - Accent1 4 3 9" xfId="2097" xr:uid="{00000000-0005-0000-0000-0000D3050000}"/>
    <cellStyle name="20% - Accent1 4 3 9 2" xfId="2098" xr:uid="{00000000-0005-0000-0000-0000D4050000}"/>
    <cellStyle name="20% - Accent1 4 3 9 3" xfId="2099" xr:uid="{00000000-0005-0000-0000-0000D5050000}"/>
    <cellStyle name="20% - Accent1 4 4" xfId="2100" xr:uid="{00000000-0005-0000-0000-0000D6050000}"/>
    <cellStyle name="20% - Accent1 4 4 10" xfId="2101" xr:uid="{00000000-0005-0000-0000-0000D7050000}"/>
    <cellStyle name="20% - Accent1 4 4 2" xfId="2102" xr:uid="{00000000-0005-0000-0000-0000D8050000}"/>
    <cellStyle name="20% - Accent1 4 4 2 2" xfId="2103" xr:uid="{00000000-0005-0000-0000-0000D9050000}"/>
    <cellStyle name="20% - Accent1 4 4 2 2 2" xfId="2104" xr:uid="{00000000-0005-0000-0000-0000DA050000}"/>
    <cellStyle name="20% - Accent1 4 4 2 2 2 2" xfId="2105" xr:uid="{00000000-0005-0000-0000-0000DB050000}"/>
    <cellStyle name="20% - Accent1 4 4 2 2 2 3" xfId="2106" xr:uid="{00000000-0005-0000-0000-0000DC050000}"/>
    <cellStyle name="20% - Accent1 4 4 2 2 3" xfId="2107" xr:uid="{00000000-0005-0000-0000-0000DD050000}"/>
    <cellStyle name="20% - Accent1 4 4 2 2 4" xfId="2108" xr:uid="{00000000-0005-0000-0000-0000DE050000}"/>
    <cellStyle name="20% - Accent1 4 4 2 2 5" xfId="2109" xr:uid="{00000000-0005-0000-0000-0000DF050000}"/>
    <cellStyle name="20% - Accent1 4 4 2 2 6" xfId="2110" xr:uid="{00000000-0005-0000-0000-0000E0050000}"/>
    <cellStyle name="20% - Accent1 4 4 2 3" xfId="2111" xr:uid="{00000000-0005-0000-0000-0000E1050000}"/>
    <cellStyle name="20% - Accent1 4 4 2 3 2" xfId="2112" xr:uid="{00000000-0005-0000-0000-0000E2050000}"/>
    <cellStyle name="20% - Accent1 4 4 2 3 2 2" xfId="2113" xr:uid="{00000000-0005-0000-0000-0000E3050000}"/>
    <cellStyle name="20% - Accent1 4 4 2 3 2 3" xfId="2114" xr:uid="{00000000-0005-0000-0000-0000E4050000}"/>
    <cellStyle name="20% - Accent1 4 4 2 3 3" xfId="2115" xr:uid="{00000000-0005-0000-0000-0000E5050000}"/>
    <cellStyle name="20% - Accent1 4 4 2 3 4" xfId="2116" xr:uid="{00000000-0005-0000-0000-0000E6050000}"/>
    <cellStyle name="20% - Accent1 4 4 2 3 5" xfId="2117" xr:uid="{00000000-0005-0000-0000-0000E7050000}"/>
    <cellStyle name="20% - Accent1 4 4 2 3 6" xfId="2118" xr:uid="{00000000-0005-0000-0000-0000E8050000}"/>
    <cellStyle name="20% - Accent1 4 4 2 4" xfId="2119" xr:uid="{00000000-0005-0000-0000-0000E9050000}"/>
    <cellStyle name="20% - Accent1 4 4 2 4 2" xfId="2120" xr:uid="{00000000-0005-0000-0000-0000EA050000}"/>
    <cellStyle name="20% - Accent1 4 4 2 4 3" xfId="2121" xr:uid="{00000000-0005-0000-0000-0000EB050000}"/>
    <cellStyle name="20% - Accent1 4 4 2 5" xfId="2122" xr:uid="{00000000-0005-0000-0000-0000EC050000}"/>
    <cellStyle name="20% - Accent1 4 4 2 6" xfId="2123" xr:uid="{00000000-0005-0000-0000-0000ED050000}"/>
    <cellStyle name="20% - Accent1 4 4 2 7" xfId="2124" xr:uid="{00000000-0005-0000-0000-0000EE050000}"/>
    <cellStyle name="20% - Accent1 4 4 2 8" xfId="2125" xr:uid="{00000000-0005-0000-0000-0000EF050000}"/>
    <cellStyle name="20% - Accent1 4 4 3" xfId="2126" xr:uid="{00000000-0005-0000-0000-0000F0050000}"/>
    <cellStyle name="20% - Accent1 4 4 3 2" xfId="2127" xr:uid="{00000000-0005-0000-0000-0000F1050000}"/>
    <cellStyle name="20% - Accent1 4 4 3 2 2" xfId="2128" xr:uid="{00000000-0005-0000-0000-0000F2050000}"/>
    <cellStyle name="20% - Accent1 4 4 3 2 2 2" xfId="2129" xr:uid="{00000000-0005-0000-0000-0000F3050000}"/>
    <cellStyle name="20% - Accent1 4 4 3 2 2 3" xfId="2130" xr:uid="{00000000-0005-0000-0000-0000F4050000}"/>
    <cellStyle name="20% - Accent1 4 4 3 2 3" xfId="2131" xr:uid="{00000000-0005-0000-0000-0000F5050000}"/>
    <cellStyle name="20% - Accent1 4 4 3 2 4" xfId="2132" xr:uid="{00000000-0005-0000-0000-0000F6050000}"/>
    <cellStyle name="20% - Accent1 4 4 3 2 5" xfId="2133" xr:uid="{00000000-0005-0000-0000-0000F7050000}"/>
    <cellStyle name="20% - Accent1 4 4 3 2 6" xfId="2134" xr:uid="{00000000-0005-0000-0000-0000F8050000}"/>
    <cellStyle name="20% - Accent1 4 4 3 3" xfId="2135" xr:uid="{00000000-0005-0000-0000-0000F9050000}"/>
    <cellStyle name="20% - Accent1 4 4 3 3 2" xfId="2136" xr:uid="{00000000-0005-0000-0000-0000FA050000}"/>
    <cellStyle name="20% - Accent1 4 4 3 3 3" xfId="2137" xr:uid="{00000000-0005-0000-0000-0000FB050000}"/>
    <cellStyle name="20% - Accent1 4 4 3 4" xfId="2138" xr:uid="{00000000-0005-0000-0000-0000FC050000}"/>
    <cellStyle name="20% - Accent1 4 4 3 5" xfId="2139" xr:uid="{00000000-0005-0000-0000-0000FD050000}"/>
    <cellStyle name="20% - Accent1 4 4 3 6" xfId="2140" xr:uid="{00000000-0005-0000-0000-0000FE050000}"/>
    <cellStyle name="20% - Accent1 4 4 3 7" xfId="2141" xr:uid="{00000000-0005-0000-0000-0000FF050000}"/>
    <cellStyle name="20% - Accent1 4 4 4" xfId="2142" xr:uid="{00000000-0005-0000-0000-000000060000}"/>
    <cellStyle name="20% - Accent1 4 4 4 2" xfId="2143" xr:uid="{00000000-0005-0000-0000-000001060000}"/>
    <cellStyle name="20% - Accent1 4 4 4 2 2" xfId="2144" xr:uid="{00000000-0005-0000-0000-000002060000}"/>
    <cellStyle name="20% - Accent1 4 4 4 2 3" xfId="2145" xr:uid="{00000000-0005-0000-0000-000003060000}"/>
    <cellStyle name="20% - Accent1 4 4 4 3" xfId="2146" xr:uid="{00000000-0005-0000-0000-000004060000}"/>
    <cellStyle name="20% - Accent1 4 4 4 4" xfId="2147" xr:uid="{00000000-0005-0000-0000-000005060000}"/>
    <cellStyle name="20% - Accent1 4 4 4 5" xfId="2148" xr:uid="{00000000-0005-0000-0000-000006060000}"/>
    <cellStyle name="20% - Accent1 4 4 4 6" xfId="2149" xr:uid="{00000000-0005-0000-0000-000007060000}"/>
    <cellStyle name="20% - Accent1 4 4 5" xfId="2150" xr:uid="{00000000-0005-0000-0000-000008060000}"/>
    <cellStyle name="20% - Accent1 4 4 5 2" xfId="2151" xr:uid="{00000000-0005-0000-0000-000009060000}"/>
    <cellStyle name="20% - Accent1 4 4 5 2 2" xfId="2152" xr:uid="{00000000-0005-0000-0000-00000A060000}"/>
    <cellStyle name="20% - Accent1 4 4 5 2 3" xfId="2153" xr:uid="{00000000-0005-0000-0000-00000B060000}"/>
    <cellStyle name="20% - Accent1 4 4 5 3" xfId="2154" xr:uid="{00000000-0005-0000-0000-00000C060000}"/>
    <cellStyle name="20% - Accent1 4 4 5 4" xfId="2155" xr:uid="{00000000-0005-0000-0000-00000D060000}"/>
    <cellStyle name="20% - Accent1 4 4 5 5" xfId="2156" xr:uid="{00000000-0005-0000-0000-00000E060000}"/>
    <cellStyle name="20% - Accent1 4 4 5 6" xfId="2157" xr:uid="{00000000-0005-0000-0000-00000F060000}"/>
    <cellStyle name="20% - Accent1 4 4 6" xfId="2158" xr:uid="{00000000-0005-0000-0000-000010060000}"/>
    <cellStyle name="20% - Accent1 4 4 6 2" xfId="2159" xr:uid="{00000000-0005-0000-0000-000011060000}"/>
    <cellStyle name="20% - Accent1 4 4 6 3" xfId="2160" xr:uid="{00000000-0005-0000-0000-000012060000}"/>
    <cellStyle name="20% - Accent1 4 4 7" xfId="2161" xr:uid="{00000000-0005-0000-0000-000013060000}"/>
    <cellStyle name="20% - Accent1 4 4 8" xfId="2162" xr:uid="{00000000-0005-0000-0000-000014060000}"/>
    <cellStyle name="20% - Accent1 4 4 9" xfId="2163" xr:uid="{00000000-0005-0000-0000-000015060000}"/>
    <cellStyle name="20% - Accent1 4 5" xfId="2164" xr:uid="{00000000-0005-0000-0000-000016060000}"/>
    <cellStyle name="20% - Accent1 4 5 2" xfId="2165" xr:uid="{00000000-0005-0000-0000-000017060000}"/>
    <cellStyle name="20% - Accent1 4 5 2 2" xfId="2166" xr:uid="{00000000-0005-0000-0000-000018060000}"/>
    <cellStyle name="20% - Accent1 4 5 2 2 2" xfId="2167" xr:uid="{00000000-0005-0000-0000-000019060000}"/>
    <cellStyle name="20% - Accent1 4 5 2 2 2 2" xfId="2168" xr:uid="{00000000-0005-0000-0000-00001A060000}"/>
    <cellStyle name="20% - Accent1 4 5 2 2 2 3" xfId="2169" xr:uid="{00000000-0005-0000-0000-00001B060000}"/>
    <cellStyle name="20% - Accent1 4 5 2 2 3" xfId="2170" xr:uid="{00000000-0005-0000-0000-00001C060000}"/>
    <cellStyle name="20% - Accent1 4 5 2 2 4" xfId="2171" xr:uid="{00000000-0005-0000-0000-00001D060000}"/>
    <cellStyle name="20% - Accent1 4 5 2 2 5" xfId="2172" xr:uid="{00000000-0005-0000-0000-00001E060000}"/>
    <cellStyle name="20% - Accent1 4 5 2 2 6" xfId="2173" xr:uid="{00000000-0005-0000-0000-00001F060000}"/>
    <cellStyle name="20% - Accent1 4 5 2 3" xfId="2174" xr:uid="{00000000-0005-0000-0000-000020060000}"/>
    <cellStyle name="20% - Accent1 4 5 2 3 2" xfId="2175" xr:uid="{00000000-0005-0000-0000-000021060000}"/>
    <cellStyle name="20% - Accent1 4 5 2 3 3" xfId="2176" xr:uid="{00000000-0005-0000-0000-000022060000}"/>
    <cellStyle name="20% - Accent1 4 5 2 4" xfId="2177" xr:uid="{00000000-0005-0000-0000-000023060000}"/>
    <cellStyle name="20% - Accent1 4 5 2 5" xfId="2178" xr:uid="{00000000-0005-0000-0000-000024060000}"/>
    <cellStyle name="20% - Accent1 4 5 2 6" xfId="2179" xr:uid="{00000000-0005-0000-0000-000025060000}"/>
    <cellStyle name="20% - Accent1 4 5 2 7" xfId="2180" xr:uid="{00000000-0005-0000-0000-000026060000}"/>
    <cellStyle name="20% - Accent1 4 5 3" xfId="2181" xr:uid="{00000000-0005-0000-0000-000027060000}"/>
    <cellStyle name="20% - Accent1 4 5 3 2" xfId="2182" xr:uid="{00000000-0005-0000-0000-000028060000}"/>
    <cellStyle name="20% - Accent1 4 5 3 2 2" xfId="2183" xr:uid="{00000000-0005-0000-0000-000029060000}"/>
    <cellStyle name="20% - Accent1 4 5 3 2 3" xfId="2184" xr:uid="{00000000-0005-0000-0000-00002A060000}"/>
    <cellStyle name="20% - Accent1 4 5 3 3" xfId="2185" xr:uid="{00000000-0005-0000-0000-00002B060000}"/>
    <cellStyle name="20% - Accent1 4 5 3 4" xfId="2186" xr:uid="{00000000-0005-0000-0000-00002C060000}"/>
    <cellStyle name="20% - Accent1 4 5 3 5" xfId="2187" xr:uid="{00000000-0005-0000-0000-00002D060000}"/>
    <cellStyle name="20% - Accent1 4 5 3 6" xfId="2188" xr:uid="{00000000-0005-0000-0000-00002E060000}"/>
    <cellStyle name="20% - Accent1 4 5 4" xfId="2189" xr:uid="{00000000-0005-0000-0000-00002F060000}"/>
    <cellStyle name="20% - Accent1 4 5 4 2" xfId="2190" xr:uid="{00000000-0005-0000-0000-000030060000}"/>
    <cellStyle name="20% - Accent1 4 5 4 2 2" xfId="2191" xr:uid="{00000000-0005-0000-0000-000031060000}"/>
    <cellStyle name="20% - Accent1 4 5 4 2 3" xfId="2192" xr:uid="{00000000-0005-0000-0000-000032060000}"/>
    <cellStyle name="20% - Accent1 4 5 4 3" xfId="2193" xr:uid="{00000000-0005-0000-0000-000033060000}"/>
    <cellStyle name="20% - Accent1 4 5 4 4" xfId="2194" xr:uid="{00000000-0005-0000-0000-000034060000}"/>
    <cellStyle name="20% - Accent1 4 5 4 5" xfId="2195" xr:uid="{00000000-0005-0000-0000-000035060000}"/>
    <cellStyle name="20% - Accent1 4 5 4 6" xfId="2196" xr:uid="{00000000-0005-0000-0000-000036060000}"/>
    <cellStyle name="20% - Accent1 4 5 5" xfId="2197" xr:uid="{00000000-0005-0000-0000-000037060000}"/>
    <cellStyle name="20% - Accent1 4 5 5 2" xfId="2198" xr:uid="{00000000-0005-0000-0000-000038060000}"/>
    <cellStyle name="20% - Accent1 4 5 5 3" xfId="2199" xr:uid="{00000000-0005-0000-0000-000039060000}"/>
    <cellStyle name="20% - Accent1 4 5 6" xfId="2200" xr:uid="{00000000-0005-0000-0000-00003A060000}"/>
    <cellStyle name="20% - Accent1 4 5 7" xfId="2201" xr:uid="{00000000-0005-0000-0000-00003B060000}"/>
    <cellStyle name="20% - Accent1 4 5 8" xfId="2202" xr:uid="{00000000-0005-0000-0000-00003C060000}"/>
    <cellStyle name="20% - Accent1 4 5 9" xfId="2203" xr:uid="{00000000-0005-0000-0000-00003D060000}"/>
    <cellStyle name="20% - Accent1 4 6" xfId="2204" xr:uid="{00000000-0005-0000-0000-00003E060000}"/>
    <cellStyle name="20% - Accent1 4 6 2" xfId="2205" xr:uid="{00000000-0005-0000-0000-00003F060000}"/>
    <cellStyle name="20% - Accent1 4 6 2 2" xfId="2206" xr:uid="{00000000-0005-0000-0000-000040060000}"/>
    <cellStyle name="20% - Accent1 4 6 2 2 2" xfId="2207" xr:uid="{00000000-0005-0000-0000-000041060000}"/>
    <cellStyle name="20% - Accent1 4 6 2 2 3" xfId="2208" xr:uid="{00000000-0005-0000-0000-000042060000}"/>
    <cellStyle name="20% - Accent1 4 6 2 3" xfId="2209" xr:uid="{00000000-0005-0000-0000-000043060000}"/>
    <cellStyle name="20% - Accent1 4 6 2 4" xfId="2210" xr:uid="{00000000-0005-0000-0000-000044060000}"/>
    <cellStyle name="20% - Accent1 4 6 2 5" xfId="2211" xr:uid="{00000000-0005-0000-0000-000045060000}"/>
    <cellStyle name="20% - Accent1 4 6 2 6" xfId="2212" xr:uid="{00000000-0005-0000-0000-000046060000}"/>
    <cellStyle name="20% - Accent1 4 6 3" xfId="2213" xr:uid="{00000000-0005-0000-0000-000047060000}"/>
    <cellStyle name="20% - Accent1 4 6 3 2" xfId="2214" xr:uid="{00000000-0005-0000-0000-000048060000}"/>
    <cellStyle name="20% - Accent1 4 6 3 3" xfId="2215" xr:uid="{00000000-0005-0000-0000-000049060000}"/>
    <cellStyle name="20% - Accent1 4 6 4" xfId="2216" xr:uid="{00000000-0005-0000-0000-00004A060000}"/>
    <cellStyle name="20% - Accent1 4 6 5" xfId="2217" xr:uid="{00000000-0005-0000-0000-00004B060000}"/>
    <cellStyle name="20% - Accent1 4 6 6" xfId="2218" xr:uid="{00000000-0005-0000-0000-00004C060000}"/>
    <cellStyle name="20% - Accent1 4 6 7" xfId="2219" xr:uid="{00000000-0005-0000-0000-00004D060000}"/>
    <cellStyle name="20% - Accent1 4 7" xfId="2220" xr:uid="{00000000-0005-0000-0000-00004E060000}"/>
    <cellStyle name="20% - Accent1 4 7 2" xfId="2221" xr:uid="{00000000-0005-0000-0000-00004F060000}"/>
    <cellStyle name="20% - Accent1 4 7 2 2" xfId="2222" xr:uid="{00000000-0005-0000-0000-000050060000}"/>
    <cellStyle name="20% - Accent1 4 7 2 3" xfId="2223" xr:uid="{00000000-0005-0000-0000-000051060000}"/>
    <cellStyle name="20% - Accent1 4 7 3" xfId="2224" xr:uid="{00000000-0005-0000-0000-000052060000}"/>
    <cellStyle name="20% - Accent1 4 7 4" xfId="2225" xr:uid="{00000000-0005-0000-0000-000053060000}"/>
    <cellStyle name="20% - Accent1 4 7 5" xfId="2226" xr:uid="{00000000-0005-0000-0000-000054060000}"/>
    <cellStyle name="20% - Accent1 4 7 6" xfId="2227" xr:uid="{00000000-0005-0000-0000-000055060000}"/>
    <cellStyle name="20% - Accent1 4 8" xfId="2228" xr:uid="{00000000-0005-0000-0000-000056060000}"/>
    <cellStyle name="20% - Accent1 4 8 2" xfId="2229" xr:uid="{00000000-0005-0000-0000-000057060000}"/>
    <cellStyle name="20% - Accent1 4 8 2 2" xfId="2230" xr:uid="{00000000-0005-0000-0000-000058060000}"/>
    <cellStyle name="20% - Accent1 4 8 2 3" xfId="2231" xr:uid="{00000000-0005-0000-0000-000059060000}"/>
    <cellStyle name="20% - Accent1 4 8 3" xfId="2232" xr:uid="{00000000-0005-0000-0000-00005A060000}"/>
    <cellStyle name="20% - Accent1 4 8 4" xfId="2233" xr:uid="{00000000-0005-0000-0000-00005B060000}"/>
    <cellStyle name="20% - Accent1 4 8 5" xfId="2234" xr:uid="{00000000-0005-0000-0000-00005C060000}"/>
    <cellStyle name="20% - Accent1 4 8 6" xfId="2235" xr:uid="{00000000-0005-0000-0000-00005D060000}"/>
    <cellStyle name="20% - Accent1 4 9" xfId="2236" xr:uid="{00000000-0005-0000-0000-00005E060000}"/>
    <cellStyle name="20% - Accent1 4 9 2" xfId="2237" xr:uid="{00000000-0005-0000-0000-00005F060000}"/>
    <cellStyle name="20% - Accent1 4 9 2 2" xfId="2238" xr:uid="{00000000-0005-0000-0000-000060060000}"/>
    <cellStyle name="20% - Accent1 4 9 2 3" xfId="2239" xr:uid="{00000000-0005-0000-0000-000061060000}"/>
    <cellStyle name="20% - Accent1 4 9 3" xfId="2240" xr:uid="{00000000-0005-0000-0000-000062060000}"/>
    <cellStyle name="20% - Accent1 4 9 4" xfId="2241" xr:uid="{00000000-0005-0000-0000-000063060000}"/>
    <cellStyle name="20% - Accent1 4 9 5" xfId="2242" xr:uid="{00000000-0005-0000-0000-000064060000}"/>
    <cellStyle name="20% - Accent1 4 9 6" xfId="2243" xr:uid="{00000000-0005-0000-0000-000065060000}"/>
    <cellStyle name="20% - Accent1 5" xfId="2244" xr:uid="{00000000-0005-0000-0000-000066060000}"/>
    <cellStyle name="20% - Accent1 5 10" xfId="2245" xr:uid="{00000000-0005-0000-0000-000067060000}"/>
    <cellStyle name="20% - Accent1 5 11" xfId="2246" xr:uid="{00000000-0005-0000-0000-000068060000}"/>
    <cellStyle name="20% - Accent1 5 12" xfId="2247" xr:uid="{00000000-0005-0000-0000-000069060000}"/>
    <cellStyle name="20% - Accent1 5 13" xfId="2248" xr:uid="{00000000-0005-0000-0000-00006A060000}"/>
    <cellStyle name="20% - Accent1 5 2" xfId="2249" xr:uid="{00000000-0005-0000-0000-00006B060000}"/>
    <cellStyle name="20% - Accent1 5 2 10" xfId="2250" xr:uid="{00000000-0005-0000-0000-00006C060000}"/>
    <cellStyle name="20% - Accent1 5 2 2" xfId="2251" xr:uid="{00000000-0005-0000-0000-00006D060000}"/>
    <cellStyle name="20% - Accent1 5 2 2 2" xfId="2252" xr:uid="{00000000-0005-0000-0000-00006E060000}"/>
    <cellStyle name="20% - Accent1 5 2 2 2 2" xfId="2253" xr:uid="{00000000-0005-0000-0000-00006F060000}"/>
    <cellStyle name="20% - Accent1 5 2 2 2 2 2" xfId="2254" xr:uid="{00000000-0005-0000-0000-000070060000}"/>
    <cellStyle name="20% - Accent1 5 2 2 2 2 3" xfId="2255" xr:uid="{00000000-0005-0000-0000-000071060000}"/>
    <cellStyle name="20% - Accent1 5 2 2 2 3" xfId="2256" xr:uid="{00000000-0005-0000-0000-000072060000}"/>
    <cellStyle name="20% - Accent1 5 2 2 2 4" xfId="2257" xr:uid="{00000000-0005-0000-0000-000073060000}"/>
    <cellStyle name="20% - Accent1 5 2 2 2 5" xfId="2258" xr:uid="{00000000-0005-0000-0000-000074060000}"/>
    <cellStyle name="20% - Accent1 5 2 2 2 6" xfId="2259" xr:uid="{00000000-0005-0000-0000-000075060000}"/>
    <cellStyle name="20% - Accent1 5 2 2 3" xfId="2260" xr:uid="{00000000-0005-0000-0000-000076060000}"/>
    <cellStyle name="20% - Accent1 5 2 2 3 2" xfId="2261" xr:uid="{00000000-0005-0000-0000-000077060000}"/>
    <cellStyle name="20% - Accent1 5 2 2 3 2 2" xfId="2262" xr:uid="{00000000-0005-0000-0000-000078060000}"/>
    <cellStyle name="20% - Accent1 5 2 2 3 2 3" xfId="2263" xr:uid="{00000000-0005-0000-0000-000079060000}"/>
    <cellStyle name="20% - Accent1 5 2 2 3 3" xfId="2264" xr:uid="{00000000-0005-0000-0000-00007A060000}"/>
    <cellStyle name="20% - Accent1 5 2 2 3 4" xfId="2265" xr:uid="{00000000-0005-0000-0000-00007B060000}"/>
    <cellStyle name="20% - Accent1 5 2 2 3 5" xfId="2266" xr:uid="{00000000-0005-0000-0000-00007C060000}"/>
    <cellStyle name="20% - Accent1 5 2 2 3 6" xfId="2267" xr:uid="{00000000-0005-0000-0000-00007D060000}"/>
    <cellStyle name="20% - Accent1 5 2 2 4" xfId="2268" xr:uid="{00000000-0005-0000-0000-00007E060000}"/>
    <cellStyle name="20% - Accent1 5 2 2 4 2" xfId="2269" xr:uid="{00000000-0005-0000-0000-00007F060000}"/>
    <cellStyle name="20% - Accent1 5 2 2 4 3" xfId="2270" xr:uid="{00000000-0005-0000-0000-000080060000}"/>
    <cellStyle name="20% - Accent1 5 2 2 5" xfId="2271" xr:uid="{00000000-0005-0000-0000-000081060000}"/>
    <cellStyle name="20% - Accent1 5 2 2 6" xfId="2272" xr:uid="{00000000-0005-0000-0000-000082060000}"/>
    <cellStyle name="20% - Accent1 5 2 2 7" xfId="2273" xr:uid="{00000000-0005-0000-0000-000083060000}"/>
    <cellStyle name="20% - Accent1 5 2 2 8" xfId="2274" xr:uid="{00000000-0005-0000-0000-000084060000}"/>
    <cellStyle name="20% - Accent1 5 2 3" xfId="2275" xr:uid="{00000000-0005-0000-0000-000085060000}"/>
    <cellStyle name="20% - Accent1 5 2 3 2" xfId="2276" xr:uid="{00000000-0005-0000-0000-000086060000}"/>
    <cellStyle name="20% - Accent1 5 2 3 2 2" xfId="2277" xr:uid="{00000000-0005-0000-0000-000087060000}"/>
    <cellStyle name="20% - Accent1 5 2 3 2 2 2" xfId="2278" xr:uid="{00000000-0005-0000-0000-000088060000}"/>
    <cellStyle name="20% - Accent1 5 2 3 2 2 3" xfId="2279" xr:uid="{00000000-0005-0000-0000-000089060000}"/>
    <cellStyle name="20% - Accent1 5 2 3 2 3" xfId="2280" xr:uid="{00000000-0005-0000-0000-00008A060000}"/>
    <cellStyle name="20% - Accent1 5 2 3 2 4" xfId="2281" xr:uid="{00000000-0005-0000-0000-00008B060000}"/>
    <cellStyle name="20% - Accent1 5 2 3 2 5" xfId="2282" xr:uid="{00000000-0005-0000-0000-00008C060000}"/>
    <cellStyle name="20% - Accent1 5 2 3 2 6" xfId="2283" xr:uid="{00000000-0005-0000-0000-00008D060000}"/>
    <cellStyle name="20% - Accent1 5 2 3 3" xfId="2284" xr:uid="{00000000-0005-0000-0000-00008E060000}"/>
    <cellStyle name="20% - Accent1 5 2 3 3 2" xfId="2285" xr:uid="{00000000-0005-0000-0000-00008F060000}"/>
    <cellStyle name="20% - Accent1 5 2 3 3 3" xfId="2286" xr:uid="{00000000-0005-0000-0000-000090060000}"/>
    <cellStyle name="20% - Accent1 5 2 3 4" xfId="2287" xr:uid="{00000000-0005-0000-0000-000091060000}"/>
    <cellStyle name="20% - Accent1 5 2 3 5" xfId="2288" xr:uid="{00000000-0005-0000-0000-000092060000}"/>
    <cellStyle name="20% - Accent1 5 2 3 6" xfId="2289" xr:uid="{00000000-0005-0000-0000-000093060000}"/>
    <cellStyle name="20% - Accent1 5 2 3 7" xfId="2290" xr:uid="{00000000-0005-0000-0000-000094060000}"/>
    <cellStyle name="20% - Accent1 5 2 4" xfId="2291" xr:uid="{00000000-0005-0000-0000-000095060000}"/>
    <cellStyle name="20% - Accent1 5 2 4 2" xfId="2292" xr:uid="{00000000-0005-0000-0000-000096060000}"/>
    <cellStyle name="20% - Accent1 5 2 4 2 2" xfId="2293" xr:uid="{00000000-0005-0000-0000-000097060000}"/>
    <cellStyle name="20% - Accent1 5 2 4 2 3" xfId="2294" xr:uid="{00000000-0005-0000-0000-000098060000}"/>
    <cellStyle name="20% - Accent1 5 2 4 3" xfId="2295" xr:uid="{00000000-0005-0000-0000-000099060000}"/>
    <cellStyle name="20% - Accent1 5 2 4 4" xfId="2296" xr:uid="{00000000-0005-0000-0000-00009A060000}"/>
    <cellStyle name="20% - Accent1 5 2 4 5" xfId="2297" xr:uid="{00000000-0005-0000-0000-00009B060000}"/>
    <cellStyle name="20% - Accent1 5 2 4 6" xfId="2298" xr:uid="{00000000-0005-0000-0000-00009C060000}"/>
    <cellStyle name="20% - Accent1 5 2 5" xfId="2299" xr:uid="{00000000-0005-0000-0000-00009D060000}"/>
    <cellStyle name="20% - Accent1 5 2 5 2" xfId="2300" xr:uid="{00000000-0005-0000-0000-00009E060000}"/>
    <cellStyle name="20% - Accent1 5 2 5 2 2" xfId="2301" xr:uid="{00000000-0005-0000-0000-00009F060000}"/>
    <cellStyle name="20% - Accent1 5 2 5 2 3" xfId="2302" xr:uid="{00000000-0005-0000-0000-0000A0060000}"/>
    <cellStyle name="20% - Accent1 5 2 5 3" xfId="2303" xr:uid="{00000000-0005-0000-0000-0000A1060000}"/>
    <cellStyle name="20% - Accent1 5 2 5 4" xfId="2304" xr:uid="{00000000-0005-0000-0000-0000A2060000}"/>
    <cellStyle name="20% - Accent1 5 2 5 5" xfId="2305" xr:uid="{00000000-0005-0000-0000-0000A3060000}"/>
    <cellStyle name="20% - Accent1 5 2 5 6" xfId="2306" xr:uid="{00000000-0005-0000-0000-0000A4060000}"/>
    <cellStyle name="20% - Accent1 5 2 6" xfId="2307" xr:uid="{00000000-0005-0000-0000-0000A5060000}"/>
    <cellStyle name="20% - Accent1 5 2 6 2" xfId="2308" xr:uid="{00000000-0005-0000-0000-0000A6060000}"/>
    <cellStyle name="20% - Accent1 5 2 6 3" xfId="2309" xr:uid="{00000000-0005-0000-0000-0000A7060000}"/>
    <cellStyle name="20% - Accent1 5 2 7" xfId="2310" xr:uid="{00000000-0005-0000-0000-0000A8060000}"/>
    <cellStyle name="20% - Accent1 5 2 8" xfId="2311" xr:uid="{00000000-0005-0000-0000-0000A9060000}"/>
    <cellStyle name="20% - Accent1 5 2 9" xfId="2312" xr:uid="{00000000-0005-0000-0000-0000AA060000}"/>
    <cellStyle name="20% - Accent1 5 3" xfId="2313" xr:uid="{00000000-0005-0000-0000-0000AB060000}"/>
    <cellStyle name="20% - Accent1 5 3 2" xfId="2314" xr:uid="{00000000-0005-0000-0000-0000AC060000}"/>
    <cellStyle name="20% - Accent1 5 3 2 2" xfId="2315" xr:uid="{00000000-0005-0000-0000-0000AD060000}"/>
    <cellStyle name="20% - Accent1 5 3 2 2 2" xfId="2316" xr:uid="{00000000-0005-0000-0000-0000AE060000}"/>
    <cellStyle name="20% - Accent1 5 3 2 2 2 2" xfId="2317" xr:uid="{00000000-0005-0000-0000-0000AF060000}"/>
    <cellStyle name="20% - Accent1 5 3 2 2 2 3" xfId="2318" xr:uid="{00000000-0005-0000-0000-0000B0060000}"/>
    <cellStyle name="20% - Accent1 5 3 2 2 3" xfId="2319" xr:uid="{00000000-0005-0000-0000-0000B1060000}"/>
    <cellStyle name="20% - Accent1 5 3 2 2 4" xfId="2320" xr:uid="{00000000-0005-0000-0000-0000B2060000}"/>
    <cellStyle name="20% - Accent1 5 3 2 2 5" xfId="2321" xr:uid="{00000000-0005-0000-0000-0000B3060000}"/>
    <cellStyle name="20% - Accent1 5 3 2 2 6" xfId="2322" xr:uid="{00000000-0005-0000-0000-0000B4060000}"/>
    <cellStyle name="20% - Accent1 5 3 2 3" xfId="2323" xr:uid="{00000000-0005-0000-0000-0000B5060000}"/>
    <cellStyle name="20% - Accent1 5 3 2 3 2" xfId="2324" xr:uid="{00000000-0005-0000-0000-0000B6060000}"/>
    <cellStyle name="20% - Accent1 5 3 2 3 3" xfId="2325" xr:uid="{00000000-0005-0000-0000-0000B7060000}"/>
    <cellStyle name="20% - Accent1 5 3 2 4" xfId="2326" xr:uid="{00000000-0005-0000-0000-0000B8060000}"/>
    <cellStyle name="20% - Accent1 5 3 2 5" xfId="2327" xr:uid="{00000000-0005-0000-0000-0000B9060000}"/>
    <cellStyle name="20% - Accent1 5 3 2 6" xfId="2328" xr:uid="{00000000-0005-0000-0000-0000BA060000}"/>
    <cellStyle name="20% - Accent1 5 3 2 7" xfId="2329" xr:uid="{00000000-0005-0000-0000-0000BB060000}"/>
    <cellStyle name="20% - Accent1 5 3 3" xfId="2330" xr:uid="{00000000-0005-0000-0000-0000BC060000}"/>
    <cellStyle name="20% - Accent1 5 3 3 2" xfId="2331" xr:uid="{00000000-0005-0000-0000-0000BD060000}"/>
    <cellStyle name="20% - Accent1 5 3 3 2 2" xfId="2332" xr:uid="{00000000-0005-0000-0000-0000BE060000}"/>
    <cellStyle name="20% - Accent1 5 3 3 2 3" xfId="2333" xr:uid="{00000000-0005-0000-0000-0000BF060000}"/>
    <cellStyle name="20% - Accent1 5 3 3 3" xfId="2334" xr:uid="{00000000-0005-0000-0000-0000C0060000}"/>
    <cellStyle name="20% - Accent1 5 3 3 4" xfId="2335" xr:uid="{00000000-0005-0000-0000-0000C1060000}"/>
    <cellStyle name="20% - Accent1 5 3 3 5" xfId="2336" xr:uid="{00000000-0005-0000-0000-0000C2060000}"/>
    <cellStyle name="20% - Accent1 5 3 3 6" xfId="2337" xr:uid="{00000000-0005-0000-0000-0000C3060000}"/>
    <cellStyle name="20% - Accent1 5 3 4" xfId="2338" xr:uid="{00000000-0005-0000-0000-0000C4060000}"/>
    <cellStyle name="20% - Accent1 5 3 4 2" xfId="2339" xr:uid="{00000000-0005-0000-0000-0000C5060000}"/>
    <cellStyle name="20% - Accent1 5 3 4 2 2" xfId="2340" xr:uid="{00000000-0005-0000-0000-0000C6060000}"/>
    <cellStyle name="20% - Accent1 5 3 4 2 3" xfId="2341" xr:uid="{00000000-0005-0000-0000-0000C7060000}"/>
    <cellStyle name="20% - Accent1 5 3 4 3" xfId="2342" xr:uid="{00000000-0005-0000-0000-0000C8060000}"/>
    <cellStyle name="20% - Accent1 5 3 4 4" xfId="2343" xr:uid="{00000000-0005-0000-0000-0000C9060000}"/>
    <cellStyle name="20% - Accent1 5 3 4 5" xfId="2344" xr:uid="{00000000-0005-0000-0000-0000CA060000}"/>
    <cellStyle name="20% - Accent1 5 3 4 6" xfId="2345" xr:uid="{00000000-0005-0000-0000-0000CB060000}"/>
    <cellStyle name="20% - Accent1 5 3 5" xfId="2346" xr:uid="{00000000-0005-0000-0000-0000CC060000}"/>
    <cellStyle name="20% - Accent1 5 3 5 2" xfId="2347" xr:uid="{00000000-0005-0000-0000-0000CD060000}"/>
    <cellStyle name="20% - Accent1 5 3 5 3" xfId="2348" xr:uid="{00000000-0005-0000-0000-0000CE060000}"/>
    <cellStyle name="20% - Accent1 5 3 6" xfId="2349" xr:uid="{00000000-0005-0000-0000-0000CF060000}"/>
    <cellStyle name="20% - Accent1 5 3 7" xfId="2350" xr:uid="{00000000-0005-0000-0000-0000D0060000}"/>
    <cellStyle name="20% - Accent1 5 3 8" xfId="2351" xr:uid="{00000000-0005-0000-0000-0000D1060000}"/>
    <cellStyle name="20% - Accent1 5 3 9" xfId="2352" xr:uid="{00000000-0005-0000-0000-0000D2060000}"/>
    <cellStyle name="20% - Accent1 5 4" xfId="2353" xr:uid="{00000000-0005-0000-0000-0000D3060000}"/>
    <cellStyle name="20% - Accent1 5 4 2" xfId="2354" xr:uid="{00000000-0005-0000-0000-0000D4060000}"/>
    <cellStyle name="20% - Accent1 5 4 2 2" xfId="2355" xr:uid="{00000000-0005-0000-0000-0000D5060000}"/>
    <cellStyle name="20% - Accent1 5 4 2 2 2" xfId="2356" xr:uid="{00000000-0005-0000-0000-0000D6060000}"/>
    <cellStyle name="20% - Accent1 5 4 2 2 3" xfId="2357" xr:uid="{00000000-0005-0000-0000-0000D7060000}"/>
    <cellStyle name="20% - Accent1 5 4 2 3" xfId="2358" xr:uid="{00000000-0005-0000-0000-0000D8060000}"/>
    <cellStyle name="20% - Accent1 5 4 2 4" xfId="2359" xr:uid="{00000000-0005-0000-0000-0000D9060000}"/>
    <cellStyle name="20% - Accent1 5 4 2 5" xfId="2360" xr:uid="{00000000-0005-0000-0000-0000DA060000}"/>
    <cellStyle name="20% - Accent1 5 4 2 6" xfId="2361" xr:uid="{00000000-0005-0000-0000-0000DB060000}"/>
    <cellStyle name="20% - Accent1 5 4 3" xfId="2362" xr:uid="{00000000-0005-0000-0000-0000DC060000}"/>
    <cellStyle name="20% - Accent1 5 4 3 2" xfId="2363" xr:uid="{00000000-0005-0000-0000-0000DD060000}"/>
    <cellStyle name="20% - Accent1 5 4 3 3" xfId="2364" xr:uid="{00000000-0005-0000-0000-0000DE060000}"/>
    <cellStyle name="20% - Accent1 5 4 4" xfId="2365" xr:uid="{00000000-0005-0000-0000-0000DF060000}"/>
    <cellStyle name="20% - Accent1 5 4 5" xfId="2366" xr:uid="{00000000-0005-0000-0000-0000E0060000}"/>
    <cellStyle name="20% - Accent1 5 4 6" xfId="2367" xr:uid="{00000000-0005-0000-0000-0000E1060000}"/>
    <cellStyle name="20% - Accent1 5 4 7" xfId="2368" xr:uid="{00000000-0005-0000-0000-0000E2060000}"/>
    <cellStyle name="20% - Accent1 5 5" xfId="2369" xr:uid="{00000000-0005-0000-0000-0000E3060000}"/>
    <cellStyle name="20% - Accent1 5 5 2" xfId="2370" xr:uid="{00000000-0005-0000-0000-0000E4060000}"/>
    <cellStyle name="20% - Accent1 5 5 2 2" xfId="2371" xr:uid="{00000000-0005-0000-0000-0000E5060000}"/>
    <cellStyle name="20% - Accent1 5 5 2 3" xfId="2372" xr:uid="{00000000-0005-0000-0000-0000E6060000}"/>
    <cellStyle name="20% - Accent1 5 5 3" xfId="2373" xr:uid="{00000000-0005-0000-0000-0000E7060000}"/>
    <cellStyle name="20% - Accent1 5 5 4" xfId="2374" xr:uid="{00000000-0005-0000-0000-0000E8060000}"/>
    <cellStyle name="20% - Accent1 5 5 5" xfId="2375" xr:uid="{00000000-0005-0000-0000-0000E9060000}"/>
    <cellStyle name="20% - Accent1 5 5 6" xfId="2376" xr:uid="{00000000-0005-0000-0000-0000EA060000}"/>
    <cellStyle name="20% - Accent1 5 6" xfId="2377" xr:uid="{00000000-0005-0000-0000-0000EB060000}"/>
    <cellStyle name="20% - Accent1 5 6 2" xfId="2378" xr:uid="{00000000-0005-0000-0000-0000EC060000}"/>
    <cellStyle name="20% - Accent1 5 6 2 2" xfId="2379" xr:uid="{00000000-0005-0000-0000-0000ED060000}"/>
    <cellStyle name="20% - Accent1 5 6 2 3" xfId="2380" xr:uid="{00000000-0005-0000-0000-0000EE060000}"/>
    <cellStyle name="20% - Accent1 5 6 3" xfId="2381" xr:uid="{00000000-0005-0000-0000-0000EF060000}"/>
    <cellStyle name="20% - Accent1 5 6 4" xfId="2382" xr:uid="{00000000-0005-0000-0000-0000F0060000}"/>
    <cellStyle name="20% - Accent1 5 6 5" xfId="2383" xr:uid="{00000000-0005-0000-0000-0000F1060000}"/>
    <cellStyle name="20% - Accent1 5 6 6" xfId="2384" xr:uid="{00000000-0005-0000-0000-0000F2060000}"/>
    <cellStyle name="20% - Accent1 5 7" xfId="2385" xr:uid="{00000000-0005-0000-0000-0000F3060000}"/>
    <cellStyle name="20% - Accent1 5 7 2" xfId="2386" xr:uid="{00000000-0005-0000-0000-0000F4060000}"/>
    <cellStyle name="20% - Accent1 5 7 2 2" xfId="2387" xr:uid="{00000000-0005-0000-0000-0000F5060000}"/>
    <cellStyle name="20% - Accent1 5 7 2 3" xfId="2388" xr:uid="{00000000-0005-0000-0000-0000F6060000}"/>
    <cellStyle name="20% - Accent1 5 7 3" xfId="2389" xr:uid="{00000000-0005-0000-0000-0000F7060000}"/>
    <cellStyle name="20% - Accent1 5 7 4" xfId="2390" xr:uid="{00000000-0005-0000-0000-0000F8060000}"/>
    <cellStyle name="20% - Accent1 5 7 5" xfId="2391" xr:uid="{00000000-0005-0000-0000-0000F9060000}"/>
    <cellStyle name="20% - Accent1 5 7 6" xfId="2392" xr:uid="{00000000-0005-0000-0000-0000FA060000}"/>
    <cellStyle name="20% - Accent1 5 8" xfId="2393" xr:uid="{00000000-0005-0000-0000-0000FB060000}"/>
    <cellStyle name="20% - Accent1 5 8 2" xfId="2394" xr:uid="{00000000-0005-0000-0000-0000FC060000}"/>
    <cellStyle name="20% - Accent1 5 8 2 2" xfId="2395" xr:uid="{00000000-0005-0000-0000-0000FD060000}"/>
    <cellStyle name="20% - Accent1 5 8 2 3" xfId="2396" xr:uid="{00000000-0005-0000-0000-0000FE060000}"/>
    <cellStyle name="20% - Accent1 5 8 3" xfId="2397" xr:uid="{00000000-0005-0000-0000-0000FF060000}"/>
    <cellStyle name="20% - Accent1 5 8 4" xfId="2398" xr:uid="{00000000-0005-0000-0000-000000070000}"/>
    <cellStyle name="20% - Accent1 5 8 5" xfId="2399" xr:uid="{00000000-0005-0000-0000-000001070000}"/>
    <cellStyle name="20% - Accent1 5 8 6" xfId="2400" xr:uid="{00000000-0005-0000-0000-000002070000}"/>
    <cellStyle name="20% - Accent1 5 9" xfId="2401" xr:uid="{00000000-0005-0000-0000-000003070000}"/>
    <cellStyle name="20% - Accent1 5 9 2" xfId="2402" xr:uid="{00000000-0005-0000-0000-000004070000}"/>
    <cellStyle name="20% - Accent1 5 9 3" xfId="2403" xr:uid="{00000000-0005-0000-0000-000005070000}"/>
    <cellStyle name="20% - Accent1 6" xfId="2404" xr:uid="{00000000-0005-0000-0000-000006070000}"/>
    <cellStyle name="20% - Accent1 6 10" xfId="2405" xr:uid="{00000000-0005-0000-0000-000007070000}"/>
    <cellStyle name="20% - Accent1 6 11" xfId="2406" xr:uid="{00000000-0005-0000-0000-000008070000}"/>
    <cellStyle name="20% - Accent1 6 2" xfId="2407" xr:uid="{00000000-0005-0000-0000-000009070000}"/>
    <cellStyle name="20% - Accent1 6 2 2" xfId="2408" xr:uid="{00000000-0005-0000-0000-00000A070000}"/>
    <cellStyle name="20% - Accent1 6 2 2 2" xfId="2409" xr:uid="{00000000-0005-0000-0000-00000B070000}"/>
    <cellStyle name="20% - Accent1 6 2 2 2 2" xfId="2410" xr:uid="{00000000-0005-0000-0000-00000C070000}"/>
    <cellStyle name="20% - Accent1 6 2 2 2 3" xfId="2411" xr:uid="{00000000-0005-0000-0000-00000D070000}"/>
    <cellStyle name="20% - Accent1 6 2 2 3" xfId="2412" xr:uid="{00000000-0005-0000-0000-00000E070000}"/>
    <cellStyle name="20% - Accent1 6 2 2 4" xfId="2413" xr:uid="{00000000-0005-0000-0000-00000F070000}"/>
    <cellStyle name="20% - Accent1 6 2 2 5" xfId="2414" xr:uid="{00000000-0005-0000-0000-000010070000}"/>
    <cellStyle name="20% - Accent1 6 2 2 6" xfId="2415" xr:uid="{00000000-0005-0000-0000-000011070000}"/>
    <cellStyle name="20% - Accent1 6 2 3" xfId="2416" xr:uid="{00000000-0005-0000-0000-000012070000}"/>
    <cellStyle name="20% - Accent1 6 2 3 2" xfId="2417" xr:uid="{00000000-0005-0000-0000-000013070000}"/>
    <cellStyle name="20% - Accent1 6 2 3 2 2" xfId="2418" xr:uid="{00000000-0005-0000-0000-000014070000}"/>
    <cellStyle name="20% - Accent1 6 2 3 2 3" xfId="2419" xr:uid="{00000000-0005-0000-0000-000015070000}"/>
    <cellStyle name="20% - Accent1 6 2 3 3" xfId="2420" xr:uid="{00000000-0005-0000-0000-000016070000}"/>
    <cellStyle name="20% - Accent1 6 2 3 4" xfId="2421" xr:uid="{00000000-0005-0000-0000-000017070000}"/>
    <cellStyle name="20% - Accent1 6 2 3 5" xfId="2422" xr:uid="{00000000-0005-0000-0000-000018070000}"/>
    <cellStyle name="20% - Accent1 6 2 3 6" xfId="2423" xr:uid="{00000000-0005-0000-0000-000019070000}"/>
    <cellStyle name="20% - Accent1 6 2 4" xfId="2424" xr:uid="{00000000-0005-0000-0000-00001A070000}"/>
    <cellStyle name="20% - Accent1 6 2 4 2" xfId="2425" xr:uid="{00000000-0005-0000-0000-00001B070000}"/>
    <cellStyle name="20% - Accent1 6 2 4 3" xfId="2426" xr:uid="{00000000-0005-0000-0000-00001C070000}"/>
    <cellStyle name="20% - Accent1 6 2 5" xfId="2427" xr:uid="{00000000-0005-0000-0000-00001D070000}"/>
    <cellStyle name="20% - Accent1 6 2 6" xfId="2428" xr:uid="{00000000-0005-0000-0000-00001E070000}"/>
    <cellStyle name="20% - Accent1 6 2 7" xfId="2429" xr:uid="{00000000-0005-0000-0000-00001F070000}"/>
    <cellStyle name="20% - Accent1 6 2 8" xfId="2430" xr:uid="{00000000-0005-0000-0000-000020070000}"/>
    <cellStyle name="20% - Accent1 6 3" xfId="2431" xr:uid="{00000000-0005-0000-0000-000021070000}"/>
    <cellStyle name="20% - Accent1 6 3 2" xfId="2432" xr:uid="{00000000-0005-0000-0000-000022070000}"/>
    <cellStyle name="20% - Accent1 6 3 2 2" xfId="2433" xr:uid="{00000000-0005-0000-0000-000023070000}"/>
    <cellStyle name="20% - Accent1 6 3 2 2 2" xfId="2434" xr:uid="{00000000-0005-0000-0000-000024070000}"/>
    <cellStyle name="20% - Accent1 6 3 2 2 3" xfId="2435" xr:uid="{00000000-0005-0000-0000-000025070000}"/>
    <cellStyle name="20% - Accent1 6 3 2 3" xfId="2436" xr:uid="{00000000-0005-0000-0000-000026070000}"/>
    <cellStyle name="20% - Accent1 6 3 2 4" xfId="2437" xr:uid="{00000000-0005-0000-0000-000027070000}"/>
    <cellStyle name="20% - Accent1 6 3 2 5" xfId="2438" xr:uid="{00000000-0005-0000-0000-000028070000}"/>
    <cellStyle name="20% - Accent1 6 3 2 6" xfId="2439" xr:uid="{00000000-0005-0000-0000-000029070000}"/>
    <cellStyle name="20% - Accent1 6 3 3" xfId="2440" xr:uid="{00000000-0005-0000-0000-00002A070000}"/>
    <cellStyle name="20% - Accent1 6 3 3 2" xfId="2441" xr:uid="{00000000-0005-0000-0000-00002B070000}"/>
    <cellStyle name="20% - Accent1 6 3 3 3" xfId="2442" xr:uid="{00000000-0005-0000-0000-00002C070000}"/>
    <cellStyle name="20% - Accent1 6 3 4" xfId="2443" xr:uid="{00000000-0005-0000-0000-00002D070000}"/>
    <cellStyle name="20% - Accent1 6 3 5" xfId="2444" xr:uid="{00000000-0005-0000-0000-00002E070000}"/>
    <cellStyle name="20% - Accent1 6 3 6" xfId="2445" xr:uid="{00000000-0005-0000-0000-00002F070000}"/>
    <cellStyle name="20% - Accent1 6 3 7" xfId="2446" xr:uid="{00000000-0005-0000-0000-000030070000}"/>
    <cellStyle name="20% - Accent1 6 4" xfId="2447" xr:uid="{00000000-0005-0000-0000-000031070000}"/>
    <cellStyle name="20% - Accent1 6 4 2" xfId="2448" xr:uid="{00000000-0005-0000-0000-000032070000}"/>
    <cellStyle name="20% - Accent1 6 4 2 2" xfId="2449" xr:uid="{00000000-0005-0000-0000-000033070000}"/>
    <cellStyle name="20% - Accent1 6 4 2 3" xfId="2450" xr:uid="{00000000-0005-0000-0000-000034070000}"/>
    <cellStyle name="20% - Accent1 6 4 3" xfId="2451" xr:uid="{00000000-0005-0000-0000-000035070000}"/>
    <cellStyle name="20% - Accent1 6 4 4" xfId="2452" xr:uid="{00000000-0005-0000-0000-000036070000}"/>
    <cellStyle name="20% - Accent1 6 4 5" xfId="2453" xr:uid="{00000000-0005-0000-0000-000037070000}"/>
    <cellStyle name="20% - Accent1 6 4 6" xfId="2454" xr:uid="{00000000-0005-0000-0000-000038070000}"/>
    <cellStyle name="20% - Accent1 6 5" xfId="2455" xr:uid="{00000000-0005-0000-0000-000039070000}"/>
    <cellStyle name="20% - Accent1 6 5 2" xfId="2456" xr:uid="{00000000-0005-0000-0000-00003A070000}"/>
    <cellStyle name="20% - Accent1 6 5 2 2" xfId="2457" xr:uid="{00000000-0005-0000-0000-00003B070000}"/>
    <cellStyle name="20% - Accent1 6 5 2 3" xfId="2458" xr:uid="{00000000-0005-0000-0000-00003C070000}"/>
    <cellStyle name="20% - Accent1 6 5 3" xfId="2459" xr:uid="{00000000-0005-0000-0000-00003D070000}"/>
    <cellStyle name="20% - Accent1 6 5 4" xfId="2460" xr:uid="{00000000-0005-0000-0000-00003E070000}"/>
    <cellStyle name="20% - Accent1 6 5 5" xfId="2461" xr:uid="{00000000-0005-0000-0000-00003F070000}"/>
    <cellStyle name="20% - Accent1 6 5 6" xfId="2462" xr:uid="{00000000-0005-0000-0000-000040070000}"/>
    <cellStyle name="20% - Accent1 6 6" xfId="2463" xr:uid="{00000000-0005-0000-0000-000041070000}"/>
    <cellStyle name="20% - Accent1 6 6 2" xfId="2464" xr:uid="{00000000-0005-0000-0000-000042070000}"/>
    <cellStyle name="20% - Accent1 6 6 2 2" xfId="2465" xr:uid="{00000000-0005-0000-0000-000043070000}"/>
    <cellStyle name="20% - Accent1 6 6 2 3" xfId="2466" xr:uid="{00000000-0005-0000-0000-000044070000}"/>
    <cellStyle name="20% - Accent1 6 6 3" xfId="2467" xr:uid="{00000000-0005-0000-0000-000045070000}"/>
    <cellStyle name="20% - Accent1 6 6 4" xfId="2468" xr:uid="{00000000-0005-0000-0000-000046070000}"/>
    <cellStyle name="20% - Accent1 6 6 5" xfId="2469" xr:uid="{00000000-0005-0000-0000-000047070000}"/>
    <cellStyle name="20% - Accent1 6 6 6" xfId="2470" xr:uid="{00000000-0005-0000-0000-000048070000}"/>
    <cellStyle name="20% - Accent1 6 7" xfId="2471" xr:uid="{00000000-0005-0000-0000-000049070000}"/>
    <cellStyle name="20% - Accent1 6 7 2" xfId="2472" xr:uid="{00000000-0005-0000-0000-00004A070000}"/>
    <cellStyle name="20% - Accent1 6 7 3" xfId="2473" xr:uid="{00000000-0005-0000-0000-00004B070000}"/>
    <cellStyle name="20% - Accent1 6 8" xfId="2474" xr:uid="{00000000-0005-0000-0000-00004C070000}"/>
    <cellStyle name="20% - Accent1 6 9" xfId="2475" xr:uid="{00000000-0005-0000-0000-00004D070000}"/>
    <cellStyle name="20% - Accent1 7" xfId="2476" xr:uid="{00000000-0005-0000-0000-00004E070000}"/>
    <cellStyle name="20% - Accent1 7 2" xfId="2477" xr:uid="{00000000-0005-0000-0000-00004F070000}"/>
    <cellStyle name="20% - Accent1 7 2 2" xfId="2478" xr:uid="{00000000-0005-0000-0000-000050070000}"/>
    <cellStyle name="20% - Accent1 7 2 3" xfId="2479" xr:uid="{00000000-0005-0000-0000-000051070000}"/>
    <cellStyle name="20% - Accent1 7 3" xfId="2480" xr:uid="{00000000-0005-0000-0000-000052070000}"/>
    <cellStyle name="20% - Accent1 7 4" xfId="2481" xr:uid="{00000000-0005-0000-0000-000053070000}"/>
    <cellStyle name="20% - Accent1 7 5" xfId="2482" xr:uid="{00000000-0005-0000-0000-000054070000}"/>
    <cellStyle name="20% - Accent1 7 6" xfId="2483" xr:uid="{00000000-0005-0000-0000-000055070000}"/>
    <cellStyle name="20% - Accent1 8" xfId="2484" xr:uid="{00000000-0005-0000-0000-000056070000}"/>
    <cellStyle name="20% - Accent1 8 2" xfId="2485" xr:uid="{00000000-0005-0000-0000-000057070000}"/>
    <cellStyle name="20% - Accent1 8 2 2" xfId="2486" xr:uid="{00000000-0005-0000-0000-000058070000}"/>
    <cellStyle name="20% - Accent1 8 2 3" xfId="2487" xr:uid="{00000000-0005-0000-0000-000059070000}"/>
    <cellStyle name="20% - Accent1 8 3" xfId="2488" xr:uid="{00000000-0005-0000-0000-00005A070000}"/>
    <cellStyle name="20% - Accent1 8 4" xfId="2489" xr:uid="{00000000-0005-0000-0000-00005B070000}"/>
    <cellStyle name="20% - Accent1 8 5" xfId="2490" xr:uid="{00000000-0005-0000-0000-00005C070000}"/>
    <cellStyle name="20% - Accent1 8 6" xfId="2491" xr:uid="{00000000-0005-0000-0000-00005D070000}"/>
    <cellStyle name="20% - Accent1 9" xfId="2492" xr:uid="{00000000-0005-0000-0000-00005E070000}"/>
    <cellStyle name="20% - Accent1 9 2" xfId="2493" xr:uid="{00000000-0005-0000-0000-00005F070000}"/>
    <cellStyle name="20% - Accent1 9 2 2" xfId="2494" xr:uid="{00000000-0005-0000-0000-000060070000}"/>
    <cellStyle name="20% - Accent1 9 2 3" xfId="2495" xr:uid="{00000000-0005-0000-0000-000061070000}"/>
    <cellStyle name="20% - Accent1 9 3" xfId="2496" xr:uid="{00000000-0005-0000-0000-000062070000}"/>
    <cellStyle name="20% - Accent1 9 4" xfId="2497" xr:uid="{00000000-0005-0000-0000-000063070000}"/>
    <cellStyle name="20% - Accent1 9 5" xfId="2498" xr:uid="{00000000-0005-0000-0000-000064070000}"/>
    <cellStyle name="20% - Accent1 9 6" xfId="2499" xr:uid="{00000000-0005-0000-0000-000065070000}"/>
    <cellStyle name="20% - Accent2" xfId="25" builtinId="34" customBuiltin="1"/>
    <cellStyle name="20% - Accent2 10" xfId="2500" xr:uid="{00000000-0005-0000-0000-000067070000}"/>
    <cellStyle name="20% - Accent2 10 2" xfId="2501" xr:uid="{00000000-0005-0000-0000-000068070000}"/>
    <cellStyle name="20% - Accent2 10 2 2" xfId="2502" xr:uid="{00000000-0005-0000-0000-000069070000}"/>
    <cellStyle name="20% - Accent2 10 2 3" xfId="2503" xr:uid="{00000000-0005-0000-0000-00006A070000}"/>
    <cellStyle name="20% - Accent2 10 3" xfId="2504" xr:uid="{00000000-0005-0000-0000-00006B070000}"/>
    <cellStyle name="20% - Accent2 10 4" xfId="2505" xr:uid="{00000000-0005-0000-0000-00006C070000}"/>
    <cellStyle name="20% - Accent2 10 5" xfId="2506" xr:uid="{00000000-0005-0000-0000-00006D070000}"/>
    <cellStyle name="20% - Accent2 10 6" xfId="2507" xr:uid="{00000000-0005-0000-0000-00006E070000}"/>
    <cellStyle name="20% - Accent2 11" xfId="2508" xr:uid="{00000000-0005-0000-0000-00006F070000}"/>
    <cellStyle name="20% - Accent2 11 2" xfId="2509" xr:uid="{00000000-0005-0000-0000-000070070000}"/>
    <cellStyle name="20% - Accent2 11 2 2" xfId="2510" xr:uid="{00000000-0005-0000-0000-000071070000}"/>
    <cellStyle name="20% - Accent2 11 2 3" xfId="2511" xr:uid="{00000000-0005-0000-0000-000072070000}"/>
    <cellStyle name="20% - Accent2 11 3" xfId="2512" xr:uid="{00000000-0005-0000-0000-000073070000}"/>
    <cellStyle name="20% - Accent2 11 4" xfId="2513" xr:uid="{00000000-0005-0000-0000-000074070000}"/>
    <cellStyle name="20% - Accent2 11 5" xfId="2514" xr:uid="{00000000-0005-0000-0000-000075070000}"/>
    <cellStyle name="20% - Accent2 11 6" xfId="2515" xr:uid="{00000000-0005-0000-0000-000076070000}"/>
    <cellStyle name="20% - Accent2 12" xfId="2516" xr:uid="{00000000-0005-0000-0000-000077070000}"/>
    <cellStyle name="20% - Accent2 12 2" xfId="2517" xr:uid="{00000000-0005-0000-0000-000078070000}"/>
    <cellStyle name="20% - Accent2 12 2 2" xfId="2518" xr:uid="{00000000-0005-0000-0000-000079070000}"/>
    <cellStyle name="20% - Accent2 12 2 3" xfId="2519" xr:uid="{00000000-0005-0000-0000-00007A070000}"/>
    <cellStyle name="20% - Accent2 12 3" xfId="2520" xr:uid="{00000000-0005-0000-0000-00007B070000}"/>
    <cellStyle name="20% - Accent2 12 4" xfId="2521" xr:uid="{00000000-0005-0000-0000-00007C070000}"/>
    <cellStyle name="20% - Accent2 12 5" xfId="2522" xr:uid="{00000000-0005-0000-0000-00007D070000}"/>
    <cellStyle name="20% - Accent2 12 6" xfId="2523" xr:uid="{00000000-0005-0000-0000-00007E070000}"/>
    <cellStyle name="20% - Accent2 13" xfId="2524" xr:uid="{00000000-0005-0000-0000-00007F070000}"/>
    <cellStyle name="20% - Accent2 13 2" xfId="2525" xr:uid="{00000000-0005-0000-0000-000080070000}"/>
    <cellStyle name="20% - Accent2 13 3" xfId="2526" xr:uid="{00000000-0005-0000-0000-000081070000}"/>
    <cellStyle name="20% - Accent2 14" xfId="2527" xr:uid="{00000000-0005-0000-0000-000082070000}"/>
    <cellStyle name="20% - Accent2 15" xfId="2528" xr:uid="{00000000-0005-0000-0000-000083070000}"/>
    <cellStyle name="20% - Accent2 16" xfId="2529" xr:uid="{00000000-0005-0000-0000-000084070000}"/>
    <cellStyle name="20% - Accent2 17" xfId="2530" xr:uid="{00000000-0005-0000-0000-000085070000}"/>
    <cellStyle name="20% - Accent2 18" xfId="2531" xr:uid="{00000000-0005-0000-0000-000086070000}"/>
    <cellStyle name="20% - Accent2 2" xfId="53" xr:uid="{00000000-0005-0000-0000-000087070000}"/>
    <cellStyle name="20% - Accent2 2 2" xfId="282" xr:uid="{00000000-0005-0000-0000-000088070000}"/>
    <cellStyle name="20% - Accent2 2 3" xfId="283" xr:uid="{00000000-0005-0000-0000-000089070000}"/>
    <cellStyle name="20% - Accent2 3" xfId="284" xr:uid="{00000000-0005-0000-0000-00008A070000}"/>
    <cellStyle name="20% - Accent2 3 10" xfId="2532" xr:uid="{00000000-0005-0000-0000-00008B070000}"/>
    <cellStyle name="20% - Accent2 3 10 2" xfId="2533" xr:uid="{00000000-0005-0000-0000-00008C070000}"/>
    <cellStyle name="20% - Accent2 3 10 2 2" xfId="2534" xr:uid="{00000000-0005-0000-0000-00008D070000}"/>
    <cellStyle name="20% - Accent2 3 10 2 3" xfId="2535" xr:uid="{00000000-0005-0000-0000-00008E070000}"/>
    <cellStyle name="20% - Accent2 3 10 3" xfId="2536" xr:uid="{00000000-0005-0000-0000-00008F070000}"/>
    <cellStyle name="20% - Accent2 3 10 4" xfId="2537" xr:uid="{00000000-0005-0000-0000-000090070000}"/>
    <cellStyle name="20% - Accent2 3 10 5" xfId="2538" xr:uid="{00000000-0005-0000-0000-000091070000}"/>
    <cellStyle name="20% - Accent2 3 10 6" xfId="2539" xr:uid="{00000000-0005-0000-0000-000092070000}"/>
    <cellStyle name="20% - Accent2 3 11" xfId="2540" xr:uid="{00000000-0005-0000-0000-000093070000}"/>
    <cellStyle name="20% - Accent2 3 11 2" xfId="2541" xr:uid="{00000000-0005-0000-0000-000094070000}"/>
    <cellStyle name="20% - Accent2 3 11 2 2" xfId="2542" xr:uid="{00000000-0005-0000-0000-000095070000}"/>
    <cellStyle name="20% - Accent2 3 11 2 3" xfId="2543" xr:uid="{00000000-0005-0000-0000-000096070000}"/>
    <cellStyle name="20% - Accent2 3 11 3" xfId="2544" xr:uid="{00000000-0005-0000-0000-000097070000}"/>
    <cellStyle name="20% - Accent2 3 11 4" xfId="2545" xr:uid="{00000000-0005-0000-0000-000098070000}"/>
    <cellStyle name="20% - Accent2 3 11 5" xfId="2546" xr:uid="{00000000-0005-0000-0000-000099070000}"/>
    <cellStyle name="20% - Accent2 3 11 6" xfId="2547" xr:uid="{00000000-0005-0000-0000-00009A070000}"/>
    <cellStyle name="20% - Accent2 3 12" xfId="2548" xr:uid="{00000000-0005-0000-0000-00009B070000}"/>
    <cellStyle name="20% - Accent2 3 12 2" xfId="2549" xr:uid="{00000000-0005-0000-0000-00009C070000}"/>
    <cellStyle name="20% - Accent2 3 12 3" xfId="2550" xr:uid="{00000000-0005-0000-0000-00009D070000}"/>
    <cellStyle name="20% - Accent2 3 13" xfId="2551" xr:uid="{00000000-0005-0000-0000-00009E070000}"/>
    <cellStyle name="20% - Accent2 3 14" xfId="2552" xr:uid="{00000000-0005-0000-0000-00009F070000}"/>
    <cellStyle name="20% - Accent2 3 15" xfId="2553" xr:uid="{00000000-0005-0000-0000-0000A0070000}"/>
    <cellStyle name="20% - Accent2 3 16" xfId="2554" xr:uid="{00000000-0005-0000-0000-0000A1070000}"/>
    <cellStyle name="20% - Accent2 3 2" xfId="2555" xr:uid="{00000000-0005-0000-0000-0000A2070000}"/>
    <cellStyle name="20% - Accent2 3 2 10" xfId="2556" xr:uid="{00000000-0005-0000-0000-0000A3070000}"/>
    <cellStyle name="20% - Accent2 3 2 10 2" xfId="2557" xr:uid="{00000000-0005-0000-0000-0000A4070000}"/>
    <cellStyle name="20% - Accent2 3 2 10 3" xfId="2558" xr:uid="{00000000-0005-0000-0000-0000A5070000}"/>
    <cellStyle name="20% - Accent2 3 2 11" xfId="2559" xr:uid="{00000000-0005-0000-0000-0000A6070000}"/>
    <cellStyle name="20% - Accent2 3 2 12" xfId="2560" xr:uid="{00000000-0005-0000-0000-0000A7070000}"/>
    <cellStyle name="20% - Accent2 3 2 13" xfId="2561" xr:uid="{00000000-0005-0000-0000-0000A8070000}"/>
    <cellStyle name="20% - Accent2 3 2 14" xfId="2562" xr:uid="{00000000-0005-0000-0000-0000A9070000}"/>
    <cellStyle name="20% - Accent2 3 2 2" xfId="2563" xr:uid="{00000000-0005-0000-0000-0000AA070000}"/>
    <cellStyle name="20% - Accent2 3 2 2 10" xfId="2564" xr:uid="{00000000-0005-0000-0000-0000AB070000}"/>
    <cellStyle name="20% - Accent2 3 2 2 11" xfId="2565" xr:uid="{00000000-0005-0000-0000-0000AC070000}"/>
    <cellStyle name="20% - Accent2 3 2 2 12" xfId="2566" xr:uid="{00000000-0005-0000-0000-0000AD070000}"/>
    <cellStyle name="20% - Accent2 3 2 2 13" xfId="2567" xr:uid="{00000000-0005-0000-0000-0000AE070000}"/>
    <cellStyle name="20% - Accent2 3 2 2 2" xfId="2568" xr:uid="{00000000-0005-0000-0000-0000AF070000}"/>
    <cellStyle name="20% - Accent2 3 2 2 2 10" xfId="2569" xr:uid="{00000000-0005-0000-0000-0000B0070000}"/>
    <cellStyle name="20% - Accent2 3 2 2 2 2" xfId="2570" xr:uid="{00000000-0005-0000-0000-0000B1070000}"/>
    <cellStyle name="20% - Accent2 3 2 2 2 2 2" xfId="2571" xr:uid="{00000000-0005-0000-0000-0000B2070000}"/>
    <cellStyle name="20% - Accent2 3 2 2 2 2 2 2" xfId="2572" xr:uid="{00000000-0005-0000-0000-0000B3070000}"/>
    <cellStyle name="20% - Accent2 3 2 2 2 2 2 2 2" xfId="2573" xr:uid="{00000000-0005-0000-0000-0000B4070000}"/>
    <cellStyle name="20% - Accent2 3 2 2 2 2 2 2 3" xfId="2574" xr:uid="{00000000-0005-0000-0000-0000B5070000}"/>
    <cellStyle name="20% - Accent2 3 2 2 2 2 2 3" xfId="2575" xr:uid="{00000000-0005-0000-0000-0000B6070000}"/>
    <cellStyle name="20% - Accent2 3 2 2 2 2 2 4" xfId="2576" xr:uid="{00000000-0005-0000-0000-0000B7070000}"/>
    <cellStyle name="20% - Accent2 3 2 2 2 2 2 5" xfId="2577" xr:uid="{00000000-0005-0000-0000-0000B8070000}"/>
    <cellStyle name="20% - Accent2 3 2 2 2 2 2 6" xfId="2578" xr:uid="{00000000-0005-0000-0000-0000B9070000}"/>
    <cellStyle name="20% - Accent2 3 2 2 2 2 3" xfId="2579" xr:uid="{00000000-0005-0000-0000-0000BA070000}"/>
    <cellStyle name="20% - Accent2 3 2 2 2 2 3 2" xfId="2580" xr:uid="{00000000-0005-0000-0000-0000BB070000}"/>
    <cellStyle name="20% - Accent2 3 2 2 2 2 3 2 2" xfId="2581" xr:uid="{00000000-0005-0000-0000-0000BC070000}"/>
    <cellStyle name="20% - Accent2 3 2 2 2 2 3 2 3" xfId="2582" xr:uid="{00000000-0005-0000-0000-0000BD070000}"/>
    <cellStyle name="20% - Accent2 3 2 2 2 2 3 3" xfId="2583" xr:uid="{00000000-0005-0000-0000-0000BE070000}"/>
    <cellStyle name="20% - Accent2 3 2 2 2 2 3 4" xfId="2584" xr:uid="{00000000-0005-0000-0000-0000BF070000}"/>
    <cellStyle name="20% - Accent2 3 2 2 2 2 3 5" xfId="2585" xr:uid="{00000000-0005-0000-0000-0000C0070000}"/>
    <cellStyle name="20% - Accent2 3 2 2 2 2 3 6" xfId="2586" xr:uid="{00000000-0005-0000-0000-0000C1070000}"/>
    <cellStyle name="20% - Accent2 3 2 2 2 2 4" xfId="2587" xr:uid="{00000000-0005-0000-0000-0000C2070000}"/>
    <cellStyle name="20% - Accent2 3 2 2 2 2 4 2" xfId="2588" xr:uid="{00000000-0005-0000-0000-0000C3070000}"/>
    <cellStyle name="20% - Accent2 3 2 2 2 2 4 3" xfId="2589" xr:uid="{00000000-0005-0000-0000-0000C4070000}"/>
    <cellStyle name="20% - Accent2 3 2 2 2 2 5" xfId="2590" xr:uid="{00000000-0005-0000-0000-0000C5070000}"/>
    <cellStyle name="20% - Accent2 3 2 2 2 2 6" xfId="2591" xr:uid="{00000000-0005-0000-0000-0000C6070000}"/>
    <cellStyle name="20% - Accent2 3 2 2 2 2 7" xfId="2592" xr:uid="{00000000-0005-0000-0000-0000C7070000}"/>
    <cellStyle name="20% - Accent2 3 2 2 2 2 8" xfId="2593" xr:uid="{00000000-0005-0000-0000-0000C8070000}"/>
    <cellStyle name="20% - Accent2 3 2 2 2 3" xfId="2594" xr:uid="{00000000-0005-0000-0000-0000C9070000}"/>
    <cellStyle name="20% - Accent2 3 2 2 2 3 2" xfId="2595" xr:uid="{00000000-0005-0000-0000-0000CA070000}"/>
    <cellStyle name="20% - Accent2 3 2 2 2 3 2 2" xfId="2596" xr:uid="{00000000-0005-0000-0000-0000CB070000}"/>
    <cellStyle name="20% - Accent2 3 2 2 2 3 2 2 2" xfId="2597" xr:uid="{00000000-0005-0000-0000-0000CC070000}"/>
    <cellStyle name="20% - Accent2 3 2 2 2 3 2 2 3" xfId="2598" xr:uid="{00000000-0005-0000-0000-0000CD070000}"/>
    <cellStyle name="20% - Accent2 3 2 2 2 3 2 3" xfId="2599" xr:uid="{00000000-0005-0000-0000-0000CE070000}"/>
    <cellStyle name="20% - Accent2 3 2 2 2 3 2 4" xfId="2600" xr:uid="{00000000-0005-0000-0000-0000CF070000}"/>
    <cellStyle name="20% - Accent2 3 2 2 2 3 2 5" xfId="2601" xr:uid="{00000000-0005-0000-0000-0000D0070000}"/>
    <cellStyle name="20% - Accent2 3 2 2 2 3 2 6" xfId="2602" xr:uid="{00000000-0005-0000-0000-0000D1070000}"/>
    <cellStyle name="20% - Accent2 3 2 2 2 3 3" xfId="2603" xr:uid="{00000000-0005-0000-0000-0000D2070000}"/>
    <cellStyle name="20% - Accent2 3 2 2 2 3 3 2" xfId="2604" xr:uid="{00000000-0005-0000-0000-0000D3070000}"/>
    <cellStyle name="20% - Accent2 3 2 2 2 3 3 3" xfId="2605" xr:uid="{00000000-0005-0000-0000-0000D4070000}"/>
    <cellStyle name="20% - Accent2 3 2 2 2 3 4" xfId="2606" xr:uid="{00000000-0005-0000-0000-0000D5070000}"/>
    <cellStyle name="20% - Accent2 3 2 2 2 3 5" xfId="2607" xr:uid="{00000000-0005-0000-0000-0000D6070000}"/>
    <cellStyle name="20% - Accent2 3 2 2 2 3 6" xfId="2608" xr:uid="{00000000-0005-0000-0000-0000D7070000}"/>
    <cellStyle name="20% - Accent2 3 2 2 2 3 7" xfId="2609" xr:uid="{00000000-0005-0000-0000-0000D8070000}"/>
    <cellStyle name="20% - Accent2 3 2 2 2 4" xfId="2610" xr:uid="{00000000-0005-0000-0000-0000D9070000}"/>
    <cellStyle name="20% - Accent2 3 2 2 2 4 2" xfId="2611" xr:uid="{00000000-0005-0000-0000-0000DA070000}"/>
    <cellStyle name="20% - Accent2 3 2 2 2 4 2 2" xfId="2612" xr:uid="{00000000-0005-0000-0000-0000DB070000}"/>
    <cellStyle name="20% - Accent2 3 2 2 2 4 2 3" xfId="2613" xr:uid="{00000000-0005-0000-0000-0000DC070000}"/>
    <cellStyle name="20% - Accent2 3 2 2 2 4 3" xfId="2614" xr:uid="{00000000-0005-0000-0000-0000DD070000}"/>
    <cellStyle name="20% - Accent2 3 2 2 2 4 4" xfId="2615" xr:uid="{00000000-0005-0000-0000-0000DE070000}"/>
    <cellStyle name="20% - Accent2 3 2 2 2 4 5" xfId="2616" xr:uid="{00000000-0005-0000-0000-0000DF070000}"/>
    <cellStyle name="20% - Accent2 3 2 2 2 4 6" xfId="2617" xr:uid="{00000000-0005-0000-0000-0000E0070000}"/>
    <cellStyle name="20% - Accent2 3 2 2 2 5" xfId="2618" xr:uid="{00000000-0005-0000-0000-0000E1070000}"/>
    <cellStyle name="20% - Accent2 3 2 2 2 5 2" xfId="2619" xr:uid="{00000000-0005-0000-0000-0000E2070000}"/>
    <cellStyle name="20% - Accent2 3 2 2 2 5 2 2" xfId="2620" xr:uid="{00000000-0005-0000-0000-0000E3070000}"/>
    <cellStyle name="20% - Accent2 3 2 2 2 5 2 3" xfId="2621" xr:uid="{00000000-0005-0000-0000-0000E4070000}"/>
    <cellStyle name="20% - Accent2 3 2 2 2 5 3" xfId="2622" xr:uid="{00000000-0005-0000-0000-0000E5070000}"/>
    <cellStyle name="20% - Accent2 3 2 2 2 5 4" xfId="2623" xr:uid="{00000000-0005-0000-0000-0000E6070000}"/>
    <cellStyle name="20% - Accent2 3 2 2 2 5 5" xfId="2624" xr:uid="{00000000-0005-0000-0000-0000E7070000}"/>
    <cellStyle name="20% - Accent2 3 2 2 2 5 6" xfId="2625" xr:uid="{00000000-0005-0000-0000-0000E8070000}"/>
    <cellStyle name="20% - Accent2 3 2 2 2 6" xfId="2626" xr:uid="{00000000-0005-0000-0000-0000E9070000}"/>
    <cellStyle name="20% - Accent2 3 2 2 2 6 2" xfId="2627" xr:uid="{00000000-0005-0000-0000-0000EA070000}"/>
    <cellStyle name="20% - Accent2 3 2 2 2 6 3" xfId="2628" xr:uid="{00000000-0005-0000-0000-0000EB070000}"/>
    <cellStyle name="20% - Accent2 3 2 2 2 7" xfId="2629" xr:uid="{00000000-0005-0000-0000-0000EC070000}"/>
    <cellStyle name="20% - Accent2 3 2 2 2 8" xfId="2630" xr:uid="{00000000-0005-0000-0000-0000ED070000}"/>
    <cellStyle name="20% - Accent2 3 2 2 2 9" xfId="2631" xr:uid="{00000000-0005-0000-0000-0000EE070000}"/>
    <cellStyle name="20% - Accent2 3 2 2 3" xfId="2632" xr:uid="{00000000-0005-0000-0000-0000EF070000}"/>
    <cellStyle name="20% - Accent2 3 2 2 3 2" xfId="2633" xr:uid="{00000000-0005-0000-0000-0000F0070000}"/>
    <cellStyle name="20% - Accent2 3 2 2 3 2 2" xfId="2634" xr:uid="{00000000-0005-0000-0000-0000F1070000}"/>
    <cellStyle name="20% - Accent2 3 2 2 3 2 2 2" xfId="2635" xr:uid="{00000000-0005-0000-0000-0000F2070000}"/>
    <cellStyle name="20% - Accent2 3 2 2 3 2 2 2 2" xfId="2636" xr:uid="{00000000-0005-0000-0000-0000F3070000}"/>
    <cellStyle name="20% - Accent2 3 2 2 3 2 2 2 3" xfId="2637" xr:uid="{00000000-0005-0000-0000-0000F4070000}"/>
    <cellStyle name="20% - Accent2 3 2 2 3 2 2 3" xfId="2638" xr:uid="{00000000-0005-0000-0000-0000F5070000}"/>
    <cellStyle name="20% - Accent2 3 2 2 3 2 2 4" xfId="2639" xr:uid="{00000000-0005-0000-0000-0000F6070000}"/>
    <cellStyle name="20% - Accent2 3 2 2 3 2 2 5" xfId="2640" xr:uid="{00000000-0005-0000-0000-0000F7070000}"/>
    <cellStyle name="20% - Accent2 3 2 2 3 2 2 6" xfId="2641" xr:uid="{00000000-0005-0000-0000-0000F8070000}"/>
    <cellStyle name="20% - Accent2 3 2 2 3 2 3" xfId="2642" xr:uid="{00000000-0005-0000-0000-0000F9070000}"/>
    <cellStyle name="20% - Accent2 3 2 2 3 2 3 2" xfId="2643" xr:uid="{00000000-0005-0000-0000-0000FA070000}"/>
    <cellStyle name="20% - Accent2 3 2 2 3 2 3 3" xfId="2644" xr:uid="{00000000-0005-0000-0000-0000FB070000}"/>
    <cellStyle name="20% - Accent2 3 2 2 3 2 4" xfId="2645" xr:uid="{00000000-0005-0000-0000-0000FC070000}"/>
    <cellStyle name="20% - Accent2 3 2 2 3 2 5" xfId="2646" xr:uid="{00000000-0005-0000-0000-0000FD070000}"/>
    <cellStyle name="20% - Accent2 3 2 2 3 2 6" xfId="2647" xr:uid="{00000000-0005-0000-0000-0000FE070000}"/>
    <cellStyle name="20% - Accent2 3 2 2 3 2 7" xfId="2648" xr:uid="{00000000-0005-0000-0000-0000FF070000}"/>
    <cellStyle name="20% - Accent2 3 2 2 3 3" xfId="2649" xr:uid="{00000000-0005-0000-0000-000000080000}"/>
    <cellStyle name="20% - Accent2 3 2 2 3 3 2" xfId="2650" xr:uid="{00000000-0005-0000-0000-000001080000}"/>
    <cellStyle name="20% - Accent2 3 2 2 3 3 2 2" xfId="2651" xr:uid="{00000000-0005-0000-0000-000002080000}"/>
    <cellStyle name="20% - Accent2 3 2 2 3 3 2 3" xfId="2652" xr:uid="{00000000-0005-0000-0000-000003080000}"/>
    <cellStyle name="20% - Accent2 3 2 2 3 3 3" xfId="2653" xr:uid="{00000000-0005-0000-0000-000004080000}"/>
    <cellStyle name="20% - Accent2 3 2 2 3 3 4" xfId="2654" xr:uid="{00000000-0005-0000-0000-000005080000}"/>
    <cellStyle name="20% - Accent2 3 2 2 3 3 5" xfId="2655" xr:uid="{00000000-0005-0000-0000-000006080000}"/>
    <cellStyle name="20% - Accent2 3 2 2 3 3 6" xfId="2656" xr:uid="{00000000-0005-0000-0000-000007080000}"/>
    <cellStyle name="20% - Accent2 3 2 2 3 4" xfId="2657" xr:uid="{00000000-0005-0000-0000-000008080000}"/>
    <cellStyle name="20% - Accent2 3 2 2 3 4 2" xfId="2658" xr:uid="{00000000-0005-0000-0000-000009080000}"/>
    <cellStyle name="20% - Accent2 3 2 2 3 4 2 2" xfId="2659" xr:uid="{00000000-0005-0000-0000-00000A080000}"/>
    <cellStyle name="20% - Accent2 3 2 2 3 4 2 3" xfId="2660" xr:uid="{00000000-0005-0000-0000-00000B080000}"/>
    <cellStyle name="20% - Accent2 3 2 2 3 4 3" xfId="2661" xr:uid="{00000000-0005-0000-0000-00000C080000}"/>
    <cellStyle name="20% - Accent2 3 2 2 3 4 4" xfId="2662" xr:uid="{00000000-0005-0000-0000-00000D080000}"/>
    <cellStyle name="20% - Accent2 3 2 2 3 4 5" xfId="2663" xr:uid="{00000000-0005-0000-0000-00000E080000}"/>
    <cellStyle name="20% - Accent2 3 2 2 3 4 6" xfId="2664" xr:uid="{00000000-0005-0000-0000-00000F080000}"/>
    <cellStyle name="20% - Accent2 3 2 2 3 5" xfId="2665" xr:uid="{00000000-0005-0000-0000-000010080000}"/>
    <cellStyle name="20% - Accent2 3 2 2 3 5 2" xfId="2666" xr:uid="{00000000-0005-0000-0000-000011080000}"/>
    <cellStyle name="20% - Accent2 3 2 2 3 5 3" xfId="2667" xr:uid="{00000000-0005-0000-0000-000012080000}"/>
    <cellStyle name="20% - Accent2 3 2 2 3 6" xfId="2668" xr:uid="{00000000-0005-0000-0000-000013080000}"/>
    <cellStyle name="20% - Accent2 3 2 2 3 7" xfId="2669" xr:uid="{00000000-0005-0000-0000-000014080000}"/>
    <cellStyle name="20% - Accent2 3 2 2 3 8" xfId="2670" xr:uid="{00000000-0005-0000-0000-000015080000}"/>
    <cellStyle name="20% - Accent2 3 2 2 3 9" xfId="2671" xr:uid="{00000000-0005-0000-0000-000016080000}"/>
    <cellStyle name="20% - Accent2 3 2 2 4" xfId="2672" xr:uid="{00000000-0005-0000-0000-000017080000}"/>
    <cellStyle name="20% - Accent2 3 2 2 4 2" xfId="2673" xr:uid="{00000000-0005-0000-0000-000018080000}"/>
    <cellStyle name="20% - Accent2 3 2 2 4 2 2" xfId="2674" xr:uid="{00000000-0005-0000-0000-000019080000}"/>
    <cellStyle name="20% - Accent2 3 2 2 4 2 2 2" xfId="2675" xr:uid="{00000000-0005-0000-0000-00001A080000}"/>
    <cellStyle name="20% - Accent2 3 2 2 4 2 2 3" xfId="2676" xr:uid="{00000000-0005-0000-0000-00001B080000}"/>
    <cellStyle name="20% - Accent2 3 2 2 4 2 3" xfId="2677" xr:uid="{00000000-0005-0000-0000-00001C080000}"/>
    <cellStyle name="20% - Accent2 3 2 2 4 2 4" xfId="2678" xr:uid="{00000000-0005-0000-0000-00001D080000}"/>
    <cellStyle name="20% - Accent2 3 2 2 4 2 5" xfId="2679" xr:uid="{00000000-0005-0000-0000-00001E080000}"/>
    <cellStyle name="20% - Accent2 3 2 2 4 2 6" xfId="2680" xr:uid="{00000000-0005-0000-0000-00001F080000}"/>
    <cellStyle name="20% - Accent2 3 2 2 4 3" xfId="2681" xr:uid="{00000000-0005-0000-0000-000020080000}"/>
    <cellStyle name="20% - Accent2 3 2 2 4 3 2" xfId="2682" xr:uid="{00000000-0005-0000-0000-000021080000}"/>
    <cellStyle name="20% - Accent2 3 2 2 4 3 3" xfId="2683" xr:uid="{00000000-0005-0000-0000-000022080000}"/>
    <cellStyle name="20% - Accent2 3 2 2 4 4" xfId="2684" xr:uid="{00000000-0005-0000-0000-000023080000}"/>
    <cellStyle name="20% - Accent2 3 2 2 4 5" xfId="2685" xr:uid="{00000000-0005-0000-0000-000024080000}"/>
    <cellStyle name="20% - Accent2 3 2 2 4 6" xfId="2686" xr:uid="{00000000-0005-0000-0000-000025080000}"/>
    <cellStyle name="20% - Accent2 3 2 2 4 7" xfId="2687" xr:uid="{00000000-0005-0000-0000-000026080000}"/>
    <cellStyle name="20% - Accent2 3 2 2 5" xfId="2688" xr:uid="{00000000-0005-0000-0000-000027080000}"/>
    <cellStyle name="20% - Accent2 3 2 2 5 2" xfId="2689" xr:uid="{00000000-0005-0000-0000-000028080000}"/>
    <cellStyle name="20% - Accent2 3 2 2 5 2 2" xfId="2690" xr:uid="{00000000-0005-0000-0000-000029080000}"/>
    <cellStyle name="20% - Accent2 3 2 2 5 2 3" xfId="2691" xr:uid="{00000000-0005-0000-0000-00002A080000}"/>
    <cellStyle name="20% - Accent2 3 2 2 5 3" xfId="2692" xr:uid="{00000000-0005-0000-0000-00002B080000}"/>
    <cellStyle name="20% - Accent2 3 2 2 5 4" xfId="2693" xr:uid="{00000000-0005-0000-0000-00002C080000}"/>
    <cellStyle name="20% - Accent2 3 2 2 5 5" xfId="2694" xr:uid="{00000000-0005-0000-0000-00002D080000}"/>
    <cellStyle name="20% - Accent2 3 2 2 5 6" xfId="2695" xr:uid="{00000000-0005-0000-0000-00002E080000}"/>
    <cellStyle name="20% - Accent2 3 2 2 6" xfId="2696" xr:uid="{00000000-0005-0000-0000-00002F080000}"/>
    <cellStyle name="20% - Accent2 3 2 2 6 2" xfId="2697" xr:uid="{00000000-0005-0000-0000-000030080000}"/>
    <cellStyle name="20% - Accent2 3 2 2 6 2 2" xfId="2698" xr:uid="{00000000-0005-0000-0000-000031080000}"/>
    <cellStyle name="20% - Accent2 3 2 2 6 2 3" xfId="2699" xr:uid="{00000000-0005-0000-0000-000032080000}"/>
    <cellStyle name="20% - Accent2 3 2 2 6 3" xfId="2700" xr:uid="{00000000-0005-0000-0000-000033080000}"/>
    <cellStyle name="20% - Accent2 3 2 2 6 4" xfId="2701" xr:uid="{00000000-0005-0000-0000-000034080000}"/>
    <cellStyle name="20% - Accent2 3 2 2 6 5" xfId="2702" xr:uid="{00000000-0005-0000-0000-000035080000}"/>
    <cellStyle name="20% - Accent2 3 2 2 6 6" xfId="2703" xr:uid="{00000000-0005-0000-0000-000036080000}"/>
    <cellStyle name="20% - Accent2 3 2 2 7" xfId="2704" xr:uid="{00000000-0005-0000-0000-000037080000}"/>
    <cellStyle name="20% - Accent2 3 2 2 7 2" xfId="2705" xr:uid="{00000000-0005-0000-0000-000038080000}"/>
    <cellStyle name="20% - Accent2 3 2 2 7 2 2" xfId="2706" xr:uid="{00000000-0005-0000-0000-000039080000}"/>
    <cellStyle name="20% - Accent2 3 2 2 7 2 3" xfId="2707" xr:uid="{00000000-0005-0000-0000-00003A080000}"/>
    <cellStyle name="20% - Accent2 3 2 2 7 3" xfId="2708" xr:uid="{00000000-0005-0000-0000-00003B080000}"/>
    <cellStyle name="20% - Accent2 3 2 2 7 4" xfId="2709" xr:uid="{00000000-0005-0000-0000-00003C080000}"/>
    <cellStyle name="20% - Accent2 3 2 2 7 5" xfId="2710" xr:uid="{00000000-0005-0000-0000-00003D080000}"/>
    <cellStyle name="20% - Accent2 3 2 2 7 6" xfId="2711" xr:uid="{00000000-0005-0000-0000-00003E080000}"/>
    <cellStyle name="20% - Accent2 3 2 2 8" xfId="2712" xr:uid="{00000000-0005-0000-0000-00003F080000}"/>
    <cellStyle name="20% - Accent2 3 2 2 8 2" xfId="2713" xr:uid="{00000000-0005-0000-0000-000040080000}"/>
    <cellStyle name="20% - Accent2 3 2 2 8 2 2" xfId="2714" xr:uid="{00000000-0005-0000-0000-000041080000}"/>
    <cellStyle name="20% - Accent2 3 2 2 8 2 3" xfId="2715" xr:uid="{00000000-0005-0000-0000-000042080000}"/>
    <cellStyle name="20% - Accent2 3 2 2 8 3" xfId="2716" xr:uid="{00000000-0005-0000-0000-000043080000}"/>
    <cellStyle name="20% - Accent2 3 2 2 8 4" xfId="2717" xr:uid="{00000000-0005-0000-0000-000044080000}"/>
    <cellStyle name="20% - Accent2 3 2 2 8 5" xfId="2718" xr:uid="{00000000-0005-0000-0000-000045080000}"/>
    <cellStyle name="20% - Accent2 3 2 2 8 6" xfId="2719" xr:uid="{00000000-0005-0000-0000-000046080000}"/>
    <cellStyle name="20% - Accent2 3 2 2 9" xfId="2720" xr:uid="{00000000-0005-0000-0000-000047080000}"/>
    <cellStyle name="20% - Accent2 3 2 2 9 2" xfId="2721" xr:uid="{00000000-0005-0000-0000-000048080000}"/>
    <cellStyle name="20% - Accent2 3 2 2 9 3" xfId="2722" xr:uid="{00000000-0005-0000-0000-000049080000}"/>
    <cellStyle name="20% - Accent2 3 2 3" xfId="2723" xr:uid="{00000000-0005-0000-0000-00004A080000}"/>
    <cellStyle name="20% - Accent2 3 2 3 10" xfId="2724" xr:uid="{00000000-0005-0000-0000-00004B080000}"/>
    <cellStyle name="20% - Accent2 3 2 3 2" xfId="2725" xr:uid="{00000000-0005-0000-0000-00004C080000}"/>
    <cellStyle name="20% - Accent2 3 2 3 2 2" xfId="2726" xr:uid="{00000000-0005-0000-0000-00004D080000}"/>
    <cellStyle name="20% - Accent2 3 2 3 2 2 2" xfId="2727" xr:uid="{00000000-0005-0000-0000-00004E080000}"/>
    <cellStyle name="20% - Accent2 3 2 3 2 2 2 2" xfId="2728" xr:uid="{00000000-0005-0000-0000-00004F080000}"/>
    <cellStyle name="20% - Accent2 3 2 3 2 2 2 3" xfId="2729" xr:uid="{00000000-0005-0000-0000-000050080000}"/>
    <cellStyle name="20% - Accent2 3 2 3 2 2 3" xfId="2730" xr:uid="{00000000-0005-0000-0000-000051080000}"/>
    <cellStyle name="20% - Accent2 3 2 3 2 2 4" xfId="2731" xr:uid="{00000000-0005-0000-0000-000052080000}"/>
    <cellStyle name="20% - Accent2 3 2 3 2 2 5" xfId="2732" xr:uid="{00000000-0005-0000-0000-000053080000}"/>
    <cellStyle name="20% - Accent2 3 2 3 2 2 6" xfId="2733" xr:uid="{00000000-0005-0000-0000-000054080000}"/>
    <cellStyle name="20% - Accent2 3 2 3 2 3" xfId="2734" xr:uid="{00000000-0005-0000-0000-000055080000}"/>
    <cellStyle name="20% - Accent2 3 2 3 2 3 2" xfId="2735" xr:uid="{00000000-0005-0000-0000-000056080000}"/>
    <cellStyle name="20% - Accent2 3 2 3 2 3 2 2" xfId="2736" xr:uid="{00000000-0005-0000-0000-000057080000}"/>
    <cellStyle name="20% - Accent2 3 2 3 2 3 2 3" xfId="2737" xr:uid="{00000000-0005-0000-0000-000058080000}"/>
    <cellStyle name="20% - Accent2 3 2 3 2 3 3" xfId="2738" xr:uid="{00000000-0005-0000-0000-000059080000}"/>
    <cellStyle name="20% - Accent2 3 2 3 2 3 4" xfId="2739" xr:uid="{00000000-0005-0000-0000-00005A080000}"/>
    <cellStyle name="20% - Accent2 3 2 3 2 3 5" xfId="2740" xr:uid="{00000000-0005-0000-0000-00005B080000}"/>
    <cellStyle name="20% - Accent2 3 2 3 2 3 6" xfId="2741" xr:uid="{00000000-0005-0000-0000-00005C080000}"/>
    <cellStyle name="20% - Accent2 3 2 3 2 4" xfId="2742" xr:uid="{00000000-0005-0000-0000-00005D080000}"/>
    <cellStyle name="20% - Accent2 3 2 3 2 4 2" xfId="2743" xr:uid="{00000000-0005-0000-0000-00005E080000}"/>
    <cellStyle name="20% - Accent2 3 2 3 2 4 3" xfId="2744" xr:uid="{00000000-0005-0000-0000-00005F080000}"/>
    <cellStyle name="20% - Accent2 3 2 3 2 5" xfId="2745" xr:uid="{00000000-0005-0000-0000-000060080000}"/>
    <cellStyle name="20% - Accent2 3 2 3 2 6" xfId="2746" xr:uid="{00000000-0005-0000-0000-000061080000}"/>
    <cellStyle name="20% - Accent2 3 2 3 2 7" xfId="2747" xr:uid="{00000000-0005-0000-0000-000062080000}"/>
    <cellStyle name="20% - Accent2 3 2 3 2 8" xfId="2748" xr:uid="{00000000-0005-0000-0000-000063080000}"/>
    <cellStyle name="20% - Accent2 3 2 3 3" xfId="2749" xr:uid="{00000000-0005-0000-0000-000064080000}"/>
    <cellStyle name="20% - Accent2 3 2 3 3 2" xfId="2750" xr:uid="{00000000-0005-0000-0000-000065080000}"/>
    <cellStyle name="20% - Accent2 3 2 3 3 2 2" xfId="2751" xr:uid="{00000000-0005-0000-0000-000066080000}"/>
    <cellStyle name="20% - Accent2 3 2 3 3 2 2 2" xfId="2752" xr:uid="{00000000-0005-0000-0000-000067080000}"/>
    <cellStyle name="20% - Accent2 3 2 3 3 2 2 3" xfId="2753" xr:uid="{00000000-0005-0000-0000-000068080000}"/>
    <cellStyle name="20% - Accent2 3 2 3 3 2 3" xfId="2754" xr:uid="{00000000-0005-0000-0000-000069080000}"/>
    <cellStyle name="20% - Accent2 3 2 3 3 2 4" xfId="2755" xr:uid="{00000000-0005-0000-0000-00006A080000}"/>
    <cellStyle name="20% - Accent2 3 2 3 3 2 5" xfId="2756" xr:uid="{00000000-0005-0000-0000-00006B080000}"/>
    <cellStyle name="20% - Accent2 3 2 3 3 2 6" xfId="2757" xr:uid="{00000000-0005-0000-0000-00006C080000}"/>
    <cellStyle name="20% - Accent2 3 2 3 3 3" xfId="2758" xr:uid="{00000000-0005-0000-0000-00006D080000}"/>
    <cellStyle name="20% - Accent2 3 2 3 3 3 2" xfId="2759" xr:uid="{00000000-0005-0000-0000-00006E080000}"/>
    <cellStyle name="20% - Accent2 3 2 3 3 3 3" xfId="2760" xr:uid="{00000000-0005-0000-0000-00006F080000}"/>
    <cellStyle name="20% - Accent2 3 2 3 3 4" xfId="2761" xr:uid="{00000000-0005-0000-0000-000070080000}"/>
    <cellStyle name="20% - Accent2 3 2 3 3 5" xfId="2762" xr:uid="{00000000-0005-0000-0000-000071080000}"/>
    <cellStyle name="20% - Accent2 3 2 3 3 6" xfId="2763" xr:uid="{00000000-0005-0000-0000-000072080000}"/>
    <cellStyle name="20% - Accent2 3 2 3 3 7" xfId="2764" xr:uid="{00000000-0005-0000-0000-000073080000}"/>
    <cellStyle name="20% - Accent2 3 2 3 4" xfId="2765" xr:uid="{00000000-0005-0000-0000-000074080000}"/>
    <cellStyle name="20% - Accent2 3 2 3 4 2" xfId="2766" xr:uid="{00000000-0005-0000-0000-000075080000}"/>
    <cellStyle name="20% - Accent2 3 2 3 4 2 2" xfId="2767" xr:uid="{00000000-0005-0000-0000-000076080000}"/>
    <cellStyle name="20% - Accent2 3 2 3 4 2 3" xfId="2768" xr:uid="{00000000-0005-0000-0000-000077080000}"/>
    <cellStyle name="20% - Accent2 3 2 3 4 3" xfId="2769" xr:uid="{00000000-0005-0000-0000-000078080000}"/>
    <cellStyle name="20% - Accent2 3 2 3 4 4" xfId="2770" xr:uid="{00000000-0005-0000-0000-000079080000}"/>
    <cellStyle name="20% - Accent2 3 2 3 4 5" xfId="2771" xr:uid="{00000000-0005-0000-0000-00007A080000}"/>
    <cellStyle name="20% - Accent2 3 2 3 4 6" xfId="2772" xr:uid="{00000000-0005-0000-0000-00007B080000}"/>
    <cellStyle name="20% - Accent2 3 2 3 5" xfId="2773" xr:uid="{00000000-0005-0000-0000-00007C080000}"/>
    <cellStyle name="20% - Accent2 3 2 3 5 2" xfId="2774" xr:uid="{00000000-0005-0000-0000-00007D080000}"/>
    <cellStyle name="20% - Accent2 3 2 3 5 2 2" xfId="2775" xr:uid="{00000000-0005-0000-0000-00007E080000}"/>
    <cellStyle name="20% - Accent2 3 2 3 5 2 3" xfId="2776" xr:uid="{00000000-0005-0000-0000-00007F080000}"/>
    <cellStyle name="20% - Accent2 3 2 3 5 3" xfId="2777" xr:uid="{00000000-0005-0000-0000-000080080000}"/>
    <cellStyle name="20% - Accent2 3 2 3 5 4" xfId="2778" xr:uid="{00000000-0005-0000-0000-000081080000}"/>
    <cellStyle name="20% - Accent2 3 2 3 5 5" xfId="2779" xr:uid="{00000000-0005-0000-0000-000082080000}"/>
    <cellStyle name="20% - Accent2 3 2 3 5 6" xfId="2780" xr:uid="{00000000-0005-0000-0000-000083080000}"/>
    <cellStyle name="20% - Accent2 3 2 3 6" xfId="2781" xr:uid="{00000000-0005-0000-0000-000084080000}"/>
    <cellStyle name="20% - Accent2 3 2 3 6 2" xfId="2782" xr:uid="{00000000-0005-0000-0000-000085080000}"/>
    <cellStyle name="20% - Accent2 3 2 3 6 3" xfId="2783" xr:uid="{00000000-0005-0000-0000-000086080000}"/>
    <cellStyle name="20% - Accent2 3 2 3 7" xfId="2784" xr:uid="{00000000-0005-0000-0000-000087080000}"/>
    <cellStyle name="20% - Accent2 3 2 3 8" xfId="2785" xr:uid="{00000000-0005-0000-0000-000088080000}"/>
    <cellStyle name="20% - Accent2 3 2 3 9" xfId="2786" xr:uid="{00000000-0005-0000-0000-000089080000}"/>
    <cellStyle name="20% - Accent2 3 2 4" xfId="2787" xr:uid="{00000000-0005-0000-0000-00008A080000}"/>
    <cellStyle name="20% - Accent2 3 2 4 2" xfId="2788" xr:uid="{00000000-0005-0000-0000-00008B080000}"/>
    <cellStyle name="20% - Accent2 3 2 4 2 2" xfId="2789" xr:uid="{00000000-0005-0000-0000-00008C080000}"/>
    <cellStyle name="20% - Accent2 3 2 4 2 2 2" xfId="2790" xr:uid="{00000000-0005-0000-0000-00008D080000}"/>
    <cellStyle name="20% - Accent2 3 2 4 2 2 2 2" xfId="2791" xr:uid="{00000000-0005-0000-0000-00008E080000}"/>
    <cellStyle name="20% - Accent2 3 2 4 2 2 2 3" xfId="2792" xr:uid="{00000000-0005-0000-0000-00008F080000}"/>
    <cellStyle name="20% - Accent2 3 2 4 2 2 3" xfId="2793" xr:uid="{00000000-0005-0000-0000-000090080000}"/>
    <cellStyle name="20% - Accent2 3 2 4 2 2 4" xfId="2794" xr:uid="{00000000-0005-0000-0000-000091080000}"/>
    <cellStyle name="20% - Accent2 3 2 4 2 2 5" xfId="2795" xr:uid="{00000000-0005-0000-0000-000092080000}"/>
    <cellStyle name="20% - Accent2 3 2 4 2 2 6" xfId="2796" xr:uid="{00000000-0005-0000-0000-000093080000}"/>
    <cellStyle name="20% - Accent2 3 2 4 2 3" xfId="2797" xr:uid="{00000000-0005-0000-0000-000094080000}"/>
    <cellStyle name="20% - Accent2 3 2 4 2 3 2" xfId="2798" xr:uid="{00000000-0005-0000-0000-000095080000}"/>
    <cellStyle name="20% - Accent2 3 2 4 2 3 3" xfId="2799" xr:uid="{00000000-0005-0000-0000-000096080000}"/>
    <cellStyle name="20% - Accent2 3 2 4 2 4" xfId="2800" xr:uid="{00000000-0005-0000-0000-000097080000}"/>
    <cellStyle name="20% - Accent2 3 2 4 2 5" xfId="2801" xr:uid="{00000000-0005-0000-0000-000098080000}"/>
    <cellStyle name="20% - Accent2 3 2 4 2 6" xfId="2802" xr:uid="{00000000-0005-0000-0000-000099080000}"/>
    <cellStyle name="20% - Accent2 3 2 4 2 7" xfId="2803" xr:uid="{00000000-0005-0000-0000-00009A080000}"/>
    <cellStyle name="20% - Accent2 3 2 4 3" xfId="2804" xr:uid="{00000000-0005-0000-0000-00009B080000}"/>
    <cellStyle name="20% - Accent2 3 2 4 3 2" xfId="2805" xr:uid="{00000000-0005-0000-0000-00009C080000}"/>
    <cellStyle name="20% - Accent2 3 2 4 3 2 2" xfId="2806" xr:uid="{00000000-0005-0000-0000-00009D080000}"/>
    <cellStyle name="20% - Accent2 3 2 4 3 2 3" xfId="2807" xr:uid="{00000000-0005-0000-0000-00009E080000}"/>
    <cellStyle name="20% - Accent2 3 2 4 3 3" xfId="2808" xr:uid="{00000000-0005-0000-0000-00009F080000}"/>
    <cellStyle name="20% - Accent2 3 2 4 3 4" xfId="2809" xr:uid="{00000000-0005-0000-0000-0000A0080000}"/>
    <cellStyle name="20% - Accent2 3 2 4 3 5" xfId="2810" xr:uid="{00000000-0005-0000-0000-0000A1080000}"/>
    <cellStyle name="20% - Accent2 3 2 4 3 6" xfId="2811" xr:uid="{00000000-0005-0000-0000-0000A2080000}"/>
    <cellStyle name="20% - Accent2 3 2 4 4" xfId="2812" xr:uid="{00000000-0005-0000-0000-0000A3080000}"/>
    <cellStyle name="20% - Accent2 3 2 4 4 2" xfId="2813" xr:uid="{00000000-0005-0000-0000-0000A4080000}"/>
    <cellStyle name="20% - Accent2 3 2 4 4 2 2" xfId="2814" xr:uid="{00000000-0005-0000-0000-0000A5080000}"/>
    <cellStyle name="20% - Accent2 3 2 4 4 2 3" xfId="2815" xr:uid="{00000000-0005-0000-0000-0000A6080000}"/>
    <cellStyle name="20% - Accent2 3 2 4 4 3" xfId="2816" xr:uid="{00000000-0005-0000-0000-0000A7080000}"/>
    <cellStyle name="20% - Accent2 3 2 4 4 4" xfId="2817" xr:uid="{00000000-0005-0000-0000-0000A8080000}"/>
    <cellStyle name="20% - Accent2 3 2 4 4 5" xfId="2818" xr:uid="{00000000-0005-0000-0000-0000A9080000}"/>
    <cellStyle name="20% - Accent2 3 2 4 4 6" xfId="2819" xr:uid="{00000000-0005-0000-0000-0000AA080000}"/>
    <cellStyle name="20% - Accent2 3 2 4 5" xfId="2820" xr:uid="{00000000-0005-0000-0000-0000AB080000}"/>
    <cellStyle name="20% - Accent2 3 2 4 5 2" xfId="2821" xr:uid="{00000000-0005-0000-0000-0000AC080000}"/>
    <cellStyle name="20% - Accent2 3 2 4 5 3" xfId="2822" xr:uid="{00000000-0005-0000-0000-0000AD080000}"/>
    <cellStyle name="20% - Accent2 3 2 4 6" xfId="2823" xr:uid="{00000000-0005-0000-0000-0000AE080000}"/>
    <cellStyle name="20% - Accent2 3 2 4 7" xfId="2824" xr:uid="{00000000-0005-0000-0000-0000AF080000}"/>
    <cellStyle name="20% - Accent2 3 2 4 8" xfId="2825" xr:uid="{00000000-0005-0000-0000-0000B0080000}"/>
    <cellStyle name="20% - Accent2 3 2 4 9" xfId="2826" xr:uid="{00000000-0005-0000-0000-0000B1080000}"/>
    <cellStyle name="20% - Accent2 3 2 5" xfId="2827" xr:uid="{00000000-0005-0000-0000-0000B2080000}"/>
    <cellStyle name="20% - Accent2 3 2 5 2" xfId="2828" xr:uid="{00000000-0005-0000-0000-0000B3080000}"/>
    <cellStyle name="20% - Accent2 3 2 5 2 2" xfId="2829" xr:uid="{00000000-0005-0000-0000-0000B4080000}"/>
    <cellStyle name="20% - Accent2 3 2 5 2 2 2" xfId="2830" xr:uid="{00000000-0005-0000-0000-0000B5080000}"/>
    <cellStyle name="20% - Accent2 3 2 5 2 2 3" xfId="2831" xr:uid="{00000000-0005-0000-0000-0000B6080000}"/>
    <cellStyle name="20% - Accent2 3 2 5 2 3" xfId="2832" xr:uid="{00000000-0005-0000-0000-0000B7080000}"/>
    <cellStyle name="20% - Accent2 3 2 5 2 4" xfId="2833" xr:uid="{00000000-0005-0000-0000-0000B8080000}"/>
    <cellStyle name="20% - Accent2 3 2 5 2 5" xfId="2834" xr:uid="{00000000-0005-0000-0000-0000B9080000}"/>
    <cellStyle name="20% - Accent2 3 2 5 2 6" xfId="2835" xr:uid="{00000000-0005-0000-0000-0000BA080000}"/>
    <cellStyle name="20% - Accent2 3 2 5 3" xfId="2836" xr:uid="{00000000-0005-0000-0000-0000BB080000}"/>
    <cellStyle name="20% - Accent2 3 2 5 3 2" xfId="2837" xr:uid="{00000000-0005-0000-0000-0000BC080000}"/>
    <cellStyle name="20% - Accent2 3 2 5 3 3" xfId="2838" xr:uid="{00000000-0005-0000-0000-0000BD080000}"/>
    <cellStyle name="20% - Accent2 3 2 5 4" xfId="2839" xr:uid="{00000000-0005-0000-0000-0000BE080000}"/>
    <cellStyle name="20% - Accent2 3 2 5 5" xfId="2840" xr:uid="{00000000-0005-0000-0000-0000BF080000}"/>
    <cellStyle name="20% - Accent2 3 2 5 6" xfId="2841" xr:uid="{00000000-0005-0000-0000-0000C0080000}"/>
    <cellStyle name="20% - Accent2 3 2 5 7" xfId="2842" xr:uid="{00000000-0005-0000-0000-0000C1080000}"/>
    <cellStyle name="20% - Accent2 3 2 6" xfId="2843" xr:uid="{00000000-0005-0000-0000-0000C2080000}"/>
    <cellStyle name="20% - Accent2 3 2 6 2" xfId="2844" xr:uid="{00000000-0005-0000-0000-0000C3080000}"/>
    <cellStyle name="20% - Accent2 3 2 6 2 2" xfId="2845" xr:uid="{00000000-0005-0000-0000-0000C4080000}"/>
    <cellStyle name="20% - Accent2 3 2 6 2 3" xfId="2846" xr:uid="{00000000-0005-0000-0000-0000C5080000}"/>
    <cellStyle name="20% - Accent2 3 2 6 3" xfId="2847" xr:uid="{00000000-0005-0000-0000-0000C6080000}"/>
    <cellStyle name="20% - Accent2 3 2 6 4" xfId="2848" xr:uid="{00000000-0005-0000-0000-0000C7080000}"/>
    <cellStyle name="20% - Accent2 3 2 6 5" xfId="2849" xr:uid="{00000000-0005-0000-0000-0000C8080000}"/>
    <cellStyle name="20% - Accent2 3 2 6 6" xfId="2850" xr:uid="{00000000-0005-0000-0000-0000C9080000}"/>
    <cellStyle name="20% - Accent2 3 2 7" xfId="2851" xr:uid="{00000000-0005-0000-0000-0000CA080000}"/>
    <cellStyle name="20% - Accent2 3 2 7 2" xfId="2852" xr:uid="{00000000-0005-0000-0000-0000CB080000}"/>
    <cellStyle name="20% - Accent2 3 2 7 2 2" xfId="2853" xr:uid="{00000000-0005-0000-0000-0000CC080000}"/>
    <cellStyle name="20% - Accent2 3 2 7 2 3" xfId="2854" xr:uid="{00000000-0005-0000-0000-0000CD080000}"/>
    <cellStyle name="20% - Accent2 3 2 7 3" xfId="2855" xr:uid="{00000000-0005-0000-0000-0000CE080000}"/>
    <cellStyle name="20% - Accent2 3 2 7 4" xfId="2856" xr:uid="{00000000-0005-0000-0000-0000CF080000}"/>
    <cellStyle name="20% - Accent2 3 2 7 5" xfId="2857" xr:uid="{00000000-0005-0000-0000-0000D0080000}"/>
    <cellStyle name="20% - Accent2 3 2 7 6" xfId="2858" xr:uid="{00000000-0005-0000-0000-0000D1080000}"/>
    <cellStyle name="20% - Accent2 3 2 8" xfId="2859" xr:uid="{00000000-0005-0000-0000-0000D2080000}"/>
    <cellStyle name="20% - Accent2 3 2 8 2" xfId="2860" xr:uid="{00000000-0005-0000-0000-0000D3080000}"/>
    <cellStyle name="20% - Accent2 3 2 8 2 2" xfId="2861" xr:uid="{00000000-0005-0000-0000-0000D4080000}"/>
    <cellStyle name="20% - Accent2 3 2 8 2 3" xfId="2862" xr:uid="{00000000-0005-0000-0000-0000D5080000}"/>
    <cellStyle name="20% - Accent2 3 2 8 3" xfId="2863" xr:uid="{00000000-0005-0000-0000-0000D6080000}"/>
    <cellStyle name="20% - Accent2 3 2 8 4" xfId="2864" xr:uid="{00000000-0005-0000-0000-0000D7080000}"/>
    <cellStyle name="20% - Accent2 3 2 8 5" xfId="2865" xr:uid="{00000000-0005-0000-0000-0000D8080000}"/>
    <cellStyle name="20% - Accent2 3 2 8 6" xfId="2866" xr:uid="{00000000-0005-0000-0000-0000D9080000}"/>
    <cellStyle name="20% - Accent2 3 2 9" xfId="2867" xr:uid="{00000000-0005-0000-0000-0000DA080000}"/>
    <cellStyle name="20% - Accent2 3 2 9 2" xfId="2868" xr:uid="{00000000-0005-0000-0000-0000DB080000}"/>
    <cellStyle name="20% - Accent2 3 2 9 2 2" xfId="2869" xr:uid="{00000000-0005-0000-0000-0000DC080000}"/>
    <cellStyle name="20% - Accent2 3 2 9 2 3" xfId="2870" xr:uid="{00000000-0005-0000-0000-0000DD080000}"/>
    <cellStyle name="20% - Accent2 3 2 9 3" xfId="2871" xr:uid="{00000000-0005-0000-0000-0000DE080000}"/>
    <cellStyle name="20% - Accent2 3 2 9 4" xfId="2872" xr:uid="{00000000-0005-0000-0000-0000DF080000}"/>
    <cellStyle name="20% - Accent2 3 2 9 5" xfId="2873" xr:uid="{00000000-0005-0000-0000-0000E0080000}"/>
    <cellStyle name="20% - Accent2 3 2 9 6" xfId="2874" xr:uid="{00000000-0005-0000-0000-0000E1080000}"/>
    <cellStyle name="20% - Accent2 3 3" xfId="2875" xr:uid="{00000000-0005-0000-0000-0000E2080000}"/>
    <cellStyle name="20% - Accent2 3 3 10" xfId="2876" xr:uid="{00000000-0005-0000-0000-0000E3080000}"/>
    <cellStyle name="20% - Accent2 3 3 10 2" xfId="2877" xr:uid="{00000000-0005-0000-0000-0000E4080000}"/>
    <cellStyle name="20% - Accent2 3 3 10 3" xfId="2878" xr:uid="{00000000-0005-0000-0000-0000E5080000}"/>
    <cellStyle name="20% - Accent2 3 3 11" xfId="2879" xr:uid="{00000000-0005-0000-0000-0000E6080000}"/>
    <cellStyle name="20% - Accent2 3 3 12" xfId="2880" xr:uid="{00000000-0005-0000-0000-0000E7080000}"/>
    <cellStyle name="20% - Accent2 3 3 13" xfId="2881" xr:uid="{00000000-0005-0000-0000-0000E8080000}"/>
    <cellStyle name="20% - Accent2 3 3 14" xfId="2882" xr:uid="{00000000-0005-0000-0000-0000E9080000}"/>
    <cellStyle name="20% - Accent2 3 3 2" xfId="2883" xr:uid="{00000000-0005-0000-0000-0000EA080000}"/>
    <cellStyle name="20% - Accent2 3 3 2 10" xfId="2884" xr:uid="{00000000-0005-0000-0000-0000EB080000}"/>
    <cellStyle name="20% - Accent2 3 3 2 11" xfId="2885" xr:uid="{00000000-0005-0000-0000-0000EC080000}"/>
    <cellStyle name="20% - Accent2 3 3 2 12" xfId="2886" xr:uid="{00000000-0005-0000-0000-0000ED080000}"/>
    <cellStyle name="20% - Accent2 3 3 2 13" xfId="2887" xr:uid="{00000000-0005-0000-0000-0000EE080000}"/>
    <cellStyle name="20% - Accent2 3 3 2 2" xfId="2888" xr:uid="{00000000-0005-0000-0000-0000EF080000}"/>
    <cellStyle name="20% - Accent2 3 3 2 2 10" xfId="2889" xr:uid="{00000000-0005-0000-0000-0000F0080000}"/>
    <cellStyle name="20% - Accent2 3 3 2 2 2" xfId="2890" xr:uid="{00000000-0005-0000-0000-0000F1080000}"/>
    <cellStyle name="20% - Accent2 3 3 2 2 2 2" xfId="2891" xr:uid="{00000000-0005-0000-0000-0000F2080000}"/>
    <cellStyle name="20% - Accent2 3 3 2 2 2 2 2" xfId="2892" xr:uid="{00000000-0005-0000-0000-0000F3080000}"/>
    <cellStyle name="20% - Accent2 3 3 2 2 2 2 2 2" xfId="2893" xr:uid="{00000000-0005-0000-0000-0000F4080000}"/>
    <cellStyle name="20% - Accent2 3 3 2 2 2 2 2 3" xfId="2894" xr:uid="{00000000-0005-0000-0000-0000F5080000}"/>
    <cellStyle name="20% - Accent2 3 3 2 2 2 2 3" xfId="2895" xr:uid="{00000000-0005-0000-0000-0000F6080000}"/>
    <cellStyle name="20% - Accent2 3 3 2 2 2 2 4" xfId="2896" xr:uid="{00000000-0005-0000-0000-0000F7080000}"/>
    <cellStyle name="20% - Accent2 3 3 2 2 2 2 5" xfId="2897" xr:uid="{00000000-0005-0000-0000-0000F8080000}"/>
    <cellStyle name="20% - Accent2 3 3 2 2 2 2 6" xfId="2898" xr:uid="{00000000-0005-0000-0000-0000F9080000}"/>
    <cellStyle name="20% - Accent2 3 3 2 2 2 3" xfId="2899" xr:uid="{00000000-0005-0000-0000-0000FA080000}"/>
    <cellStyle name="20% - Accent2 3 3 2 2 2 3 2" xfId="2900" xr:uid="{00000000-0005-0000-0000-0000FB080000}"/>
    <cellStyle name="20% - Accent2 3 3 2 2 2 3 2 2" xfId="2901" xr:uid="{00000000-0005-0000-0000-0000FC080000}"/>
    <cellStyle name="20% - Accent2 3 3 2 2 2 3 2 3" xfId="2902" xr:uid="{00000000-0005-0000-0000-0000FD080000}"/>
    <cellStyle name="20% - Accent2 3 3 2 2 2 3 3" xfId="2903" xr:uid="{00000000-0005-0000-0000-0000FE080000}"/>
    <cellStyle name="20% - Accent2 3 3 2 2 2 3 4" xfId="2904" xr:uid="{00000000-0005-0000-0000-0000FF080000}"/>
    <cellStyle name="20% - Accent2 3 3 2 2 2 3 5" xfId="2905" xr:uid="{00000000-0005-0000-0000-000000090000}"/>
    <cellStyle name="20% - Accent2 3 3 2 2 2 3 6" xfId="2906" xr:uid="{00000000-0005-0000-0000-000001090000}"/>
    <cellStyle name="20% - Accent2 3 3 2 2 2 4" xfId="2907" xr:uid="{00000000-0005-0000-0000-000002090000}"/>
    <cellStyle name="20% - Accent2 3 3 2 2 2 4 2" xfId="2908" xr:uid="{00000000-0005-0000-0000-000003090000}"/>
    <cellStyle name="20% - Accent2 3 3 2 2 2 4 3" xfId="2909" xr:uid="{00000000-0005-0000-0000-000004090000}"/>
    <cellStyle name="20% - Accent2 3 3 2 2 2 5" xfId="2910" xr:uid="{00000000-0005-0000-0000-000005090000}"/>
    <cellStyle name="20% - Accent2 3 3 2 2 2 6" xfId="2911" xr:uid="{00000000-0005-0000-0000-000006090000}"/>
    <cellStyle name="20% - Accent2 3 3 2 2 2 7" xfId="2912" xr:uid="{00000000-0005-0000-0000-000007090000}"/>
    <cellStyle name="20% - Accent2 3 3 2 2 2 8" xfId="2913" xr:uid="{00000000-0005-0000-0000-000008090000}"/>
    <cellStyle name="20% - Accent2 3 3 2 2 3" xfId="2914" xr:uid="{00000000-0005-0000-0000-000009090000}"/>
    <cellStyle name="20% - Accent2 3 3 2 2 3 2" xfId="2915" xr:uid="{00000000-0005-0000-0000-00000A090000}"/>
    <cellStyle name="20% - Accent2 3 3 2 2 3 2 2" xfId="2916" xr:uid="{00000000-0005-0000-0000-00000B090000}"/>
    <cellStyle name="20% - Accent2 3 3 2 2 3 2 2 2" xfId="2917" xr:uid="{00000000-0005-0000-0000-00000C090000}"/>
    <cellStyle name="20% - Accent2 3 3 2 2 3 2 2 3" xfId="2918" xr:uid="{00000000-0005-0000-0000-00000D090000}"/>
    <cellStyle name="20% - Accent2 3 3 2 2 3 2 3" xfId="2919" xr:uid="{00000000-0005-0000-0000-00000E090000}"/>
    <cellStyle name="20% - Accent2 3 3 2 2 3 2 4" xfId="2920" xr:uid="{00000000-0005-0000-0000-00000F090000}"/>
    <cellStyle name="20% - Accent2 3 3 2 2 3 2 5" xfId="2921" xr:uid="{00000000-0005-0000-0000-000010090000}"/>
    <cellStyle name="20% - Accent2 3 3 2 2 3 2 6" xfId="2922" xr:uid="{00000000-0005-0000-0000-000011090000}"/>
    <cellStyle name="20% - Accent2 3 3 2 2 3 3" xfId="2923" xr:uid="{00000000-0005-0000-0000-000012090000}"/>
    <cellStyle name="20% - Accent2 3 3 2 2 3 3 2" xfId="2924" xr:uid="{00000000-0005-0000-0000-000013090000}"/>
    <cellStyle name="20% - Accent2 3 3 2 2 3 3 3" xfId="2925" xr:uid="{00000000-0005-0000-0000-000014090000}"/>
    <cellStyle name="20% - Accent2 3 3 2 2 3 4" xfId="2926" xr:uid="{00000000-0005-0000-0000-000015090000}"/>
    <cellStyle name="20% - Accent2 3 3 2 2 3 5" xfId="2927" xr:uid="{00000000-0005-0000-0000-000016090000}"/>
    <cellStyle name="20% - Accent2 3 3 2 2 3 6" xfId="2928" xr:uid="{00000000-0005-0000-0000-000017090000}"/>
    <cellStyle name="20% - Accent2 3 3 2 2 3 7" xfId="2929" xr:uid="{00000000-0005-0000-0000-000018090000}"/>
    <cellStyle name="20% - Accent2 3 3 2 2 4" xfId="2930" xr:uid="{00000000-0005-0000-0000-000019090000}"/>
    <cellStyle name="20% - Accent2 3 3 2 2 4 2" xfId="2931" xr:uid="{00000000-0005-0000-0000-00001A090000}"/>
    <cellStyle name="20% - Accent2 3 3 2 2 4 2 2" xfId="2932" xr:uid="{00000000-0005-0000-0000-00001B090000}"/>
    <cellStyle name="20% - Accent2 3 3 2 2 4 2 3" xfId="2933" xr:uid="{00000000-0005-0000-0000-00001C090000}"/>
    <cellStyle name="20% - Accent2 3 3 2 2 4 3" xfId="2934" xr:uid="{00000000-0005-0000-0000-00001D090000}"/>
    <cellStyle name="20% - Accent2 3 3 2 2 4 4" xfId="2935" xr:uid="{00000000-0005-0000-0000-00001E090000}"/>
    <cellStyle name="20% - Accent2 3 3 2 2 4 5" xfId="2936" xr:uid="{00000000-0005-0000-0000-00001F090000}"/>
    <cellStyle name="20% - Accent2 3 3 2 2 4 6" xfId="2937" xr:uid="{00000000-0005-0000-0000-000020090000}"/>
    <cellStyle name="20% - Accent2 3 3 2 2 5" xfId="2938" xr:uid="{00000000-0005-0000-0000-000021090000}"/>
    <cellStyle name="20% - Accent2 3 3 2 2 5 2" xfId="2939" xr:uid="{00000000-0005-0000-0000-000022090000}"/>
    <cellStyle name="20% - Accent2 3 3 2 2 5 2 2" xfId="2940" xr:uid="{00000000-0005-0000-0000-000023090000}"/>
    <cellStyle name="20% - Accent2 3 3 2 2 5 2 3" xfId="2941" xr:uid="{00000000-0005-0000-0000-000024090000}"/>
    <cellStyle name="20% - Accent2 3 3 2 2 5 3" xfId="2942" xr:uid="{00000000-0005-0000-0000-000025090000}"/>
    <cellStyle name="20% - Accent2 3 3 2 2 5 4" xfId="2943" xr:uid="{00000000-0005-0000-0000-000026090000}"/>
    <cellStyle name="20% - Accent2 3 3 2 2 5 5" xfId="2944" xr:uid="{00000000-0005-0000-0000-000027090000}"/>
    <cellStyle name="20% - Accent2 3 3 2 2 5 6" xfId="2945" xr:uid="{00000000-0005-0000-0000-000028090000}"/>
    <cellStyle name="20% - Accent2 3 3 2 2 6" xfId="2946" xr:uid="{00000000-0005-0000-0000-000029090000}"/>
    <cellStyle name="20% - Accent2 3 3 2 2 6 2" xfId="2947" xr:uid="{00000000-0005-0000-0000-00002A090000}"/>
    <cellStyle name="20% - Accent2 3 3 2 2 6 3" xfId="2948" xr:uid="{00000000-0005-0000-0000-00002B090000}"/>
    <cellStyle name="20% - Accent2 3 3 2 2 7" xfId="2949" xr:uid="{00000000-0005-0000-0000-00002C090000}"/>
    <cellStyle name="20% - Accent2 3 3 2 2 8" xfId="2950" xr:uid="{00000000-0005-0000-0000-00002D090000}"/>
    <cellStyle name="20% - Accent2 3 3 2 2 9" xfId="2951" xr:uid="{00000000-0005-0000-0000-00002E090000}"/>
    <cellStyle name="20% - Accent2 3 3 2 3" xfId="2952" xr:uid="{00000000-0005-0000-0000-00002F090000}"/>
    <cellStyle name="20% - Accent2 3 3 2 3 2" xfId="2953" xr:uid="{00000000-0005-0000-0000-000030090000}"/>
    <cellStyle name="20% - Accent2 3 3 2 3 2 2" xfId="2954" xr:uid="{00000000-0005-0000-0000-000031090000}"/>
    <cellStyle name="20% - Accent2 3 3 2 3 2 2 2" xfId="2955" xr:uid="{00000000-0005-0000-0000-000032090000}"/>
    <cellStyle name="20% - Accent2 3 3 2 3 2 2 2 2" xfId="2956" xr:uid="{00000000-0005-0000-0000-000033090000}"/>
    <cellStyle name="20% - Accent2 3 3 2 3 2 2 2 3" xfId="2957" xr:uid="{00000000-0005-0000-0000-000034090000}"/>
    <cellStyle name="20% - Accent2 3 3 2 3 2 2 3" xfId="2958" xr:uid="{00000000-0005-0000-0000-000035090000}"/>
    <cellStyle name="20% - Accent2 3 3 2 3 2 2 4" xfId="2959" xr:uid="{00000000-0005-0000-0000-000036090000}"/>
    <cellStyle name="20% - Accent2 3 3 2 3 2 2 5" xfId="2960" xr:uid="{00000000-0005-0000-0000-000037090000}"/>
    <cellStyle name="20% - Accent2 3 3 2 3 2 2 6" xfId="2961" xr:uid="{00000000-0005-0000-0000-000038090000}"/>
    <cellStyle name="20% - Accent2 3 3 2 3 2 3" xfId="2962" xr:uid="{00000000-0005-0000-0000-000039090000}"/>
    <cellStyle name="20% - Accent2 3 3 2 3 2 3 2" xfId="2963" xr:uid="{00000000-0005-0000-0000-00003A090000}"/>
    <cellStyle name="20% - Accent2 3 3 2 3 2 3 3" xfId="2964" xr:uid="{00000000-0005-0000-0000-00003B090000}"/>
    <cellStyle name="20% - Accent2 3 3 2 3 2 4" xfId="2965" xr:uid="{00000000-0005-0000-0000-00003C090000}"/>
    <cellStyle name="20% - Accent2 3 3 2 3 2 5" xfId="2966" xr:uid="{00000000-0005-0000-0000-00003D090000}"/>
    <cellStyle name="20% - Accent2 3 3 2 3 2 6" xfId="2967" xr:uid="{00000000-0005-0000-0000-00003E090000}"/>
    <cellStyle name="20% - Accent2 3 3 2 3 2 7" xfId="2968" xr:uid="{00000000-0005-0000-0000-00003F090000}"/>
    <cellStyle name="20% - Accent2 3 3 2 3 3" xfId="2969" xr:uid="{00000000-0005-0000-0000-000040090000}"/>
    <cellStyle name="20% - Accent2 3 3 2 3 3 2" xfId="2970" xr:uid="{00000000-0005-0000-0000-000041090000}"/>
    <cellStyle name="20% - Accent2 3 3 2 3 3 2 2" xfId="2971" xr:uid="{00000000-0005-0000-0000-000042090000}"/>
    <cellStyle name="20% - Accent2 3 3 2 3 3 2 3" xfId="2972" xr:uid="{00000000-0005-0000-0000-000043090000}"/>
    <cellStyle name="20% - Accent2 3 3 2 3 3 3" xfId="2973" xr:uid="{00000000-0005-0000-0000-000044090000}"/>
    <cellStyle name="20% - Accent2 3 3 2 3 3 4" xfId="2974" xr:uid="{00000000-0005-0000-0000-000045090000}"/>
    <cellStyle name="20% - Accent2 3 3 2 3 3 5" xfId="2975" xr:uid="{00000000-0005-0000-0000-000046090000}"/>
    <cellStyle name="20% - Accent2 3 3 2 3 3 6" xfId="2976" xr:uid="{00000000-0005-0000-0000-000047090000}"/>
    <cellStyle name="20% - Accent2 3 3 2 3 4" xfId="2977" xr:uid="{00000000-0005-0000-0000-000048090000}"/>
    <cellStyle name="20% - Accent2 3 3 2 3 4 2" xfId="2978" xr:uid="{00000000-0005-0000-0000-000049090000}"/>
    <cellStyle name="20% - Accent2 3 3 2 3 4 2 2" xfId="2979" xr:uid="{00000000-0005-0000-0000-00004A090000}"/>
    <cellStyle name="20% - Accent2 3 3 2 3 4 2 3" xfId="2980" xr:uid="{00000000-0005-0000-0000-00004B090000}"/>
    <cellStyle name="20% - Accent2 3 3 2 3 4 3" xfId="2981" xr:uid="{00000000-0005-0000-0000-00004C090000}"/>
    <cellStyle name="20% - Accent2 3 3 2 3 4 4" xfId="2982" xr:uid="{00000000-0005-0000-0000-00004D090000}"/>
    <cellStyle name="20% - Accent2 3 3 2 3 4 5" xfId="2983" xr:uid="{00000000-0005-0000-0000-00004E090000}"/>
    <cellStyle name="20% - Accent2 3 3 2 3 4 6" xfId="2984" xr:uid="{00000000-0005-0000-0000-00004F090000}"/>
    <cellStyle name="20% - Accent2 3 3 2 3 5" xfId="2985" xr:uid="{00000000-0005-0000-0000-000050090000}"/>
    <cellStyle name="20% - Accent2 3 3 2 3 5 2" xfId="2986" xr:uid="{00000000-0005-0000-0000-000051090000}"/>
    <cellStyle name="20% - Accent2 3 3 2 3 5 3" xfId="2987" xr:uid="{00000000-0005-0000-0000-000052090000}"/>
    <cellStyle name="20% - Accent2 3 3 2 3 6" xfId="2988" xr:uid="{00000000-0005-0000-0000-000053090000}"/>
    <cellStyle name="20% - Accent2 3 3 2 3 7" xfId="2989" xr:uid="{00000000-0005-0000-0000-000054090000}"/>
    <cellStyle name="20% - Accent2 3 3 2 3 8" xfId="2990" xr:uid="{00000000-0005-0000-0000-000055090000}"/>
    <cellStyle name="20% - Accent2 3 3 2 3 9" xfId="2991" xr:uid="{00000000-0005-0000-0000-000056090000}"/>
    <cellStyle name="20% - Accent2 3 3 2 4" xfId="2992" xr:uid="{00000000-0005-0000-0000-000057090000}"/>
    <cellStyle name="20% - Accent2 3 3 2 4 2" xfId="2993" xr:uid="{00000000-0005-0000-0000-000058090000}"/>
    <cellStyle name="20% - Accent2 3 3 2 4 2 2" xfId="2994" xr:uid="{00000000-0005-0000-0000-000059090000}"/>
    <cellStyle name="20% - Accent2 3 3 2 4 2 2 2" xfId="2995" xr:uid="{00000000-0005-0000-0000-00005A090000}"/>
    <cellStyle name="20% - Accent2 3 3 2 4 2 2 3" xfId="2996" xr:uid="{00000000-0005-0000-0000-00005B090000}"/>
    <cellStyle name="20% - Accent2 3 3 2 4 2 3" xfId="2997" xr:uid="{00000000-0005-0000-0000-00005C090000}"/>
    <cellStyle name="20% - Accent2 3 3 2 4 2 4" xfId="2998" xr:uid="{00000000-0005-0000-0000-00005D090000}"/>
    <cellStyle name="20% - Accent2 3 3 2 4 2 5" xfId="2999" xr:uid="{00000000-0005-0000-0000-00005E090000}"/>
    <cellStyle name="20% - Accent2 3 3 2 4 2 6" xfId="3000" xr:uid="{00000000-0005-0000-0000-00005F090000}"/>
    <cellStyle name="20% - Accent2 3 3 2 4 3" xfId="3001" xr:uid="{00000000-0005-0000-0000-000060090000}"/>
    <cellStyle name="20% - Accent2 3 3 2 4 3 2" xfId="3002" xr:uid="{00000000-0005-0000-0000-000061090000}"/>
    <cellStyle name="20% - Accent2 3 3 2 4 3 3" xfId="3003" xr:uid="{00000000-0005-0000-0000-000062090000}"/>
    <cellStyle name="20% - Accent2 3 3 2 4 4" xfId="3004" xr:uid="{00000000-0005-0000-0000-000063090000}"/>
    <cellStyle name="20% - Accent2 3 3 2 4 5" xfId="3005" xr:uid="{00000000-0005-0000-0000-000064090000}"/>
    <cellStyle name="20% - Accent2 3 3 2 4 6" xfId="3006" xr:uid="{00000000-0005-0000-0000-000065090000}"/>
    <cellStyle name="20% - Accent2 3 3 2 4 7" xfId="3007" xr:uid="{00000000-0005-0000-0000-000066090000}"/>
    <cellStyle name="20% - Accent2 3 3 2 5" xfId="3008" xr:uid="{00000000-0005-0000-0000-000067090000}"/>
    <cellStyle name="20% - Accent2 3 3 2 5 2" xfId="3009" xr:uid="{00000000-0005-0000-0000-000068090000}"/>
    <cellStyle name="20% - Accent2 3 3 2 5 2 2" xfId="3010" xr:uid="{00000000-0005-0000-0000-000069090000}"/>
    <cellStyle name="20% - Accent2 3 3 2 5 2 3" xfId="3011" xr:uid="{00000000-0005-0000-0000-00006A090000}"/>
    <cellStyle name="20% - Accent2 3 3 2 5 3" xfId="3012" xr:uid="{00000000-0005-0000-0000-00006B090000}"/>
    <cellStyle name="20% - Accent2 3 3 2 5 4" xfId="3013" xr:uid="{00000000-0005-0000-0000-00006C090000}"/>
    <cellStyle name="20% - Accent2 3 3 2 5 5" xfId="3014" xr:uid="{00000000-0005-0000-0000-00006D090000}"/>
    <cellStyle name="20% - Accent2 3 3 2 5 6" xfId="3015" xr:uid="{00000000-0005-0000-0000-00006E090000}"/>
    <cellStyle name="20% - Accent2 3 3 2 6" xfId="3016" xr:uid="{00000000-0005-0000-0000-00006F090000}"/>
    <cellStyle name="20% - Accent2 3 3 2 6 2" xfId="3017" xr:uid="{00000000-0005-0000-0000-000070090000}"/>
    <cellStyle name="20% - Accent2 3 3 2 6 2 2" xfId="3018" xr:uid="{00000000-0005-0000-0000-000071090000}"/>
    <cellStyle name="20% - Accent2 3 3 2 6 2 3" xfId="3019" xr:uid="{00000000-0005-0000-0000-000072090000}"/>
    <cellStyle name="20% - Accent2 3 3 2 6 3" xfId="3020" xr:uid="{00000000-0005-0000-0000-000073090000}"/>
    <cellStyle name="20% - Accent2 3 3 2 6 4" xfId="3021" xr:uid="{00000000-0005-0000-0000-000074090000}"/>
    <cellStyle name="20% - Accent2 3 3 2 6 5" xfId="3022" xr:uid="{00000000-0005-0000-0000-000075090000}"/>
    <cellStyle name="20% - Accent2 3 3 2 6 6" xfId="3023" xr:uid="{00000000-0005-0000-0000-000076090000}"/>
    <cellStyle name="20% - Accent2 3 3 2 7" xfId="3024" xr:uid="{00000000-0005-0000-0000-000077090000}"/>
    <cellStyle name="20% - Accent2 3 3 2 7 2" xfId="3025" xr:uid="{00000000-0005-0000-0000-000078090000}"/>
    <cellStyle name="20% - Accent2 3 3 2 7 2 2" xfId="3026" xr:uid="{00000000-0005-0000-0000-000079090000}"/>
    <cellStyle name="20% - Accent2 3 3 2 7 2 3" xfId="3027" xr:uid="{00000000-0005-0000-0000-00007A090000}"/>
    <cellStyle name="20% - Accent2 3 3 2 7 3" xfId="3028" xr:uid="{00000000-0005-0000-0000-00007B090000}"/>
    <cellStyle name="20% - Accent2 3 3 2 7 4" xfId="3029" xr:uid="{00000000-0005-0000-0000-00007C090000}"/>
    <cellStyle name="20% - Accent2 3 3 2 7 5" xfId="3030" xr:uid="{00000000-0005-0000-0000-00007D090000}"/>
    <cellStyle name="20% - Accent2 3 3 2 7 6" xfId="3031" xr:uid="{00000000-0005-0000-0000-00007E090000}"/>
    <cellStyle name="20% - Accent2 3 3 2 8" xfId="3032" xr:uid="{00000000-0005-0000-0000-00007F090000}"/>
    <cellStyle name="20% - Accent2 3 3 2 8 2" xfId="3033" xr:uid="{00000000-0005-0000-0000-000080090000}"/>
    <cellStyle name="20% - Accent2 3 3 2 8 2 2" xfId="3034" xr:uid="{00000000-0005-0000-0000-000081090000}"/>
    <cellStyle name="20% - Accent2 3 3 2 8 2 3" xfId="3035" xr:uid="{00000000-0005-0000-0000-000082090000}"/>
    <cellStyle name="20% - Accent2 3 3 2 8 3" xfId="3036" xr:uid="{00000000-0005-0000-0000-000083090000}"/>
    <cellStyle name="20% - Accent2 3 3 2 8 4" xfId="3037" xr:uid="{00000000-0005-0000-0000-000084090000}"/>
    <cellStyle name="20% - Accent2 3 3 2 8 5" xfId="3038" xr:uid="{00000000-0005-0000-0000-000085090000}"/>
    <cellStyle name="20% - Accent2 3 3 2 8 6" xfId="3039" xr:uid="{00000000-0005-0000-0000-000086090000}"/>
    <cellStyle name="20% - Accent2 3 3 2 9" xfId="3040" xr:uid="{00000000-0005-0000-0000-000087090000}"/>
    <cellStyle name="20% - Accent2 3 3 2 9 2" xfId="3041" xr:uid="{00000000-0005-0000-0000-000088090000}"/>
    <cellStyle name="20% - Accent2 3 3 2 9 3" xfId="3042" xr:uid="{00000000-0005-0000-0000-000089090000}"/>
    <cellStyle name="20% - Accent2 3 3 3" xfId="3043" xr:uid="{00000000-0005-0000-0000-00008A090000}"/>
    <cellStyle name="20% - Accent2 3 3 3 10" xfId="3044" xr:uid="{00000000-0005-0000-0000-00008B090000}"/>
    <cellStyle name="20% - Accent2 3 3 3 2" xfId="3045" xr:uid="{00000000-0005-0000-0000-00008C090000}"/>
    <cellStyle name="20% - Accent2 3 3 3 2 2" xfId="3046" xr:uid="{00000000-0005-0000-0000-00008D090000}"/>
    <cellStyle name="20% - Accent2 3 3 3 2 2 2" xfId="3047" xr:uid="{00000000-0005-0000-0000-00008E090000}"/>
    <cellStyle name="20% - Accent2 3 3 3 2 2 2 2" xfId="3048" xr:uid="{00000000-0005-0000-0000-00008F090000}"/>
    <cellStyle name="20% - Accent2 3 3 3 2 2 2 3" xfId="3049" xr:uid="{00000000-0005-0000-0000-000090090000}"/>
    <cellStyle name="20% - Accent2 3 3 3 2 2 3" xfId="3050" xr:uid="{00000000-0005-0000-0000-000091090000}"/>
    <cellStyle name="20% - Accent2 3 3 3 2 2 4" xfId="3051" xr:uid="{00000000-0005-0000-0000-000092090000}"/>
    <cellStyle name="20% - Accent2 3 3 3 2 2 5" xfId="3052" xr:uid="{00000000-0005-0000-0000-000093090000}"/>
    <cellStyle name="20% - Accent2 3 3 3 2 2 6" xfId="3053" xr:uid="{00000000-0005-0000-0000-000094090000}"/>
    <cellStyle name="20% - Accent2 3 3 3 2 3" xfId="3054" xr:uid="{00000000-0005-0000-0000-000095090000}"/>
    <cellStyle name="20% - Accent2 3 3 3 2 3 2" xfId="3055" xr:uid="{00000000-0005-0000-0000-000096090000}"/>
    <cellStyle name="20% - Accent2 3 3 3 2 3 2 2" xfId="3056" xr:uid="{00000000-0005-0000-0000-000097090000}"/>
    <cellStyle name="20% - Accent2 3 3 3 2 3 2 3" xfId="3057" xr:uid="{00000000-0005-0000-0000-000098090000}"/>
    <cellStyle name="20% - Accent2 3 3 3 2 3 3" xfId="3058" xr:uid="{00000000-0005-0000-0000-000099090000}"/>
    <cellStyle name="20% - Accent2 3 3 3 2 3 4" xfId="3059" xr:uid="{00000000-0005-0000-0000-00009A090000}"/>
    <cellStyle name="20% - Accent2 3 3 3 2 3 5" xfId="3060" xr:uid="{00000000-0005-0000-0000-00009B090000}"/>
    <cellStyle name="20% - Accent2 3 3 3 2 3 6" xfId="3061" xr:uid="{00000000-0005-0000-0000-00009C090000}"/>
    <cellStyle name="20% - Accent2 3 3 3 2 4" xfId="3062" xr:uid="{00000000-0005-0000-0000-00009D090000}"/>
    <cellStyle name="20% - Accent2 3 3 3 2 4 2" xfId="3063" xr:uid="{00000000-0005-0000-0000-00009E090000}"/>
    <cellStyle name="20% - Accent2 3 3 3 2 4 3" xfId="3064" xr:uid="{00000000-0005-0000-0000-00009F090000}"/>
    <cellStyle name="20% - Accent2 3 3 3 2 5" xfId="3065" xr:uid="{00000000-0005-0000-0000-0000A0090000}"/>
    <cellStyle name="20% - Accent2 3 3 3 2 6" xfId="3066" xr:uid="{00000000-0005-0000-0000-0000A1090000}"/>
    <cellStyle name="20% - Accent2 3 3 3 2 7" xfId="3067" xr:uid="{00000000-0005-0000-0000-0000A2090000}"/>
    <cellStyle name="20% - Accent2 3 3 3 2 8" xfId="3068" xr:uid="{00000000-0005-0000-0000-0000A3090000}"/>
    <cellStyle name="20% - Accent2 3 3 3 3" xfId="3069" xr:uid="{00000000-0005-0000-0000-0000A4090000}"/>
    <cellStyle name="20% - Accent2 3 3 3 3 2" xfId="3070" xr:uid="{00000000-0005-0000-0000-0000A5090000}"/>
    <cellStyle name="20% - Accent2 3 3 3 3 2 2" xfId="3071" xr:uid="{00000000-0005-0000-0000-0000A6090000}"/>
    <cellStyle name="20% - Accent2 3 3 3 3 2 2 2" xfId="3072" xr:uid="{00000000-0005-0000-0000-0000A7090000}"/>
    <cellStyle name="20% - Accent2 3 3 3 3 2 2 3" xfId="3073" xr:uid="{00000000-0005-0000-0000-0000A8090000}"/>
    <cellStyle name="20% - Accent2 3 3 3 3 2 3" xfId="3074" xr:uid="{00000000-0005-0000-0000-0000A9090000}"/>
    <cellStyle name="20% - Accent2 3 3 3 3 2 4" xfId="3075" xr:uid="{00000000-0005-0000-0000-0000AA090000}"/>
    <cellStyle name="20% - Accent2 3 3 3 3 2 5" xfId="3076" xr:uid="{00000000-0005-0000-0000-0000AB090000}"/>
    <cellStyle name="20% - Accent2 3 3 3 3 2 6" xfId="3077" xr:uid="{00000000-0005-0000-0000-0000AC090000}"/>
    <cellStyle name="20% - Accent2 3 3 3 3 3" xfId="3078" xr:uid="{00000000-0005-0000-0000-0000AD090000}"/>
    <cellStyle name="20% - Accent2 3 3 3 3 3 2" xfId="3079" xr:uid="{00000000-0005-0000-0000-0000AE090000}"/>
    <cellStyle name="20% - Accent2 3 3 3 3 3 3" xfId="3080" xr:uid="{00000000-0005-0000-0000-0000AF090000}"/>
    <cellStyle name="20% - Accent2 3 3 3 3 4" xfId="3081" xr:uid="{00000000-0005-0000-0000-0000B0090000}"/>
    <cellStyle name="20% - Accent2 3 3 3 3 5" xfId="3082" xr:uid="{00000000-0005-0000-0000-0000B1090000}"/>
    <cellStyle name="20% - Accent2 3 3 3 3 6" xfId="3083" xr:uid="{00000000-0005-0000-0000-0000B2090000}"/>
    <cellStyle name="20% - Accent2 3 3 3 3 7" xfId="3084" xr:uid="{00000000-0005-0000-0000-0000B3090000}"/>
    <cellStyle name="20% - Accent2 3 3 3 4" xfId="3085" xr:uid="{00000000-0005-0000-0000-0000B4090000}"/>
    <cellStyle name="20% - Accent2 3 3 3 4 2" xfId="3086" xr:uid="{00000000-0005-0000-0000-0000B5090000}"/>
    <cellStyle name="20% - Accent2 3 3 3 4 2 2" xfId="3087" xr:uid="{00000000-0005-0000-0000-0000B6090000}"/>
    <cellStyle name="20% - Accent2 3 3 3 4 2 3" xfId="3088" xr:uid="{00000000-0005-0000-0000-0000B7090000}"/>
    <cellStyle name="20% - Accent2 3 3 3 4 3" xfId="3089" xr:uid="{00000000-0005-0000-0000-0000B8090000}"/>
    <cellStyle name="20% - Accent2 3 3 3 4 4" xfId="3090" xr:uid="{00000000-0005-0000-0000-0000B9090000}"/>
    <cellStyle name="20% - Accent2 3 3 3 4 5" xfId="3091" xr:uid="{00000000-0005-0000-0000-0000BA090000}"/>
    <cellStyle name="20% - Accent2 3 3 3 4 6" xfId="3092" xr:uid="{00000000-0005-0000-0000-0000BB090000}"/>
    <cellStyle name="20% - Accent2 3 3 3 5" xfId="3093" xr:uid="{00000000-0005-0000-0000-0000BC090000}"/>
    <cellStyle name="20% - Accent2 3 3 3 5 2" xfId="3094" xr:uid="{00000000-0005-0000-0000-0000BD090000}"/>
    <cellStyle name="20% - Accent2 3 3 3 5 2 2" xfId="3095" xr:uid="{00000000-0005-0000-0000-0000BE090000}"/>
    <cellStyle name="20% - Accent2 3 3 3 5 2 3" xfId="3096" xr:uid="{00000000-0005-0000-0000-0000BF090000}"/>
    <cellStyle name="20% - Accent2 3 3 3 5 3" xfId="3097" xr:uid="{00000000-0005-0000-0000-0000C0090000}"/>
    <cellStyle name="20% - Accent2 3 3 3 5 4" xfId="3098" xr:uid="{00000000-0005-0000-0000-0000C1090000}"/>
    <cellStyle name="20% - Accent2 3 3 3 5 5" xfId="3099" xr:uid="{00000000-0005-0000-0000-0000C2090000}"/>
    <cellStyle name="20% - Accent2 3 3 3 5 6" xfId="3100" xr:uid="{00000000-0005-0000-0000-0000C3090000}"/>
    <cellStyle name="20% - Accent2 3 3 3 6" xfId="3101" xr:uid="{00000000-0005-0000-0000-0000C4090000}"/>
    <cellStyle name="20% - Accent2 3 3 3 6 2" xfId="3102" xr:uid="{00000000-0005-0000-0000-0000C5090000}"/>
    <cellStyle name="20% - Accent2 3 3 3 6 3" xfId="3103" xr:uid="{00000000-0005-0000-0000-0000C6090000}"/>
    <cellStyle name="20% - Accent2 3 3 3 7" xfId="3104" xr:uid="{00000000-0005-0000-0000-0000C7090000}"/>
    <cellStyle name="20% - Accent2 3 3 3 8" xfId="3105" xr:uid="{00000000-0005-0000-0000-0000C8090000}"/>
    <cellStyle name="20% - Accent2 3 3 3 9" xfId="3106" xr:uid="{00000000-0005-0000-0000-0000C9090000}"/>
    <cellStyle name="20% - Accent2 3 3 4" xfId="3107" xr:uid="{00000000-0005-0000-0000-0000CA090000}"/>
    <cellStyle name="20% - Accent2 3 3 4 2" xfId="3108" xr:uid="{00000000-0005-0000-0000-0000CB090000}"/>
    <cellStyle name="20% - Accent2 3 3 4 2 2" xfId="3109" xr:uid="{00000000-0005-0000-0000-0000CC090000}"/>
    <cellStyle name="20% - Accent2 3 3 4 2 2 2" xfId="3110" xr:uid="{00000000-0005-0000-0000-0000CD090000}"/>
    <cellStyle name="20% - Accent2 3 3 4 2 2 2 2" xfId="3111" xr:uid="{00000000-0005-0000-0000-0000CE090000}"/>
    <cellStyle name="20% - Accent2 3 3 4 2 2 2 3" xfId="3112" xr:uid="{00000000-0005-0000-0000-0000CF090000}"/>
    <cellStyle name="20% - Accent2 3 3 4 2 2 3" xfId="3113" xr:uid="{00000000-0005-0000-0000-0000D0090000}"/>
    <cellStyle name="20% - Accent2 3 3 4 2 2 4" xfId="3114" xr:uid="{00000000-0005-0000-0000-0000D1090000}"/>
    <cellStyle name="20% - Accent2 3 3 4 2 2 5" xfId="3115" xr:uid="{00000000-0005-0000-0000-0000D2090000}"/>
    <cellStyle name="20% - Accent2 3 3 4 2 2 6" xfId="3116" xr:uid="{00000000-0005-0000-0000-0000D3090000}"/>
    <cellStyle name="20% - Accent2 3 3 4 2 3" xfId="3117" xr:uid="{00000000-0005-0000-0000-0000D4090000}"/>
    <cellStyle name="20% - Accent2 3 3 4 2 3 2" xfId="3118" xr:uid="{00000000-0005-0000-0000-0000D5090000}"/>
    <cellStyle name="20% - Accent2 3 3 4 2 3 3" xfId="3119" xr:uid="{00000000-0005-0000-0000-0000D6090000}"/>
    <cellStyle name="20% - Accent2 3 3 4 2 4" xfId="3120" xr:uid="{00000000-0005-0000-0000-0000D7090000}"/>
    <cellStyle name="20% - Accent2 3 3 4 2 5" xfId="3121" xr:uid="{00000000-0005-0000-0000-0000D8090000}"/>
    <cellStyle name="20% - Accent2 3 3 4 2 6" xfId="3122" xr:uid="{00000000-0005-0000-0000-0000D9090000}"/>
    <cellStyle name="20% - Accent2 3 3 4 2 7" xfId="3123" xr:uid="{00000000-0005-0000-0000-0000DA090000}"/>
    <cellStyle name="20% - Accent2 3 3 4 3" xfId="3124" xr:uid="{00000000-0005-0000-0000-0000DB090000}"/>
    <cellStyle name="20% - Accent2 3 3 4 3 2" xfId="3125" xr:uid="{00000000-0005-0000-0000-0000DC090000}"/>
    <cellStyle name="20% - Accent2 3 3 4 3 2 2" xfId="3126" xr:uid="{00000000-0005-0000-0000-0000DD090000}"/>
    <cellStyle name="20% - Accent2 3 3 4 3 2 3" xfId="3127" xr:uid="{00000000-0005-0000-0000-0000DE090000}"/>
    <cellStyle name="20% - Accent2 3 3 4 3 3" xfId="3128" xr:uid="{00000000-0005-0000-0000-0000DF090000}"/>
    <cellStyle name="20% - Accent2 3 3 4 3 4" xfId="3129" xr:uid="{00000000-0005-0000-0000-0000E0090000}"/>
    <cellStyle name="20% - Accent2 3 3 4 3 5" xfId="3130" xr:uid="{00000000-0005-0000-0000-0000E1090000}"/>
    <cellStyle name="20% - Accent2 3 3 4 3 6" xfId="3131" xr:uid="{00000000-0005-0000-0000-0000E2090000}"/>
    <cellStyle name="20% - Accent2 3 3 4 4" xfId="3132" xr:uid="{00000000-0005-0000-0000-0000E3090000}"/>
    <cellStyle name="20% - Accent2 3 3 4 4 2" xfId="3133" xr:uid="{00000000-0005-0000-0000-0000E4090000}"/>
    <cellStyle name="20% - Accent2 3 3 4 4 2 2" xfId="3134" xr:uid="{00000000-0005-0000-0000-0000E5090000}"/>
    <cellStyle name="20% - Accent2 3 3 4 4 2 3" xfId="3135" xr:uid="{00000000-0005-0000-0000-0000E6090000}"/>
    <cellStyle name="20% - Accent2 3 3 4 4 3" xfId="3136" xr:uid="{00000000-0005-0000-0000-0000E7090000}"/>
    <cellStyle name="20% - Accent2 3 3 4 4 4" xfId="3137" xr:uid="{00000000-0005-0000-0000-0000E8090000}"/>
    <cellStyle name="20% - Accent2 3 3 4 4 5" xfId="3138" xr:uid="{00000000-0005-0000-0000-0000E9090000}"/>
    <cellStyle name="20% - Accent2 3 3 4 4 6" xfId="3139" xr:uid="{00000000-0005-0000-0000-0000EA090000}"/>
    <cellStyle name="20% - Accent2 3 3 4 5" xfId="3140" xr:uid="{00000000-0005-0000-0000-0000EB090000}"/>
    <cellStyle name="20% - Accent2 3 3 4 5 2" xfId="3141" xr:uid="{00000000-0005-0000-0000-0000EC090000}"/>
    <cellStyle name="20% - Accent2 3 3 4 5 3" xfId="3142" xr:uid="{00000000-0005-0000-0000-0000ED090000}"/>
    <cellStyle name="20% - Accent2 3 3 4 6" xfId="3143" xr:uid="{00000000-0005-0000-0000-0000EE090000}"/>
    <cellStyle name="20% - Accent2 3 3 4 7" xfId="3144" xr:uid="{00000000-0005-0000-0000-0000EF090000}"/>
    <cellStyle name="20% - Accent2 3 3 4 8" xfId="3145" xr:uid="{00000000-0005-0000-0000-0000F0090000}"/>
    <cellStyle name="20% - Accent2 3 3 4 9" xfId="3146" xr:uid="{00000000-0005-0000-0000-0000F1090000}"/>
    <cellStyle name="20% - Accent2 3 3 5" xfId="3147" xr:uid="{00000000-0005-0000-0000-0000F2090000}"/>
    <cellStyle name="20% - Accent2 3 3 5 2" xfId="3148" xr:uid="{00000000-0005-0000-0000-0000F3090000}"/>
    <cellStyle name="20% - Accent2 3 3 5 2 2" xfId="3149" xr:uid="{00000000-0005-0000-0000-0000F4090000}"/>
    <cellStyle name="20% - Accent2 3 3 5 2 2 2" xfId="3150" xr:uid="{00000000-0005-0000-0000-0000F5090000}"/>
    <cellStyle name="20% - Accent2 3 3 5 2 2 3" xfId="3151" xr:uid="{00000000-0005-0000-0000-0000F6090000}"/>
    <cellStyle name="20% - Accent2 3 3 5 2 3" xfId="3152" xr:uid="{00000000-0005-0000-0000-0000F7090000}"/>
    <cellStyle name="20% - Accent2 3 3 5 2 4" xfId="3153" xr:uid="{00000000-0005-0000-0000-0000F8090000}"/>
    <cellStyle name="20% - Accent2 3 3 5 2 5" xfId="3154" xr:uid="{00000000-0005-0000-0000-0000F9090000}"/>
    <cellStyle name="20% - Accent2 3 3 5 2 6" xfId="3155" xr:uid="{00000000-0005-0000-0000-0000FA090000}"/>
    <cellStyle name="20% - Accent2 3 3 5 3" xfId="3156" xr:uid="{00000000-0005-0000-0000-0000FB090000}"/>
    <cellStyle name="20% - Accent2 3 3 5 3 2" xfId="3157" xr:uid="{00000000-0005-0000-0000-0000FC090000}"/>
    <cellStyle name="20% - Accent2 3 3 5 3 3" xfId="3158" xr:uid="{00000000-0005-0000-0000-0000FD090000}"/>
    <cellStyle name="20% - Accent2 3 3 5 4" xfId="3159" xr:uid="{00000000-0005-0000-0000-0000FE090000}"/>
    <cellStyle name="20% - Accent2 3 3 5 5" xfId="3160" xr:uid="{00000000-0005-0000-0000-0000FF090000}"/>
    <cellStyle name="20% - Accent2 3 3 5 6" xfId="3161" xr:uid="{00000000-0005-0000-0000-0000000A0000}"/>
    <cellStyle name="20% - Accent2 3 3 5 7" xfId="3162" xr:uid="{00000000-0005-0000-0000-0000010A0000}"/>
    <cellStyle name="20% - Accent2 3 3 6" xfId="3163" xr:uid="{00000000-0005-0000-0000-0000020A0000}"/>
    <cellStyle name="20% - Accent2 3 3 6 2" xfId="3164" xr:uid="{00000000-0005-0000-0000-0000030A0000}"/>
    <cellStyle name="20% - Accent2 3 3 6 2 2" xfId="3165" xr:uid="{00000000-0005-0000-0000-0000040A0000}"/>
    <cellStyle name="20% - Accent2 3 3 6 2 3" xfId="3166" xr:uid="{00000000-0005-0000-0000-0000050A0000}"/>
    <cellStyle name="20% - Accent2 3 3 6 3" xfId="3167" xr:uid="{00000000-0005-0000-0000-0000060A0000}"/>
    <cellStyle name="20% - Accent2 3 3 6 4" xfId="3168" xr:uid="{00000000-0005-0000-0000-0000070A0000}"/>
    <cellStyle name="20% - Accent2 3 3 6 5" xfId="3169" xr:uid="{00000000-0005-0000-0000-0000080A0000}"/>
    <cellStyle name="20% - Accent2 3 3 6 6" xfId="3170" xr:uid="{00000000-0005-0000-0000-0000090A0000}"/>
    <cellStyle name="20% - Accent2 3 3 7" xfId="3171" xr:uid="{00000000-0005-0000-0000-00000A0A0000}"/>
    <cellStyle name="20% - Accent2 3 3 7 2" xfId="3172" xr:uid="{00000000-0005-0000-0000-00000B0A0000}"/>
    <cellStyle name="20% - Accent2 3 3 7 2 2" xfId="3173" xr:uid="{00000000-0005-0000-0000-00000C0A0000}"/>
    <cellStyle name="20% - Accent2 3 3 7 2 3" xfId="3174" xr:uid="{00000000-0005-0000-0000-00000D0A0000}"/>
    <cellStyle name="20% - Accent2 3 3 7 3" xfId="3175" xr:uid="{00000000-0005-0000-0000-00000E0A0000}"/>
    <cellStyle name="20% - Accent2 3 3 7 4" xfId="3176" xr:uid="{00000000-0005-0000-0000-00000F0A0000}"/>
    <cellStyle name="20% - Accent2 3 3 7 5" xfId="3177" xr:uid="{00000000-0005-0000-0000-0000100A0000}"/>
    <cellStyle name="20% - Accent2 3 3 7 6" xfId="3178" xr:uid="{00000000-0005-0000-0000-0000110A0000}"/>
    <cellStyle name="20% - Accent2 3 3 8" xfId="3179" xr:uid="{00000000-0005-0000-0000-0000120A0000}"/>
    <cellStyle name="20% - Accent2 3 3 8 2" xfId="3180" xr:uid="{00000000-0005-0000-0000-0000130A0000}"/>
    <cellStyle name="20% - Accent2 3 3 8 2 2" xfId="3181" xr:uid="{00000000-0005-0000-0000-0000140A0000}"/>
    <cellStyle name="20% - Accent2 3 3 8 2 3" xfId="3182" xr:uid="{00000000-0005-0000-0000-0000150A0000}"/>
    <cellStyle name="20% - Accent2 3 3 8 3" xfId="3183" xr:uid="{00000000-0005-0000-0000-0000160A0000}"/>
    <cellStyle name="20% - Accent2 3 3 8 4" xfId="3184" xr:uid="{00000000-0005-0000-0000-0000170A0000}"/>
    <cellStyle name="20% - Accent2 3 3 8 5" xfId="3185" xr:uid="{00000000-0005-0000-0000-0000180A0000}"/>
    <cellStyle name="20% - Accent2 3 3 8 6" xfId="3186" xr:uid="{00000000-0005-0000-0000-0000190A0000}"/>
    <cellStyle name="20% - Accent2 3 3 9" xfId="3187" xr:uid="{00000000-0005-0000-0000-00001A0A0000}"/>
    <cellStyle name="20% - Accent2 3 3 9 2" xfId="3188" xr:uid="{00000000-0005-0000-0000-00001B0A0000}"/>
    <cellStyle name="20% - Accent2 3 3 9 2 2" xfId="3189" xr:uid="{00000000-0005-0000-0000-00001C0A0000}"/>
    <cellStyle name="20% - Accent2 3 3 9 2 3" xfId="3190" xr:uid="{00000000-0005-0000-0000-00001D0A0000}"/>
    <cellStyle name="20% - Accent2 3 3 9 3" xfId="3191" xr:uid="{00000000-0005-0000-0000-00001E0A0000}"/>
    <cellStyle name="20% - Accent2 3 3 9 4" xfId="3192" xr:uid="{00000000-0005-0000-0000-00001F0A0000}"/>
    <cellStyle name="20% - Accent2 3 3 9 5" xfId="3193" xr:uid="{00000000-0005-0000-0000-0000200A0000}"/>
    <cellStyle name="20% - Accent2 3 3 9 6" xfId="3194" xr:uid="{00000000-0005-0000-0000-0000210A0000}"/>
    <cellStyle name="20% - Accent2 3 4" xfId="3195" xr:uid="{00000000-0005-0000-0000-0000220A0000}"/>
    <cellStyle name="20% - Accent2 3 4 10" xfId="3196" xr:uid="{00000000-0005-0000-0000-0000230A0000}"/>
    <cellStyle name="20% - Accent2 3 4 11" xfId="3197" xr:uid="{00000000-0005-0000-0000-0000240A0000}"/>
    <cellStyle name="20% - Accent2 3 4 12" xfId="3198" xr:uid="{00000000-0005-0000-0000-0000250A0000}"/>
    <cellStyle name="20% - Accent2 3 4 13" xfId="3199" xr:uid="{00000000-0005-0000-0000-0000260A0000}"/>
    <cellStyle name="20% - Accent2 3 4 2" xfId="3200" xr:uid="{00000000-0005-0000-0000-0000270A0000}"/>
    <cellStyle name="20% - Accent2 3 4 2 10" xfId="3201" xr:uid="{00000000-0005-0000-0000-0000280A0000}"/>
    <cellStyle name="20% - Accent2 3 4 2 2" xfId="3202" xr:uid="{00000000-0005-0000-0000-0000290A0000}"/>
    <cellStyle name="20% - Accent2 3 4 2 2 2" xfId="3203" xr:uid="{00000000-0005-0000-0000-00002A0A0000}"/>
    <cellStyle name="20% - Accent2 3 4 2 2 2 2" xfId="3204" xr:uid="{00000000-0005-0000-0000-00002B0A0000}"/>
    <cellStyle name="20% - Accent2 3 4 2 2 2 2 2" xfId="3205" xr:uid="{00000000-0005-0000-0000-00002C0A0000}"/>
    <cellStyle name="20% - Accent2 3 4 2 2 2 2 3" xfId="3206" xr:uid="{00000000-0005-0000-0000-00002D0A0000}"/>
    <cellStyle name="20% - Accent2 3 4 2 2 2 3" xfId="3207" xr:uid="{00000000-0005-0000-0000-00002E0A0000}"/>
    <cellStyle name="20% - Accent2 3 4 2 2 2 4" xfId="3208" xr:uid="{00000000-0005-0000-0000-00002F0A0000}"/>
    <cellStyle name="20% - Accent2 3 4 2 2 2 5" xfId="3209" xr:uid="{00000000-0005-0000-0000-0000300A0000}"/>
    <cellStyle name="20% - Accent2 3 4 2 2 2 6" xfId="3210" xr:uid="{00000000-0005-0000-0000-0000310A0000}"/>
    <cellStyle name="20% - Accent2 3 4 2 2 3" xfId="3211" xr:uid="{00000000-0005-0000-0000-0000320A0000}"/>
    <cellStyle name="20% - Accent2 3 4 2 2 3 2" xfId="3212" xr:uid="{00000000-0005-0000-0000-0000330A0000}"/>
    <cellStyle name="20% - Accent2 3 4 2 2 3 2 2" xfId="3213" xr:uid="{00000000-0005-0000-0000-0000340A0000}"/>
    <cellStyle name="20% - Accent2 3 4 2 2 3 2 3" xfId="3214" xr:uid="{00000000-0005-0000-0000-0000350A0000}"/>
    <cellStyle name="20% - Accent2 3 4 2 2 3 3" xfId="3215" xr:uid="{00000000-0005-0000-0000-0000360A0000}"/>
    <cellStyle name="20% - Accent2 3 4 2 2 3 4" xfId="3216" xr:uid="{00000000-0005-0000-0000-0000370A0000}"/>
    <cellStyle name="20% - Accent2 3 4 2 2 3 5" xfId="3217" xr:uid="{00000000-0005-0000-0000-0000380A0000}"/>
    <cellStyle name="20% - Accent2 3 4 2 2 3 6" xfId="3218" xr:uid="{00000000-0005-0000-0000-0000390A0000}"/>
    <cellStyle name="20% - Accent2 3 4 2 2 4" xfId="3219" xr:uid="{00000000-0005-0000-0000-00003A0A0000}"/>
    <cellStyle name="20% - Accent2 3 4 2 2 4 2" xfId="3220" xr:uid="{00000000-0005-0000-0000-00003B0A0000}"/>
    <cellStyle name="20% - Accent2 3 4 2 2 4 3" xfId="3221" xr:uid="{00000000-0005-0000-0000-00003C0A0000}"/>
    <cellStyle name="20% - Accent2 3 4 2 2 5" xfId="3222" xr:uid="{00000000-0005-0000-0000-00003D0A0000}"/>
    <cellStyle name="20% - Accent2 3 4 2 2 6" xfId="3223" xr:uid="{00000000-0005-0000-0000-00003E0A0000}"/>
    <cellStyle name="20% - Accent2 3 4 2 2 7" xfId="3224" xr:uid="{00000000-0005-0000-0000-00003F0A0000}"/>
    <cellStyle name="20% - Accent2 3 4 2 2 8" xfId="3225" xr:uid="{00000000-0005-0000-0000-0000400A0000}"/>
    <cellStyle name="20% - Accent2 3 4 2 3" xfId="3226" xr:uid="{00000000-0005-0000-0000-0000410A0000}"/>
    <cellStyle name="20% - Accent2 3 4 2 3 2" xfId="3227" xr:uid="{00000000-0005-0000-0000-0000420A0000}"/>
    <cellStyle name="20% - Accent2 3 4 2 3 2 2" xfId="3228" xr:uid="{00000000-0005-0000-0000-0000430A0000}"/>
    <cellStyle name="20% - Accent2 3 4 2 3 2 2 2" xfId="3229" xr:uid="{00000000-0005-0000-0000-0000440A0000}"/>
    <cellStyle name="20% - Accent2 3 4 2 3 2 2 3" xfId="3230" xr:uid="{00000000-0005-0000-0000-0000450A0000}"/>
    <cellStyle name="20% - Accent2 3 4 2 3 2 3" xfId="3231" xr:uid="{00000000-0005-0000-0000-0000460A0000}"/>
    <cellStyle name="20% - Accent2 3 4 2 3 2 4" xfId="3232" xr:uid="{00000000-0005-0000-0000-0000470A0000}"/>
    <cellStyle name="20% - Accent2 3 4 2 3 2 5" xfId="3233" xr:uid="{00000000-0005-0000-0000-0000480A0000}"/>
    <cellStyle name="20% - Accent2 3 4 2 3 2 6" xfId="3234" xr:uid="{00000000-0005-0000-0000-0000490A0000}"/>
    <cellStyle name="20% - Accent2 3 4 2 3 3" xfId="3235" xr:uid="{00000000-0005-0000-0000-00004A0A0000}"/>
    <cellStyle name="20% - Accent2 3 4 2 3 3 2" xfId="3236" xr:uid="{00000000-0005-0000-0000-00004B0A0000}"/>
    <cellStyle name="20% - Accent2 3 4 2 3 3 3" xfId="3237" xr:uid="{00000000-0005-0000-0000-00004C0A0000}"/>
    <cellStyle name="20% - Accent2 3 4 2 3 4" xfId="3238" xr:uid="{00000000-0005-0000-0000-00004D0A0000}"/>
    <cellStyle name="20% - Accent2 3 4 2 3 5" xfId="3239" xr:uid="{00000000-0005-0000-0000-00004E0A0000}"/>
    <cellStyle name="20% - Accent2 3 4 2 3 6" xfId="3240" xr:uid="{00000000-0005-0000-0000-00004F0A0000}"/>
    <cellStyle name="20% - Accent2 3 4 2 3 7" xfId="3241" xr:uid="{00000000-0005-0000-0000-0000500A0000}"/>
    <cellStyle name="20% - Accent2 3 4 2 4" xfId="3242" xr:uid="{00000000-0005-0000-0000-0000510A0000}"/>
    <cellStyle name="20% - Accent2 3 4 2 4 2" xfId="3243" xr:uid="{00000000-0005-0000-0000-0000520A0000}"/>
    <cellStyle name="20% - Accent2 3 4 2 4 2 2" xfId="3244" xr:uid="{00000000-0005-0000-0000-0000530A0000}"/>
    <cellStyle name="20% - Accent2 3 4 2 4 2 3" xfId="3245" xr:uid="{00000000-0005-0000-0000-0000540A0000}"/>
    <cellStyle name="20% - Accent2 3 4 2 4 3" xfId="3246" xr:uid="{00000000-0005-0000-0000-0000550A0000}"/>
    <cellStyle name="20% - Accent2 3 4 2 4 4" xfId="3247" xr:uid="{00000000-0005-0000-0000-0000560A0000}"/>
    <cellStyle name="20% - Accent2 3 4 2 4 5" xfId="3248" xr:uid="{00000000-0005-0000-0000-0000570A0000}"/>
    <cellStyle name="20% - Accent2 3 4 2 4 6" xfId="3249" xr:uid="{00000000-0005-0000-0000-0000580A0000}"/>
    <cellStyle name="20% - Accent2 3 4 2 5" xfId="3250" xr:uid="{00000000-0005-0000-0000-0000590A0000}"/>
    <cellStyle name="20% - Accent2 3 4 2 5 2" xfId="3251" xr:uid="{00000000-0005-0000-0000-00005A0A0000}"/>
    <cellStyle name="20% - Accent2 3 4 2 5 2 2" xfId="3252" xr:uid="{00000000-0005-0000-0000-00005B0A0000}"/>
    <cellStyle name="20% - Accent2 3 4 2 5 2 3" xfId="3253" xr:uid="{00000000-0005-0000-0000-00005C0A0000}"/>
    <cellStyle name="20% - Accent2 3 4 2 5 3" xfId="3254" xr:uid="{00000000-0005-0000-0000-00005D0A0000}"/>
    <cellStyle name="20% - Accent2 3 4 2 5 4" xfId="3255" xr:uid="{00000000-0005-0000-0000-00005E0A0000}"/>
    <cellStyle name="20% - Accent2 3 4 2 5 5" xfId="3256" xr:uid="{00000000-0005-0000-0000-00005F0A0000}"/>
    <cellStyle name="20% - Accent2 3 4 2 5 6" xfId="3257" xr:uid="{00000000-0005-0000-0000-0000600A0000}"/>
    <cellStyle name="20% - Accent2 3 4 2 6" xfId="3258" xr:uid="{00000000-0005-0000-0000-0000610A0000}"/>
    <cellStyle name="20% - Accent2 3 4 2 6 2" xfId="3259" xr:uid="{00000000-0005-0000-0000-0000620A0000}"/>
    <cellStyle name="20% - Accent2 3 4 2 6 3" xfId="3260" xr:uid="{00000000-0005-0000-0000-0000630A0000}"/>
    <cellStyle name="20% - Accent2 3 4 2 7" xfId="3261" xr:uid="{00000000-0005-0000-0000-0000640A0000}"/>
    <cellStyle name="20% - Accent2 3 4 2 8" xfId="3262" xr:uid="{00000000-0005-0000-0000-0000650A0000}"/>
    <cellStyle name="20% - Accent2 3 4 2 9" xfId="3263" xr:uid="{00000000-0005-0000-0000-0000660A0000}"/>
    <cellStyle name="20% - Accent2 3 4 3" xfId="3264" xr:uid="{00000000-0005-0000-0000-0000670A0000}"/>
    <cellStyle name="20% - Accent2 3 4 3 2" xfId="3265" xr:uid="{00000000-0005-0000-0000-0000680A0000}"/>
    <cellStyle name="20% - Accent2 3 4 3 2 2" xfId="3266" xr:uid="{00000000-0005-0000-0000-0000690A0000}"/>
    <cellStyle name="20% - Accent2 3 4 3 2 2 2" xfId="3267" xr:uid="{00000000-0005-0000-0000-00006A0A0000}"/>
    <cellStyle name="20% - Accent2 3 4 3 2 2 2 2" xfId="3268" xr:uid="{00000000-0005-0000-0000-00006B0A0000}"/>
    <cellStyle name="20% - Accent2 3 4 3 2 2 2 3" xfId="3269" xr:uid="{00000000-0005-0000-0000-00006C0A0000}"/>
    <cellStyle name="20% - Accent2 3 4 3 2 2 3" xfId="3270" xr:uid="{00000000-0005-0000-0000-00006D0A0000}"/>
    <cellStyle name="20% - Accent2 3 4 3 2 2 4" xfId="3271" xr:uid="{00000000-0005-0000-0000-00006E0A0000}"/>
    <cellStyle name="20% - Accent2 3 4 3 2 2 5" xfId="3272" xr:uid="{00000000-0005-0000-0000-00006F0A0000}"/>
    <cellStyle name="20% - Accent2 3 4 3 2 2 6" xfId="3273" xr:uid="{00000000-0005-0000-0000-0000700A0000}"/>
    <cellStyle name="20% - Accent2 3 4 3 2 3" xfId="3274" xr:uid="{00000000-0005-0000-0000-0000710A0000}"/>
    <cellStyle name="20% - Accent2 3 4 3 2 3 2" xfId="3275" xr:uid="{00000000-0005-0000-0000-0000720A0000}"/>
    <cellStyle name="20% - Accent2 3 4 3 2 3 3" xfId="3276" xr:uid="{00000000-0005-0000-0000-0000730A0000}"/>
    <cellStyle name="20% - Accent2 3 4 3 2 4" xfId="3277" xr:uid="{00000000-0005-0000-0000-0000740A0000}"/>
    <cellStyle name="20% - Accent2 3 4 3 2 5" xfId="3278" xr:uid="{00000000-0005-0000-0000-0000750A0000}"/>
    <cellStyle name="20% - Accent2 3 4 3 2 6" xfId="3279" xr:uid="{00000000-0005-0000-0000-0000760A0000}"/>
    <cellStyle name="20% - Accent2 3 4 3 2 7" xfId="3280" xr:uid="{00000000-0005-0000-0000-0000770A0000}"/>
    <cellStyle name="20% - Accent2 3 4 3 3" xfId="3281" xr:uid="{00000000-0005-0000-0000-0000780A0000}"/>
    <cellStyle name="20% - Accent2 3 4 3 3 2" xfId="3282" xr:uid="{00000000-0005-0000-0000-0000790A0000}"/>
    <cellStyle name="20% - Accent2 3 4 3 3 2 2" xfId="3283" xr:uid="{00000000-0005-0000-0000-00007A0A0000}"/>
    <cellStyle name="20% - Accent2 3 4 3 3 2 3" xfId="3284" xr:uid="{00000000-0005-0000-0000-00007B0A0000}"/>
    <cellStyle name="20% - Accent2 3 4 3 3 3" xfId="3285" xr:uid="{00000000-0005-0000-0000-00007C0A0000}"/>
    <cellStyle name="20% - Accent2 3 4 3 3 4" xfId="3286" xr:uid="{00000000-0005-0000-0000-00007D0A0000}"/>
    <cellStyle name="20% - Accent2 3 4 3 3 5" xfId="3287" xr:uid="{00000000-0005-0000-0000-00007E0A0000}"/>
    <cellStyle name="20% - Accent2 3 4 3 3 6" xfId="3288" xr:uid="{00000000-0005-0000-0000-00007F0A0000}"/>
    <cellStyle name="20% - Accent2 3 4 3 4" xfId="3289" xr:uid="{00000000-0005-0000-0000-0000800A0000}"/>
    <cellStyle name="20% - Accent2 3 4 3 4 2" xfId="3290" xr:uid="{00000000-0005-0000-0000-0000810A0000}"/>
    <cellStyle name="20% - Accent2 3 4 3 4 2 2" xfId="3291" xr:uid="{00000000-0005-0000-0000-0000820A0000}"/>
    <cellStyle name="20% - Accent2 3 4 3 4 2 3" xfId="3292" xr:uid="{00000000-0005-0000-0000-0000830A0000}"/>
    <cellStyle name="20% - Accent2 3 4 3 4 3" xfId="3293" xr:uid="{00000000-0005-0000-0000-0000840A0000}"/>
    <cellStyle name="20% - Accent2 3 4 3 4 4" xfId="3294" xr:uid="{00000000-0005-0000-0000-0000850A0000}"/>
    <cellStyle name="20% - Accent2 3 4 3 4 5" xfId="3295" xr:uid="{00000000-0005-0000-0000-0000860A0000}"/>
    <cellStyle name="20% - Accent2 3 4 3 4 6" xfId="3296" xr:uid="{00000000-0005-0000-0000-0000870A0000}"/>
    <cellStyle name="20% - Accent2 3 4 3 5" xfId="3297" xr:uid="{00000000-0005-0000-0000-0000880A0000}"/>
    <cellStyle name="20% - Accent2 3 4 3 5 2" xfId="3298" xr:uid="{00000000-0005-0000-0000-0000890A0000}"/>
    <cellStyle name="20% - Accent2 3 4 3 5 3" xfId="3299" xr:uid="{00000000-0005-0000-0000-00008A0A0000}"/>
    <cellStyle name="20% - Accent2 3 4 3 6" xfId="3300" xr:uid="{00000000-0005-0000-0000-00008B0A0000}"/>
    <cellStyle name="20% - Accent2 3 4 3 7" xfId="3301" xr:uid="{00000000-0005-0000-0000-00008C0A0000}"/>
    <cellStyle name="20% - Accent2 3 4 3 8" xfId="3302" xr:uid="{00000000-0005-0000-0000-00008D0A0000}"/>
    <cellStyle name="20% - Accent2 3 4 3 9" xfId="3303" xr:uid="{00000000-0005-0000-0000-00008E0A0000}"/>
    <cellStyle name="20% - Accent2 3 4 4" xfId="3304" xr:uid="{00000000-0005-0000-0000-00008F0A0000}"/>
    <cellStyle name="20% - Accent2 3 4 4 2" xfId="3305" xr:uid="{00000000-0005-0000-0000-0000900A0000}"/>
    <cellStyle name="20% - Accent2 3 4 4 2 2" xfId="3306" xr:uid="{00000000-0005-0000-0000-0000910A0000}"/>
    <cellStyle name="20% - Accent2 3 4 4 2 2 2" xfId="3307" xr:uid="{00000000-0005-0000-0000-0000920A0000}"/>
    <cellStyle name="20% - Accent2 3 4 4 2 2 3" xfId="3308" xr:uid="{00000000-0005-0000-0000-0000930A0000}"/>
    <cellStyle name="20% - Accent2 3 4 4 2 3" xfId="3309" xr:uid="{00000000-0005-0000-0000-0000940A0000}"/>
    <cellStyle name="20% - Accent2 3 4 4 2 4" xfId="3310" xr:uid="{00000000-0005-0000-0000-0000950A0000}"/>
    <cellStyle name="20% - Accent2 3 4 4 2 5" xfId="3311" xr:uid="{00000000-0005-0000-0000-0000960A0000}"/>
    <cellStyle name="20% - Accent2 3 4 4 2 6" xfId="3312" xr:uid="{00000000-0005-0000-0000-0000970A0000}"/>
    <cellStyle name="20% - Accent2 3 4 4 3" xfId="3313" xr:uid="{00000000-0005-0000-0000-0000980A0000}"/>
    <cellStyle name="20% - Accent2 3 4 4 3 2" xfId="3314" xr:uid="{00000000-0005-0000-0000-0000990A0000}"/>
    <cellStyle name="20% - Accent2 3 4 4 3 3" xfId="3315" xr:uid="{00000000-0005-0000-0000-00009A0A0000}"/>
    <cellStyle name="20% - Accent2 3 4 4 4" xfId="3316" xr:uid="{00000000-0005-0000-0000-00009B0A0000}"/>
    <cellStyle name="20% - Accent2 3 4 4 5" xfId="3317" xr:uid="{00000000-0005-0000-0000-00009C0A0000}"/>
    <cellStyle name="20% - Accent2 3 4 4 6" xfId="3318" xr:uid="{00000000-0005-0000-0000-00009D0A0000}"/>
    <cellStyle name="20% - Accent2 3 4 4 7" xfId="3319" xr:uid="{00000000-0005-0000-0000-00009E0A0000}"/>
    <cellStyle name="20% - Accent2 3 4 5" xfId="3320" xr:uid="{00000000-0005-0000-0000-00009F0A0000}"/>
    <cellStyle name="20% - Accent2 3 4 5 2" xfId="3321" xr:uid="{00000000-0005-0000-0000-0000A00A0000}"/>
    <cellStyle name="20% - Accent2 3 4 5 2 2" xfId="3322" xr:uid="{00000000-0005-0000-0000-0000A10A0000}"/>
    <cellStyle name="20% - Accent2 3 4 5 2 3" xfId="3323" xr:uid="{00000000-0005-0000-0000-0000A20A0000}"/>
    <cellStyle name="20% - Accent2 3 4 5 3" xfId="3324" xr:uid="{00000000-0005-0000-0000-0000A30A0000}"/>
    <cellStyle name="20% - Accent2 3 4 5 4" xfId="3325" xr:uid="{00000000-0005-0000-0000-0000A40A0000}"/>
    <cellStyle name="20% - Accent2 3 4 5 5" xfId="3326" xr:uid="{00000000-0005-0000-0000-0000A50A0000}"/>
    <cellStyle name="20% - Accent2 3 4 5 6" xfId="3327" xr:uid="{00000000-0005-0000-0000-0000A60A0000}"/>
    <cellStyle name="20% - Accent2 3 4 6" xfId="3328" xr:uid="{00000000-0005-0000-0000-0000A70A0000}"/>
    <cellStyle name="20% - Accent2 3 4 6 2" xfId="3329" xr:uid="{00000000-0005-0000-0000-0000A80A0000}"/>
    <cellStyle name="20% - Accent2 3 4 6 2 2" xfId="3330" xr:uid="{00000000-0005-0000-0000-0000A90A0000}"/>
    <cellStyle name="20% - Accent2 3 4 6 2 3" xfId="3331" xr:uid="{00000000-0005-0000-0000-0000AA0A0000}"/>
    <cellStyle name="20% - Accent2 3 4 6 3" xfId="3332" xr:uid="{00000000-0005-0000-0000-0000AB0A0000}"/>
    <cellStyle name="20% - Accent2 3 4 6 4" xfId="3333" xr:uid="{00000000-0005-0000-0000-0000AC0A0000}"/>
    <cellStyle name="20% - Accent2 3 4 6 5" xfId="3334" xr:uid="{00000000-0005-0000-0000-0000AD0A0000}"/>
    <cellStyle name="20% - Accent2 3 4 6 6" xfId="3335" xr:uid="{00000000-0005-0000-0000-0000AE0A0000}"/>
    <cellStyle name="20% - Accent2 3 4 7" xfId="3336" xr:uid="{00000000-0005-0000-0000-0000AF0A0000}"/>
    <cellStyle name="20% - Accent2 3 4 7 2" xfId="3337" xr:uid="{00000000-0005-0000-0000-0000B00A0000}"/>
    <cellStyle name="20% - Accent2 3 4 7 2 2" xfId="3338" xr:uid="{00000000-0005-0000-0000-0000B10A0000}"/>
    <cellStyle name="20% - Accent2 3 4 7 2 3" xfId="3339" xr:uid="{00000000-0005-0000-0000-0000B20A0000}"/>
    <cellStyle name="20% - Accent2 3 4 7 3" xfId="3340" xr:uid="{00000000-0005-0000-0000-0000B30A0000}"/>
    <cellStyle name="20% - Accent2 3 4 7 4" xfId="3341" xr:uid="{00000000-0005-0000-0000-0000B40A0000}"/>
    <cellStyle name="20% - Accent2 3 4 7 5" xfId="3342" xr:uid="{00000000-0005-0000-0000-0000B50A0000}"/>
    <cellStyle name="20% - Accent2 3 4 7 6" xfId="3343" xr:uid="{00000000-0005-0000-0000-0000B60A0000}"/>
    <cellStyle name="20% - Accent2 3 4 8" xfId="3344" xr:uid="{00000000-0005-0000-0000-0000B70A0000}"/>
    <cellStyle name="20% - Accent2 3 4 8 2" xfId="3345" xr:uid="{00000000-0005-0000-0000-0000B80A0000}"/>
    <cellStyle name="20% - Accent2 3 4 8 2 2" xfId="3346" xr:uid="{00000000-0005-0000-0000-0000B90A0000}"/>
    <cellStyle name="20% - Accent2 3 4 8 2 3" xfId="3347" xr:uid="{00000000-0005-0000-0000-0000BA0A0000}"/>
    <cellStyle name="20% - Accent2 3 4 8 3" xfId="3348" xr:uid="{00000000-0005-0000-0000-0000BB0A0000}"/>
    <cellStyle name="20% - Accent2 3 4 8 4" xfId="3349" xr:uid="{00000000-0005-0000-0000-0000BC0A0000}"/>
    <cellStyle name="20% - Accent2 3 4 8 5" xfId="3350" xr:uid="{00000000-0005-0000-0000-0000BD0A0000}"/>
    <cellStyle name="20% - Accent2 3 4 8 6" xfId="3351" xr:uid="{00000000-0005-0000-0000-0000BE0A0000}"/>
    <cellStyle name="20% - Accent2 3 4 9" xfId="3352" xr:uid="{00000000-0005-0000-0000-0000BF0A0000}"/>
    <cellStyle name="20% - Accent2 3 4 9 2" xfId="3353" xr:uid="{00000000-0005-0000-0000-0000C00A0000}"/>
    <cellStyle name="20% - Accent2 3 4 9 3" xfId="3354" xr:uid="{00000000-0005-0000-0000-0000C10A0000}"/>
    <cellStyle name="20% - Accent2 3 5" xfId="3355" xr:uid="{00000000-0005-0000-0000-0000C20A0000}"/>
    <cellStyle name="20% - Accent2 3 5 10" xfId="3356" xr:uid="{00000000-0005-0000-0000-0000C30A0000}"/>
    <cellStyle name="20% - Accent2 3 5 2" xfId="3357" xr:uid="{00000000-0005-0000-0000-0000C40A0000}"/>
    <cellStyle name="20% - Accent2 3 5 2 2" xfId="3358" xr:uid="{00000000-0005-0000-0000-0000C50A0000}"/>
    <cellStyle name="20% - Accent2 3 5 2 2 2" xfId="3359" xr:uid="{00000000-0005-0000-0000-0000C60A0000}"/>
    <cellStyle name="20% - Accent2 3 5 2 2 2 2" xfId="3360" xr:uid="{00000000-0005-0000-0000-0000C70A0000}"/>
    <cellStyle name="20% - Accent2 3 5 2 2 2 3" xfId="3361" xr:uid="{00000000-0005-0000-0000-0000C80A0000}"/>
    <cellStyle name="20% - Accent2 3 5 2 2 3" xfId="3362" xr:uid="{00000000-0005-0000-0000-0000C90A0000}"/>
    <cellStyle name="20% - Accent2 3 5 2 2 4" xfId="3363" xr:uid="{00000000-0005-0000-0000-0000CA0A0000}"/>
    <cellStyle name="20% - Accent2 3 5 2 2 5" xfId="3364" xr:uid="{00000000-0005-0000-0000-0000CB0A0000}"/>
    <cellStyle name="20% - Accent2 3 5 2 2 6" xfId="3365" xr:uid="{00000000-0005-0000-0000-0000CC0A0000}"/>
    <cellStyle name="20% - Accent2 3 5 2 3" xfId="3366" xr:uid="{00000000-0005-0000-0000-0000CD0A0000}"/>
    <cellStyle name="20% - Accent2 3 5 2 3 2" xfId="3367" xr:uid="{00000000-0005-0000-0000-0000CE0A0000}"/>
    <cellStyle name="20% - Accent2 3 5 2 3 2 2" xfId="3368" xr:uid="{00000000-0005-0000-0000-0000CF0A0000}"/>
    <cellStyle name="20% - Accent2 3 5 2 3 2 3" xfId="3369" xr:uid="{00000000-0005-0000-0000-0000D00A0000}"/>
    <cellStyle name="20% - Accent2 3 5 2 3 3" xfId="3370" xr:uid="{00000000-0005-0000-0000-0000D10A0000}"/>
    <cellStyle name="20% - Accent2 3 5 2 3 4" xfId="3371" xr:uid="{00000000-0005-0000-0000-0000D20A0000}"/>
    <cellStyle name="20% - Accent2 3 5 2 3 5" xfId="3372" xr:uid="{00000000-0005-0000-0000-0000D30A0000}"/>
    <cellStyle name="20% - Accent2 3 5 2 3 6" xfId="3373" xr:uid="{00000000-0005-0000-0000-0000D40A0000}"/>
    <cellStyle name="20% - Accent2 3 5 2 4" xfId="3374" xr:uid="{00000000-0005-0000-0000-0000D50A0000}"/>
    <cellStyle name="20% - Accent2 3 5 2 4 2" xfId="3375" xr:uid="{00000000-0005-0000-0000-0000D60A0000}"/>
    <cellStyle name="20% - Accent2 3 5 2 4 3" xfId="3376" xr:uid="{00000000-0005-0000-0000-0000D70A0000}"/>
    <cellStyle name="20% - Accent2 3 5 2 5" xfId="3377" xr:uid="{00000000-0005-0000-0000-0000D80A0000}"/>
    <cellStyle name="20% - Accent2 3 5 2 6" xfId="3378" xr:uid="{00000000-0005-0000-0000-0000D90A0000}"/>
    <cellStyle name="20% - Accent2 3 5 2 7" xfId="3379" xr:uid="{00000000-0005-0000-0000-0000DA0A0000}"/>
    <cellStyle name="20% - Accent2 3 5 2 8" xfId="3380" xr:uid="{00000000-0005-0000-0000-0000DB0A0000}"/>
    <cellStyle name="20% - Accent2 3 5 3" xfId="3381" xr:uid="{00000000-0005-0000-0000-0000DC0A0000}"/>
    <cellStyle name="20% - Accent2 3 5 3 2" xfId="3382" xr:uid="{00000000-0005-0000-0000-0000DD0A0000}"/>
    <cellStyle name="20% - Accent2 3 5 3 2 2" xfId="3383" xr:uid="{00000000-0005-0000-0000-0000DE0A0000}"/>
    <cellStyle name="20% - Accent2 3 5 3 2 2 2" xfId="3384" xr:uid="{00000000-0005-0000-0000-0000DF0A0000}"/>
    <cellStyle name="20% - Accent2 3 5 3 2 2 3" xfId="3385" xr:uid="{00000000-0005-0000-0000-0000E00A0000}"/>
    <cellStyle name="20% - Accent2 3 5 3 2 3" xfId="3386" xr:uid="{00000000-0005-0000-0000-0000E10A0000}"/>
    <cellStyle name="20% - Accent2 3 5 3 2 4" xfId="3387" xr:uid="{00000000-0005-0000-0000-0000E20A0000}"/>
    <cellStyle name="20% - Accent2 3 5 3 2 5" xfId="3388" xr:uid="{00000000-0005-0000-0000-0000E30A0000}"/>
    <cellStyle name="20% - Accent2 3 5 3 2 6" xfId="3389" xr:uid="{00000000-0005-0000-0000-0000E40A0000}"/>
    <cellStyle name="20% - Accent2 3 5 3 3" xfId="3390" xr:uid="{00000000-0005-0000-0000-0000E50A0000}"/>
    <cellStyle name="20% - Accent2 3 5 3 3 2" xfId="3391" xr:uid="{00000000-0005-0000-0000-0000E60A0000}"/>
    <cellStyle name="20% - Accent2 3 5 3 3 3" xfId="3392" xr:uid="{00000000-0005-0000-0000-0000E70A0000}"/>
    <cellStyle name="20% - Accent2 3 5 3 4" xfId="3393" xr:uid="{00000000-0005-0000-0000-0000E80A0000}"/>
    <cellStyle name="20% - Accent2 3 5 3 5" xfId="3394" xr:uid="{00000000-0005-0000-0000-0000E90A0000}"/>
    <cellStyle name="20% - Accent2 3 5 3 6" xfId="3395" xr:uid="{00000000-0005-0000-0000-0000EA0A0000}"/>
    <cellStyle name="20% - Accent2 3 5 3 7" xfId="3396" xr:uid="{00000000-0005-0000-0000-0000EB0A0000}"/>
    <cellStyle name="20% - Accent2 3 5 4" xfId="3397" xr:uid="{00000000-0005-0000-0000-0000EC0A0000}"/>
    <cellStyle name="20% - Accent2 3 5 4 2" xfId="3398" xr:uid="{00000000-0005-0000-0000-0000ED0A0000}"/>
    <cellStyle name="20% - Accent2 3 5 4 2 2" xfId="3399" xr:uid="{00000000-0005-0000-0000-0000EE0A0000}"/>
    <cellStyle name="20% - Accent2 3 5 4 2 3" xfId="3400" xr:uid="{00000000-0005-0000-0000-0000EF0A0000}"/>
    <cellStyle name="20% - Accent2 3 5 4 3" xfId="3401" xr:uid="{00000000-0005-0000-0000-0000F00A0000}"/>
    <cellStyle name="20% - Accent2 3 5 4 4" xfId="3402" xr:uid="{00000000-0005-0000-0000-0000F10A0000}"/>
    <cellStyle name="20% - Accent2 3 5 4 5" xfId="3403" xr:uid="{00000000-0005-0000-0000-0000F20A0000}"/>
    <cellStyle name="20% - Accent2 3 5 4 6" xfId="3404" xr:uid="{00000000-0005-0000-0000-0000F30A0000}"/>
    <cellStyle name="20% - Accent2 3 5 5" xfId="3405" xr:uid="{00000000-0005-0000-0000-0000F40A0000}"/>
    <cellStyle name="20% - Accent2 3 5 5 2" xfId="3406" xr:uid="{00000000-0005-0000-0000-0000F50A0000}"/>
    <cellStyle name="20% - Accent2 3 5 5 2 2" xfId="3407" xr:uid="{00000000-0005-0000-0000-0000F60A0000}"/>
    <cellStyle name="20% - Accent2 3 5 5 2 3" xfId="3408" xr:uid="{00000000-0005-0000-0000-0000F70A0000}"/>
    <cellStyle name="20% - Accent2 3 5 5 3" xfId="3409" xr:uid="{00000000-0005-0000-0000-0000F80A0000}"/>
    <cellStyle name="20% - Accent2 3 5 5 4" xfId="3410" xr:uid="{00000000-0005-0000-0000-0000F90A0000}"/>
    <cellStyle name="20% - Accent2 3 5 5 5" xfId="3411" xr:uid="{00000000-0005-0000-0000-0000FA0A0000}"/>
    <cellStyle name="20% - Accent2 3 5 5 6" xfId="3412" xr:uid="{00000000-0005-0000-0000-0000FB0A0000}"/>
    <cellStyle name="20% - Accent2 3 5 6" xfId="3413" xr:uid="{00000000-0005-0000-0000-0000FC0A0000}"/>
    <cellStyle name="20% - Accent2 3 5 6 2" xfId="3414" xr:uid="{00000000-0005-0000-0000-0000FD0A0000}"/>
    <cellStyle name="20% - Accent2 3 5 6 3" xfId="3415" xr:uid="{00000000-0005-0000-0000-0000FE0A0000}"/>
    <cellStyle name="20% - Accent2 3 5 7" xfId="3416" xr:uid="{00000000-0005-0000-0000-0000FF0A0000}"/>
    <cellStyle name="20% - Accent2 3 5 8" xfId="3417" xr:uid="{00000000-0005-0000-0000-0000000B0000}"/>
    <cellStyle name="20% - Accent2 3 5 9" xfId="3418" xr:uid="{00000000-0005-0000-0000-0000010B0000}"/>
    <cellStyle name="20% - Accent2 3 6" xfId="3419" xr:uid="{00000000-0005-0000-0000-0000020B0000}"/>
    <cellStyle name="20% - Accent2 3 6 2" xfId="3420" xr:uid="{00000000-0005-0000-0000-0000030B0000}"/>
    <cellStyle name="20% - Accent2 3 6 2 2" xfId="3421" xr:uid="{00000000-0005-0000-0000-0000040B0000}"/>
    <cellStyle name="20% - Accent2 3 6 2 2 2" xfId="3422" xr:uid="{00000000-0005-0000-0000-0000050B0000}"/>
    <cellStyle name="20% - Accent2 3 6 2 2 2 2" xfId="3423" xr:uid="{00000000-0005-0000-0000-0000060B0000}"/>
    <cellStyle name="20% - Accent2 3 6 2 2 2 3" xfId="3424" xr:uid="{00000000-0005-0000-0000-0000070B0000}"/>
    <cellStyle name="20% - Accent2 3 6 2 2 3" xfId="3425" xr:uid="{00000000-0005-0000-0000-0000080B0000}"/>
    <cellStyle name="20% - Accent2 3 6 2 2 4" xfId="3426" xr:uid="{00000000-0005-0000-0000-0000090B0000}"/>
    <cellStyle name="20% - Accent2 3 6 2 2 5" xfId="3427" xr:uid="{00000000-0005-0000-0000-00000A0B0000}"/>
    <cellStyle name="20% - Accent2 3 6 2 2 6" xfId="3428" xr:uid="{00000000-0005-0000-0000-00000B0B0000}"/>
    <cellStyle name="20% - Accent2 3 6 2 3" xfId="3429" xr:uid="{00000000-0005-0000-0000-00000C0B0000}"/>
    <cellStyle name="20% - Accent2 3 6 2 3 2" xfId="3430" xr:uid="{00000000-0005-0000-0000-00000D0B0000}"/>
    <cellStyle name="20% - Accent2 3 6 2 3 3" xfId="3431" xr:uid="{00000000-0005-0000-0000-00000E0B0000}"/>
    <cellStyle name="20% - Accent2 3 6 2 4" xfId="3432" xr:uid="{00000000-0005-0000-0000-00000F0B0000}"/>
    <cellStyle name="20% - Accent2 3 6 2 5" xfId="3433" xr:uid="{00000000-0005-0000-0000-0000100B0000}"/>
    <cellStyle name="20% - Accent2 3 6 2 6" xfId="3434" xr:uid="{00000000-0005-0000-0000-0000110B0000}"/>
    <cellStyle name="20% - Accent2 3 6 2 7" xfId="3435" xr:uid="{00000000-0005-0000-0000-0000120B0000}"/>
    <cellStyle name="20% - Accent2 3 6 3" xfId="3436" xr:uid="{00000000-0005-0000-0000-0000130B0000}"/>
    <cellStyle name="20% - Accent2 3 6 3 2" xfId="3437" xr:uid="{00000000-0005-0000-0000-0000140B0000}"/>
    <cellStyle name="20% - Accent2 3 6 3 2 2" xfId="3438" xr:uid="{00000000-0005-0000-0000-0000150B0000}"/>
    <cellStyle name="20% - Accent2 3 6 3 2 3" xfId="3439" xr:uid="{00000000-0005-0000-0000-0000160B0000}"/>
    <cellStyle name="20% - Accent2 3 6 3 3" xfId="3440" xr:uid="{00000000-0005-0000-0000-0000170B0000}"/>
    <cellStyle name="20% - Accent2 3 6 3 4" xfId="3441" xr:uid="{00000000-0005-0000-0000-0000180B0000}"/>
    <cellStyle name="20% - Accent2 3 6 3 5" xfId="3442" xr:uid="{00000000-0005-0000-0000-0000190B0000}"/>
    <cellStyle name="20% - Accent2 3 6 3 6" xfId="3443" xr:uid="{00000000-0005-0000-0000-00001A0B0000}"/>
    <cellStyle name="20% - Accent2 3 6 4" xfId="3444" xr:uid="{00000000-0005-0000-0000-00001B0B0000}"/>
    <cellStyle name="20% - Accent2 3 6 4 2" xfId="3445" xr:uid="{00000000-0005-0000-0000-00001C0B0000}"/>
    <cellStyle name="20% - Accent2 3 6 4 2 2" xfId="3446" xr:uid="{00000000-0005-0000-0000-00001D0B0000}"/>
    <cellStyle name="20% - Accent2 3 6 4 2 3" xfId="3447" xr:uid="{00000000-0005-0000-0000-00001E0B0000}"/>
    <cellStyle name="20% - Accent2 3 6 4 3" xfId="3448" xr:uid="{00000000-0005-0000-0000-00001F0B0000}"/>
    <cellStyle name="20% - Accent2 3 6 4 4" xfId="3449" xr:uid="{00000000-0005-0000-0000-0000200B0000}"/>
    <cellStyle name="20% - Accent2 3 6 4 5" xfId="3450" xr:uid="{00000000-0005-0000-0000-0000210B0000}"/>
    <cellStyle name="20% - Accent2 3 6 4 6" xfId="3451" xr:uid="{00000000-0005-0000-0000-0000220B0000}"/>
    <cellStyle name="20% - Accent2 3 6 5" xfId="3452" xr:uid="{00000000-0005-0000-0000-0000230B0000}"/>
    <cellStyle name="20% - Accent2 3 6 5 2" xfId="3453" xr:uid="{00000000-0005-0000-0000-0000240B0000}"/>
    <cellStyle name="20% - Accent2 3 6 5 3" xfId="3454" xr:uid="{00000000-0005-0000-0000-0000250B0000}"/>
    <cellStyle name="20% - Accent2 3 6 6" xfId="3455" xr:uid="{00000000-0005-0000-0000-0000260B0000}"/>
    <cellStyle name="20% - Accent2 3 6 7" xfId="3456" xr:uid="{00000000-0005-0000-0000-0000270B0000}"/>
    <cellStyle name="20% - Accent2 3 6 8" xfId="3457" xr:uid="{00000000-0005-0000-0000-0000280B0000}"/>
    <cellStyle name="20% - Accent2 3 6 9" xfId="3458" xr:uid="{00000000-0005-0000-0000-0000290B0000}"/>
    <cellStyle name="20% - Accent2 3 7" xfId="3459" xr:uid="{00000000-0005-0000-0000-00002A0B0000}"/>
    <cellStyle name="20% - Accent2 3 7 2" xfId="3460" xr:uid="{00000000-0005-0000-0000-00002B0B0000}"/>
    <cellStyle name="20% - Accent2 3 7 2 2" xfId="3461" xr:uid="{00000000-0005-0000-0000-00002C0B0000}"/>
    <cellStyle name="20% - Accent2 3 7 2 2 2" xfId="3462" xr:uid="{00000000-0005-0000-0000-00002D0B0000}"/>
    <cellStyle name="20% - Accent2 3 7 2 2 3" xfId="3463" xr:uid="{00000000-0005-0000-0000-00002E0B0000}"/>
    <cellStyle name="20% - Accent2 3 7 2 3" xfId="3464" xr:uid="{00000000-0005-0000-0000-00002F0B0000}"/>
    <cellStyle name="20% - Accent2 3 7 2 4" xfId="3465" xr:uid="{00000000-0005-0000-0000-0000300B0000}"/>
    <cellStyle name="20% - Accent2 3 7 2 5" xfId="3466" xr:uid="{00000000-0005-0000-0000-0000310B0000}"/>
    <cellStyle name="20% - Accent2 3 7 2 6" xfId="3467" xr:uid="{00000000-0005-0000-0000-0000320B0000}"/>
    <cellStyle name="20% - Accent2 3 7 3" xfId="3468" xr:uid="{00000000-0005-0000-0000-0000330B0000}"/>
    <cellStyle name="20% - Accent2 3 7 3 2" xfId="3469" xr:uid="{00000000-0005-0000-0000-0000340B0000}"/>
    <cellStyle name="20% - Accent2 3 7 3 3" xfId="3470" xr:uid="{00000000-0005-0000-0000-0000350B0000}"/>
    <cellStyle name="20% - Accent2 3 7 4" xfId="3471" xr:uid="{00000000-0005-0000-0000-0000360B0000}"/>
    <cellStyle name="20% - Accent2 3 7 5" xfId="3472" xr:uid="{00000000-0005-0000-0000-0000370B0000}"/>
    <cellStyle name="20% - Accent2 3 7 6" xfId="3473" xr:uid="{00000000-0005-0000-0000-0000380B0000}"/>
    <cellStyle name="20% - Accent2 3 7 7" xfId="3474" xr:uid="{00000000-0005-0000-0000-0000390B0000}"/>
    <cellStyle name="20% - Accent2 3 8" xfId="3475" xr:uid="{00000000-0005-0000-0000-00003A0B0000}"/>
    <cellStyle name="20% - Accent2 3 8 2" xfId="3476" xr:uid="{00000000-0005-0000-0000-00003B0B0000}"/>
    <cellStyle name="20% - Accent2 3 8 2 2" xfId="3477" xr:uid="{00000000-0005-0000-0000-00003C0B0000}"/>
    <cellStyle name="20% - Accent2 3 8 2 3" xfId="3478" xr:uid="{00000000-0005-0000-0000-00003D0B0000}"/>
    <cellStyle name="20% - Accent2 3 8 3" xfId="3479" xr:uid="{00000000-0005-0000-0000-00003E0B0000}"/>
    <cellStyle name="20% - Accent2 3 8 4" xfId="3480" xr:uid="{00000000-0005-0000-0000-00003F0B0000}"/>
    <cellStyle name="20% - Accent2 3 8 5" xfId="3481" xr:uid="{00000000-0005-0000-0000-0000400B0000}"/>
    <cellStyle name="20% - Accent2 3 8 6" xfId="3482" xr:uid="{00000000-0005-0000-0000-0000410B0000}"/>
    <cellStyle name="20% - Accent2 3 9" xfId="3483" xr:uid="{00000000-0005-0000-0000-0000420B0000}"/>
    <cellStyle name="20% - Accent2 3 9 2" xfId="3484" xr:uid="{00000000-0005-0000-0000-0000430B0000}"/>
    <cellStyle name="20% - Accent2 3 9 2 2" xfId="3485" xr:uid="{00000000-0005-0000-0000-0000440B0000}"/>
    <cellStyle name="20% - Accent2 3 9 2 3" xfId="3486" xr:uid="{00000000-0005-0000-0000-0000450B0000}"/>
    <cellStyle name="20% - Accent2 3 9 3" xfId="3487" xr:uid="{00000000-0005-0000-0000-0000460B0000}"/>
    <cellStyle name="20% - Accent2 3 9 4" xfId="3488" xr:uid="{00000000-0005-0000-0000-0000470B0000}"/>
    <cellStyle name="20% - Accent2 3 9 5" xfId="3489" xr:uid="{00000000-0005-0000-0000-0000480B0000}"/>
    <cellStyle name="20% - Accent2 3 9 6" xfId="3490" xr:uid="{00000000-0005-0000-0000-0000490B0000}"/>
    <cellStyle name="20% - Accent2 4" xfId="3491" xr:uid="{00000000-0005-0000-0000-00004A0B0000}"/>
    <cellStyle name="20% - Accent2 4 10" xfId="3492" xr:uid="{00000000-0005-0000-0000-00004B0B0000}"/>
    <cellStyle name="20% - Accent2 4 10 2" xfId="3493" xr:uid="{00000000-0005-0000-0000-00004C0B0000}"/>
    <cellStyle name="20% - Accent2 4 10 2 2" xfId="3494" xr:uid="{00000000-0005-0000-0000-00004D0B0000}"/>
    <cellStyle name="20% - Accent2 4 10 2 3" xfId="3495" xr:uid="{00000000-0005-0000-0000-00004E0B0000}"/>
    <cellStyle name="20% - Accent2 4 10 3" xfId="3496" xr:uid="{00000000-0005-0000-0000-00004F0B0000}"/>
    <cellStyle name="20% - Accent2 4 10 4" xfId="3497" xr:uid="{00000000-0005-0000-0000-0000500B0000}"/>
    <cellStyle name="20% - Accent2 4 10 5" xfId="3498" xr:uid="{00000000-0005-0000-0000-0000510B0000}"/>
    <cellStyle name="20% - Accent2 4 10 6" xfId="3499" xr:uid="{00000000-0005-0000-0000-0000520B0000}"/>
    <cellStyle name="20% - Accent2 4 11" xfId="3500" xr:uid="{00000000-0005-0000-0000-0000530B0000}"/>
    <cellStyle name="20% - Accent2 4 11 2" xfId="3501" xr:uid="{00000000-0005-0000-0000-0000540B0000}"/>
    <cellStyle name="20% - Accent2 4 11 3" xfId="3502" xr:uid="{00000000-0005-0000-0000-0000550B0000}"/>
    <cellStyle name="20% - Accent2 4 12" xfId="3503" xr:uid="{00000000-0005-0000-0000-0000560B0000}"/>
    <cellStyle name="20% - Accent2 4 13" xfId="3504" xr:uid="{00000000-0005-0000-0000-0000570B0000}"/>
    <cellStyle name="20% - Accent2 4 14" xfId="3505" xr:uid="{00000000-0005-0000-0000-0000580B0000}"/>
    <cellStyle name="20% - Accent2 4 15" xfId="3506" xr:uid="{00000000-0005-0000-0000-0000590B0000}"/>
    <cellStyle name="20% - Accent2 4 2" xfId="3507" xr:uid="{00000000-0005-0000-0000-00005A0B0000}"/>
    <cellStyle name="20% - Accent2 4 2 10" xfId="3508" xr:uid="{00000000-0005-0000-0000-00005B0B0000}"/>
    <cellStyle name="20% - Accent2 4 2 10 2" xfId="3509" xr:uid="{00000000-0005-0000-0000-00005C0B0000}"/>
    <cellStyle name="20% - Accent2 4 2 10 3" xfId="3510" xr:uid="{00000000-0005-0000-0000-00005D0B0000}"/>
    <cellStyle name="20% - Accent2 4 2 11" xfId="3511" xr:uid="{00000000-0005-0000-0000-00005E0B0000}"/>
    <cellStyle name="20% - Accent2 4 2 12" xfId="3512" xr:uid="{00000000-0005-0000-0000-00005F0B0000}"/>
    <cellStyle name="20% - Accent2 4 2 13" xfId="3513" xr:uid="{00000000-0005-0000-0000-0000600B0000}"/>
    <cellStyle name="20% - Accent2 4 2 14" xfId="3514" xr:uid="{00000000-0005-0000-0000-0000610B0000}"/>
    <cellStyle name="20% - Accent2 4 2 2" xfId="3515" xr:uid="{00000000-0005-0000-0000-0000620B0000}"/>
    <cellStyle name="20% - Accent2 4 2 2 10" xfId="3516" xr:uid="{00000000-0005-0000-0000-0000630B0000}"/>
    <cellStyle name="20% - Accent2 4 2 2 11" xfId="3517" xr:uid="{00000000-0005-0000-0000-0000640B0000}"/>
    <cellStyle name="20% - Accent2 4 2 2 12" xfId="3518" xr:uid="{00000000-0005-0000-0000-0000650B0000}"/>
    <cellStyle name="20% - Accent2 4 2 2 13" xfId="3519" xr:uid="{00000000-0005-0000-0000-0000660B0000}"/>
    <cellStyle name="20% - Accent2 4 2 2 2" xfId="3520" xr:uid="{00000000-0005-0000-0000-0000670B0000}"/>
    <cellStyle name="20% - Accent2 4 2 2 2 10" xfId="3521" xr:uid="{00000000-0005-0000-0000-0000680B0000}"/>
    <cellStyle name="20% - Accent2 4 2 2 2 2" xfId="3522" xr:uid="{00000000-0005-0000-0000-0000690B0000}"/>
    <cellStyle name="20% - Accent2 4 2 2 2 2 2" xfId="3523" xr:uid="{00000000-0005-0000-0000-00006A0B0000}"/>
    <cellStyle name="20% - Accent2 4 2 2 2 2 2 2" xfId="3524" xr:uid="{00000000-0005-0000-0000-00006B0B0000}"/>
    <cellStyle name="20% - Accent2 4 2 2 2 2 2 2 2" xfId="3525" xr:uid="{00000000-0005-0000-0000-00006C0B0000}"/>
    <cellStyle name="20% - Accent2 4 2 2 2 2 2 2 3" xfId="3526" xr:uid="{00000000-0005-0000-0000-00006D0B0000}"/>
    <cellStyle name="20% - Accent2 4 2 2 2 2 2 3" xfId="3527" xr:uid="{00000000-0005-0000-0000-00006E0B0000}"/>
    <cellStyle name="20% - Accent2 4 2 2 2 2 2 4" xfId="3528" xr:uid="{00000000-0005-0000-0000-00006F0B0000}"/>
    <cellStyle name="20% - Accent2 4 2 2 2 2 2 5" xfId="3529" xr:uid="{00000000-0005-0000-0000-0000700B0000}"/>
    <cellStyle name="20% - Accent2 4 2 2 2 2 2 6" xfId="3530" xr:uid="{00000000-0005-0000-0000-0000710B0000}"/>
    <cellStyle name="20% - Accent2 4 2 2 2 2 3" xfId="3531" xr:uid="{00000000-0005-0000-0000-0000720B0000}"/>
    <cellStyle name="20% - Accent2 4 2 2 2 2 3 2" xfId="3532" xr:uid="{00000000-0005-0000-0000-0000730B0000}"/>
    <cellStyle name="20% - Accent2 4 2 2 2 2 3 2 2" xfId="3533" xr:uid="{00000000-0005-0000-0000-0000740B0000}"/>
    <cellStyle name="20% - Accent2 4 2 2 2 2 3 2 3" xfId="3534" xr:uid="{00000000-0005-0000-0000-0000750B0000}"/>
    <cellStyle name="20% - Accent2 4 2 2 2 2 3 3" xfId="3535" xr:uid="{00000000-0005-0000-0000-0000760B0000}"/>
    <cellStyle name="20% - Accent2 4 2 2 2 2 3 4" xfId="3536" xr:uid="{00000000-0005-0000-0000-0000770B0000}"/>
    <cellStyle name="20% - Accent2 4 2 2 2 2 3 5" xfId="3537" xr:uid="{00000000-0005-0000-0000-0000780B0000}"/>
    <cellStyle name="20% - Accent2 4 2 2 2 2 3 6" xfId="3538" xr:uid="{00000000-0005-0000-0000-0000790B0000}"/>
    <cellStyle name="20% - Accent2 4 2 2 2 2 4" xfId="3539" xr:uid="{00000000-0005-0000-0000-00007A0B0000}"/>
    <cellStyle name="20% - Accent2 4 2 2 2 2 4 2" xfId="3540" xr:uid="{00000000-0005-0000-0000-00007B0B0000}"/>
    <cellStyle name="20% - Accent2 4 2 2 2 2 4 3" xfId="3541" xr:uid="{00000000-0005-0000-0000-00007C0B0000}"/>
    <cellStyle name="20% - Accent2 4 2 2 2 2 5" xfId="3542" xr:uid="{00000000-0005-0000-0000-00007D0B0000}"/>
    <cellStyle name="20% - Accent2 4 2 2 2 2 6" xfId="3543" xr:uid="{00000000-0005-0000-0000-00007E0B0000}"/>
    <cellStyle name="20% - Accent2 4 2 2 2 2 7" xfId="3544" xr:uid="{00000000-0005-0000-0000-00007F0B0000}"/>
    <cellStyle name="20% - Accent2 4 2 2 2 2 8" xfId="3545" xr:uid="{00000000-0005-0000-0000-0000800B0000}"/>
    <cellStyle name="20% - Accent2 4 2 2 2 3" xfId="3546" xr:uid="{00000000-0005-0000-0000-0000810B0000}"/>
    <cellStyle name="20% - Accent2 4 2 2 2 3 2" xfId="3547" xr:uid="{00000000-0005-0000-0000-0000820B0000}"/>
    <cellStyle name="20% - Accent2 4 2 2 2 3 2 2" xfId="3548" xr:uid="{00000000-0005-0000-0000-0000830B0000}"/>
    <cellStyle name="20% - Accent2 4 2 2 2 3 2 2 2" xfId="3549" xr:uid="{00000000-0005-0000-0000-0000840B0000}"/>
    <cellStyle name="20% - Accent2 4 2 2 2 3 2 2 3" xfId="3550" xr:uid="{00000000-0005-0000-0000-0000850B0000}"/>
    <cellStyle name="20% - Accent2 4 2 2 2 3 2 3" xfId="3551" xr:uid="{00000000-0005-0000-0000-0000860B0000}"/>
    <cellStyle name="20% - Accent2 4 2 2 2 3 2 4" xfId="3552" xr:uid="{00000000-0005-0000-0000-0000870B0000}"/>
    <cellStyle name="20% - Accent2 4 2 2 2 3 2 5" xfId="3553" xr:uid="{00000000-0005-0000-0000-0000880B0000}"/>
    <cellStyle name="20% - Accent2 4 2 2 2 3 2 6" xfId="3554" xr:uid="{00000000-0005-0000-0000-0000890B0000}"/>
    <cellStyle name="20% - Accent2 4 2 2 2 3 3" xfId="3555" xr:uid="{00000000-0005-0000-0000-00008A0B0000}"/>
    <cellStyle name="20% - Accent2 4 2 2 2 3 3 2" xfId="3556" xr:uid="{00000000-0005-0000-0000-00008B0B0000}"/>
    <cellStyle name="20% - Accent2 4 2 2 2 3 3 3" xfId="3557" xr:uid="{00000000-0005-0000-0000-00008C0B0000}"/>
    <cellStyle name="20% - Accent2 4 2 2 2 3 4" xfId="3558" xr:uid="{00000000-0005-0000-0000-00008D0B0000}"/>
    <cellStyle name="20% - Accent2 4 2 2 2 3 5" xfId="3559" xr:uid="{00000000-0005-0000-0000-00008E0B0000}"/>
    <cellStyle name="20% - Accent2 4 2 2 2 3 6" xfId="3560" xr:uid="{00000000-0005-0000-0000-00008F0B0000}"/>
    <cellStyle name="20% - Accent2 4 2 2 2 3 7" xfId="3561" xr:uid="{00000000-0005-0000-0000-0000900B0000}"/>
    <cellStyle name="20% - Accent2 4 2 2 2 4" xfId="3562" xr:uid="{00000000-0005-0000-0000-0000910B0000}"/>
    <cellStyle name="20% - Accent2 4 2 2 2 4 2" xfId="3563" xr:uid="{00000000-0005-0000-0000-0000920B0000}"/>
    <cellStyle name="20% - Accent2 4 2 2 2 4 2 2" xfId="3564" xr:uid="{00000000-0005-0000-0000-0000930B0000}"/>
    <cellStyle name="20% - Accent2 4 2 2 2 4 2 3" xfId="3565" xr:uid="{00000000-0005-0000-0000-0000940B0000}"/>
    <cellStyle name="20% - Accent2 4 2 2 2 4 3" xfId="3566" xr:uid="{00000000-0005-0000-0000-0000950B0000}"/>
    <cellStyle name="20% - Accent2 4 2 2 2 4 4" xfId="3567" xr:uid="{00000000-0005-0000-0000-0000960B0000}"/>
    <cellStyle name="20% - Accent2 4 2 2 2 4 5" xfId="3568" xr:uid="{00000000-0005-0000-0000-0000970B0000}"/>
    <cellStyle name="20% - Accent2 4 2 2 2 4 6" xfId="3569" xr:uid="{00000000-0005-0000-0000-0000980B0000}"/>
    <cellStyle name="20% - Accent2 4 2 2 2 5" xfId="3570" xr:uid="{00000000-0005-0000-0000-0000990B0000}"/>
    <cellStyle name="20% - Accent2 4 2 2 2 5 2" xfId="3571" xr:uid="{00000000-0005-0000-0000-00009A0B0000}"/>
    <cellStyle name="20% - Accent2 4 2 2 2 5 2 2" xfId="3572" xr:uid="{00000000-0005-0000-0000-00009B0B0000}"/>
    <cellStyle name="20% - Accent2 4 2 2 2 5 2 3" xfId="3573" xr:uid="{00000000-0005-0000-0000-00009C0B0000}"/>
    <cellStyle name="20% - Accent2 4 2 2 2 5 3" xfId="3574" xr:uid="{00000000-0005-0000-0000-00009D0B0000}"/>
    <cellStyle name="20% - Accent2 4 2 2 2 5 4" xfId="3575" xr:uid="{00000000-0005-0000-0000-00009E0B0000}"/>
    <cellStyle name="20% - Accent2 4 2 2 2 5 5" xfId="3576" xr:uid="{00000000-0005-0000-0000-00009F0B0000}"/>
    <cellStyle name="20% - Accent2 4 2 2 2 5 6" xfId="3577" xr:uid="{00000000-0005-0000-0000-0000A00B0000}"/>
    <cellStyle name="20% - Accent2 4 2 2 2 6" xfId="3578" xr:uid="{00000000-0005-0000-0000-0000A10B0000}"/>
    <cellStyle name="20% - Accent2 4 2 2 2 6 2" xfId="3579" xr:uid="{00000000-0005-0000-0000-0000A20B0000}"/>
    <cellStyle name="20% - Accent2 4 2 2 2 6 3" xfId="3580" xr:uid="{00000000-0005-0000-0000-0000A30B0000}"/>
    <cellStyle name="20% - Accent2 4 2 2 2 7" xfId="3581" xr:uid="{00000000-0005-0000-0000-0000A40B0000}"/>
    <cellStyle name="20% - Accent2 4 2 2 2 8" xfId="3582" xr:uid="{00000000-0005-0000-0000-0000A50B0000}"/>
    <cellStyle name="20% - Accent2 4 2 2 2 9" xfId="3583" xr:uid="{00000000-0005-0000-0000-0000A60B0000}"/>
    <cellStyle name="20% - Accent2 4 2 2 3" xfId="3584" xr:uid="{00000000-0005-0000-0000-0000A70B0000}"/>
    <cellStyle name="20% - Accent2 4 2 2 3 2" xfId="3585" xr:uid="{00000000-0005-0000-0000-0000A80B0000}"/>
    <cellStyle name="20% - Accent2 4 2 2 3 2 2" xfId="3586" xr:uid="{00000000-0005-0000-0000-0000A90B0000}"/>
    <cellStyle name="20% - Accent2 4 2 2 3 2 2 2" xfId="3587" xr:uid="{00000000-0005-0000-0000-0000AA0B0000}"/>
    <cellStyle name="20% - Accent2 4 2 2 3 2 2 2 2" xfId="3588" xr:uid="{00000000-0005-0000-0000-0000AB0B0000}"/>
    <cellStyle name="20% - Accent2 4 2 2 3 2 2 2 3" xfId="3589" xr:uid="{00000000-0005-0000-0000-0000AC0B0000}"/>
    <cellStyle name="20% - Accent2 4 2 2 3 2 2 3" xfId="3590" xr:uid="{00000000-0005-0000-0000-0000AD0B0000}"/>
    <cellStyle name="20% - Accent2 4 2 2 3 2 2 4" xfId="3591" xr:uid="{00000000-0005-0000-0000-0000AE0B0000}"/>
    <cellStyle name="20% - Accent2 4 2 2 3 2 2 5" xfId="3592" xr:uid="{00000000-0005-0000-0000-0000AF0B0000}"/>
    <cellStyle name="20% - Accent2 4 2 2 3 2 2 6" xfId="3593" xr:uid="{00000000-0005-0000-0000-0000B00B0000}"/>
    <cellStyle name="20% - Accent2 4 2 2 3 2 3" xfId="3594" xr:uid="{00000000-0005-0000-0000-0000B10B0000}"/>
    <cellStyle name="20% - Accent2 4 2 2 3 2 3 2" xfId="3595" xr:uid="{00000000-0005-0000-0000-0000B20B0000}"/>
    <cellStyle name="20% - Accent2 4 2 2 3 2 3 3" xfId="3596" xr:uid="{00000000-0005-0000-0000-0000B30B0000}"/>
    <cellStyle name="20% - Accent2 4 2 2 3 2 4" xfId="3597" xr:uid="{00000000-0005-0000-0000-0000B40B0000}"/>
    <cellStyle name="20% - Accent2 4 2 2 3 2 5" xfId="3598" xr:uid="{00000000-0005-0000-0000-0000B50B0000}"/>
    <cellStyle name="20% - Accent2 4 2 2 3 2 6" xfId="3599" xr:uid="{00000000-0005-0000-0000-0000B60B0000}"/>
    <cellStyle name="20% - Accent2 4 2 2 3 2 7" xfId="3600" xr:uid="{00000000-0005-0000-0000-0000B70B0000}"/>
    <cellStyle name="20% - Accent2 4 2 2 3 3" xfId="3601" xr:uid="{00000000-0005-0000-0000-0000B80B0000}"/>
    <cellStyle name="20% - Accent2 4 2 2 3 3 2" xfId="3602" xr:uid="{00000000-0005-0000-0000-0000B90B0000}"/>
    <cellStyle name="20% - Accent2 4 2 2 3 3 2 2" xfId="3603" xr:uid="{00000000-0005-0000-0000-0000BA0B0000}"/>
    <cellStyle name="20% - Accent2 4 2 2 3 3 2 3" xfId="3604" xr:uid="{00000000-0005-0000-0000-0000BB0B0000}"/>
    <cellStyle name="20% - Accent2 4 2 2 3 3 3" xfId="3605" xr:uid="{00000000-0005-0000-0000-0000BC0B0000}"/>
    <cellStyle name="20% - Accent2 4 2 2 3 3 4" xfId="3606" xr:uid="{00000000-0005-0000-0000-0000BD0B0000}"/>
    <cellStyle name="20% - Accent2 4 2 2 3 3 5" xfId="3607" xr:uid="{00000000-0005-0000-0000-0000BE0B0000}"/>
    <cellStyle name="20% - Accent2 4 2 2 3 3 6" xfId="3608" xr:uid="{00000000-0005-0000-0000-0000BF0B0000}"/>
    <cellStyle name="20% - Accent2 4 2 2 3 4" xfId="3609" xr:uid="{00000000-0005-0000-0000-0000C00B0000}"/>
    <cellStyle name="20% - Accent2 4 2 2 3 4 2" xfId="3610" xr:uid="{00000000-0005-0000-0000-0000C10B0000}"/>
    <cellStyle name="20% - Accent2 4 2 2 3 4 2 2" xfId="3611" xr:uid="{00000000-0005-0000-0000-0000C20B0000}"/>
    <cellStyle name="20% - Accent2 4 2 2 3 4 2 3" xfId="3612" xr:uid="{00000000-0005-0000-0000-0000C30B0000}"/>
    <cellStyle name="20% - Accent2 4 2 2 3 4 3" xfId="3613" xr:uid="{00000000-0005-0000-0000-0000C40B0000}"/>
    <cellStyle name="20% - Accent2 4 2 2 3 4 4" xfId="3614" xr:uid="{00000000-0005-0000-0000-0000C50B0000}"/>
    <cellStyle name="20% - Accent2 4 2 2 3 4 5" xfId="3615" xr:uid="{00000000-0005-0000-0000-0000C60B0000}"/>
    <cellStyle name="20% - Accent2 4 2 2 3 4 6" xfId="3616" xr:uid="{00000000-0005-0000-0000-0000C70B0000}"/>
    <cellStyle name="20% - Accent2 4 2 2 3 5" xfId="3617" xr:uid="{00000000-0005-0000-0000-0000C80B0000}"/>
    <cellStyle name="20% - Accent2 4 2 2 3 5 2" xfId="3618" xr:uid="{00000000-0005-0000-0000-0000C90B0000}"/>
    <cellStyle name="20% - Accent2 4 2 2 3 5 3" xfId="3619" xr:uid="{00000000-0005-0000-0000-0000CA0B0000}"/>
    <cellStyle name="20% - Accent2 4 2 2 3 6" xfId="3620" xr:uid="{00000000-0005-0000-0000-0000CB0B0000}"/>
    <cellStyle name="20% - Accent2 4 2 2 3 7" xfId="3621" xr:uid="{00000000-0005-0000-0000-0000CC0B0000}"/>
    <cellStyle name="20% - Accent2 4 2 2 3 8" xfId="3622" xr:uid="{00000000-0005-0000-0000-0000CD0B0000}"/>
    <cellStyle name="20% - Accent2 4 2 2 3 9" xfId="3623" xr:uid="{00000000-0005-0000-0000-0000CE0B0000}"/>
    <cellStyle name="20% - Accent2 4 2 2 4" xfId="3624" xr:uid="{00000000-0005-0000-0000-0000CF0B0000}"/>
    <cellStyle name="20% - Accent2 4 2 2 4 2" xfId="3625" xr:uid="{00000000-0005-0000-0000-0000D00B0000}"/>
    <cellStyle name="20% - Accent2 4 2 2 4 2 2" xfId="3626" xr:uid="{00000000-0005-0000-0000-0000D10B0000}"/>
    <cellStyle name="20% - Accent2 4 2 2 4 2 2 2" xfId="3627" xr:uid="{00000000-0005-0000-0000-0000D20B0000}"/>
    <cellStyle name="20% - Accent2 4 2 2 4 2 2 3" xfId="3628" xr:uid="{00000000-0005-0000-0000-0000D30B0000}"/>
    <cellStyle name="20% - Accent2 4 2 2 4 2 3" xfId="3629" xr:uid="{00000000-0005-0000-0000-0000D40B0000}"/>
    <cellStyle name="20% - Accent2 4 2 2 4 2 4" xfId="3630" xr:uid="{00000000-0005-0000-0000-0000D50B0000}"/>
    <cellStyle name="20% - Accent2 4 2 2 4 2 5" xfId="3631" xr:uid="{00000000-0005-0000-0000-0000D60B0000}"/>
    <cellStyle name="20% - Accent2 4 2 2 4 2 6" xfId="3632" xr:uid="{00000000-0005-0000-0000-0000D70B0000}"/>
    <cellStyle name="20% - Accent2 4 2 2 4 3" xfId="3633" xr:uid="{00000000-0005-0000-0000-0000D80B0000}"/>
    <cellStyle name="20% - Accent2 4 2 2 4 3 2" xfId="3634" xr:uid="{00000000-0005-0000-0000-0000D90B0000}"/>
    <cellStyle name="20% - Accent2 4 2 2 4 3 3" xfId="3635" xr:uid="{00000000-0005-0000-0000-0000DA0B0000}"/>
    <cellStyle name="20% - Accent2 4 2 2 4 4" xfId="3636" xr:uid="{00000000-0005-0000-0000-0000DB0B0000}"/>
    <cellStyle name="20% - Accent2 4 2 2 4 5" xfId="3637" xr:uid="{00000000-0005-0000-0000-0000DC0B0000}"/>
    <cellStyle name="20% - Accent2 4 2 2 4 6" xfId="3638" xr:uid="{00000000-0005-0000-0000-0000DD0B0000}"/>
    <cellStyle name="20% - Accent2 4 2 2 4 7" xfId="3639" xr:uid="{00000000-0005-0000-0000-0000DE0B0000}"/>
    <cellStyle name="20% - Accent2 4 2 2 5" xfId="3640" xr:uid="{00000000-0005-0000-0000-0000DF0B0000}"/>
    <cellStyle name="20% - Accent2 4 2 2 5 2" xfId="3641" xr:uid="{00000000-0005-0000-0000-0000E00B0000}"/>
    <cellStyle name="20% - Accent2 4 2 2 5 2 2" xfId="3642" xr:uid="{00000000-0005-0000-0000-0000E10B0000}"/>
    <cellStyle name="20% - Accent2 4 2 2 5 2 3" xfId="3643" xr:uid="{00000000-0005-0000-0000-0000E20B0000}"/>
    <cellStyle name="20% - Accent2 4 2 2 5 3" xfId="3644" xr:uid="{00000000-0005-0000-0000-0000E30B0000}"/>
    <cellStyle name="20% - Accent2 4 2 2 5 4" xfId="3645" xr:uid="{00000000-0005-0000-0000-0000E40B0000}"/>
    <cellStyle name="20% - Accent2 4 2 2 5 5" xfId="3646" xr:uid="{00000000-0005-0000-0000-0000E50B0000}"/>
    <cellStyle name="20% - Accent2 4 2 2 5 6" xfId="3647" xr:uid="{00000000-0005-0000-0000-0000E60B0000}"/>
    <cellStyle name="20% - Accent2 4 2 2 6" xfId="3648" xr:uid="{00000000-0005-0000-0000-0000E70B0000}"/>
    <cellStyle name="20% - Accent2 4 2 2 6 2" xfId="3649" xr:uid="{00000000-0005-0000-0000-0000E80B0000}"/>
    <cellStyle name="20% - Accent2 4 2 2 6 2 2" xfId="3650" xr:uid="{00000000-0005-0000-0000-0000E90B0000}"/>
    <cellStyle name="20% - Accent2 4 2 2 6 2 3" xfId="3651" xr:uid="{00000000-0005-0000-0000-0000EA0B0000}"/>
    <cellStyle name="20% - Accent2 4 2 2 6 3" xfId="3652" xr:uid="{00000000-0005-0000-0000-0000EB0B0000}"/>
    <cellStyle name="20% - Accent2 4 2 2 6 4" xfId="3653" xr:uid="{00000000-0005-0000-0000-0000EC0B0000}"/>
    <cellStyle name="20% - Accent2 4 2 2 6 5" xfId="3654" xr:uid="{00000000-0005-0000-0000-0000ED0B0000}"/>
    <cellStyle name="20% - Accent2 4 2 2 6 6" xfId="3655" xr:uid="{00000000-0005-0000-0000-0000EE0B0000}"/>
    <cellStyle name="20% - Accent2 4 2 2 7" xfId="3656" xr:uid="{00000000-0005-0000-0000-0000EF0B0000}"/>
    <cellStyle name="20% - Accent2 4 2 2 7 2" xfId="3657" xr:uid="{00000000-0005-0000-0000-0000F00B0000}"/>
    <cellStyle name="20% - Accent2 4 2 2 7 2 2" xfId="3658" xr:uid="{00000000-0005-0000-0000-0000F10B0000}"/>
    <cellStyle name="20% - Accent2 4 2 2 7 2 3" xfId="3659" xr:uid="{00000000-0005-0000-0000-0000F20B0000}"/>
    <cellStyle name="20% - Accent2 4 2 2 7 3" xfId="3660" xr:uid="{00000000-0005-0000-0000-0000F30B0000}"/>
    <cellStyle name="20% - Accent2 4 2 2 7 4" xfId="3661" xr:uid="{00000000-0005-0000-0000-0000F40B0000}"/>
    <cellStyle name="20% - Accent2 4 2 2 7 5" xfId="3662" xr:uid="{00000000-0005-0000-0000-0000F50B0000}"/>
    <cellStyle name="20% - Accent2 4 2 2 7 6" xfId="3663" xr:uid="{00000000-0005-0000-0000-0000F60B0000}"/>
    <cellStyle name="20% - Accent2 4 2 2 8" xfId="3664" xr:uid="{00000000-0005-0000-0000-0000F70B0000}"/>
    <cellStyle name="20% - Accent2 4 2 2 8 2" xfId="3665" xr:uid="{00000000-0005-0000-0000-0000F80B0000}"/>
    <cellStyle name="20% - Accent2 4 2 2 8 2 2" xfId="3666" xr:uid="{00000000-0005-0000-0000-0000F90B0000}"/>
    <cellStyle name="20% - Accent2 4 2 2 8 2 3" xfId="3667" xr:uid="{00000000-0005-0000-0000-0000FA0B0000}"/>
    <cellStyle name="20% - Accent2 4 2 2 8 3" xfId="3668" xr:uid="{00000000-0005-0000-0000-0000FB0B0000}"/>
    <cellStyle name="20% - Accent2 4 2 2 8 4" xfId="3669" xr:uid="{00000000-0005-0000-0000-0000FC0B0000}"/>
    <cellStyle name="20% - Accent2 4 2 2 8 5" xfId="3670" xr:uid="{00000000-0005-0000-0000-0000FD0B0000}"/>
    <cellStyle name="20% - Accent2 4 2 2 8 6" xfId="3671" xr:uid="{00000000-0005-0000-0000-0000FE0B0000}"/>
    <cellStyle name="20% - Accent2 4 2 2 9" xfId="3672" xr:uid="{00000000-0005-0000-0000-0000FF0B0000}"/>
    <cellStyle name="20% - Accent2 4 2 2 9 2" xfId="3673" xr:uid="{00000000-0005-0000-0000-0000000C0000}"/>
    <cellStyle name="20% - Accent2 4 2 2 9 3" xfId="3674" xr:uid="{00000000-0005-0000-0000-0000010C0000}"/>
    <cellStyle name="20% - Accent2 4 2 3" xfId="3675" xr:uid="{00000000-0005-0000-0000-0000020C0000}"/>
    <cellStyle name="20% - Accent2 4 2 3 10" xfId="3676" xr:uid="{00000000-0005-0000-0000-0000030C0000}"/>
    <cellStyle name="20% - Accent2 4 2 3 2" xfId="3677" xr:uid="{00000000-0005-0000-0000-0000040C0000}"/>
    <cellStyle name="20% - Accent2 4 2 3 2 2" xfId="3678" xr:uid="{00000000-0005-0000-0000-0000050C0000}"/>
    <cellStyle name="20% - Accent2 4 2 3 2 2 2" xfId="3679" xr:uid="{00000000-0005-0000-0000-0000060C0000}"/>
    <cellStyle name="20% - Accent2 4 2 3 2 2 2 2" xfId="3680" xr:uid="{00000000-0005-0000-0000-0000070C0000}"/>
    <cellStyle name="20% - Accent2 4 2 3 2 2 2 3" xfId="3681" xr:uid="{00000000-0005-0000-0000-0000080C0000}"/>
    <cellStyle name="20% - Accent2 4 2 3 2 2 3" xfId="3682" xr:uid="{00000000-0005-0000-0000-0000090C0000}"/>
    <cellStyle name="20% - Accent2 4 2 3 2 2 4" xfId="3683" xr:uid="{00000000-0005-0000-0000-00000A0C0000}"/>
    <cellStyle name="20% - Accent2 4 2 3 2 2 5" xfId="3684" xr:uid="{00000000-0005-0000-0000-00000B0C0000}"/>
    <cellStyle name="20% - Accent2 4 2 3 2 2 6" xfId="3685" xr:uid="{00000000-0005-0000-0000-00000C0C0000}"/>
    <cellStyle name="20% - Accent2 4 2 3 2 3" xfId="3686" xr:uid="{00000000-0005-0000-0000-00000D0C0000}"/>
    <cellStyle name="20% - Accent2 4 2 3 2 3 2" xfId="3687" xr:uid="{00000000-0005-0000-0000-00000E0C0000}"/>
    <cellStyle name="20% - Accent2 4 2 3 2 3 2 2" xfId="3688" xr:uid="{00000000-0005-0000-0000-00000F0C0000}"/>
    <cellStyle name="20% - Accent2 4 2 3 2 3 2 3" xfId="3689" xr:uid="{00000000-0005-0000-0000-0000100C0000}"/>
    <cellStyle name="20% - Accent2 4 2 3 2 3 3" xfId="3690" xr:uid="{00000000-0005-0000-0000-0000110C0000}"/>
    <cellStyle name="20% - Accent2 4 2 3 2 3 4" xfId="3691" xr:uid="{00000000-0005-0000-0000-0000120C0000}"/>
    <cellStyle name="20% - Accent2 4 2 3 2 3 5" xfId="3692" xr:uid="{00000000-0005-0000-0000-0000130C0000}"/>
    <cellStyle name="20% - Accent2 4 2 3 2 3 6" xfId="3693" xr:uid="{00000000-0005-0000-0000-0000140C0000}"/>
    <cellStyle name="20% - Accent2 4 2 3 2 4" xfId="3694" xr:uid="{00000000-0005-0000-0000-0000150C0000}"/>
    <cellStyle name="20% - Accent2 4 2 3 2 4 2" xfId="3695" xr:uid="{00000000-0005-0000-0000-0000160C0000}"/>
    <cellStyle name="20% - Accent2 4 2 3 2 4 3" xfId="3696" xr:uid="{00000000-0005-0000-0000-0000170C0000}"/>
    <cellStyle name="20% - Accent2 4 2 3 2 5" xfId="3697" xr:uid="{00000000-0005-0000-0000-0000180C0000}"/>
    <cellStyle name="20% - Accent2 4 2 3 2 6" xfId="3698" xr:uid="{00000000-0005-0000-0000-0000190C0000}"/>
    <cellStyle name="20% - Accent2 4 2 3 2 7" xfId="3699" xr:uid="{00000000-0005-0000-0000-00001A0C0000}"/>
    <cellStyle name="20% - Accent2 4 2 3 2 8" xfId="3700" xr:uid="{00000000-0005-0000-0000-00001B0C0000}"/>
    <cellStyle name="20% - Accent2 4 2 3 3" xfId="3701" xr:uid="{00000000-0005-0000-0000-00001C0C0000}"/>
    <cellStyle name="20% - Accent2 4 2 3 3 2" xfId="3702" xr:uid="{00000000-0005-0000-0000-00001D0C0000}"/>
    <cellStyle name="20% - Accent2 4 2 3 3 2 2" xfId="3703" xr:uid="{00000000-0005-0000-0000-00001E0C0000}"/>
    <cellStyle name="20% - Accent2 4 2 3 3 2 2 2" xfId="3704" xr:uid="{00000000-0005-0000-0000-00001F0C0000}"/>
    <cellStyle name="20% - Accent2 4 2 3 3 2 2 3" xfId="3705" xr:uid="{00000000-0005-0000-0000-0000200C0000}"/>
    <cellStyle name="20% - Accent2 4 2 3 3 2 3" xfId="3706" xr:uid="{00000000-0005-0000-0000-0000210C0000}"/>
    <cellStyle name="20% - Accent2 4 2 3 3 2 4" xfId="3707" xr:uid="{00000000-0005-0000-0000-0000220C0000}"/>
    <cellStyle name="20% - Accent2 4 2 3 3 2 5" xfId="3708" xr:uid="{00000000-0005-0000-0000-0000230C0000}"/>
    <cellStyle name="20% - Accent2 4 2 3 3 2 6" xfId="3709" xr:uid="{00000000-0005-0000-0000-0000240C0000}"/>
    <cellStyle name="20% - Accent2 4 2 3 3 3" xfId="3710" xr:uid="{00000000-0005-0000-0000-0000250C0000}"/>
    <cellStyle name="20% - Accent2 4 2 3 3 3 2" xfId="3711" xr:uid="{00000000-0005-0000-0000-0000260C0000}"/>
    <cellStyle name="20% - Accent2 4 2 3 3 3 3" xfId="3712" xr:uid="{00000000-0005-0000-0000-0000270C0000}"/>
    <cellStyle name="20% - Accent2 4 2 3 3 4" xfId="3713" xr:uid="{00000000-0005-0000-0000-0000280C0000}"/>
    <cellStyle name="20% - Accent2 4 2 3 3 5" xfId="3714" xr:uid="{00000000-0005-0000-0000-0000290C0000}"/>
    <cellStyle name="20% - Accent2 4 2 3 3 6" xfId="3715" xr:uid="{00000000-0005-0000-0000-00002A0C0000}"/>
    <cellStyle name="20% - Accent2 4 2 3 3 7" xfId="3716" xr:uid="{00000000-0005-0000-0000-00002B0C0000}"/>
    <cellStyle name="20% - Accent2 4 2 3 4" xfId="3717" xr:uid="{00000000-0005-0000-0000-00002C0C0000}"/>
    <cellStyle name="20% - Accent2 4 2 3 4 2" xfId="3718" xr:uid="{00000000-0005-0000-0000-00002D0C0000}"/>
    <cellStyle name="20% - Accent2 4 2 3 4 2 2" xfId="3719" xr:uid="{00000000-0005-0000-0000-00002E0C0000}"/>
    <cellStyle name="20% - Accent2 4 2 3 4 2 3" xfId="3720" xr:uid="{00000000-0005-0000-0000-00002F0C0000}"/>
    <cellStyle name="20% - Accent2 4 2 3 4 3" xfId="3721" xr:uid="{00000000-0005-0000-0000-0000300C0000}"/>
    <cellStyle name="20% - Accent2 4 2 3 4 4" xfId="3722" xr:uid="{00000000-0005-0000-0000-0000310C0000}"/>
    <cellStyle name="20% - Accent2 4 2 3 4 5" xfId="3723" xr:uid="{00000000-0005-0000-0000-0000320C0000}"/>
    <cellStyle name="20% - Accent2 4 2 3 4 6" xfId="3724" xr:uid="{00000000-0005-0000-0000-0000330C0000}"/>
    <cellStyle name="20% - Accent2 4 2 3 5" xfId="3725" xr:uid="{00000000-0005-0000-0000-0000340C0000}"/>
    <cellStyle name="20% - Accent2 4 2 3 5 2" xfId="3726" xr:uid="{00000000-0005-0000-0000-0000350C0000}"/>
    <cellStyle name="20% - Accent2 4 2 3 5 2 2" xfId="3727" xr:uid="{00000000-0005-0000-0000-0000360C0000}"/>
    <cellStyle name="20% - Accent2 4 2 3 5 2 3" xfId="3728" xr:uid="{00000000-0005-0000-0000-0000370C0000}"/>
    <cellStyle name="20% - Accent2 4 2 3 5 3" xfId="3729" xr:uid="{00000000-0005-0000-0000-0000380C0000}"/>
    <cellStyle name="20% - Accent2 4 2 3 5 4" xfId="3730" xr:uid="{00000000-0005-0000-0000-0000390C0000}"/>
    <cellStyle name="20% - Accent2 4 2 3 5 5" xfId="3731" xr:uid="{00000000-0005-0000-0000-00003A0C0000}"/>
    <cellStyle name="20% - Accent2 4 2 3 5 6" xfId="3732" xr:uid="{00000000-0005-0000-0000-00003B0C0000}"/>
    <cellStyle name="20% - Accent2 4 2 3 6" xfId="3733" xr:uid="{00000000-0005-0000-0000-00003C0C0000}"/>
    <cellStyle name="20% - Accent2 4 2 3 6 2" xfId="3734" xr:uid="{00000000-0005-0000-0000-00003D0C0000}"/>
    <cellStyle name="20% - Accent2 4 2 3 6 3" xfId="3735" xr:uid="{00000000-0005-0000-0000-00003E0C0000}"/>
    <cellStyle name="20% - Accent2 4 2 3 7" xfId="3736" xr:uid="{00000000-0005-0000-0000-00003F0C0000}"/>
    <cellStyle name="20% - Accent2 4 2 3 8" xfId="3737" xr:uid="{00000000-0005-0000-0000-0000400C0000}"/>
    <cellStyle name="20% - Accent2 4 2 3 9" xfId="3738" xr:uid="{00000000-0005-0000-0000-0000410C0000}"/>
    <cellStyle name="20% - Accent2 4 2 4" xfId="3739" xr:uid="{00000000-0005-0000-0000-0000420C0000}"/>
    <cellStyle name="20% - Accent2 4 2 4 2" xfId="3740" xr:uid="{00000000-0005-0000-0000-0000430C0000}"/>
    <cellStyle name="20% - Accent2 4 2 4 2 2" xfId="3741" xr:uid="{00000000-0005-0000-0000-0000440C0000}"/>
    <cellStyle name="20% - Accent2 4 2 4 2 2 2" xfId="3742" xr:uid="{00000000-0005-0000-0000-0000450C0000}"/>
    <cellStyle name="20% - Accent2 4 2 4 2 2 2 2" xfId="3743" xr:uid="{00000000-0005-0000-0000-0000460C0000}"/>
    <cellStyle name="20% - Accent2 4 2 4 2 2 2 3" xfId="3744" xr:uid="{00000000-0005-0000-0000-0000470C0000}"/>
    <cellStyle name="20% - Accent2 4 2 4 2 2 3" xfId="3745" xr:uid="{00000000-0005-0000-0000-0000480C0000}"/>
    <cellStyle name="20% - Accent2 4 2 4 2 2 4" xfId="3746" xr:uid="{00000000-0005-0000-0000-0000490C0000}"/>
    <cellStyle name="20% - Accent2 4 2 4 2 2 5" xfId="3747" xr:uid="{00000000-0005-0000-0000-00004A0C0000}"/>
    <cellStyle name="20% - Accent2 4 2 4 2 2 6" xfId="3748" xr:uid="{00000000-0005-0000-0000-00004B0C0000}"/>
    <cellStyle name="20% - Accent2 4 2 4 2 3" xfId="3749" xr:uid="{00000000-0005-0000-0000-00004C0C0000}"/>
    <cellStyle name="20% - Accent2 4 2 4 2 3 2" xfId="3750" xr:uid="{00000000-0005-0000-0000-00004D0C0000}"/>
    <cellStyle name="20% - Accent2 4 2 4 2 3 3" xfId="3751" xr:uid="{00000000-0005-0000-0000-00004E0C0000}"/>
    <cellStyle name="20% - Accent2 4 2 4 2 4" xfId="3752" xr:uid="{00000000-0005-0000-0000-00004F0C0000}"/>
    <cellStyle name="20% - Accent2 4 2 4 2 5" xfId="3753" xr:uid="{00000000-0005-0000-0000-0000500C0000}"/>
    <cellStyle name="20% - Accent2 4 2 4 2 6" xfId="3754" xr:uid="{00000000-0005-0000-0000-0000510C0000}"/>
    <cellStyle name="20% - Accent2 4 2 4 2 7" xfId="3755" xr:uid="{00000000-0005-0000-0000-0000520C0000}"/>
    <cellStyle name="20% - Accent2 4 2 4 3" xfId="3756" xr:uid="{00000000-0005-0000-0000-0000530C0000}"/>
    <cellStyle name="20% - Accent2 4 2 4 3 2" xfId="3757" xr:uid="{00000000-0005-0000-0000-0000540C0000}"/>
    <cellStyle name="20% - Accent2 4 2 4 3 2 2" xfId="3758" xr:uid="{00000000-0005-0000-0000-0000550C0000}"/>
    <cellStyle name="20% - Accent2 4 2 4 3 2 3" xfId="3759" xr:uid="{00000000-0005-0000-0000-0000560C0000}"/>
    <cellStyle name="20% - Accent2 4 2 4 3 3" xfId="3760" xr:uid="{00000000-0005-0000-0000-0000570C0000}"/>
    <cellStyle name="20% - Accent2 4 2 4 3 4" xfId="3761" xr:uid="{00000000-0005-0000-0000-0000580C0000}"/>
    <cellStyle name="20% - Accent2 4 2 4 3 5" xfId="3762" xr:uid="{00000000-0005-0000-0000-0000590C0000}"/>
    <cellStyle name="20% - Accent2 4 2 4 3 6" xfId="3763" xr:uid="{00000000-0005-0000-0000-00005A0C0000}"/>
    <cellStyle name="20% - Accent2 4 2 4 4" xfId="3764" xr:uid="{00000000-0005-0000-0000-00005B0C0000}"/>
    <cellStyle name="20% - Accent2 4 2 4 4 2" xfId="3765" xr:uid="{00000000-0005-0000-0000-00005C0C0000}"/>
    <cellStyle name="20% - Accent2 4 2 4 4 2 2" xfId="3766" xr:uid="{00000000-0005-0000-0000-00005D0C0000}"/>
    <cellStyle name="20% - Accent2 4 2 4 4 2 3" xfId="3767" xr:uid="{00000000-0005-0000-0000-00005E0C0000}"/>
    <cellStyle name="20% - Accent2 4 2 4 4 3" xfId="3768" xr:uid="{00000000-0005-0000-0000-00005F0C0000}"/>
    <cellStyle name="20% - Accent2 4 2 4 4 4" xfId="3769" xr:uid="{00000000-0005-0000-0000-0000600C0000}"/>
    <cellStyle name="20% - Accent2 4 2 4 4 5" xfId="3770" xr:uid="{00000000-0005-0000-0000-0000610C0000}"/>
    <cellStyle name="20% - Accent2 4 2 4 4 6" xfId="3771" xr:uid="{00000000-0005-0000-0000-0000620C0000}"/>
    <cellStyle name="20% - Accent2 4 2 4 5" xfId="3772" xr:uid="{00000000-0005-0000-0000-0000630C0000}"/>
    <cellStyle name="20% - Accent2 4 2 4 5 2" xfId="3773" xr:uid="{00000000-0005-0000-0000-0000640C0000}"/>
    <cellStyle name="20% - Accent2 4 2 4 5 3" xfId="3774" xr:uid="{00000000-0005-0000-0000-0000650C0000}"/>
    <cellStyle name="20% - Accent2 4 2 4 6" xfId="3775" xr:uid="{00000000-0005-0000-0000-0000660C0000}"/>
    <cellStyle name="20% - Accent2 4 2 4 7" xfId="3776" xr:uid="{00000000-0005-0000-0000-0000670C0000}"/>
    <cellStyle name="20% - Accent2 4 2 4 8" xfId="3777" xr:uid="{00000000-0005-0000-0000-0000680C0000}"/>
    <cellStyle name="20% - Accent2 4 2 4 9" xfId="3778" xr:uid="{00000000-0005-0000-0000-0000690C0000}"/>
    <cellStyle name="20% - Accent2 4 2 5" xfId="3779" xr:uid="{00000000-0005-0000-0000-00006A0C0000}"/>
    <cellStyle name="20% - Accent2 4 2 5 2" xfId="3780" xr:uid="{00000000-0005-0000-0000-00006B0C0000}"/>
    <cellStyle name="20% - Accent2 4 2 5 2 2" xfId="3781" xr:uid="{00000000-0005-0000-0000-00006C0C0000}"/>
    <cellStyle name="20% - Accent2 4 2 5 2 2 2" xfId="3782" xr:uid="{00000000-0005-0000-0000-00006D0C0000}"/>
    <cellStyle name="20% - Accent2 4 2 5 2 2 3" xfId="3783" xr:uid="{00000000-0005-0000-0000-00006E0C0000}"/>
    <cellStyle name="20% - Accent2 4 2 5 2 3" xfId="3784" xr:uid="{00000000-0005-0000-0000-00006F0C0000}"/>
    <cellStyle name="20% - Accent2 4 2 5 2 4" xfId="3785" xr:uid="{00000000-0005-0000-0000-0000700C0000}"/>
    <cellStyle name="20% - Accent2 4 2 5 2 5" xfId="3786" xr:uid="{00000000-0005-0000-0000-0000710C0000}"/>
    <cellStyle name="20% - Accent2 4 2 5 2 6" xfId="3787" xr:uid="{00000000-0005-0000-0000-0000720C0000}"/>
    <cellStyle name="20% - Accent2 4 2 5 3" xfId="3788" xr:uid="{00000000-0005-0000-0000-0000730C0000}"/>
    <cellStyle name="20% - Accent2 4 2 5 3 2" xfId="3789" xr:uid="{00000000-0005-0000-0000-0000740C0000}"/>
    <cellStyle name="20% - Accent2 4 2 5 3 3" xfId="3790" xr:uid="{00000000-0005-0000-0000-0000750C0000}"/>
    <cellStyle name="20% - Accent2 4 2 5 4" xfId="3791" xr:uid="{00000000-0005-0000-0000-0000760C0000}"/>
    <cellStyle name="20% - Accent2 4 2 5 5" xfId="3792" xr:uid="{00000000-0005-0000-0000-0000770C0000}"/>
    <cellStyle name="20% - Accent2 4 2 5 6" xfId="3793" xr:uid="{00000000-0005-0000-0000-0000780C0000}"/>
    <cellStyle name="20% - Accent2 4 2 5 7" xfId="3794" xr:uid="{00000000-0005-0000-0000-0000790C0000}"/>
    <cellStyle name="20% - Accent2 4 2 6" xfId="3795" xr:uid="{00000000-0005-0000-0000-00007A0C0000}"/>
    <cellStyle name="20% - Accent2 4 2 6 2" xfId="3796" xr:uid="{00000000-0005-0000-0000-00007B0C0000}"/>
    <cellStyle name="20% - Accent2 4 2 6 2 2" xfId="3797" xr:uid="{00000000-0005-0000-0000-00007C0C0000}"/>
    <cellStyle name="20% - Accent2 4 2 6 2 3" xfId="3798" xr:uid="{00000000-0005-0000-0000-00007D0C0000}"/>
    <cellStyle name="20% - Accent2 4 2 6 3" xfId="3799" xr:uid="{00000000-0005-0000-0000-00007E0C0000}"/>
    <cellStyle name="20% - Accent2 4 2 6 4" xfId="3800" xr:uid="{00000000-0005-0000-0000-00007F0C0000}"/>
    <cellStyle name="20% - Accent2 4 2 6 5" xfId="3801" xr:uid="{00000000-0005-0000-0000-0000800C0000}"/>
    <cellStyle name="20% - Accent2 4 2 6 6" xfId="3802" xr:uid="{00000000-0005-0000-0000-0000810C0000}"/>
    <cellStyle name="20% - Accent2 4 2 7" xfId="3803" xr:uid="{00000000-0005-0000-0000-0000820C0000}"/>
    <cellStyle name="20% - Accent2 4 2 7 2" xfId="3804" xr:uid="{00000000-0005-0000-0000-0000830C0000}"/>
    <cellStyle name="20% - Accent2 4 2 7 2 2" xfId="3805" xr:uid="{00000000-0005-0000-0000-0000840C0000}"/>
    <cellStyle name="20% - Accent2 4 2 7 2 3" xfId="3806" xr:uid="{00000000-0005-0000-0000-0000850C0000}"/>
    <cellStyle name="20% - Accent2 4 2 7 3" xfId="3807" xr:uid="{00000000-0005-0000-0000-0000860C0000}"/>
    <cellStyle name="20% - Accent2 4 2 7 4" xfId="3808" xr:uid="{00000000-0005-0000-0000-0000870C0000}"/>
    <cellStyle name="20% - Accent2 4 2 7 5" xfId="3809" xr:uid="{00000000-0005-0000-0000-0000880C0000}"/>
    <cellStyle name="20% - Accent2 4 2 7 6" xfId="3810" xr:uid="{00000000-0005-0000-0000-0000890C0000}"/>
    <cellStyle name="20% - Accent2 4 2 8" xfId="3811" xr:uid="{00000000-0005-0000-0000-00008A0C0000}"/>
    <cellStyle name="20% - Accent2 4 2 8 2" xfId="3812" xr:uid="{00000000-0005-0000-0000-00008B0C0000}"/>
    <cellStyle name="20% - Accent2 4 2 8 2 2" xfId="3813" xr:uid="{00000000-0005-0000-0000-00008C0C0000}"/>
    <cellStyle name="20% - Accent2 4 2 8 2 3" xfId="3814" xr:uid="{00000000-0005-0000-0000-00008D0C0000}"/>
    <cellStyle name="20% - Accent2 4 2 8 3" xfId="3815" xr:uid="{00000000-0005-0000-0000-00008E0C0000}"/>
    <cellStyle name="20% - Accent2 4 2 8 4" xfId="3816" xr:uid="{00000000-0005-0000-0000-00008F0C0000}"/>
    <cellStyle name="20% - Accent2 4 2 8 5" xfId="3817" xr:uid="{00000000-0005-0000-0000-0000900C0000}"/>
    <cellStyle name="20% - Accent2 4 2 8 6" xfId="3818" xr:uid="{00000000-0005-0000-0000-0000910C0000}"/>
    <cellStyle name="20% - Accent2 4 2 9" xfId="3819" xr:uid="{00000000-0005-0000-0000-0000920C0000}"/>
    <cellStyle name="20% - Accent2 4 2 9 2" xfId="3820" xr:uid="{00000000-0005-0000-0000-0000930C0000}"/>
    <cellStyle name="20% - Accent2 4 2 9 2 2" xfId="3821" xr:uid="{00000000-0005-0000-0000-0000940C0000}"/>
    <cellStyle name="20% - Accent2 4 2 9 2 3" xfId="3822" xr:uid="{00000000-0005-0000-0000-0000950C0000}"/>
    <cellStyle name="20% - Accent2 4 2 9 3" xfId="3823" xr:uid="{00000000-0005-0000-0000-0000960C0000}"/>
    <cellStyle name="20% - Accent2 4 2 9 4" xfId="3824" xr:uid="{00000000-0005-0000-0000-0000970C0000}"/>
    <cellStyle name="20% - Accent2 4 2 9 5" xfId="3825" xr:uid="{00000000-0005-0000-0000-0000980C0000}"/>
    <cellStyle name="20% - Accent2 4 2 9 6" xfId="3826" xr:uid="{00000000-0005-0000-0000-0000990C0000}"/>
    <cellStyle name="20% - Accent2 4 3" xfId="3827" xr:uid="{00000000-0005-0000-0000-00009A0C0000}"/>
    <cellStyle name="20% - Accent2 4 3 10" xfId="3828" xr:uid="{00000000-0005-0000-0000-00009B0C0000}"/>
    <cellStyle name="20% - Accent2 4 3 11" xfId="3829" xr:uid="{00000000-0005-0000-0000-00009C0C0000}"/>
    <cellStyle name="20% - Accent2 4 3 12" xfId="3830" xr:uid="{00000000-0005-0000-0000-00009D0C0000}"/>
    <cellStyle name="20% - Accent2 4 3 13" xfId="3831" xr:uid="{00000000-0005-0000-0000-00009E0C0000}"/>
    <cellStyle name="20% - Accent2 4 3 2" xfId="3832" xr:uid="{00000000-0005-0000-0000-00009F0C0000}"/>
    <cellStyle name="20% - Accent2 4 3 2 10" xfId="3833" xr:uid="{00000000-0005-0000-0000-0000A00C0000}"/>
    <cellStyle name="20% - Accent2 4 3 2 2" xfId="3834" xr:uid="{00000000-0005-0000-0000-0000A10C0000}"/>
    <cellStyle name="20% - Accent2 4 3 2 2 2" xfId="3835" xr:uid="{00000000-0005-0000-0000-0000A20C0000}"/>
    <cellStyle name="20% - Accent2 4 3 2 2 2 2" xfId="3836" xr:uid="{00000000-0005-0000-0000-0000A30C0000}"/>
    <cellStyle name="20% - Accent2 4 3 2 2 2 2 2" xfId="3837" xr:uid="{00000000-0005-0000-0000-0000A40C0000}"/>
    <cellStyle name="20% - Accent2 4 3 2 2 2 2 3" xfId="3838" xr:uid="{00000000-0005-0000-0000-0000A50C0000}"/>
    <cellStyle name="20% - Accent2 4 3 2 2 2 3" xfId="3839" xr:uid="{00000000-0005-0000-0000-0000A60C0000}"/>
    <cellStyle name="20% - Accent2 4 3 2 2 2 4" xfId="3840" xr:uid="{00000000-0005-0000-0000-0000A70C0000}"/>
    <cellStyle name="20% - Accent2 4 3 2 2 2 5" xfId="3841" xr:uid="{00000000-0005-0000-0000-0000A80C0000}"/>
    <cellStyle name="20% - Accent2 4 3 2 2 2 6" xfId="3842" xr:uid="{00000000-0005-0000-0000-0000A90C0000}"/>
    <cellStyle name="20% - Accent2 4 3 2 2 3" xfId="3843" xr:uid="{00000000-0005-0000-0000-0000AA0C0000}"/>
    <cellStyle name="20% - Accent2 4 3 2 2 3 2" xfId="3844" xr:uid="{00000000-0005-0000-0000-0000AB0C0000}"/>
    <cellStyle name="20% - Accent2 4 3 2 2 3 2 2" xfId="3845" xr:uid="{00000000-0005-0000-0000-0000AC0C0000}"/>
    <cellStyle name="20% - Accent2 4 3 2 2 3 2 3" xfId="3846" xr:uid="{00000000-0005-0000-0000-0000AD0C0000}"/>
    <cellStyle name="20% - Accent2 4 3 2 2 3 3" xfId="3847" xr:uid="{00000000-0005-0000-0000-0000AE0C0000}"/>
    <cellStyle name="20% - Accent2 4 3 2 2 3 4" xfId="3848" xr:uid="{00000000-0005-0000-0000-0000AF0C0000}"/>
    <cellStyle name="20% - Accent2 4 3 2 2 3 5" xfId="3849" xr:uid="{00000000-0005-0000-0000-0000B00C0000}"/>
    <cellStyle name="20% - Accent2 4 3 2 2 3 6" xfId="3850" xr:uid="{00000000-0005-0000-0000-0000B10C0000}"/>
    <cellStyle name="20% - Accent2 4 3 2 2 4" xfId="3851" xr:uid="{00000000-0005-0000-0000-0000B20C0000}"/>
    <cellStyle name="20% - Accent2 4 3 2 2 4 2" xfId="3852" xr:uid="{00000000-0005-0000-0000-0000B30C0000}"/>
    <cellStyle name="20% - Accent2 4 3 2 2 4 3" xfId="3853" xr:uid="{00000000-0005-0000-0000-0000B40C0000}"/>
    <cellStyle name="20% - Accent2 4 3 2 2 5" xfId="3854" xr:uid="{00000000-0005-0000-0000-0000B50C0000}"/>
    <cellStyle name="20% - Accent2 4 3 2 2 6" xfId="3855" xr:uid="{00000000-0005-0000-0000-0000B60C0000}"/>
    <cellStyle name="20% - Accent2 4 3 2 2 7" xfId="3856" xr:uid="{00000000-0005-0000-0000-0000B70C0000}"/>
    <cellStyle name="20% - Accent2 4 3 2 2 8" xfId="3857" xr:uid="{00000000-0005-0000-0000-0000B80C0000}"/>
    <cellStyle name="20% - Accent2 4 3 2 3" xfId="3858" xr:uid="{00000000-0005-0000-0000-0000B90C0000}"/>
    <cellStyle name="20% - Accent2 4 3 2 3 2" xfId="3859" xr:uid="{00000000-0005-0000-0000-0000BA0C0000}"/>
    <cellStyle name="20% - Accent2 4 3 2 3 2 2" xfId="3860" xr:uid="{00000000-0005-0000-0000-0000BB0C0000}"/>
    <cellStyle name="20% - Accent2 4 3 2 3 2 2 2" xfId="3861" xr:uid="{00000000-0005-0000-0000-0000BC0C0000}"/>
    <cellStyle name="20% - Accent2 4 3 2 3 2 2 3" xfId="3862" xr:uid="{00000000-0005-0000-0000-0000BD0C0000}"/>
    <cellStyle name="20% - Accent2 4 3 2 3 2 3" xfId="3863" xr:uid="{00000000-0005-0000-0000-0000BE0C0000}"/>
    <cellStyle name="20% - Accent2 4 3 2 3 2 4" xfId="3864" xr:uid="{00000000-0005-0000-0000-0000BF0C0000}"/>
    <cellStyle name="20% - Accent2 4 3 2 3 2 5" xfId="3865" xr:uid="{00000000-0005-0000-0000-0000C00C0000}"/>
    <cellStyle name="20% - Accent2 4 3 2 3 2 6" xfId="3866" xr:uid="{00000000-0005-0000-0000-0000C10C0000}"/>
    <cellStyle name="20% - Accent2 4 3 2 3 3" xfId="3867" xr:uid="{00000000-0005-0000-0000-0000C20C0000}"/>
    <cellStyle name="20% - Accent2 4 3 2 3 3 2" xfId="3868" xr:uid="{00000000-0005-0000-0000-0000C30C0000}"/>
    <cellStyle name="20% - Accent2 4 3 2 3 3 3" xfId="3869" xr:uid="{00000000-0005-0000-0000-0000C40C0000}"/>
    <cellStyle name="20% - Accent2 4 3 2 3 4" xfId="3870" xr:uid="{00000000-0005-0000-0000-0000C50C0000}"/>
    <cellStyle name="20% - Accent2 4 3 2 3 5" xfId="3871" xr:uid="{00000000-0005-0000-0000-0000C60C0000}"/>
    <cellStyle name="20% - Accent2 4 3 2 3 6" xfId="3872" xr:uid="{00000000-0005-0000-0000-0000C70C0000}"/>
    <cellStyle name="20% - Accent2 4 3 2 3 7" xfId="3873" xr:uid="{00000000-0005-0000-0000-0000C80C0000}"/>
    <cellStyle name="20% - Accent2 4 3 2 4" xfId="3874" xr:uid="{00000000-0005-0000-0000-0000C90C0000}"/>
    <cellStyle name="20% - Accent2 4 3 2 4 2" xfId="3875" xr:uid="{00000000-0005-0000-0000-0000CA0C0000}"/>
    <cellStyle name="20% - Accent2 4 3 2 4 2 2" xfId="3876" xr:uid="{00000000-0005-0000-0000-0000CB0C0000}"/>
    <cellStyle name="20% - Accent2 4 3 2 4 2 3" xfId="3877" xr:uid="{00000000-0005-0000-0000-0000CC0C0000}"/>
    <cellStyle name="20% - Accent2 4 3 2 4 3" xfId="3878" xr:uid="{00000000-0005-0000-0000-0000CD0C0000}"/>
    <cellStyle name="20% - Accent2 4 3 2 4 4" xfId="3879" xr:uid="{00000000-0005-0000-0000-0000CE0C0000}"/>
    <cellStyle name="20% - Accent2 4 3 2 4 5" xfId="3880" xr:uid="{00000000-0005-0000-0000-0000CF0C0000}"/>
    <cellStyle name="20% - Accent2 4 3 2 4 6" xfId="3881" xr:uid="{00000000-0005-0000-0000-0000D00C0000}"/>
    <cellStyle name="20% - Accent2 4 3 2 5" xfId="3882" xr:uid="{00000000-0005-0000-0000-0000D10C0000}"/>
    <cellStyle name="20% - Accent2 4 3 2 5 2" xfId="3883" xr:uid="{00000000-0005-0000-0000-0000D20C0000}"/>
    <cellStyle name="20% - Accent2 4 3 2 5 2 2" xfId="3884" xr:uid="{00000000-0005-0000-0000-0000D30C0000}"/>
    <cellStyle name="20% - Accent2 4 3 2 5 2 3" xfId="3885" xr:uid="{00000000-0005-0000-0000-0000D40C0000}"/>
    <cellStyle name="20% - Accent2 4 3 2 5 3" xfId="3886" xr:uid="{00000000-0005-0000-0000-0000D50C0000}"/>
    <cellStyle name="20% - Accent2 4 3 2 5 4" xfId="3887" xr:uid="{00000000-0005-0000-0000-0000D60C0000}"/>
    <cellStyle name="20% - Accent2 4 3 2 5 5" xfId="3888" xr:uid="{00000000-0005-0000-0000-0000D70C0000}"/>
    <cellStyle name="20% - Accent2 4 3 2 5 6" xfId="3889" xr:uid="{00000000-0005-0000-0000-0000D80C0000}"/>
    <cellStyle name="20% - Accent2 4 3 2 6" xfId="3890" xr:uid="{00000000-0005-0000-0000-0000D90C0000}"/>
    <cellStyle name="20% - Accent2 4 3 2 6 2" xfId="3891" xr:uid="{00000000-0005-0000-0000-0000DA0C0000}"/>
    <cellStyle name="20% - Accent2 4 3 2 6 3" xfId="3892" xr:uid="{00000000-0005-0000-0000-0000DB0C0000}"/>
    <cellStyle name="20% - Accent2 4 3 2 7" xfId="3893" xr:uid="{00000000-0005-0000-0000-0000DC0C0000}"/>
    <cellStyle name="20% - Accent2 4 3 2 8" xfId="3894" xr:uid="{00000000-0005-0000-0000-0000DD0C0000}"/>
    <cellStyle name="20% - Accent2 4 3 2 9" xfId="3895" xr:uid="{00000000-0005-0000-0000-0000DE0C0000}"/>
    <cellStyle name="20% - Accent2 4 3 3" xfId="3896" xr:uid="{00000000-0005-0000-0000-0000DF0C0000}"/>
    <cellStyle name="20% - Accent2 4 3 3 2" xfId="3897" xr:uid="{00000000-0005-0000-0000-0000E00C0000}"/>
    <cellStyle name="20% - Accent2 4 3 3 2 2" xfId="3898" xr:uid="{00000000-0005-0000-0000-0000E10C0000}"/>
    <cellStyle name="20% - Accent2 4 3 3 2 2 2" xfId="3899" xr:uid="{00000000-0005-0000-0000-0000E20C0000}"/>
    <cellStyle name="20% - Accent2 4 3 3 2 2 2 2" xfId="3900" xr:uid="{00000000-0005-0000-0000-0000E30C0000}"/>
    <cellStyle name="20% - Accent2 4 3 3 2 2 2 3" xfId="3901" xr:uid="{00000000-0005-0000-0000-0000E40C0000}"/>
    <cellStyle name="20% - Accent2 4 3 3 2 2 3" xfId="3902" xr:uid="{00000000-0005-0000-0000-0000E50C0000}"/>
    <cellStyle name="20% - Accent2 4 3 3 2 2 4" xfId="3903" xr:uid="{00000000-0005-0000-0000-0000E60C0000}"/>
    <cellStyle name="20% - Accent2 4 3 3 2 2 5" xfId="3904" xr:uid="{00000000-0005-0000-0000-0000E70C0000}"/>
    <cellStyle name="20% - Accent2 4 3 3 2 2 6" xfId="3905" xr:uid="{00000000-0005-0000-0000-0000E80C0000}"/>
    <cellStyle name="20% - Accent2 4 3 3 2 3" xfId="3906" xr:uid="{00000000-0005-0000-0000-0000E90C0000}"/>
    <cellStyle name="20% - Accent2 4 3 3 2 3 2" xfId="3907" xr:uid="{00000000-0005-0000-0000-0000EA0C0000}"/>
    <cellStyle name="20% - Accent2 4 3 3 2 3 3" xfId="3908" xr:uid="{00000000-0005-0000-0000-0000EB0C0000}"/>
    <cellStyle name="20% - Accent2 4 3 3 2 4" xfId="3909" xr:uid="{00000000-0005-0000-0000-0000EC0C0000}"/>
    <cellStyle name="20% - Accent2 4 3 3 2 5" xfId="3910" xr:uid="{00000000-0005-0000-0000-0000ED0C0000}"/>
    <cellStyle name="20% - Accent2 4 3 3 2 6" xfId="3911" xr:uid="{00000000-0005-0000-0000-0000EE0C0000}"/>
    <cellStyle name="20% - Accent2 4 3 3 2 7" xfId="3912" xr:uid="{00000000-0005-0000-0000-0000EF0C0000}"/>
    <cellStyle name="20% - Accent2 4 3 3 3" xfId="3913" xr:uid="{00000000-0005-0000-0000-0000F00C0000}"/>
    <cellStyle name="20% - Accent2 4 3 3 3 2" xfId="3914" xr:uid="{00000000-0005-0000-0000-0000F10C0000}"/>
    <cellStyle name="20% - Accent2 4 3 3 3 2 2" xfId="3915" xr:uid="{00000000-0005-0000-0000-0000F20C0000}"/>
    <cellStyle name="20% - Accent2 4 3 3 3 2 3" xfId="3916" xr:uid="{00000000-0005-0000-0000-0000F30C0000}"/>
    <cellStyle name="20% - Accent2 4 3 3 3 3" xfId="3917" xr:uid="{00000000-0005-0000-0000-0000F40C0000}"/>
    <cellStyle name="20% - Accent2 4 3 3 3 4" xfId="3918" xr:uid="{00000000-0005-0000-0000-0000F50C0000}"/>
    <cellStyle name="20% - Accent2 4 3 3 3 5" xfId="3919" xr:uid="{00000000-0005-0000-0000-0000F60C0000}"/>
    <cellStyle name="20% - Accent2 4 3 3 3 6" xfId="3920" xr:uid="{00000000-0005-0000-0000-0000F70C0000}"/>
    <cellStyle name="20% - Accent2 4 3 3 4" xfId="3921" xr:uid="{00000000-0005-0000-0000-0000F80C0000}"/>
    <cellStyle name="20% - Accent2 4 3 3 4 2" xfId="3922" xr:uid="{00000000-0005-0000-0000-0000F90C0000}"/>
    <cellStyle name="20% - Accent2 4 3 3 4 2 2" xfId="3923" xr:uid="{00000000-0005-0000-0000-0000FA0C0000}"/>
    <cellStyle name="20% - Accent2 4 3 3 4 2 3" xfId="3924" xr:uid="{00000000-0005-0000-0000-0000FB0C0000}"/>
    <cellStyle name="20% - Accent2 4 3 3 4 3" xfId="3925" xr:uid="{00000000-0005-0000-0000-0000FC0C0000}"/>
    <cellStyle name="20% - Accent2 4 3 3 4 4" xfId="3926" xr:uid="{00000000-0005-0000-0000-0000FD0C0000}"/>
    <cellStyle name="20% - Accent2 4 3 3 4 5" xfId="3927" xr:uid="{00000000-0005-0000-0000-0000FE0C0000}"/>
    <cellStyle name="20% - Accent2 4 3 3 4 6" xfId="3928" xr:uid="{00000000-0005-0000-0000-0000FF0C0000}"/>
    <cellStyle name="20% - Accent2 4 3 3 5" xfId="3929" xr:uid="{00000000-0005-0000-0000-0000000D0000}"/>
    <cellStyle name="20% - Accent2 4 3 3 5 2" xfId="3930" xr:uid="{00000000-0005-0000-0000-0000010D0000}"/>
    <cellStyle name="20% - Accent2 4 3 3 5 3" xfId="3931" xr:uid="{00000000-0005-0000-0000-0000020D0000}"/>
    <cellStyle name="20% - Accent2 4 3 3 6" xfId="3932" xr:uid="{00000000-0005-0000-0000-0000030D0000}"/>
    <cellStyle name="20% - Accent2 4 3 3 7" xfId="3933" xr:uid="{00000000-0005-0000-0000-0000040D0000}"/>
    <cellStyle name="20% - Accent2 4 3 3 8" xfId="3934" xr:uid="{00000000-0005-0000-0000-0000050D0000}"/>
    <cellStyle name="20% - Accent2 4 3 3 9" xfId="3935" xr:uid="{00000000-0005-0000-0000-0000060D0000}"/>
    <cellStyle name="20% - Accent2 4 3 4" xfId="3936" xr:uid="{00000000-0005-0000-0000-0000070D0000}"/>
    <cellStyle name="20% - Accent2 4 3 4 2" xfId="3937" xr:uid="{00000000-0005-0000-0000-0000080D0000}"/>
    <cellStyle name="20% - Accent2 4 3 4 2 2" xfId="3938" xr:uid="{00000000-0005-0000-0000-0000090D0000}"/>
    <cellStyle name="20% - Accent2 4 3 4 2 2 2" xfId="3939" xr:uid="{00000000-0005-0000-0000-00000A0D0000}"/>
    <cellStyle name="20% - Accent2 4 3 4 2 2 3" xfId="3940" xr:uid="{00000000-0005-0000-0000-00000B0D0000}"/>
    <cellStyle name="20% - Accent2 4 3 4 2 3" xfId="3941" xr:uid="{00000000-0005-0000-0000-00000C0D0000}"/>
    <cellStyle name="20% - Accent2 4 3 4 2 4" xfId="3942" xr:uid="{00000000-0005-0000-0000-00000D0D0000}"/>
    <cellStyle name="20% - Accent2 4 3 4 2 5" xfId="3943" xr:uid="{00000000-0005-0000-0000-00000E0D0000}"/>
    <cellStyle name="20% - Accent2 4 3 4 2 6" xfId="3944" xr:uid="{00000000-0005-0000-0000-00000F0D0000}"/>
    <cellStyle name="20% - Accent2 4 3 4 3" xfId="3945" xr:uid="{00000000-0005-0000-0000-0000100D0000}"/>
    <cellStyle name="20% - Accent2 4 3 4 3 2" xfId="3946" xr:uid="{00000000-0005-0000-0000-0000110D0000}"/>
    <cellStyle name="20% - Accent2 4 3 4 3 3" xfId="3947" xr:uid="{00000000-0005-0000-0000-0000120D0000}"/>
    <cellStyle name="20% - Accent2 4 3 4 4" xfId="3948" xr:uid="{00000000-0005-0000-0000-0000130D0000}"/>
    <cellStyle name="20% - Accent2 4 3 4 5" xfId="3949" xr:uid="{00000000-0005-0000-0000-0000140D0000}"/>
    <cellStyle name="20% - Accent2 4 3 4 6" xfId="3950" xr:uid="{00000000-0005-0000-0000-0000150D0000}"/>
    <cellStyle name="20% - Accent2 4 3 4 7" xfId="3951" xr:uid="{00000000-0005-0000-0000-0000160D0000}"/>
    <cellStyle name="20% - Accent2 4 3 5" xfId="3952" xr:uid="{00000000-0005-0000-0000-0000170D0000}"/>
    <cellStyle name="20% - Accent2 4 3 5 2" xfId="3953" xr:uid="{00000000-0005-0000-0000-0000180D0000}"/>
    <cellStyle name="20% - Accent2 4 3 5 2 2" xfId="3954" xr:uid="{00000000-0005-0000-0000-0000190D0000}"/>
    <cellStyle name="20% - Accent2 4 3 5 2 3" xfId="3955" xr:uid="{00000000-0005-0000-0000-00001A0D0000}"/>
    <cellStyle name="20% - Accent2 4 3 5 3" xfId="3956" xr:uid="{00000000-0005-0000-0000-00001B0D0000}"/>
    <cellStyle name="20% - Accent2 4 3 5 4" xfId="3957" xr:uid="{00000000-0005-0000-0000-00001C0D0000}"/>
    <cellStyle name="20% - Accent2 4 3 5 5" xfId="3958" xr:uid="{00000000-0005-0000-0000-00001D0D0000}"/>
    <cellStyle name="20% - Accent2 4 3 5 6" xfId="3959" xr:uid="{00000000-0005-0000-0000-00001E0D0000}"/>
    <cellStyle name="20% - Accent2 4 3 6" xfId="3960" xr:uid="{00000000-0005-0000-0000-00001F0D0000}"/>
    <cellStyle name="20% - Accent2 4 3 6 2" xfId="3961" xr:uid="{00000000-0005-0000-0000-0000200D0000}"/>
    <cellStyle name="20% - Accent2 4 3 6 2 2" xfId="3962" xr:uid="{00000000-0005-0000-0000-0000210D0000}"/>
    <cellStyle name="20% - Accent2 4 3 6 2 3" xfId="3963" xr:uid="{00000000-0005-0000-0000-0000220D0000}"/>
    <cellStyle name="20% - Accent2 4 3 6 3" xfId="3964" xr:uid="{00000000-0005-0000-0000-0000230D0000}"/>
    <cellStyle name="20% - Accent2 4 3 6 4" xfId="3965" xr:uid="{00000000-0005-0000-0000-0000240D0000}"/>
    <cellStyle name="20% - Accent2 4 3 6 5" xfId="3966" xr:uid="{00000000-0005-0000-0000-0000250D0000}"/>
    <cellStyle name="20% - Accent2 4 3 6 6" xfId="3967" xr:uid="{00000000-0005-0000-0000-0000260D0000}"/>
    <cellStyle name="20% - Accent2 4 3 7" xfId="3968" xr:uid="{00000000-0005-0000-0000-0000270D0000}"/>
    <cellStyle name="20% - Accent2 4 3 7 2" xfId="3969" xr:uid="{00000000-0005-0000-0000-0000280D0000}"/>
    <cellStyle name="20% - Accent2 4 3 7 2 2" xfId="3970" xr:uid="{00000000-0005-0000-0000-0000290D0000}"/>
    <cellStyle name="20% - Accent2 4 3 7 2 3" xfId="3971" xr:uid="{00000000-0005-0000-0000-00002A0D0000}"/>
    <cellStyle name="20% - Accent2 4 3 7 3" xfId="3972" xr:uid="{00000000-0005-0000-0000-00002B0D0000}"/>
    <cellStyle name="20% - Accent2 4 3 7 4" xfId="3973" xr:uid="{00000000-0005-0000-0000-00002C0D0000}"/>
    <cellStyle name="20% - Accent2 4 3 7 5" xfId="3974" xr:uid="{00000000-0005-0000-0000-00002D0D0000}"/>
    <cellStyle name="20% - Accent2 4 3 7 6" xfId="3975" xr:uid="{00000000-0005-0000-0000-00002E0D0000}"/>
    <cellStyle name="20% - Accent2 4 3 8" xfId="3976" xr:uid="{00000000-0005-0000-0000-00002F0D0000}"/>
    <cellStyle name="20% - Accent2 4 3 8 2" xfId="3977" xr:uid="{00000000-0005-0000-0000-0000300D0000}"/>
    <cellStyle name="20% - Accent2 4 3 8 2 2" xfId="3978" xr:uid="{00000000-0005-0000-0000-0000310D0000}"/>
    <cellStyle name="20% - Accent2 4 3 8 2 3" xfId="3979" xr:uid="{00000000-0005-0000-0000-0000320D0000}"/>
    <cellStyle name="20% - Accent2 4 3 8 3" xfId="3980" xr:uid="{00000000-0005-0000-0000-0000330D0000}"/>
    <cellStyle name="20% - Accent2 4 3 8 4" xfId="3981" xr:uid="{00000000-0005-0000-0000-0000340D0000}"/>
    <cellStyle name="20% - Accent2 4 3 8 5" xfId="3982" xr:uid="{00000000-0005-0000-0000-0000350D0000}"/>
    <cellStyle name="20% - Accent2 4 3 8 6" xfId="3983" xr:uid="{00000000-0005-0000-0000-0000360D0000}"/>
    <cellStyle name="20% - Accent2 4 3 9" xfId="3984" xr:uid="{00000000-0005-0000-0000-0000370D0000}"/>
    <cellStyle name="20% - Accent2 4 3 9 2" xfId="3985" xr:uid="{00000000-0005-0000-0000-0000380D0000}"/>
    <cellStyle name="20% - Accent2 4 3 9 3" xfId="3986" xr:uid="{00000000-0005-0000-0000-0000390D0000}"/>
    <cellStyle name="20% - Accent2 4 4" xfId="3987" xr:uid="{00000000-0005-0000-0000-00003A0D0000}"/>
    <cellStyle name="20% - Accent2 4 4 10" xfId="3988" xr:uid="{00000000-0005-0000-0000-00003B0D0000}"/>
    <cellStyle name="20% - Accent2 4 4 2" xfId="3989" xr:uid="{00000000-0005-0000-0000-00003C0D0000}"/>
    <cellStyle name="20% - Accent2 4 4 2 2" xfId="3990" xr:uid="{00000000-0005-0000-0000-00003D0D0000}"/>
    <cellStyle name="20% - Accent2 4 4 2 2 2" xfId="3991" xr:uid="{00000000-0005-0000-0000-00003E0D0000}"/>
    <cellStyle name="20% - Accent2 4 4 2 2 2 2" xfId="3992" xr:uid="{00000000-0005-0000-0000-00003F0D0000}"/>
    <cellStyle name="20% - Accent2 4 4 2 2 2 3" xfId="3993" xr:uid="{00000000-0005-0000-0000-0000400D0000}"/>
    <cellStyle name="20% - Accent2 4 4 2 2 3" xfId="3994" xr:uid="{00000000-0005-0000-0000-0000410D0000}"/>
    <cellStyle name="20% - Accent2 4 4 2 2 4" xfId="3995" xr:uid="{00000000-0005-0000-0000-0000420D0000}"/>
    <cellStyle name="20% - Accent2 4 4 2 2 5" xfId="3996" xr:uid="{00000000-0005-0000-0000-0000430D0000}"/>
    <cellStyle name="20% - Accent2 4 4 2 2 6" xfId="3997" xr:uid="{00000000-0005-0000-0000-0000440D0000}"/>
    <cellStyle name="20% - Accent2 4 4 2 3" xfId="3998" xr:uid="{00000000-0005-0000-0000-0000450D0000}"/>
    <cellStyle name="20% - Accent2 4 4 2 3 2" xfId="3999" xr:uid="{00000000-0005-0000-0000-0000460D0000}"/>
    <cellStyle name="20% - Accent2 4 4 2 3 2 2" xfId="4000" xr:uid="{00000000-0005-0000-0000-0000470D0000}"/>
    <cellStyle name="20% - Accent2 4 4 2 3 2 3" xfId="4001" xr:uid="{00000000-0005-0000-0000-0000480D0000}"/>
    <cellStyle name="20% - Accent2 4 4 2 3 3" xfId="4002" xr:uid="{00000000-0005-0000-0000-0000490D0000}"/>
    <cellStyle name="20% - Accent2 4 4 2 3 4" xfId="4003" xr:uid="{00000000-0005-0000-0000-00004A0D0000}"/>
    <cellStyle name="20% - Accent2 4 4 2 3 5" xfId="4004" xr:uid="{00000000-0005-0000-0000-00004B0D0000}"/>
    <cellStyle name="20% - Accent2 4 4 2 3 6" xfId="4005" xr:uid="{00000000-0005-0000-0000-00004C0D0000}"/>
    <cellStyle name="20% - Accent2 4 4 2 4" xfId="4006" xr:uid="{00000000-0005-0000-0000-00004D0D0000}"/>
    <cellStyle name="20% - Accent2 4 4 2 4 2" xfId="4007" xr:uid="{00000000-0005-0000-0000-00004E0D0000}"/>
    <cellStyle name="20% - Accent2 4 4 2 4 3" xfId="4008" xr:uid="{00000000-0005-0000-0000-00004F0D0000}"/>
    <cellStyle name="20% - Accent2 4 4 2 5" xfId="4009" xr:uid="{00000000-0005-0000-0000-0000500D0000}"/>
    <cellStyle name="20% - Accent2 4 4 2 6" xfId="4010" xr:uid="{00000000-0005-0000-0000-0000510D0000}"/>
    <cellStyle name="20% - Accent2 4 4 2 7" xfId="4011" xr:uid="{00000000-0005-0000-0000-0000520D0000}"/>
    <cellStyle name="20% - Accent2 4 4 2 8" xfId="4012" xr:uid="{00000000-0005-0000-0000-0000530D0000}"/>
    <cellStyle name="20% - Accent2 4 4 3" xfId="4013" xr:uid="{00000000-0005-0000-0000-0000540D0000}"/>
    <cellStyle name="20% - Accent2 4 4 3 2" xfId="4014" xr:uid="{00000000-0005-0000-0000-0000550D0000}"/>
    <cellStyle name="20% - Accent2 4 4 3 2 2" xfId="4015" xr:uid="{00000000-0005-0000-0000-0000560D0000}"/>
    <cellStyle name="20% - Accent2 4 4 3 2 2 2" xfId="4016" xr:uid="{00000000-0005-0000-0000-0000570D0000}"/>
    <cellStyle name="20% - Accent2 4 4 3 2 2 3" xfId="4017" xr:uid="{00000000-0005-0000-0000-0000580D0000}"/>
    <cellStyle name="20% - Accent2 4 4 3 2 3" xfId="4018" xr:uid="{00000000-0005-0000-0000-0000590D0000}"/>
    <cellStyle name="20% - Accent2 4 4 3 2 4" xfId="4019" xr:uid="{00000000-0005-0000-0000-00005A0D0000}"/>
    <cellStyle name="20% - Accent2 4 4 3 2 5" xfId="4020" xr:uid="{00000000-0005-0000-0000-00005B0D0000}"/>
    <cellStyle name="20% - Accent2 4 4 3 2 6" xfId="4021" xr:uid="{00000000-0005-0000-0000-00005C0D0000}"/>
    <cellStyle name="20% - Accent2 4 4 3 3" xfId="4022" xr:uid="{00000000-0005-0000-0000-00005D0D0000}"/>
    <cellStyle name="20% - Accent2 4 4 3 3 2" xfId="4023" xr:uid="{00000000-0005-0000-0000-00005E0D0000}"/>
    <cellStyle name="20% - Accent2 4 4 3 3 3" xfId="4024" xr:uid="{00000000-0005-0000-0000-00005F0D0000}"/>
    <cellStyle name="20% - Accent2 4 4 3 4" xfId="4025" xr:uid="{00000000-0005-0000-0000-0000600D0000}"/>
    <cellStyle name="20% - Accent2 4 4 3 5" xfId="4026" xr:uid="{00000000-0005-0000-0000-0000610D0000}"/>
    <cellStyle name="20% - Accent2 4 4 3 6" xfId="4027" xr:uid="{00000000-0005-0000-0000-0000620D0000}"/>
    <cellStyle name="20% - Accent2 4 4 3 7" xfId="4028" xr:uid="{00000000-0005-0000-0000-0000630D0000}"/>
    <cellStyle name="20% - Accent2 4 4 4" xfId="4029" xr:uid="{00000000-0005-0000-0000-0000640D0000}"/>
    <cellStyle name="20% - Accent2 4 4 4 2" xfId="4030" xr:uid="{00000000-0005-0000-0000-0000650D0000}"/>
    <cellStyle name="20% - Accent2 4 4 4 2 2" xfId="4031" xr:uid="{00000000-0005-0000-0000-0000660D0000}"/>
    <cellStyle name="20% - Accent2 4 4 4 2 3" xfId="4032" xr:uid="{00000000-0005-0000-0000-0000670D0000}"/>
    <cellStyle name="20% - Accent2 4 4 4 3" xfId="4033" xr:uid="{00000000-0005-0000-0000-0000680D0000}"/>
    <cellStyle name="20% - Accent2 4 4 4 4" xfId="4034" xr:uid="{00000000-0005-0000-0000-0000690D0000}"/>
    <cellStyle name="20% - Accent2 4 4 4 5" xfId="4035" xr:uid="{00000000-0005-0000-0000-00006A0D0000}"/>
    <cellStyle name="20% - Accent2 4 4 4 6" xfId="4036" xr:uid="{00000000-0005-0000-0000-00006B0D0000}"/>
    <cellStyle name="20% - Accent2 4 4 5" xfId="4037" xr:uid="{00000000-0005-0000-0000-00006C0D0000}"/>
    <cellStyle name="20% - Accent2 4 4 5 2" xfId="4038" xr:uid="{00000000-0005-0000-0000-00006D0D0000}"/>
    <cellStyle name="20% - Accent2 4 4 5 2 2" xfId="4039" xr:uid="{00000000-0005-0000-0000-00006E0D0000}"/>
    <cellStyle name="20% - Accent2 4 4 5 2 3" xfId="4040" xr:uid="{00000000-0005-0000-0000-00006F0D0000}"/>
    <cellStyle name="20% - Accent2 4 4 5 3" xfId="4041" xr:uid="{00000000-0005-0000-0000-0000700D0000}"/>
    <cellStyle name="20% - Accent2 4 4 5 4" xfId="4042" xr:uid="{00000000-0005-0000-0000-0000710D0000}"/>
    <cellStyle name="20% - Accent2 4 4 5 5" xfId="4043" xr:uid="{00000000-0005-0000-0000-0000720D0000}"/>
    <cellStyle name="20% - Accent2 4 4 5 6" xfId="4044" xr:uid="{00000000-0005-0000-0000-0000730D0000}"/>
    <cellStyle name="20% - Accent2 4 4 6" xfId="4045" xr:uid="{00000000-0005-0000-0000-0000740D0000}"/>
    <cellStyle name="20% - Accent2 4 4 6 2" xfId="4046" xr:uid="{00000000-0005-0000-0000-0000750D0000}"/>
    <cellStyle name="20% - Accent2 4 4 6 3" xfId="4047" xr:uid="{00000000-0005-0000-0000-0000760D0000}"/>
    <cellStyle name="20% - Accent2 4 4 7" xfId="4048" xr:uid="{00000000-0005-0000-0000-0000770D0000}"/>
    <cellStyle name="20% - Accent2 4 4 8" xfId="4049" xr:uid="{00000000-0005-0000-0000-0000780D0000}"/>
    <cellStyle name="20% - Accent2 4 4 9" xfId="4050" xr:uid="{00000000-0005-0000-0000-0000790D0000}"/>
    <cellStyle name="20% - Accent2 4 5" xfId="4051" xr:uid="{00000000-0005-0000-0000-00007A0D0000}"/>
    <cellStyle name="20% - Accent2 4 5 2" xfId="4052" xr:uid="{00000000-0005-0000-0000-00007B0D0000}"/>
    <cellStyle name="20% - Accent2 4 5 2 2" xfId="4053" xr:uid="{00000000-0005-0000-0000-00007C0D0000}"/>
    <cellStyle name="20% - Accent2 4 5 2 2 2" xfId="4054" xr:uid="{00000000-0005-0000-0000-00007D0D0000}"/>
    <cellStyle name="20% - Accent2 4 5 2 2 2 2" xfId="4055" xr:uid="{00000000-0005-0000-0000-00007E0D0000}"/>
    <cellStyle name="20% - Accent2 4 5 2 2 2 3" xfId="4056" xr:uid="{00000000-0005-0000-0000-00007F0D0000}"/>
    <cellStyle name="20% - Accent2 4 5 2 2 3" xfId="4057" xr:uid="{00000000-0005-0000-0000-0000800D0000}"/>
    <cellStyle name="20% - Accent2 4 5 2 2 4" xfId="4058" xr:uid="{00000000-0005-0000-0000-0000810D0000}"/>
    <cellStyle name="20% - Accent2 4 5 2 2 5" xfId="4059" xr:uid="{00000000-0005-0000-0000-0000820D0000}"/>
    <cellStyle name="20% - Accent2 4 5 2 2 6" xfId="4060" xr:uid="{00000000-0005-0000-0000-0000830D0000}"/>
    <cellStyle name="20% - Accent2 4 5 2 3" xfId="4061" xr:uid="{00000000-0005-0000-0000-0000840D0000}"/>
    <cellStyle name="20% - Accent2 4 5 2 3 2" xfId="4062" xr:uid="{00000000-0005-0000-0000-0000850D0000}"/>
    <cellStyle name="20% - Accent2 4 5 2 3 3" xfId="4063" xr:uid="{00000000-0005-0000-0000-0000860D0000}"/>
    <cellStyle name="20% - Accent2 4 5 2 4" xfId="4064" xr:uid="{00000000-0005-0000-0000-0000870D0000}"/>
    <cellStyle name="20% - Accent2 4 5 2 5" xfId="4065" xr:uid="{00000000-0005-0000-0000-0000880D0000}"/>
    <cellStyle name="20% - Accent2 4 5 2 6" xfId="4066" xr:uid="{00000000-0005-0000-0000-0000890D0000}"/>
    <cellStyle name="20% - Accent2 4 5 2 7" xfId="4067" xr:uid="{00000000-0005-0000-0000-00008A0D0000}"/>
    <cellStyle name="20% - Accent2 4 5 3" xfId="4068" xr:uid="{00000000-0005-0000-0000-00008B0D0000}"/>
    <cellStyle name="20% - Accent2 4 5 3 2" xfId="4069" xr:uid="{00000000-0005-0000-0000-00008C0D0000}"/>
    <cellStyle name="20% - Accent2 4 5 3 2 2" xfId="4070" xr:uid="{00000000-0005-0000-0000-00008D0D0000}"/>
    <cellStyle name="20% - Accent2 4 5 3 2 3" xfId="4071" xr:uid="{00000000-0005-0000-0000-00008E0D0000}"/>
    <cellStyle name="20% - Accent2 4 5 3 3" xfId="4072" xr:uid="{00000000-0005-0000-0000-00008F0D0000}"/>
    <cellStyle name="20% - Accent2 4 5 3 4" xfId="4073" xr:uid="{00000000-0005-0000-0000-0000900D0000}"/>
    <cellStyle name="20% - Accent2 4 5 3 5" xfId="4074" xr:uid="{00000000-0005-0000-0000-0000910D0000}"/>
    <cellStyle name="20% - Accent2 4 5 3 6" xfId="4075" xr:uid="{00000000-0005-0000-0000-0000920D0000}"/>
    <cellStyle name="20% - Accent2 4 5 4" xfId="4076" xr:uid="{00000000-0005-0000-0000-0000930D0000}"/>
    <cellStyle name="20% - Accent2 4 5 4 2" xfId="4077" xr:uid="{00000000-0005-0000-0000-0000940D0000}"/>
    <cellStyle name="20% - Accent2 4 5 4 2 2" xfId="4078" xr:uid="{00000000-0005-0000-0000-0000950D0000}"/>
    <cellStyle name="20% - Accent2 4 5 4 2 3" xfId="4079" xr:uid="{00000000-0005-0000-0000-0000960D0000}"/>
    <cellStyle name="20% - Accent2 4 5 4 3" xfId="4080" xr:uid="{00000000-0005-0000-0000-0000970D0000}"/>
    <cellStyle name="20% - Accent2 4 5 4 4" xfId="4081" xr:uid="{00000000-0005-0000-0000-0000980D0000}"/>
    <cellStyle name="20% - Accent2 4 5 4 5" xfId="4082" xr:uid="{00000000-0005-0000-0000-0000990D0000}"/>
    <cellStyle name="20% - Accent2 4 5 4 6" xfId="4083" xr:uid="{00000000-0005-0000-0000-00009A0D0000}"/>
    <cellStyle name="20% - Accent2 4 5 5" xfId="4084" xr:uid="{00000000-0005-0000-0000-00009B0D0000}"/>
    <cellStyle name="20% - Accent2 4 5 5 2" xfId="4085" xr:uid="{00000000-0005-0000-0000-00009C0D0000}"/>
    <cellStyle name="20% - Accent2 4 5 5 3" xfId="4086" xr:uid="{00000000-0005-0000-0000-00009D0D0000}"/>
    <cellStyle name="20% - Accent2 4 5 6" xfId="4087" xr:uid="{00000000-0005-0000-0000-00009E0D0000}"/>
    <cellStyle name="20% - Accent2 4 5 7" xfId="4088" xr:uid="{00000000-0005-0000-0000-00009F0D0000}"/>
    <cellStyle name="20% - Accent2 4 5 8" xfId="4089" xr:uid="{00000000-0005-0000-0000-0000A00D0000}"/>
    <cellStyle name="20% - Accent2 4 5 9" xfId="4090" xr:uid="{00000000-0005-0000-0000-0000A10D0000}"/>
    <cellStyle name="20% - Accent2 4 6" xfId="4091" xr:uid="{00000000-0005-0000-0000-0000A20D0000}"/>
    <cellStyle name="20% - Accent2 4 6 2" xfId="4092" xr:uid="{00000000-0005-0000-0000-0000A30D0000}"/>
    <cellStyle name="20% - Accent2 4 6 2 2" xfId="4093" xr:uid="{00000000-0005-0000-0000-0000A40D0000}"/>
    <cellStyle name="20% - Accent2 4 6 2 2 2" xfId="4094" xr:uid="{00000000-0005-0000-0000-0000A50D0000}"/>
    <cellStyle name="20% - Accent2 4 6 2 2 3" xfId="4095" xr:uid="{00000000-0005-0000-0000-0000A60D0000}"/>
    <cellStyle name="20% - Accent2 4 6 2 3" xfId="4096" xr:uid="{00000000-0005-0000-0000-0000A70D0000}"/>
    <cellStyle name="20% - Accent2 4 6 2 4" xfId="4097" xr:uid="{00000000-0005-0000-0000-0000A80D0000}"/>
    <cellStyle name="20% - Accent2 4 6 2 5" xfId="4098" xr:uid="{00000000-0005-0000-0000-0000A90D0000}"/>
    <cellStyle name="20% - Accent2 4 6 2 6" xfId="4099" xr:uid="{00000000-0005-0000-0000-0000AA0D0000}"/>
    <cellStyle name="20% - Accent2 4 6 3" xfId="4100" xr:uid="{00000000-0005-0000-0000-0000AB0D0000}"/>
    <cellStyle name="20% - Accent2 4 6 3 2" xfId="4101" xr:uid="{00000000-0005-0000-0000-0000AC0D0000}"/>
    <cellStyle name="20% - Accent2 4 6 3 3" xfId="4102" xr:uid="{00000000-0005-0000-0000-0000AD0D0000}"/>
    <cellStyle name="20% - Accent2 4 6 4" xfId="4103" xr:uid="{00000000-0005-0000-0000-0000AE0D0000}"/>
    <cellStyle name="20% - Accent2 4 6 5" xfId="4104" xr:uid="{00000000-0005-0000-0000-0000AF0D0000}"/>
    <cellStyle name="20% - Accent2 4 6 6" xfId="4105" xr:uid="{00000000-0005-0000-0000-0000B00D0000}"/>
    <cellStyle name="20% - Accent2 4 6 7" xfId="4106" xr:uid="{00000000-0005-0000-0000-0000B10D0000}"/>
    <cellStyle name="20% - Accent2 4 7" xfId="4107" xr:uid="{00000000-0005-0000-0000-0000B20D0000}"/>
    <cellStyle name="20% - Accent2 4 7 2" xfId="4108" xr:uid="{00000000-0005-0000-0000-0000B30D0000}"/>
    <cellStyle name="20% - Accent2 4 7 2 2" xfId="4109" xr:uid="{00000000-0005-0000-0000-0000B40D0000}"/>
    <cellStyle name="20% - Accent2 4 7 2 3" xfId="4110" xr:uid="{00000000-0005-0000-0000-0000B50D0000}"/>
    <cellStyle name="20% - Accent2 4 7 3" xfId="4111" xr:uid="{00000000-0005-0000-0000-0000B60D0000}"/>
    <cellStyle name="20% - Accent2 4 7 4" xfId="4112" xr:uid="{00000000-0005-0000-0000-0000B70D0000}"/>
    <cellStyle name="20% - Accent2 4 7 5" xfId="4113" xr:uid="{00000000-0005-0000-0000-0000B80D0000}"/>
    <cellStyle name="20% - Accent2 4 7 6" xfId="4114" xr:uid="{00000000-0005-0000-0000-0000B90D0000}"/>
    <cellStyle name="20% - Accent2 4 8" xfId="4115" xr:uid="{00000000-0005-0000-0000-0000BA0D0000}"/>
    <cellStyle name="20% - Accent2 4 8 2" xfId="4116" xr:uid="{00000000-0005-0000-0000-0000BB0D0000}"/>
    <cellStyle name="20% - Accent2 4 8 2 2" xfId="4117" xr:uid="{00000000-0005-0000-0000-0000BC0D0000}"/>
    <cellStyle name="20% - Accent2 4 8 2 3" xfId="4118" xr:uid="{00000000-0005-0000-0000-0000BD0D0000}"/>
    <cellStyle name="20% - Accent2 4 8 3" xfId="4119" xr:uid="{00000000-0005-0000-0000-0000BE0D0000}"/>
    <cellStyle name="20% - Accent2 4 8 4" xfId="4120" xr:uid="{00000000-0005-0000-0000-0000BF0D0000}"/>
    <cellStyle name="20% - Accent2 4 8 5" xfId="4121" xr:uid="{00000000-0005-0000-0000-0000C00D0000}"/>
    <cellStyle name="20% - Accent2 4 8 6" xfId="4122" xr:uid="{00000000-0005-0000-0000-0000C10D0000}"/>
    <cellStyle name="20% - Accent2 4 9" xfId="4123" xr:uid="{00000000-0005-0000-0000-0000C20D0000}"/>
    <cellStyle name="20% - Accent2 4 9 2" xfId="4124" xr:uid="{00000000-0005-0000-0000-0000C30D0000}"/>
    <cellStyle name="20% - Accent2 4 9 2 2" xfId="4125" xr:uid="{00000000-0005-0000-0000-0000C40D0000}"/>
    <cellStyle name="20% - Accent2 4 9 2 3" xfId="4126" xr:uid="{00000000-0005-0000-0000-0000C50D0000}"/>
    <cellStyle name="20% - Accent2 4 9 3" xfId="4127" xr:uid="{00000000-0005-0000-0000-0000C60D0000}"/>
    <cellStyle name="20% - Accent2 4 9 4" xfId="4128" xr:uid="{00000000-0005-0000-0000-0000C70D0000}"/>
    <cellStyle name="20% - Accent2 4 9 5" xfId="4129" xr:uid="{00000000-0005-0000-0000-0000C80D0000}"/>
    <cellStyle name="20% - Accent2 4 9 6" xfId="4130" xr:uid="{00000000-0005-0000-0000-0000C90D0000}"/>
    <cellStyle name="20% - Accent2 5" xfId="4131" xr:uid="{00000000-0005-0000-0000-0000CA0D0000}"/>
    <cellStyle name="20% - Accent2 5 10" xfId="4132" xr:uid="{00000000-0005-0000-0000-0000CB0D0000}"/>
    <cellStyle name="20% - Accent2 5 11" xfId="4133" xr:uid="{00000000-0005-0000-0000-0000CC0D0000}"/>
    <cellStyle name="20% - Accent2 5 12" xfId="4134" xr:uid="{00000000-0005-0000-0000-0000CD0D0000}"/>
    <cellStyle name="20% - Accent2 5 13" xfId="4135" xr:uid="{00000000-0005-0000-0000-0000CE0D0000}"/>
    <cellStyle name="20% - Accent2 5 2" xfId="4136" xr:uid="{00000000-0005-0000-0000-0000CF0D0000}"/>
    <cellStyle name="20% - Accent2 5 2 10" xfId="4137" xr:uid="{00000000-0005-0000-0000-0000D00D0000}"/>
    <cellStyle name="20% - Accent2 5 2 2" xfId="4138" xr:uid="{00000000-0005-0000-0000-0000D10D0000}"/>
    <cellStyle name="20% - Accent2 5 2 2 2" xfId="4139" xr:uid="{00000000-0005-0000-0000-0000D20D0000}"/>
    <cellStyle name="20% - Accent2 5 2 2 2 2" xfId="4140" xr:uid="{00000000-0005-0000-0000-0000D30D0000}"/>
    <cellStyle name="20% - Accent2 5 2 2 2 2 2" xfId="4141" xr:uid="{00000000-0005-0000-0000-0000D40D0000}"/>
    <cellStyle name="20% - Accent2 5 2 2 2 2 3" xfId="4142" xr:uid="{00000000-0005-0000-0000-0000D50D0000}"/>
    <cellStyle name="20% - Accent2 5 2 2 2 3" xfId="4143" xr:uid="{00000000-0005-0000-0000-0000D60D0000}"/>
    <cellStyle name="20% - Accent2 5 2 2 2 4" xfId="4144" xr:uid="{00000000-0005-0000-0000-0000D70D0000}"/>
    <cellStyle name="20% - Accent2 5 2 2 2 5" xfId="4145" xr:uid="{00000000-0005-0000-0000-0000D80D0000}"/>
    <cellStyle name="20% - Accent2 5 2 2 2 6" xfId="4146" xr:uid="{00000000-0005-0000-0000-0000D90D0000}"/>
    <cellStyle name="20% - Accent2 5 2 2 3" xfId="4147" xr:uid="{00000000-0005-0000-0000-0000DA0D0000}"/>
    <cellStyle name="20% - Accent2 5 2 2 3 2" xfId="4148" xr:uid="{00000000-0005-0000-0000-0000DB0D0000}"/>
    <cellStyle name="20% - Accent2 5 2 2 3 2 2" xfId="4149" xr:uid="{00000000-0005-0000-0000-0000DC0D0000}"/>
    <cellStyle name="20% - Accent2 5 2 2 3 2 3" xfId="4150" xr:uid="{00000000-0005-0000-0000-0000DD0D0000}"/>
    <cellStyle name="20% - Accent2 5 2 2 3 3" xfId="4151" xr:uid="{00000000-0005-0000-0000-0000DE0D0000}"/>
    <cellStyle name="20% - Accent2 5 2 2 3 4" xfId="4152" xr:uid="{00000000-0005-0000-0000-0000DF0D0000}"/>
    <cellStyle name="20% - Accent2 5 2 2 3 5" xfId="4153" xr:uid="{00000000-0005-0000-0000-0000E00D0000}"/>
    <cellStyle name="20% - Accent2 5 2 2 3 6" xfId="4154" xr:uid="{00000000-0005-0000-0000-0000E10D0000}"/>
    <cellStyle name="20% - Accent2 5 2 2 4" xfId="4155" xr:uid="{00000000-0005-0000-0000-0000E20D0000}"/>
    <cellStyle name="20% - Accent2 5 2 2 4 2" xfId="4156" xr:uid="{00000000-0005-0000-0000-0000E30D0000}"/>
    <cellStyle name="20% - Accent2 5 2 2 4 3" xfId="4157" xr:uid="{00000000-0005-0000-0000-0000E40D0000}"/>
    <cellStyle name="20% - Accent2 5 2 2 5" xfId="4158" xr:uid="{00000000-0005-0000-0000-0000E50D0000}"/>
    <cellStyle name="20% - Accent2 5 2 2 6" xfId="4159" xr:uid="{00000000-0005-0000-0000-0000E60D0000}"/>
    <cellStyle name="20% - Accent2 5 2 2 7" xfId="4160" xr:uid="{00000000-0005-0000-0000-0000E70D0000}"/>
    <cellStyle name="20% - Accent2 5 2 2 8" xfId="4161" xr:uid="{00000000-0005-0000-0000-0000E80D0000}"/>
    <cellStyle name="20% - Accent2 5 2 3" xfId="4162" xr:uid="{00000000-0005-0000-0000-0000E90D0000}"/>
    <cellStyle name="20% - Accent2 5 2 3 2" xfId="4163" xr:uid="{00000000-0005-0000-0000-0000EA0D0000}"/>
    <cellStyle name="20% - Accent2 5 2 3 2 2" xfId="4164" xr:uid="{00000000-0005-0000-0000-0000EB0D0000}"/>
    <cellStyle name="20% - Accent2 5 2 3 2 2 2" xfId="4165" xr:uid="{00000000-0005-0000-0000-0000EC0D0000}"/>
    <cellStyle name="20% - Accent2 5 2 3 2 2 3" xfId="4166" xr:uid="{00000000-0005-0000-0000-0000ED0D0000}"/>
    <cellStyle name="20% - Accent2 5 2 3 2 3" xfId="4167" xr:uid="{00000000-0005-0000-0000-0000EE0D0000}"/>
    <cellStyle name="20% - Accent2 5 2 3 2 4" xfId="4168" xr:uid="{00000000-0005-0000-0000-0000EF0D0000}"/>
    <cellStyle name="20% - Accent2 5 2 3 2 5" xfId="4169" xr:uid="{00000000-0005-0000-0000-0000F00D0000}"/>
    <cellStyle name="20% - Accent2 5 2 3 2 6" xfId="4170" xr:uid="{00000000-0005-0000-0000-0000F10D0000}"/>
    <cellStyle name="20% - Accent2 5 2 3 3" xfId="4171" xr:uid="{00000000-0005-0000-0000-0000F20D0000}"/>
    <cellStyle name="20% - Accent2 5 2 3 3 2" xfId="4172" xr:uid="{00000000-0005-0000-0000-0000F30D0000}"/>
    <cellStyle name="20% - Accent2 5 2 3 3 3" xfId="4173" xr:uid="{00000000-0005-0000-0000-0000F40D0000}"/>
    <cellStyle name="20% - Accent2 5 2 3 4" xfId="4174" xr:uid="{00000000-0005-0000-0000-0000F50D0000}"/>
    <cellStyle name="20% - Accent2 5 2 3 5" xfId="4175" xr:uid="{00000000-0005-0000-0000-0000F60D0000}"/>
    <cellStyle name="20% - Accent2 5 2 3 6" xfId="4176" xr:uid="{00000000-0005-0000-0000-0000F70D0000}"/>
    <cellStyle name="20% - Accent2 5 2 3 7" xfId="4177" xr:uid="{00000000-0005-0000-0000-0000F80D0000}"/>
    <cellStyle name="20% - Accent2 5 2 4" xfId="4178" xr:uid="{00000000-0005-0000-0000-0000F90D0000}"/>
    <cellStyle name="20% - Accent2 5 2 4 2" xfId="4179" xr:uid="{00000000-0005-0000-0000-0000FA0D0000}"/>
    <cellStyle name="20% - Accent2 5 2 4 2 2" xfId="4180" xr:uid="{00000000-0005-0000-0000-0000FB0D0000}"/>
    <cellStyle name="20% - Accent2 5 2 4 2 3" xfId="4181" xr:uid="{00000000-0005-0000-0000-0000FC0D0000}"/>
    <cellStyle name="20% - Accent2 5 2 4 3" xfId="4182" xr:uid="{00000000-0005-0000-0000-0000FD0D0000}"/>
    <cellStyle name="20% - Accent2 5 2 4 4" xfId="4183" xr:uid="{00000000-0005-0000-0000-0000FE0D0000}"/>
    <cellStyle name="20% - Accent2 5 2 4 5" xfId="4184" xr:uid="{00000000-0005-0000-0000-0000FF0D0000}"/>
    <cellStyle name="20% - Accent2 5 2 4 6" xfId="4185" xr:uid="{00000000-0005-0000-0000-0000000E0000}"/>
    <cellStyle name="20% - Accent2 5 2 5" xfId="4186" xr:uid="{00000000-0005-0000-0000-0000010E0000}"/>
    <cellStyle name="20% - Accent2 5 2 5 2" xfId="4187" xr:uid="{00000000-0005-0000-0000-0000020E0000}"/>
    <cellStyle name="20% - Accent2 5 2 5 2 2" xfId="4188" xr:uid="{00000000-0005-0000-0000-0000030E0000}"/>
    <cellStyle name="20% - Accent2 5 2 5 2 3" xfId="4189" xr:uid="{00000000-0005-0000-0000-0000040E0000}"/>
    <cellStyle name="20% - Accent2 5 2 5 3" xfId="4190" xr:uid="{00000000-0005-0000-0000-0000050E0000}"/>
    <cellStyle name="20% - Accent2 5 2 5 4" xfId="4191" xr:uid="{00000000-0005-0000-0000-0000060E0000}"/>
    <cellStyle name="20% - Accent2 5 2 5 5" xfId="4192" xr:uid="{00000000-0005-0000-0000-0000070E0000}"/>
    <cellStyle name="20% - Accent2 5 2 5 6" xfId="4193" xr:uid="{00000000-0005-0000-0000-0000080E0000}"/>
    <cellStyle name="20% - Accent2 5 2 6" xfId="4194" xr:uid="{00000000-0005-0000-0000-0000090E0000}"/>
    <cellStyle name="20% - Accent2 5 2 6 2" xfId="4195" xr:uid="{00000000-0005-0000-0000-00000A0E0000}"/>
    <cellStyle name="20% - Accent2 5 2 6 3" xfId="4196" xr:uid="{00000000-0005-0000-0000-00000B0E0000}"/>
    <cellStyle name="20% - Accent2 5 2 7" xfId="4197" xr:uid="{00000000-0005-0000-0000-00000C0E0000}"/>
    <cellStyle name="20% - Accent2 5 2 8" xfId="4198" xr:uid="{00000000-0005-0000-0000-00000D0E0000}"/>
    <cellStyle name="20% - Accent2 5 2 9" xfId="4199" xr:uid="{00000000-0005-0000-0000-00000E0E0000}"/>
    <cellStyle name="20% - Accent2 5 3" xfId="4200" xr:uid="{00000000-0005-0000-0000-00000F0E0000}"/>
    <cellStyle name="20% - Accent2 5 3 2" xfId="4201" xr:uid="{00000000-0005-0000-0000-0000100E0000}"/>
    <cellStyle name="20% - Accent2 5 3 2 2" xfId="4202" xr:uid="{00000000-0005-0000-0000-0000110E0000}"/>
    <cellStyle name="20% - Accent2 5 3 2 2 2" xfId="4203" xr:uid="{00000000-0005-0000-0000-0000120E0000}"/>
    <cellStyle name="20% - Accent2 5 3 2 2 2 2" xfId="4204" xr:uid="{00000000-0005-0000-0000-0000130E0000}"/>
    <cellStyle name="20% - Accent2 5 3 2 2 2 3" xfId="4205" xr:uid="{00000000-0005-0000-0000-0000140E0000}"/>
    <cellStyle name="20% - Accent2 5 3 2 2 3" xfId="4206" xr:uid="{00000000-0005-0000-0000-0000150E0000}"/>
    <cellStyle name="20% - Accent2 5 3 2 2 4" xfId="4207" xr:uid="{00000000-0005-0000-0000-0000160E0000}"/>
    <cellStyle name="20% - Accent2 5 3 2 2 5" xfId="4208" xr:uid="{00000000-0005-0000-0000-0000170E0000}"/>
    <cellStyle name="20% - Accent2 5 3 2 2 6" xfId="4209" xr:uid="{00000000-0005-0000-0000-0000180E0000}"/>
    <cellStyle name="20% - Accent2 5 3 2 3" xfId="4210" xr:uid="{00000000-0005-0000-0000-0000190E0000}"/>
    <cellStyle name="20% - Accent2 5 3 2 3 2" xfId="4211" xr:uid="{00000000-0005-0000-0000-00001A0E0000}"/>
    <cellStyle name="20% - Accent2 5 3 2 3 3" xfId="4212" xr:uid="{00000000-0005-0000-0000-00001B0E0000}"/>
    <cellStyle name="20% - Accent2 5 3 2 4" xfId="4213" xr:uid="{00000000-0005-0000-0000-00001C0E0000}"/>
    <cellStyle name="20% - Accent2 5 3 2 5" xfId="4214" xr:uid="{00000000-0005-0000-0000-00001D0E0000}"/>
    <cellStyle name="20% - Accent2 5 3 2 6" xfId="4215" xr:uid="{00000000-0005-0000-0000-00001E0E0000}"/>
    <cellStyle name="20% - Accent2 5 3 2 7" xfId="4216" xr:uid="{00000000-0005-0000-0000-00001F0E0000}"/>
    <cellStyle name="20% - Accent2 5 3 3" xfId="4217" xr:uid="{00000000-0005-0000-0000-0000200E0000}"/>
    <cellStyle name="20% - Accent2 5 3 3 2" xfId="4218" xr:uid="{00000000-0005-0000-0000-0000210E0000}"/>
    <cellStyle name="20% - Accent2 5 3 3 2 2" xfId="4219" xr:uid="{00000000-0005-0000-0000-0000220E0000}"/>
    <cellStyle name="20% - Accent2 5 3 3 2 3" xfId="4220" xr:uid="{00000000-0005-0000-0000-0000230E0000}"/>
    <cellStyle name="20% - Accent2 5 3 3 3" xfId="4221" xr:uid="{00000000-0005-0000-0000-0000240E0000}"/>
    <cellStyle name="20% - Accent2 5 3 3 4" xfId="4222" xr:uid="{00000000-0005-0000-0000-0000250E0000}"/>
    <cellStyle name="20% - Accent2 5 3 3 5" xfId="4223" xr:uid="{00000000-0005-0000-0000-0000260E0000}"/>
    <cellStyle name="20% - Accent2 5 3 3 6" xfId="4224" xr:uid="{00000000-0005-0000-0000-0000270E0000}"/>
    <cellStyle name="20% - Accent2 5 3 4" xfId="4225" xr:uid="{00000000-0005-0000-0000-0000280E0000}"/>
    <cellStyle name="20% - Accent2 5 3 4 2" xfId="4226" xr:uid="{00000000-0005-0000-0000-0000290E0000}"/>
    <cellStyle name="20% - Accent2 5 3 4 2 2" xfId="4227" xr:uid="{00000000-0005-0000-0000-00002A0E0000}"/>
    <cellStyle name="20% - Accent2 5 3 4 2 3" xfId="4228" xr:uid="{00000000-0005-0000-0000-00002B0E0000}"/>
    <cellStyle name="20% - Accent2 5 3 4 3" xfId="4229" xr:uid="{00000000-0005-0000-0000-00002C0E0000}"/>
    <cellStyle name="20% - Accent2 5 3 4 4" xfId="4230" xr:uid="{00000000-0005-0000-0000-00002D0E0000}"/>
    <cellStyle name="20% - Accent2 5 3 4 5" xfId="4231" xr:uid="{00000000-0005-0000-0000-00002E0E0000}"/>
    <cellStyle name="20% - Accent2 5 3 4 6" xfId="4232" xr:uid="{00000000-0005-0000-0000-00002F0E0000}"/>
    <cellStyle name="20% - Accent2 5 3 5" xfId="4233" xr:uid="{00000000-0005-0000-0000-0000300E0000}"/>
    <cellStyle name="20% - Accent2 5 3 5 2" xfId="4234" xr:uid="{00000000-0005-0000-0000-0000310E0000}"/>
    <cellStyle name="20% - Accent2 5 3 5 3" xfId="4235" xr:uid="{00000000-0005-0000-0000-0000320E0000}"/>
    <cellStyle name="20% - Accent2 5 3 6" xfId="4236" xr:uid="{00000000-0005-0000-0000-0000330E0000}"/>
    <cellStyle name="20% - Accent2 5 3 7" xfId="4237" xr:uid="{00000000-0005-0000-0000-0000340E0000}"/>
    <cellStyle name="20% - Accent2 5 3 8" xfId="4238" xr:uid="{00000000-0005-0000-0000-0000350E0000}"/>
    <cellStyle name="20% - Accent2 5 3 9" xfId="4239" xr:uid="{00000000-0005-0000-0000-0000360E0000}"/>
    <cellStyle name="20% - Accent2 5 4" xfId="4240" xr:uid="{00000000-0005-0000-0000-0000370E0000}"/>
    <cellStyle name="20% - Accent2 5 4 2" xfId="4241" xr:uid="{00000000-0005-0000-0000-0000380E0000}"/>
    <cellStyle name="20% - Accent2 5 4 2 2" xfId="4242" xr:uid="{00000000-0005-0000-0000-0000390E0000}"/>
    <cellStyle name="20% - Accent2 5 4 2 2 2" xfId="4243" xr:uid="{00000000-0005-0000-0000-00003A0E0000}"/>
    <cellStyle name="20% - Accent2 5 4 2 2 3" xfId="4244" xr:uid="{00000000-0005-0000-0000-00003B0E0000}"/>
    <cellStyle name="20% - Accent2 5 4 2 3" xfId="4245" xr:uid="{00000000-0005-0000-0000-00003C0E0000}"/>
    <cellStyle name="20% - Accent2 5 4 2 4" xfId="4246" xr:uid="{00000000-0005-0000-0000-00003D0E0000}"/>
    <cellStyle name="20% - Accent2 5 4 2 5" xfId="4247" xr:uid="{00000000-0005-0000-0000-00003E0E0000}"/>
    <cellStyle name="20% - Accent2 5 4 2 6" xfId="4248" xr:uid="{00000000-0005-0000-0000-00003F0E0000}"/>
    <cellStyle name="20% - Accent2 5 4 3" xfId="4249" xr:uid="{00000000-0005-0000-0000-0000400E0000}"/>
    <cellStyle name="20% - Accent2 5 4 3 2" xfId="4250" xr:uid="{00000000-0005-0000-0000-0000410E0000}"/>
    <cellStyle name="20% - Accent2 5 4 3 3" xfId="4251" xr:uid="{00000000-0005-0000-0000-0000420E0000}"/>
    <cellStyle name="20% - Accent2 5 4 4" xfId="4252" xr:uid="{00000000-0005-0000-0000-0000430E0000}"/>
    <cellStyle name="20% - Accent2 5 4 5" xfId="4253" xr:uid="{00000000-0005-0000-0000-0000440E0000}"/>
    <cellStyle name="20% - Accent2 5 4 6" xfId="4254" xr:uid="{00000000-0005-0000-0000-0000450E0000}"/>
    <cellStyle name="20% - Accent2 5 4 7" xfId="4255" xr:uid="{00000000-0005-0000-0000-0000460E0000}"/>
    <cellStyle name="20% - Accent2 5 5" xfId="4256" xr:uid="{00000000-0005-0000-0000-0000470E0000}"/>
    <cellStyle name="20% - Accent2 5 5 2" xfId="4257" xr:uid="{00000000-0005-0000-0000-0000480E0000}"/>
    <cellStyle name="20% - Accent2 5 5 2 2" xfId="4258" xr:uid="{00000000-0005-0000-0000-0000490E0000}"/>
    <cellStyle name="20% - Accent2 5 5 2 3" xfId="4259" xr:uid="{00000000-0005-0000-0000-00004A0E0000}"/>
    <cellStyle name="20% - Accent2 5 5 3" xfId="4260" xr:uid="{00000000-0005-0000-0000-00004B0E0000}"/>
    <cellStyle name="20% - Accent2 5 5 4" xfId="4261" xr:uid="{00000000-0005-0000-0000-00004C0E0000}"/>
    <cellStyle name="20% - Accent2 5 5 5" xfId="4262" xr:uid="{00000000-0005-0000-0000-00004D0E0000}"/>
    <cellStyle name="20% - Accent2 5 5 6" xfId="4263" xr:uid="{00000000-0005-0000-0000-00004E0E0000}"/>
    <cellStyle name="20% - Accent2 5 6" xfId="4264" xr:uid="{00000000-0005-0000-0000-00004F0E0000}"/>
    <cellStyle name="20% - Accent2 5 6 2" xfId="4265" xr:uid="{00000000-0005-0000-0000-0000500E0000}"/>
    <cellStyle name="20% - Accent2 5 6 2 2" xfId="4266" xr:uid="{00000000-0005-0000-0000-0000510E0000}"/>
    <cellStyle name="20% - Accent2 5 6 2 3" xfId="4267" xr:uid="{00000000-0005-0000-0000-0000520E0000}"/>
    <cellStyle name="20% - Accent2 5 6 3" xfId="4268" xr:uid="{00000000-0005-0000-0000-0000530E0000}"/>
    <cellStyle name="20% - Accent2 5 6 4" xfId="4269" xr:uid="{00000000-0005-0000-0000-0000540E0000}"/>
    <cellStyle name="20% - Accent2 5 6 5" xfId="4270" xr:uid="{00000000-0005-0000-0000-0000550E0000}"/>
    <cellStyle name="20% - Accent2 5 6 6" xfId="4271" xr:uid="{00000000-0005-0000-0000-0000560E0000}"/>
    <cellStyle name="20% - Accent2 5 7" xfId="4272" xr:uid="{00000000-0005-0000-0000-0000570E0000}"/>
    <cellStyle name="20% - Accent2 5 7 2" xfId="4273" xr:uid="{00000000-0005-0000-0000-0000580E0000}"/>
    <cellStyle name="20% - Accent2 5 7 2 2" xfId="4274" xr:uid="{00000000-0005-0000-0000-0000590E0000}"/>
    <cellStyle name="20% - Accent2 5 7 2 3" xfId="4275" xr:uid="{00000000-0005-0000-0000-00005A0E0000}"/>
    <cellStyle name="20% - Accent2 5 7 3" xfId="4276" xr:uid="{00000000-0005-0000-0000-00005B0E0000}"/>
    <cellStyle name="20% - Accent2 5 7 4" xfId="4277" xr:uid="{00000000-0005-0000-0000-00005C0E0000}"/>
    <cellStyle name="20% - Accent2 5 7 5" xfId="4278" xr:uid="{00000000-0005-0000-0000-00005D0E0000}"/>
    <cellStyle name="20% - Accent2 5 7 6" xfId="4279" xr:uid="{00000000-0005-0000-0000-00005E0E0000}"/>
    <cellStyle name="20% - Accent2 5 8" xfId="4280" xr:uid="{00000000-0005-0000-0000-00005F0E0000}"/>
    <cellStyle name="20% - Accent2 5 8 2" xfId="4281" xr:uid="{00000000-0005-0000-0000-0000600E0000}"/>
    <cellStyle name="20% - Accent2 5 8 2 2" xfId="4282" xr:uid="{00000000-0005-0000-0000-0000610E0000}"/>
    <cellStyle name="20% - Accent2 5 8 2 3" xfId="4283" xr:uid="{00000000-0005-0000-0000-0000620E0000}"/>
    <cellStyle name="20% - Accent2 5 8 3" xfId="4284" xr:uid="{00000000-0005-0000-0000-0000630E0000}"/>
    <cellStyle name="20% - Accent2 5 8 4" xfId="4285" xr:uid="{00000000-0005-0000-0000-0000640E0000}"/>
    <cellStyle name="20% - Accent2 5 8 5" xfId="4286" xr:uid="{00000000-0005-0000-0000-0000650E0000}"/>
    <cellStyle name="20% - Accent2 5 8 6" xfId="4287" xr:uid="{00000000-0005-0000-0000-0000660E0000}"/>
    <cellStyle name="20% - Accent2 5 9" xfId="4288" xr:uid="{00000000-0005-0000-0000-0000670E0000}"/>
    <cellStyle name="20% - Accent2 5 9 2" xfId="4289" xr:uid="{00000000-0005-0000-0000-0000680E0000}"/>
    <cellStyle name="20% - Accent2 5 9 3" xfId="4290" xr:uid="{00000000-0005-0000-0000-0000690E0000}"/>
    <cellStyle name="20% - Accent2 6" xfId="4291" xr:uid="{00000000-0005-0000-0000-00006A0E0000}"/>
    <cellStyle name="20% - Accent2 6 10" xfId="4292" xr:uid="{00000000-0005-0000-0000-00006B0E0000}"/>
    <cellStyle name="20% - Accent2 6 11" xfId="4293" xr:uid="{00000000-0005-0000-0000-00006C0E0000}"/>
    <cellStyle name="20% - Accent2 6 2" xfId="4294" xr:uid="{00000000-0005-0000-0000-00006D0E0000}"/>
    <cellStyle name="20% - Accent2 6 2 2" xfId="4295" xr:uid="{00000000-0005-0000-0000-00006E0E0000}"/>
    <cellStyle name="20% - Accent2 6 2 2 2" xfId="4296" xr:uid="{00000000-0005-0000-0000-00006F0E0000}"/>
    <cellStyle name="20% - Accent2 6 2 2 2 2" xfId="4297" xr:uid="{00000000-0005-0000-0000-0000700E0000}"/>
    <cellStyle name="20% - Accent2 6 2 2 2 3" xfId="4298" xr:uid="{00000000-0005-0000-0000-0000710E0000}"/>
    <cellStyle name="20% - Accent2 6 2 2 3" xfId="4299" xr:uid="{00000000-0005-0000-0000-0000720E0000}"/>
    <cellStyle name="20% - Accent2 6 2 2 4" xfId="4300" xr:uid="{00000000-0005-0000-0000-0000730E0000}"/>
    <cellStyle name="20% - Accent2 6 2 2 5" xfId="4301" xr:uid="{00000000-0005-0000-0000-0000740E0000}"/>
    <cellStyle name="20% - Accent2 6 2 2 6" xfId="4302" xr:uid="{00000000-0005-0000-0000-0000750E0000}"/>
    <cellStyle name="20% - Accent2 6 2 3" xfId="4303" xr:uid="{00000000-0005-0000-0000-0000760E0000}"/>
    <cellStyle name="20% - Accent2 6 2 3 2" xfId="4304" xr:uid="{00000000-0005-0000-0000-0000770E0000}"/>
    <cellStyle name="20% - Accent2 6 2 3 2 2" xfId="4305" xr:uid="{00000000-0005-0000-0000-0000780E0000}"/>
    <cellStyle name="20% - Accent2 6 2 3 2 3" xfId="4306" xr:uid="{00000000-0005-0000-0000-0000790E0000}"/>
    <cellStyle name="20% - Accent2 6 2 3 3" xfId="4307" xr:uid="{00000000-0005-0000-0000-00007A0E0000}"/>
    <cellStyle name="20% - Accent2 6 2 3 4" xfId="4308" xr:uid="{00000000-0005-0000-0000-00007B0E0000}"/>
    <cellStyle name="20% - Accent2 6 2 3 5" xfId="4309" xr:uid="{00000000-0005-0000-0000-00007C0E0000}"/>
    <cellStyle name="20% - Accent2 6 2 3 6" xfId="4310" xr:uid="{00000000-0005-0000-0000-00007D0E0000}"/>
    <cellStyle name="20% - Accent2 6 2 4" xfId="4311" xr:uid="{00000000-0005-0000-0000-00007E0E0000}"/>
    <cellStyle name="20% - Accent2 6 2 4 2" xfId="4312" xr:uid="{00000000-0005-0000-0000-00007F0E0000}"/>
    <cellStyle name="20% - Accent2 6 2 4 3" xfId="4313" xr:uid="{00000000-0005-0000-0000-0000800E0000}"/>
    <cellStyle name="20% - Accent2 6 2 5" xfId="4314" xr:uid="{00000000-0005-0000-0000-0000810E0000}"/>
    <cellStyle name="20% - Accent2 6 2 6" xfId="4315" xr:uid="{00000000-0005-0000-0000-0000820E0000}"/>
    <cellStyle name="20% - Accent2 6 2 7" xfId="4316" xr:uid="{00000000-0005-0000-0000-0000830E0000}"/>
    <cellStyle name="20% - Accent2 6 2 8" xfId="4317" xr:uid="{00000000-0005-0000-0000-0000840E0000}"/>
    <cellStyle name="20% - Accent2 6 3" xfId="4318" xr:uid="{00000000-0005-0000-0000-0000850E0000}"/>
    <cellStyle name="20% - Accent2 6 3 2" xfId="4319" xr:uid="{00000000-0005-0000-0000-0000860E0000}"/>
    <cellStyle name="20% - Accent2 6 3 2 2" xfId="4320" xr:uid="{00000000-0005-0000-0000-0000870E0000}"/>
    <cellStyle name="20% - Accent2 6 3 2 2 2" xfId="4321" xr:uid="{00000000-0005-0000-0000-0000880E0000}"/>
    <cellStyle name="20% - Accent2 6 3 2 2 3" xfId="4322" xr:uid="{00000000-0005-0000-0000-0000890E0000}"/>
    <cellStyle name="20% - Accent2 6 3 2 3" xfId="4323" xr:uid="{00000000-0005-0000-0000-00008A0E0000}"/>
    <cellStyle name="20% - Accent2 6 3 2 4" xfId="4324" xr:uid="{00000000-0005-0000-0000-00008B0E0000}"/>
    <cellStyle name="20% - Accent2 6 3 2 5" xfId="4325" xr:uid="{00000000-0005-0000-0000-00008C0E0000}"/>
    <cellStyle name="20% - Accent2 6 3 2 6" xfId="4326" xr:uid="{00000000-0005-0000-0000-00008D0E0000}"/>
    <cellStyle name="20% - Accent2 6 3 3" xfId="4327" xr:uid="{00000000-0005-0000-0000-00008E0E0000}"/>
    <cellStyle name="20% - Accent2 6 3 3 2" xfId="4328" xr:uid="{00000000-0005-0000-0000-00008F0E0000}"/>
    <cellStyle name="20% - Accent2 6 3 3 3" xfId="4329" xr:uid="{00000000-0005-0000-0000-0000900E0000}"/>
    <cellStyle name="20% - Accent2 6 3 4" xfId="4330" xr:uid="{00000000-0005-0000-0000-0000910E0000}"/>
    <cellStyle name="20% - Accent2 6 3 5" xfId="4331" xr:uid="{00000000-0005-0000-0000-0000920E0000}"/>
    <cellStyle name="20% - Accent2 6 3 6" xfId="4332" xr:uid="{00000000-0005-0000-0000-0000930E0000}"/>
    <cellStyle name="20% - Accent2 6 3 7" xfId="4333" xr:uid="{00000000-0005-0000-0000-0000940E0000}"/>
    <cellStyle name="20% - Accent2 6 4" xfId="4334" xr:uid="{00000000-0005-0000-0000-0000950E0000}"/>
    <cellStyle name="20% - Accent2 6 4 2" xfId="4335" xr:uid="{00000000-0005-0000-0000-0000960E0000}"/>
    <cellStyle name="20% - Accent2 6 4 2 2" xfId="4336" xr:uid="{00000000-0005-0000-0000-0000970E0000}"/>
    <cellStyle name="20% - Accent2 6 4 2 3" xfId="4337" xr:uid="{00000000-0005-0000-0000-0000980E0000}"/>
    <cellStyle name="20% - Accent2 6 4 3" xfId="4338" xr:uid="{00000000-0005-0000-0000-0000990E0000}"/>
    <cellStyle name="20% - Accent2 6 4 4" xfId="4339" xr:uid="{00000000-0005-0000-0000-00009A0E0000}"/>
    <cellStyle name="20% - Accent2 6 4 5" xfId="4340" xr:uid="{00000000-0005-0000-0000-00009B0E0000}"/>
    <cellStyle name="20% - Accent2 6 4 6" xfId="4341" xr:uid="{00000000-0005-0000-0000-00009C0E0000}"/>
    <cellStyle name="20% - Accent2 6 5" xfId="4342" xr:uid="{00000000-0005-0000-0000-00009D0E0000}"/>
    <cellStyle name="20% - Accent2 6 5 2" xfId="4343" xr:uid="{00000000-0005-0000-0000-00009E0E0000}"/>
    <cellStyle name="20% - Accent2 6 5 2 2" xfId="4344" xr:uid="{00000000-0005-0000-0000-00009F0E0000}"/>
    <cellStyle name="20% - Accent2 6 5 2 3" xfId="4345" xr:uid="{00000000-0005-0000-0000-0000A00E0000}"/>
    <cellStyle name="20% - Accent2 6 5 3" xfId="4346" xr:uid="{00000000-0005-0000-0000-0000A10E0000}"/>
    <cellStyle name="20% - Accent2 6 5 4" xfId="4347" xr:uid="{00000000-0005-0000-0000-0000A20E0000}"/>
    <cellStyle name="20% - Accent2 6 5 5" xfId="4348" xr:uid="{00000000-0005-0000-0000-0000A30E0000}"/>
    <cellStyle name="20% - Accent2 6 5 6" xfId="4349" xr:uid="{00000000-0005-0000-0000-0000A40E0000}"/>
    <cellStyle name="20% - Accent2 6 6" xfId="4350" xr:uid="{00000000-0005-0000-0000-0000A50E0000}"/>
    <cellStyle name="20% - Accent2 6 6 2" xfId="4351" xr:uid="{00000000-0005-0000-0000-0000A60E0000}"/>
    <cellStyle name="20% - Accent2 6 6 2 2" xfId="4352" xr:uid="{00000000-0005-0000-0000-0000A70E0000}"/>
    <cellStyle name="20% - Accent2 6 6 2 3" xfId="4353" xr:uid="{00000000-0005-0000-0000-0000A80E0000}"/>
    <cellStyle name="20% - Accent2 6 6 3" xfId="4354" xr:uid="{00000000-0005-0000-0000-0000A90E0000}"/>
    <cellStyle name="20% - Accent2 6 6 4" xfId="4355" xr:uid="{00000000-0005-0000-0000-0000AA0E0000}"/>
    <cellStyle name="20% - Accent2 6 6 5" xfId="4356" xr:uid="{00000000-0005-0000-0000-0000AB0E0000}"/>
    <cellStyle name="20% - Accent2 6 6 6" xfId="4357" xr:uid="{00000000-0005-0000-0000-0000AC0E0000}"/>
    <cellStyle name="20% - Accent2 6 7" xfId="4358" xr:uid="{00000000-0005-0000-0000-0000AD0E0000}"/>
    <cellStyle name="20% - Accent2 6 7 2" xfId="4359" xr:uid="{00000000-0005-0000-0000-0000AE0E0000}"/>
    <cellStyle name="20% - Accent2 6 7 3" xfId="4360" xr:uid="{00000000-0005-0000-0000-0000AF0E0000}"/>
    <cellStyle name="20% - Accent2 6 8" xfId="4361" xr:uid="{00000000-0005-0000-0000-0000B00E0000}"/>
    <cellStyle name="20% - Accent2 6 9" xfId="4362" xr:uid="{00000000-0005-0000-0000-0000B10E0000}"/>
    <cellStyle name="20% - Accent2 7" xfId="4363" xr:uid="{00000000-0005-0000-0000-0000B20E0000}"/>
    <cellStyle name="20% - Accent2 7 2" xfId="4364" xr:uid="{00000000-0005-0000-0000-0000B30E0000}"/>
    <cellStyle name="20% - Accent2 7 2 2" xfId="4365" xr:uid="{00000000-0005-0000-0000-0000B40E0000}"/>
    <cellStyle name="20% - Accent2 7 2 3" xfId="4366" xr:uid="{00000000-0005-0000-0000-0000B50E0000}"/>
    <cellStyle name="20% - Accent2 7 3" xfId="4367" xr:uid="{00000000-0005-0000-0000-0000B60E0000}"/>
    <cellStyle name="20% - Accent2 7 4" xfId="4368" xr:uid="{00000000-0005-0000-0000-0000B70E0000}"/>
    <cellStyle name="20% - Accent2 7 5" xfId="4369" xr:uid="{00000000-0005-0000-0000-0000B80E0000}"/>
    <cellStyle name="20% - Accent2 7 6" xfId="4370" xr:uid="{00000000-0005-0000-0000-0000B90E0000}"/>
    <cellStyle name="20% - Accent2 8" xfId="4371" xr:uid="{00000000-0005-0000-0000-0000BA0E0000}"/>
    <cellStyle name="20% - Accent2 8 2" xfId="4372" xr:uid="{00000000-0005-0000-0000-0000BB0E0000}"/>
    <cellStyle name="20% - Accent2 8 2 2" xfId="4373" xr:uid="{00000000-0005-0000-0000-0000BC0E0000}"/>
    <cellStyle name="20% - Accent2 8 2 3" xfId="4374" xr:uid="{00000000-0005-0000-0000-0000BD0E0000}"/>
    <cellStyle name="20% - Accent2 8 3" xfId="4375" xr:uid="{00000000-0005-0000-0000-0000BE0E0000}"/>
    <cellStyle name="20% - Accent2 8 4" xfId="4376" xr:uid="{00000000-0005-0000-0000-0000BF0E0000}"/>
    <cellStyle name="20% - Accent2 8 5" xfId="4377" xr:uid="{00000000-0005-0000-0000-0000C00E0000}"/>
    <cellStyle name="20% - Accent2 8 6" xfId="4378" xr:uid="{00000000-0005-0000-0000-0000C10E0000}"/>
    <cellStyle name="20% - Accent2 9" xfId="4379" xr:uid="{00000000-0005-0000-0000-0000C20E0000}"/>
    <cellStyle name="20% - Accent2 9 2" xfId="4380" xr:uid="{00000000-0005-0000-0000-0000C30E0000}"/>
    <cellStyle name="20% - Accent2 9 2 2" xfId="4381" xr:uid="{00000000-0005-0000-0000-0000C40E0000}"/>
    <cellStyle name="20% - Accent2 9 2 3" xfId="4382" xr:uid="{00000000-0005-0000-0000-0000C50E0000}"/>
    <cellStyle name="20% - Accent2 9 3" xfId="4383" xr:uid="{00000000-0005-0000-0000-0000C60E0000}"/>
    <cellStyle name="20% - Accent2 9 4" xfId="4384" xr:uid="{00000000-0005-0000-0000-0000C70E0000}"/>
    <cellStyle name="20% - Accent2 9 5" xfId="4385" xr:uid="{00000000-0005-0000-0000-0000C80E0000}"/>
    <cellStyle name="20% - Accent2 9 6" xfId="4386" xr:uid="{00000000-0005-0000-0000-0000C90E0000}"/>
    <cellStyle name="20% - Accent3" xfId="29" builtinId="38" customBuiltin="1"/>
    <cellStyle name="20% - Accent3 10" xfId="4387" xr:uid="{00000000-0005-0000-0000-0000CB0E0000}"/>
    <cellStyle name="20% - Accent3 10 2" xfId="4388" xr:uid="{00000000-0005-0000-0000-0000CC0E0000}"/>
    <cellStyle name="20% - Accent3 10 2 2" xfId="4389" xr:uid="{00000000-0005-0000-0000-0000CD0E0000}"/>
    <cellStyle name="20% - Accent3 10 2 3" xfId="4390" xr:uid="{00000000-0005-0000-0000-0000CE0E0000}"/>
    <cellStyle name="20% - Accent3 10 3" xfId="4391" xr:uid="{00000000-0005-0000-0000-0000CF0E0000}"/>
    <cellStyle name="20% - Accent3 10 4" xfId="4392" xr:uid="{00000000-0005-0000-0000-0000D00E0000}"/>
    <cellStyle name="20% - Accent3 10 5" xfId="4393" xr:uid="{00000000-0005-0000-0000-0000D10E0000}"/>
    <cellStyle name="20% - Accent3 10 6" xfId="4394" xr:uid="{00000000-0005-0000-0000-0000D20E0000}"/>
    <cellStyle name="20% - Accent3 11" xfId="4395" xr:uid="{00000000-0005-0000-0000-0000D30E0000}"/>
    <cellStyle name="20% - Accent3 11 2" xfId="4396" xr:uid="{00000000-0005-0000-0000-0000D40E0000}"/>
    <cellStyle name="20% - Accent3 11 2 2" xfId="4397" xr:uid="{00000000-0005-0000-0000-0000D50E0000}"/>
    <cellStyle name="20% - Accent3 11 2 3" xfId="4398" xr:uid="{00000000-0005-0000-0000-0000D60E0000}"/>
    <cellStyle name="20% - Accent3 11 3" xfId="4399" xr:uid="{00000000-0005-0000-0000-0000D70E0000}"/>
    <cellStyle name="20% - Accent3 11 4" xfId="4400" xr:uid="{00000000-0005-0000-0000-0000D80E0000}"/>
    <cellStyle name="20% - Accent3 11 5" xfId="4401" xr:uid="{00000000-0005-0000-0000-0000D90E0000}"/>
    <cellStyle name="20% - Accent3 11 6" xfId="4402" xr:uid="{00000000-0005-0000-0000-0000DA0E0000}"/>
    <cellStyle name="20% - Accent3 12" xfId="4403" xr:uid="{00000000-0005-0000-0000-0000DB0E0000}"/>
    <cellStyle name="20% - Accent3 12 2" xfId="4404" xr:uid="{00000000-0005-0000-0000-0000DC0E0000}"/>
    <cellStyle name="20% - Accent3 12 2 2" xfId="4405" xr:uid="{00000000-0005-0000-0000-0000DD0E0000}"/>
    <cellStyle name="20% - Accent3 12 2 3" xfId="4406" xr:uid="{00000000-0005-0000-0000-0000DE0E0000}"/>
    <cellStyle name="20% - Accent3 12 3" xfId="4407" xr:uid="{00000000-0005-0000-0000-0000DF0E0000}"/>
    <cellStyle name="20% - Accent3 12 4" xfId="4408" xr:uid="{00000000-0005-0000-0000-0000E00E0000}"/>
    <cellStyle name="20% - Accent3 12 5" xfId="4409" xr:uid="{00000000-0005-0000-0000-0000E10E0000}"/>
    <cellStyle name="20% - Accent3 12 6" xfId="4410" xr:uid="{00000000-0005-0000-0000-0000E20E0000}"/>
    <cellStyle name="20% - Accent3 13" xfId="4411" xr:uid="{00000000-0005-0000-0000-0000E30E0000}"/>
    <cellStyle name="20% - Accent3 13 2" xfId="4412" xr:uid="{00000000-0005-0000-0000-0000E40E0000}"/>
    <cellStyle name="20% - Accent3 13 3" xfId="4413" xr:uid="{00000000-0005-0000-0000-0000E50E0000}"/>
    <cellStyle name="20% - Accent3 14" xfId="4414" xr:uid="{00000000-0005-0000-0000-0000E60E0000}"/>
    <cellStyle name="20% - Accent3 15" xfId="4415" xr:uid="{00000000-0005-0000-0000-0000E70E0000}"/>
    <cellStyle name="20% - Accent3 16" xfId="4416" xr:uid="{00000000-0005-0000-0000-0000E80E0000}"/>
    <cellStyle name="20% - Accent3 17" xfId="4417" xr:uid="{00000000-0005-0000-0000-0000E90E0000}"/>
    <cellStyle name="20% - Accent3 18" xfId="4418" xr:uid="{00000000-0005-0000-0000-0000EA0E0000}"/>
    <cellStyle name="20% - Accent3 2" xfId="54" xr:uid="{00000000-0005-0000-0000-0000EB0E0000}"/>
    <cellStyle name="20% - Accent3 2 2" xfId="285" xr:uid="{00000000-0005-0000-0000-0000EC0E0000}"/>
    <cellStyle name="20% - Accent3 2 3" xfId="286" xr:uid="{00000000-0005-0000-0000-0000ED0E0000}"/>
    <cellStyle name="20% - Accent3 3" xfId="287" xr:uid="{00000000-0005-0000-0000-0000EE0E0000}"/>
    <cellStyle name="20% - Accent3 3 10" xfId="4419" xr:uid="{00000000-0005-0000-0000-0000EF0E0000}"/>
    <cellStyle name="20% - Accent3 3 10 2" xfId="4420" xr:uid="{00000000-0005-0000-0000-0000F00E0000}"/>
    <cellStyle name="20% - Accent3 3 10 2 2" xfId="4421" xr:uid="{00000000-0005-0000-0000-0000F10E0000}"/>
    <cellStyle name="20% - Accent3 3 10 2 3" xfId="4422" xr:uid="{00000000-0005-0000-0000-0000F20E0000}"/>
    <cellStyle name="20% - Accent3 3 10 3" xfId="4423" xr:uid="{00000000-0005-0000-0000-0000F30E0000}"/>
    <cellStyle name="20% - Accent3 3 10 4" xfId="4424" xr:uid="{00000000-0005-0000-0000-0000F40E0000}"/>
    <cellStyle name="20% - Accent3 3 10 5" xfId="4425" xr:uid="{00000000-0005-0000-0000-0000F50E0000}"/>
    <cellStyle name="20% - Accent3 3 10 6" xfId="4426" xr:uid="{00000000-0005-0000-0000-0000F60E0000}"/>
    <cellStyle name="20% - Accent3 3 11" xfId="4427" xr:uid="{00000000-0005-0000-0000-0000F70E0000}"/>
    <cellStyle name="20% - Accent3 3 11 2" xfId="4428" xr:uid="{00000000-0005-0000-0000-0000F80E0000}"/>
    <cellStyle name="20% - Accent3 3 11 2 2" xfId="4429" xr:uid="{00000000-0005-0000-0000-0000F90E0000}"/>
    <cellStyle name="20% - Accent3 3 11 2 3" xfId="4430" xr:uid="{00000000-0005-0000-0000-0000FA0E0000}"/>
    <cellStyle name="20% - Accent3 3 11 3" xfId="4431" xr:uid="{00000000-0005-0000-0000-0000FB0E0000}"/>
    <cellStyle name="20% - Accent3 3 11 4" xfId="4432" xr:uid="{00000000-0005-0000-0000-0000FC0E0000}"/>
    <cellStyle name="20% - Accent3 3 11 5" xfId="4433" xr:uid="{00000000-0005-0000-0000-0000FD0E0000}"/>
    <cellStyle name="20% - Accent3 3 11 6" xfId="4434" xr:uid="{00000000-0005-0000-0000-0000FE0E0000}"/>
    <cellStyle name="20% - Accent3 3 12" xfId="4435" xr:uid="{00000000-0005-0000-0000-0000FF0E0000}"/>
    <cellStyle name="20% - Accent3 3 12 2" xfId="4436" xr:uid="{00000000-0005-0000-0000-0000000F0000}"/>
    <cellStyle name="20% - Accent3 3 12 3" xfId="4437" xr:uid="{00000000-0005-0000-0000-0000010F0000}"/>
    <cellStyle name="20% - Accent3 3 13" xfId="4438" xr:uid="{00000000-0005-0000-0000-0000020F0000}"/>
    <cellStyle name="20% - Accent3 3 14" xfId="4439" xr:uid="{00000000-0005-0000-0000-0000030F0000}"/>
    <cellStyle name="20% - Accent3 3 15" xfId="4440" xr:uid="{00000000-0005-0000-0000-0000040F0000}"/>
    <cellStyle name="20% - Accent3 3 16" xfId="4441" xr:uid="{00000000-0005-0000-0000-0000050F0000}"/>
    <cellStyle name="20% - Accent3 3 2" xfId="4442" xr:uid="{00000000-0005-0000-0000-0000060F0000}"/>
    <cellStyle name="20% - Accent3 3 2 10" xfId="4443" xr:uid="{00000000-0005-0000-0000-0000070F0000}"/>
    <cellStyle name="20% - Accent3 3 2 10 2" xfId="4444" xr:uid="{00000000-0005-0000-0000-0000080F0000}"/>
    <cellStyle name="20% - Accent3 3 2 10 3" xfId="4445" xr:uid="{00000000-0005-0000-0000-0000090F0000}"/>
    <cellStyle name="20% - Accent3 3 2 11" xfId="4446" xr:uid="{00000000-0005-0000-0000-00000A0F0000}"/>
    <cellStyle name="20% - Accent3 3 2 12" xfId="4447" xr:uid="{00000000-0005-0000-0000-00000B0F0000}"/>
    <cellStyle name="20% - Accent3 3 2 13" xfId="4448" xr:uid="{00000000-0005-0000-0000-00000C0F0000}"/>
    <cellStyle name="20% - Accent3 3 2 14" xfId="4449" xr:uid="{00000000-0005-0000-0000-00000D0F0000}"/>
    <cellStyle name="20% - Accent3 3 2 2" xfId="4450" xr:uid="{00000000-0005-0000-0000-00000E0F0000}"/>
    <cellStyle name="20% - Accent3 3 2 2 10" xfId="4451" xr:uid="{00000000-0005-0000-0000-00000F0F0000}"/>
    <cellStyle name="20% - Accent3 3 2 2 11" xfId="4452" xr:uid="{00000000-0005-0000-0000-0000100F0000}"/>
    <cellStyle name="20% - Accent3 3 2 2 12" xfId="4453" xr:uid="{00000000-0005-0000-0000-0000110F0000}"/>
    <cellStyle name="20% - Accent3 3 2 2 13" xfId="4454" xr:uid="{00000000-0005-0000-0000-0000120F0000}"/>
    <cellStyle name="20% - Accent3 3 2 2 2" xfId="4455" xr:uid="{00000000-0005-0000-0000-0000130F0000}"/>
    <cellStyle name="20% - Accent3 3 2 2 2 10" xfId="4456" xr:uid="{00000000-0005-0000-0000-0000140F0000}"/>
    <cellStyle name="20% - Accent3 3 2 2 2 2" xfId="4457" xr:uid="{00000000-0005-0000-0000-0000150F0000}"/>
    <cellStyle name="20% - Accent3 3 2 2 2 2 2" xfId="4458" xr:uid="{00000000-0005-0000-0000-0000160F0000}"/>
    <cellStyle name="20% - Accent3 3 2 2 2 2 2 2" xfId="4459" xr:uid="{00000000-0005-0000-0000-0000170F0000}"/>
    <cellStyle name="20% - Accent3 3 2 2 2 2 2 2 2" xfId="4460" xr:uid="{00000000-0005-0000-0000-0000180F0000}"/>
    <cellStyle name="20% - Accent3 3 2 2 2 2 2 2 3" xfId="4461" xr:uid="{00000000-0005-0000-0000-0000190F0000}"/>
    <cellStyle name="20% - Accent3 3 2 2 2 2 2 3" xfId="4462" xr:uid="{00000000-0005-0000-0000-00001A0F0000}"/>
    <cellStyle name="20% - Accent3 3 2 2 2 2 2 4" xfId="4463" xr:uid="{00000000-0005-0000-0000-00001B0F0000}"/>
    <cellStyle name="20% - Accent3 3 2 2 2 2 2 5" xfId="4464" xr:uid="{00000000-0005-0000-0000-00001C0F0000}"/>
    <cellStyle name="20% - Accent3 3 2 2 2 2 2 6" xfId="4465" xr:uid="{00000000-0005-0000-0000-00001D0F0000}"/>
    <cellStyle name="20% - Accent3 3 2 2 2 2 3" xfId="4466" xr:uid="{00000000-0005-0000-0000-00001E0F0000}"/>
    <cellStyle name="20% - Accent3 3 2 2 2 2 3 2" xfId="4467" xr:uid="{00000000-0005-0000-0000-00001F0F0000}"/>
    <cellStyle name="20% - Accent3 3 2 2 2 2 3 2 2" xfId="4468" xr:uid="{00000000-0005-0000-0000-0000200F0000}"/>
    <cellStyle name="20% - Accent3 3 2 2 2 2 3 2 3" xfId="4469" xr:uid="{00000000-0005-0000-0000-0000210F0000}"/>
    <cellStyle name="20% - Accent3 3 2 2 2 2 3 3" xfId="4470" xr:uid="{00000000-0005-0000-0000-0000220F0000}"/>
    <cellStyle name="20% - Accent3 3 2 2 2 2 3 4" xfId="4471" xr:uid="{00000000-0005-0000-0000-0000230F0000}"/>
    <cellStyle name="20% - Accent3 3 2 2 2 2 3 5" xfId="4472" xr:uid="{00000000-0005-0000-0000-0000240F0000}"/>
    <cellStyle name="20% - Accent3 3 2 2 2 2 3 6" xfId="4473" xr:uid="{00000000-0005-0000-0000-0000250F0000}"/>
    <cellStyle name="20% - Accent3 3 2 2 2 2 4" xfId="4474" xr:uid="{00000000-0005-0000-0000-0000260F0000}"/>
    <cellStyle name="20% - Accent3 3 2 2 2 2 4 2" xfId="4475" xr:uid="{00000000-0005-0000-0000-0000270F0000}"/>
    <cellStyle name="20% - Accent3 3 2 2 2 2 4 3" xfId="4476" xr:uid="{00000000-0005-0000-0000-0000280F0000}"/>
    <cellStyle name="20% - Accent3 3 2 2 2 2 5" xfId="4477" xr:uid="{00000000-0005-0000-0000-0000290F0000}"/>
    <cellStyle name="20% - Accent3 3 2 2 2 2 6" xfId="4478" xr:uid="{00000000-0005-0000-0000-00002A0F0000}"/>
    <cellStyle name="20% - Accent3 3 2 2 2 2 7" xfId="4479" xr:uid="{00000000-0005-0000-0000-00002B0F0000}"/>
    <cellStyle name="20% - Accent3 3 2 2 2 2 8" xfId="4480" xr:uid="{00000000-0005-0000-0000-00002C0F0000}"/>
    <cellStyle name="20% - Accent3 3 2 2 2 3" xfId="4481" xr:uid="{00000000-0005-0000-0000-00002D0F0000}"/>
    <cellStyle name="20% - Accent3 3 2 2 2 3 2" xfId="4482" xr:uid="{00000000-0005-0000-0000-00002E0F0000}"/>
    <cellStyle name="20% - Accent3 3 2 2 2 3 2 2" xfId="4483" xr:uid="{00000000-0005-0000-0000-00002F0F0000}"/>
    <cellStyle name="20% - Accent3 3 2 2 2 3 2 2 2" xfId="4484" xr:uid="{00000000-0005-0000-0000-0000300F0000}"/>
    <cellStyle name="20% - Accent3 3 2 2 2 3 2 2 3" xfId="4485" xr:uid="{00000000-0005-0000-0000-0000310F0000}"/>
    <cellStyle name="20% - Accent3 3 2 2 2 3 2 3" xfId="4486" xr:uid="{00000000-0005-0000-0000-0000320F0000}"/>
    <cellStyle name="20% - Accent3 3 2 2 2 3 2 4" xfId="4487" xr:uid="{00000000-0005-0000-0000-0000330F0000}"/>
    <cellStyle name="20% - Accent3 3 2 2 2 3 2 5" xfId="4488" xr:uid="{00000000-0005-0000-0000-0000340F0000}"/>
    <cellStyle name="20% - Accent3 3 2 2 2 3 2 6" xfId="4489" xr:uid="{00000000-0005-0000-0000-0000350F0000}"/>
    <cellStyle name="20% - Accent3 3 2 2 2 3 3" xfId="4490" xr:uid="{00000000-0005-0000-0000-0000360F0000}"/>
    <cellStyle name="20% - Accent3 3 2 2 2 3 3 2" xfId="4491" xr:uid="{00000000-0005-0000-0000-0000370F0000}"/>
    <cellStyle name="20% - Accent3 3 2 2 2 3 3 3" xfId="4492" xr:uid="{00000000-0005-0000-0000-0000380F0000}"/>
    <cellStyle name="20% - Accent3 3 2 2 2 3 4" xfId="4493" xr:uid="{00000000-0005-0000-0000-0000390F0000}"/>
    <cellStyle name="20% - Accent3 3 2 2 2 3 5" xfId="4494" xr:uid="{00000000-0005-0000-0000-00003A0F0000}"/>
    <cellStyle name="20% - Accent3 3 2 2 2 3 6" xfId="4495" xr:uid="{00000000-0005-0000-0000-00003B0F0000}"/>
    <cellStyle name="20% - Accent3 3 2 2 2 3 7" xfId="4496" xr:uid="{00000000-0005-0000-0000-00003C0F0000}"/>
    <cellStyle name="20% - Accent3 3 2 2 2 4" xfId="4497" xr:uid="{00000000-0005-0000-0000-00003D0F0000}"/>
    <cellStyle name="20% - Accent3 3 2 2 2 4 2" xfId="4498" xr:uid="{00000000-0005-0000-0000-00003E0F0000}"/>
    <cellStyle name="20% - Accent3 3 2 2 2 4 2 2" xfId="4499" xr:uid="{00000000-0005-0000-0000-00003F0F0000}"/>
    <cellStyle name="20% - Accent3 3 2 2 2 4 2 3" xfId="4500" xr:uid="{00000000-0005-0000-0000-0000400F0000}"/>
    <cellStyle name="20% - Accent3 3 2 2 2 4 3" xfId="4501" xr:uid="{00000000-0005-0000-0000-0000410F0000}"/>
    <cellStyle name="20% - Accent3 3 2 2 2 4 4" xfId="4502" xr:uid="{00000000-0005-0000-0000-0000420F0000}"/>
    <cellStyle name="20% - Accent3 3 2 2 2 4 5" xfId="4503" xr:uid="{00000000-0005-0000-0000-0000430F0000}"/>
    <cellStyle name="20% - Accent3 3 2 2 2 4 6" xfId="4504" xr:uid="{00000000-0005-0000-0000-0000440F0000}"/>
    <cellStyle name="20% - Accent3 3 2 2 2 5" xfId="4505" xr:uid="{00000000-0005-0000-0000-0000450F0000}"/>
    <cellStyle name="20% - Accent3 3 2 2 2 5 2" xfId="4506" xr:uid="{00000000-0005-0000-0000-0000460F0000}"/>
    <cellStyle name="20% - Accent3 3 2 2 2 5 2 2" xfId="4507" xr:uid="{00000000-0005-0000-0000-0000470F0000}"/>
    <cellStyle name="20% - Accent3 3 2 2 2 5 2 3" xfId="4508" xr:uid="{00000000-0005-0000-0000-0000480F0000}"/>
    <cellStyle name="20% - Accent3 3 2 2 2 5 3" xfId="4509" xr:uid="{00000000-0005-0000-0000-0000490F0000}"/>
    <cellStyle name="20% - Accent3 3 2 2 2 5 4" xfId="4510" xr:uid="{00000000-0005-0000-0000-00004A0F0000}"/>
    <cellStyle name="20% - Accent3 3 2 2 2 5 5" xfId="4511" xr:uid="{00000000-0005-0000-0000-00004B0F0000}"/>
    <cellStyle name="20% - Accent3 3 2 2 2 5 6" xfId="4512" xr:uid="{00000000-0005-0000-0000-00004C0F0000}"/>
    <cellStyle name="20% - Accent3 3 2 2 2 6" xfId="4513" xr:uid="{00000000-0005-0000-0000-00004D0F0000}"/>
    <cellStyle name="20% - Accent3 3 2 2 2 6 2" xfId="4514" xr:uid="{00000000-0005-0000-0000-00004E0F0000}"/>
    <cellStyle name="20% - Accent3 3 2 2 2 6 3" xfId="4515" xr:uid="{00000000-0005-0000-0000-00004F0F0000}"/>
    <cellStyle name="20% - Accent3 3 2 2 2 7" xfId="4516" xr:uid="{00000000-0005-0000-0000-0000500F0000}"/>
    <cellStyle name="20% - Accent3 3 2 2 2 8" xfId="4517" xr:uid="{00000000-0005-0000-0000-0000510F0000}"/>
    <cellStyle name="20% - Accent3 3 2 2 2 9" xfId="4518" xr:uid="{00000000-0005-0000-0000-0000520F0000}"/>
    <cellStyle name="20% - Accent3 3 2 2 3" xfId="4519" xr:uid="{00000000-0005-0000-0000-0000530F0000}"/>
    <cellStyle name="20% - Accent3 3 2 2 3 2" xfId="4520" xr:uid="{00000000-0005-0000-0000-0000540F0000}"/>
    <cellStyle name="20% - Accent3 3 2 2 3 2 2" xfId="4521" xr:uid="{00000000-0005-0000-0000-0000550F0000}"/>
    <cellStyle name="20% - Accent3 3 2 2 3 2 2 2" xfId="4522" xr:uid="{00000000-0005-0000-0000-0000560F0000}"/>
    <cellStyle name="20% - Accent3 3 2 2 3 2 2 2 2" xfId="4523" xr:uid="{00000000-0005-0000-0000-0000570F0000}"/>
    <cellStyle name="20% - Accent3 3 2 2 3 2 2 2 3" xfId="4524" xr:uid="{00000000-0005-0000-0000-0000580F0000}"/>
    <cellStyle name="20% - Accent3 3 2 2 3 2 2 3" xfId="4525" xr:uid="{00000000-0005-0000-0000-0000590F0000}"/>
    <cellStyle name="20% - Accent3 3 2 2 3 2 2 4" xfId="4526" xr:uid="{00000000-0005-0000-0000-00005A0F0000}"/>
    <cellStyle name="20% - Accent3 3 2 2 3 2 2 5" xfId="4527" xr:uid="{00000000-0005-0000-0000-00005B0F0000}"/>
    <cellStyle name="20% - Accent3 3 2 2 3 2 2 6" xfId="4528" xr:uid="{00000000-0005-0000-0000-00005C0F0000}"/>
    <cellStyle name="20% - Accent3 3 2 2 3 2 3" xfId="4529" xr:uid="{00000000-0005-0000-0000-00005D0F0000}"/>
    <cellStyle name="20% - Accent3 3 2 2 3 2 3 2" xfId="4530" xr:uid="{00000000-0005-0000-0000-00005E0F0000}"/>
    <cellStyle name="20% - Accent3 3 2 2 3 2 3 3" xfId="4531" xr:uid="{00000000-0005-0000-0000-00005F0F0000}"/>
    <cellStyle name="20% - Accent3 3 2 2 3 2 4" xfId="4532" xr:uid="{00000000-0005-0000-0000-0000600F0000}"/>
    <cellStyle name="20% - Accent3 3 2 2 3 2 5" xfId="4533" xr:uid="{00000000-0005-0000-0000-0000610F0000}"/>
    <cellStyle name="20% - Accent3 3 2 2 3 2 6" xfId="4534" xr:uid="{00000000-0005-0000-0000-0000620F0000}"/>
    <cellStyle name="20% - Accent3 3 2 2 3 2 7" xfId="4535" xr:uid="{00000000-0005-0000-0000-0000630F0000}"/>
    <cellStyle name="20% - Accent3 3 2 2 3 3" xfId="4536" xr:uid="{00000000-0005-0000-0000-0000640F0000}"/>
    <cellStyle name="20% - Accent3 3 2 2 3 3 2" xfId="4537" xr:uid="{00000000-0005-0000-0000-0000650F0000}"/>
    <cellStyle name="20% - Accent3 3 2 2 3 3 2 2" xfId="4538" xr:uid="{00000000-0005-0000-0000-0000660F0000}"/>
    <cellStyle name="20% - Accent3 3 2 2 3 3 2 3" xfId="4539" xr:uid="{00000000-0005-0000-0000-0000670F0000}"/>
    <cellStyle name="20% - Accent3 3 2 2 3 3 3" xfId="4540" xr:uid="{00000000-0005-0000-0000-0000680F0000}"/>
    <cellStyle name="20% - Accent3 3 2 2 3 3 4" xfId="4541" xr:uid="{00000000-0005-0000-0000-0000690F0000}"/>
    <cellStyle name="20% - Accent3 3 2 2 3 3 5" xfId="4542" xr:uid="{00000000-0005-0000-0000-00006A0F0000}"/>
    <cellStyle name="20% - Accent3 3 2 2 3 3 6" xfId="4543" xr:uid="{00000000-0005-0000-0000-00006B0F0000}"/>
    <cellStyle name="20% - Accent3 3 2 2 3 4" xfId="4544" xr:uid="{00000000-0005-0000-0000-00006C0F0000}"/>
    <cellStyle name="20% - Accent3 3 2 2 3 4 2" xfId="4545" xr:uid="{00000000-0005-0000-0000-00006D0F0000}"/>
    <cellStyle name="20% - Accent3 3 2 2 3 4 2 2" xfId="4546" xr:uid="{00000000-0005-0000-0000-00006E0F0000}"/>
    <cellStyle name="20% - Accent3 3 2 2 3 4 2 3" xfId="4547" xr:uid="{00000000-0005-0000-0000-00006F0F0000}"/>
    <cellStyle name="20% - Accent3 3 2 2 3 4 3" xfId="4548" xr:uid="{00000000-0005-0000-0000-0000700F0000}"/>
    <cellStyle name="20% - Accent3 3 2 2 3 4 4" xfId="4549" xr:uid="{00000000-0005-0000-0000-0000710F0000}"/>
    <cellStyle name="20% - Accent3 3 2 2 3 4 5" xfId="4550" xr:uid="{00000000-0005-0000-0000-0000720F0000}"/>
    <cellStyle name="20% - Accent3 3 2 2 3 4 6" xfId="4551" xr:uid="{00000000-0005-0000-0000-0000730F0000}"/>
    <cellStyle name="20% - Accent3 3 2 2 3 5" xfId="4552" xr:uid="{00000000-0005-0000-0000-0000740F0000}"/>
    <cellStyle name="20% - Accent3 3 2 2 3 5 2" xfId="4553" xr:uid="{00000000-0005-0000-0000-0000750F0000}"/>
    <cellStyle name="20% - Accent3 3 2 2 3 5 3" xfId="4554" xr:uid="{00000000-0005-0000-0000-0000760F0000}"/>
    <cellStyle name="20% - Accent3 3 2 2 3 6" xfId="4555" xr:uid="{00000000-0005-0000-0000-0000770F0000}"/>
    <cellStyle name="20% - Accent3 3 2 2 3 7" xfId="4556" xr:uid="{00000000-0005-0000-0000-0000780F0000}"/>
    <cellStyle name="20% - Accent3 3 2 2 3 8" xfId="4557" xr:uid="{00000000-0005-0000-0000-0000790F0000}"/>
    <cellStyle name="20% - Accent3 3 2 2 3 9" xfId="4558" xr:uid="{00000000-0005-0000-0000-00007A0F0000}"/>
    <cellStyle name="20% - Accent3 3 2 2 4" xfId="4559" xr:uid="{00000000-0005-0000-0000-00007B0F0000}"/>
    <cellStyle name="20% - Accent3 3 2 2 4 2" xfId="4560" xr:uid="{00000000-0005-0000-0000-00007C0F0000}"/>
    <cellStyle name="20% - Accent3 3 2 2 4 2 2" xfId="4561" xr:uid="{00000000-0005-0000-0000-00007D0F0000}"/>
    <cellStyle name="20% - Accent3 3 2 2 4 2 2 2" xfId="4562" xr:uid="{00000000-0005-0000-0000-00007E0F0000}"/>
    <cellStyle name="20% - Accent3 3 2 2 4 2 2 3" xfId="4563" xr:uid="{00000000-0005-0000-0000-00007F0F0000}"/>
    <cellStyle name="20% - Accent3 3 2 2 4 2 3" xfId="4564" xr:uid="{00000000-0005-0000-0000-0000800F0000}"/>
    <cellStyle name="20% - Accent3 3 2 2 4 2 4" xfId="4565" xr:uid="{00000000-0005-0000-0000-0000810F0000}"/>
    <cellStyle name="20% - Accent3 3 2 2 4 2 5" xfId="4566" xr:uid="{00000000-0005-0000-0000-0000820F0000}"/>
    <cellStyle name="20% - Accent3 3 2 2 4 2 6" xfId="4567" xr:uid="{00000000-0005-0000-0000-0000830F0000}"/>
    <cellStyle name="20% - Accent3 3 2 2 4 3" xfId="4568" xr:uid="{00000000-0005-0000-0000-0000840F0000}"/>
    <cellStyle name="20% - Accent3 3 2 2 4 3 2" xfId="4569" xr:uid="{00000000-0005-0000-0000-0000850F0000}"/>
    <cellStyle name="20% - Accent3 3 2 2 4 3 3" xfId="4570" xr:uid="{00000000-0005-0000-0000-0000860F0000}"/>
    <cellStyle name="20% - Accent3 3 2 2 4 4" xfId="4571" xr:uid="{00000000-0005-0000-0000-0000870F0000}"/>
    <cellStyle name="20% - Accent3 3 2 2 4 5" xfId="4572" xr:uid="{00000000-0005-0000-0000-0000880F0000}"/>
    <cellStyle name="20% - Accent3 3 2 2 4 6" xfId="4573" xr:uid="{00000000-0005-0000-0000-0000890F0000}"/>
    <cellStyle name="20% - Accent3 3 2 2 4 7" xfId="4574" xr:uid="{00000000-0005-0000-0000-00008A0F0000}"/>
    <cellStyle name="20% - Accent3 3 2 2 5" xfId="4575" xr:uid="{00000000-0005-0000-0000-00008B0F0000}"/>
    <cellStyle name="20% - Accent3 3 2 2 5 2" xfId="4576" xr:uid="{00000000-0005-0000-0000-00008C0F0000}"/>
    <cellStyle name="20% - Accent3 3 2 2 5 2 2" xfId="4577" xr:uid="{00000000-0005-0000-0000-00008D0F0000}"/>
    <cellStyle name="20% - Accent3 3 2 2 5 2 3" xfId="4578" xr:uid="{00000000-0005-0000-0000-00008E0F0000}"/>
    <cellStyle name="20% - Accent3 3 2 2 5 3" xfId="4579" xr:uid="{00000000-0005-0000-0000-00008F0F0000}"/>
    <cellStyle name="20% - Accent3 3 2 2 5 4" xfId="4580" xr:uid="{00000000-0005-0000-0000-0000900F0000}"/>
    <cellStyle name="20% - Accent3 3 2 2 5 5" xfId="4581" xr:uid="{00000000-0005-0000-0000-0000910F0000}"/>
    <cellStyle name="20% - Accent3 3 2 2 5 6" xfId="4582" xr:uid="{00000000-0005-0000-0000-0000920F0000}"/>
    <cellStyle name="20% - Accent3 3 2 2 6" xfId="4583" xr:uid="{00000000-0005-0000-0000-0000930F0000}"/>
    <cellStyle name="20% - Accent3 3 2 2 6 2" xfId="4584" xr:uid="{00000000-0005-0000-0000-0000940F0000}"/>
    <cellStyle name="20% - Accent3 3 2 2 6 2 2" xfId="4585" xr:uid="{00000000-0005-0000-0000-0000950F0000}"/>
    <cellStyle name="20% - Accent3 3 2 2 6 2 3" xfId="4586" xr:uid="{00000000-0005-0000-0000-0000960F0000}"/>
    <cellStyle name="20% - Accent3 3 2 2 6 3" xfId="4587" xr:uid="{00000000-0005-0000-0000-0000970F0000}"/>
    <cellStyle name="20% - Accent3 3 2 2 6 4" xfId="4588" xr:uid="{00000000-0005-0000-0000-0000980F0000}"/>
    <cellStyle name="20% - Accent3 3 2 2 6 5" xfId="4589" xr:uid="{00000000-0005-0000-0000-0000990F0000}"/>
    <cellStyle name="20% - Accent3 3 2 2 6 6" xfId="4590" xr:uid="{00000000-0005-0000-0000-00009A0F0000}"/>
    <cellStyle name="20% - Accent3 3 2 2 7" xfId="4591" xr:uid="{00000000-0005-0000-0000-00009B0F0000}"/>
    <cellStyle name="20% - Accent3 3 2 2 7 2" xfId="4592" xr:uid="{00000000-0005-0000-0000-00009C0F0000}"/>
    <cellStyle name="20% - Accent3 3 2 2 7 2 2" xfId="4593" xr:uid="{00000000-0005-0000-0000-00009D0F0000}"/>
    <cellStyle name="20% - Accent3 3 2 2 7 2 3" xfId="4594" xr:uid="{00000000-0005-0000-0000-00009E0F0000}"/>
    <cellStyle name="20% - Accent3 3 2 2 7 3" xfId="4595" xr:uid="{00000000-0005-0000-0000-00009F0F0000}"/>
    <cellStyle name="20% - Accent3 3 2 2 7 4" xfId="4596" xr:uid="{00000000-0005-0000-0000-0000A00F0000}"/>
    <cellStyle name="20% - Accent3 3 2 2 7 5" xfId="4597" xr:uid="{00000000-0005-0000-0000-0000A10F0000}"/>
    <cellStyle name="20% - Accent3 3 2 2 7 6" xfId="4598" xr:uid="{00000000-0005-0000-0000-0000A20F0000}"/>
    <cellStyle name="20% - Accent3 3 2 2 8" xfId="4599" xr:uid="{00000000-0005-0000-0000-0000A30F0000}"/>
    <cellStyle name="20% - Accent3 3 2 2 8 2" xfId="4600" xr:uid="{00000000-0005-0000-0000-0000A40F0000}"/>
    <cellStyle name="20% - Accent3 3 2 2 8 2 2" xfId="4601" xr:uid="{00000000-0005-0000-0000-0000A50F0000}"/>
    <cellStyle name="20% - Accent3 3 2 2 8 2 3" xfId="4602" xr:uid="{00000000-0005-0000-0000-0000A60F0000}"/>
    <cellStyle name="20% - Accent3 3 2 2 8 3" xfId="4603" xr:uid="{00000000-0005-0000-0000-0000A70F0000}"/>
    <cellStyle name="20% - Accent3 3 2 2 8 4" xfId="4604" xr:uid="{00000000-0005-0000-0000-0000A80F0000}"/>
    <cellStyle name="20% - Accent3 3 2 2 8 5" xfId="4605" xr:uid="{00000000-0005-0000-0000-0000A90F0000}"/>
    <cellStyle name="20% - Accent3 3 2 2 8 6" xfId="4606" xr:uid="{00000000-0005-0000-0000-0000AA0F0000}"/>
    <cellStyle name="20% - Accent3 3 2 2 9" xfId="4607" xr:uid="{00000000-0005-0000-0000-0000AB0F0000}"/>
    <cellStyle name="20% - Accent3 3 2 2 9 2" xfId="4608" xr:uid="{00000000-0005-0000-0000-0000AC0F0000}"/>
    <cellStyle name="20% - Accent3 3 2 2 9 3" xfId="4609" xr:uid="{00000000-0005-0000-0000-0000AD0F0000}"/>
    <cellStyle name="20% - Accent3 3 2 3" xfId="4610" xr:uid="{00000000-0005-0000-0000-0000AE0F0000}"/>
    <cellStyle name="20% - Accent3 3 2 3 10" xfId="4611" xr:uid="{00000000-0005-0000-0000-0000AF0F0000}"/>
    <cellStyle name="20% - Accent3 3 2 3 2" xfId="4612" xr:uid="{00000000-0005-0000-0000-0000B00F0000}"/>
    <cellStyle name="20% - Accent3 3 2 3 2 2" xfId="4613" xr:uid="{00000000-0005-0000-0000-0000B10F0000}"/>
    <cellStyle name="20% - Accent3 3 2 3 2 2 2" xfId="4614" xr:uid="{00000000-0005-0000-0000-0000B20F0000}"/>
    <cellStyle name="20% - Accent3 3 2 3 2 2 2 2" xfId="4615" xr:uid="{00000000-0005-0000-0000-0000B30F0000}"/>
    <cellStyle name="20% - Accent3 3 2 3 2 2 2 3" xfId="4616" xr:uid="{00000000-0005-0000-0000-0000B40F0000}"/>
    <cellStyle name="20% - Accent3 3 2 3 2 2 3" xfId="4617" xr:uid="{00000000-0005-0000-0000-0000B50F0000}"/>
    <cellStyle name="20% - Accent3 3 2 3 2 2 4" xfId="4618" xr:uid="{00000000-0005-0000-0000-0000B60F0000}"/>
    <cellStyle name="20% - Accent3 3 2 3 2 2 5" xfId="4619" xr:uid="{00000000-0005-0000-0000-0000B70F0000}"/>
    <cellStyle name="20% - Accent3 3 2 3 2 2 6" xfId="4620" xr:uid="{00000000-0005-0000-0000-0000B80F0000}"/>
    <cellStyle name="20% - Accent3 3 2 3 2 3" xfId="4621" xr:uid="{00000000-0005-0000-0000-0000B90F0000}"/>
    <cellStyle name="20% - Accent3 3 2 3 2 3 2" xfId="4622" xr:uid="{00000000-0005-0000-0000-0000BA0F0000}"/>
    <cellStyle name="20% - Accent3 3 2 3 2 3 2 2" xfId="4623" xr:uid="{00000000-0005-0000-0000-0000BB0F0000}"/>
    <cellStyle name="20% - Accent3 3 2 3 2 3 2 3" xfId="4624" xr:uid="{00000000-0005-0000-0000-0000BC0F0000}"/>
    <cellStyle name="20% - Accent3 3 2 3 2 3 3" xfId="4625" xr:uid="{00000000-0005-0000-0000-0000BD0F0000}"/>
    <cellStyle name="20% - Accent3 3 2 3 2 3 4" xfId="4626" xr:uid="{00000000-0005-0000-0000-0000BE0F0000}"/>
    <cellStyle name="20% - Accent3 3 2 3 2 3 5" xfId="4627" xr:uid="{00000000-0005-0000-0000-0000BF0F0000}"/>
    <cellStyle name="20% - Accent3 3 2 3 2 3 6" xfId="4628" xr:uid="{00000000-0005-0000-0000-0000C00F0000}"/>
    <cellStyle name="20% - Accent3 3 2 3 2 4" xfId="4629" xr:uid="{00000000-0005-0000-0000-0000C10F0000}"/>
    <cellStyle name="20% - Accent3 3 2 3 2 4 2" xfId="4630" xr:uid="{00000000-0005-0000-0000-0000C20F0000}"/>
    <cellStyle name="20% - Accent3 3 2 3 2 4 3" xfId="4631" xr:uid="{00000000-0005-0000-0000-0000C30F0000}"/>
    <cellStyle name="20% - Accent3 3 2 3 2 5" xfId="4632" xr:uid="{00000000-0005-0000-0000-0000C40F0000}"/>
    <cellStyle name="20% - Accent3 3 2 3 2 6" xfId="4633" xr:uid="{00000000-0005-0000-0000-0000C50F0000}"/>
    <cellStyle name="20% - Accent3 3 2 3 2 7" xfId="4634" xr:uid="{00000000-0005-0000-0000-0000C60F0000}"/>
    <cellStyle name="20% - Accent3 3 2 3 2 8" xfId="4635" xr:uid="{00000000-0005-0000-0000-0000C70F0000}"/>
    <cellStyle name="20% - Accent3 3 2 3 3" xfId="4636" xr:uid="{00000000-0005-0000-0000-0000C80F0000}"/>
    <cellStyle name="20% - Accent3 3 2 3 3 2" xfId="4637" xr:uid="{00000000-0005-0000-0000-0000C90F0000}"/>
    <cellStyle name="20% - Accent3 3 2 3 3 2 2" xfId="4638" xr:uid="{00000000-0005-0000-0000-0000CA0F0000}"/>
    <cellStyle name="20% - Accent3 3 2 3 3 2 2 2" xfId="4639" xr:uid="{00000000-0005-0000-0000-0000CB0F0000}"/>
    <cellStyle name="20% - Accent3 3 2 3 3 2 2 3" xfId="4640" xr:uid="{00000000-0005-0000-0000-0000CC0F0000}"/>
    <cellStyle name="20% - Accent3 3 2 3 3 2 3" xfId="4641" xr:uid="{00000000-0005-0000-0000-0000CD0F0000}"/>
    <cellStyle name="20% - Accent3 3 2 3 3 2 4" xfId="4642" xr:uid="{00000000-0005-0000-0000-0000CE0F0000}"/>
    <cellStyle name="20% - Accent3 3 2 3 3 2 5" xfId="4643" xr:uid="{00000000-0005-0000-0000-0000CF0F0000}"/>
    <cellStyle name="20% - Accent3 3 2 3 3 2 6" xfId="4644" xr:uid="{00000000-0005-0000-0000-0000D00F0000}"/>
    <cellStyle name="20% - Accent3 3 2 3 3 3" xfId="4645" xr:uid="{00000000-0005-0000-0000-0000D10F0000}"/>
    <cellStyle name="20% - Accent3 3 2 3 3 3 2" xfId="4646" xr:uid="{00000000-0005-0000-0000-0000D20F0000}"/>
    <cellStyle name="20% - Accent3 3 2 3 3 3 3" xfId="4647" xr:uid="{00000000-0005-0000-0000-0000D30F0000}"/>
    <cellStyle name="20% - Accent3 3 2 3 3 4" xfId="4648" xr:uid="{00000000-0005-0000-0000-0000D40F0000}"/>
    <cellStyle name="20% - Accent3 3 2 3 3 5" xfId="4649" xr:uid="{00000000-0005-0000-0000-0000D50F0000}"/>
    <cellStyle name="20% - Accent3 3 2 3 3 6" xfId="4650" xr:uid="{00000000-0005-0000-0000-0000D60F0000}"/>
    <cellStyle name="20% - Accent3 3 2 3 3 7" xfId="4651" xr:uid="{00000000-0005-0000-0000-0000D70F0000}"/>
    <cellStyle name="20% - Accent3 3 2 3 4" xfId="4652" xr:uid="{00000000-0005-0000-0000-0000D80F0000}"/>
    <cellStyle name="20% - Accent3 3 2 3 4 2" xfId="4653" xr:uid="{00000000-0005-0000-0000-0000D90F0000}"/>
    <cellStyle name="20% - Accent3 3 2 3 4 2 2" xfId="4654" xr:uid="{00000000-0005-0000-0000-0000DA0F0000}"/>
    <cellStyle name="20% - Accent3 3 2 3 4 2 3" xfId="4655" xr:uid="{00000000-0005-0000-0000-0000DB0F0000}"/>
    <cellStyle name="20% - Accent3 3 2 3 4 3" xfId="4656" xr:uid="{00000000-0005-0000-0000-0000DC0F0000}"/>
    <cellStyle name="20% - Accent3 3 2 3 4 4" xfId="4657" xr:uid="{00000000-0005-0000-0000-0000DD0F0000}"/>
    <cellStyle name="20% - Accent3 3 2 3 4 5" xfId="4658" xr:uid="{00000000-0005-0000-0000-0000DE0F0000}"/>
    <cellStyle name="20% - Accent3 3 2 3 4 6" xfId="4659" xr:uid="{00000000-0005-0000-0000-0000DF0F0000}"/>
    <cellStyle name="20% - Accent3 3 2 3 5" xfId="4660" xr:uid="{00000000-0005-0000-0000-0000E00F0000}"/>
    <cellStyle name="20% - Accent3 3 2 3 5 2" xfId="4661" xr:uid="{00000000-0005-0000-0000-0000E10F0000}"/>
    <cellStyle name="20% - Accent3 3 2 3 5 2 2" xfId="4662" xr:uid="{00000000-0005-0000-0000-0000E20F0000}"/>
    <cellStyle name="20% - Accent3 3 2 3 5 2 3" xfId="4663" xr:uid="{00000000-0005-0000-0000-0000E30F0000}"/>
    <cellStyle name="20% - Accent3 3 2 3 5 3" xfId="4664" xr:uid="{00000000-0005-0000-0000-0000E40F0000}"/>
    <cellStyle name="20% - Accent3 3 2 3 5 4" xfId="4665" xr:uid="{00000000-0005-0000-0000-0000E50F0000}"/>
    <cellStyle name="20% - Accent3 3 2 3 5 5" xfId="4666" xr:uid="{00000000-0005-0000-0000-0000E60F0000}"/>
    <cellStyle name="20% - Accent3 3 2 3 5 6" xfId="4667" xr:uid="{00000000-0005-0000-0000-0000E70F0000}"/>
    <cellStyle name="20% - Accent3 3 2 3 6" xfId="4668" xr:uid="{00000000-0005-0000-0000-0000E80F0000}"/>
    <cellStyle name="20% - Accent3 3 2 3 6 2" xfId="4669" xr:uid="{00000000-0005-0000-0000-0000E90F0000}"/>
    <cellStyle name="20% - Accent3 3 2 3 6 3" xfId="4670" xr:uid="{00000000-0005-0000-0000-0000EA0F0000}"/>
    <cellStyle name="20% - Accent3 3 2 3 7" xfId="4671" xr:uid="{00000000-0005-0000-0000-0000EB0F0000}"/>
    <cellStyle name="20% - Accent3 3 2 3 8" xfId="4672" xr:uid="{00000000-0005-0000-0000-0000EC0F0000}"/>
    <cellStyle name="20% - Accent3 3 2 3 9" xfId="4673" xr:uid="{00000000-0005-0000-0000-0000ED0F0000}"/>
    <cellStyle name="20% - Accent3 3 2 4" xfId="4674" xr:uid="{00000000-0005-0000-0000-0000EE0F0000}"/>
    <cellStyle name="20% - Accent3 3 2 4 2" xfId="4675" xr:uid="{00000000-0005-0000-0000-0000EF0F0000}"/>
    <cellStyle name="20% - Accent3 3 2 4 2 2" xfId="4676" xr:uid="{00000000-0005-0000-0000-0000F00F0000}"/>
    <cellStyle name="20% - Accent3 3 2 4 2 2 2" xfId="4677" xr:uid="{00000000-0005-0000-0000-0000F10F0000}"/>
    <cellStyle name="20% - Accent3 3 2 4 2 2 2 2" xfId="4678" xr:uid="{00000000-0005-0000-0000-0000F20F0000}"/>
    <cellStyle name="20% - Accent3 3 2 4 2 2 2 3" xfId="4679" xr:uid="{00000000-0005-0000-0000-0000F30F0000}"/>
    <cellStyle name="20% - Accent3 3 2 4 2 2 3" xfId="4680" xr:uid="{00000000-0005-0000-0000-0000F40F0000}"/>
    <cellStyle name="20% - Accent3 3 2 4 2 2 4" xfId="4681" xr:uid="{00000000-0005-0000-0000-0000F50F0000}"/>
    <cellStyle name="20% - Accent3 3 2 4 2 2 5" xfId="4682" xr:uid="{00000000-0005-0000-0000-0000F60F0000}"/>
    <cellStyle name="20% - Accent3 3 2 4 2 2 6" xfId="4683" xr:uid="{00000000-0005-0000-0000-0000F70F0000}"/>
    <cellStyle name="20% - Accent3 3 2 4 2 3" xfId="4684" xr:uid="{00000000-0005-0000-0000-0000F80F0000}"/>
    <cellStyle name="20% - Accent3 3 2 4 2 3 2" xfId="4685" xr:uid="{00000000-0005-0000-0000-0000F90F0000}"/>
    <cellStyle name="20% - Accent3 3 2 4 2 3 3" xfId="4686" xr:uid="{00000000-0005-0000-0000-0000FA0F0000}"/>
    <cellStyle name="20% - Accent3 3 2 4 2 4" xfId="4687" xr:uid="{00000000-0005-0000-0000-0000FB0F0000}"/>
    <cellStyle name="20% - Accent3 3 2 4 2 5" xfId="4688" xr:uid="{00000000-0005-0000-0000-0000FC0F0000}"/>
    <cellStyle name="20% - Accent3 3 2 4 2 6" xfId="4689" xr:uid="{00000000-0005-0000-0000-0000FD0F0000}"/>
    <cellStyle name="20% - Accent3 3 2 4 2 7" xfId="4690" xr:uid="{00000000-0005-0000-0000-0000FE0F0000}"/>
    <cellStyle name="20% - Accent3 3 2 4 3" xfId="4691" xr:uid="{00000000-0005-0000-0000-0000FF0F0000}"/>
    <cellStyle name="20% - Accent3 3 2 4 3 2" xfId="4692" xr:uid="{00000000-0005-0000-0000-000000100000}"/>
    <cellStyle name="20% - Accent3 3 2 4 3 2 2" xfId="4693" xr:uid="{00000000-0005-0000-0000-000001100000}"/>
    <cellStyle name="20% - Accent3 3 2 4 3 2 3" xfId="4694" xr:uid="{00000000-0005-0000-0000-000002100000}"/>
    <cellStyle name="20% - Accent3 3 2 4 3 3" xfId="4695" xr:uid="{00000000-0005-0000-0000-000003100000}"/>
    <cellStyle name="20% - Accent3 3 2 4 3 4" xfId="4696" xr:uid="{00000000-0005-0000-0000-000004100000}"/>
    <cellStyle name="20% - Accent3 3 2 4 3 5" xfId="4697" xr:uid="{00000000-0005-0000-0000-000005100000}"/>
    <cellStyle name="20% - Accent3 3 2 4 3 6" xfId="4698" xr:uid="{00000000-0005-0000-0000-000006100000}"/>
    <cellStyle name="20% - Accent3 3 2 4 4" xfId="4699" xr:uid="{00000000-0005-0000-0000-000007100000}"/>
    <cellStyle name="20% - Accent3 3 2 4 4 2" xfId="4700" xr:uid="{00000000-0005-0000-0000-000008100000}"/>
    <cellStyle name="20% - Accent3 3 2 4 4 2 2" xfId="4701" xr:uid="{00000000-0005-0000-0000-000009100000}"/>
    <cellStyle name="20% - Accent3 3 2 4 4 2 3" xfId="4702" xr:uid="{00000000-0005-0000-0000-00000A100000}"/>
    <cellStyle name="20% - Accent3 3 2 4 4 3" xfId="4703" xr:uid="{00000000-0005-0000-0000-00000B100000}"/>
    <cellStyle name="20% - Accent3 3 2 4 4 4" xfId="4704" xr:uid="{00000000-0005-0000-0000-00000C100000}"/>
    <cellStyle name="20% - Accent3 3 2 4 4 5" xfId="4705" xr:uid="{00000000-0005-0000-0000-00000D100000}"/>
    <cellStyle name="20% - Accent3 3 2 4 4 6" xfId="4706" xr:uid="{00000000-0005-0000-0000-00000E100000}"/>
    <cellStyle name="20% - Accent3 3 2 4 5" xfId="4707" xr:uid="{00000000-0005-0000-0000-00000F100000}"/>
    <cellStyle name="20% - Accent3 3 2 4 5 2" xfId="4708" xr:uid="{00000000-0005-0000-0000-000010100000}"/>
    <cellStyle name="20% - Accent3 3 2 4 5 3" xfId="4709" xr:uid="{00000000-0005-0000-0000-000011100000}"/>
    <cellStyle name="20% - Accent3 3 2 4 6" xfId="4710" xr:uid="{00000000-0005-0000-0000-000012100000}"/>
    <cellStyle name="20% - Accent3 3 2 4 7" xfId="4711" xr:uid="{00000000-0005-0000-0000-000013100000}"/>
    <cellStyle name="20% - Accent3 3 2 4 8" xfId="4712" xr:uid="{00000000-0005-0000-0000-000014100000}"/>
    <cellStyle name="20% - Accent3 3 2 4 9" xfId="4713" xr:uid="{00000000-0005-0000-0000-000015100000}"/>
    <cellStyle name="20% - Accent3 3 2 5" xfId="4714" xr:uid="{00000000-0005-0000-0000-000016100000}"/>
    <cellStyle name="20% - Accent3 3 2 5 2" xfId="4715" xr:uid="{00000000-0005-0000-0000-000017100000}"/>
    <cellStyle name="20% - Accent3 3 2 5 2 2" xfId="4716" xr:uid="{00000000-0005-0000-0000-000018100000}"/>
    <cellStyle name="20% - Accent3 3 2 5 2 2 2" xfId="4717" xr:uid="{00000000-0005-0000-0000-000019100000}"/>
    <cellStyle name="20% - Accent3 3 2 5 2 2 3" xfId="4718" xr:uid="{00000000-0005-0000-0000-00001A100000}"/>
    <cellStyle name="20% - Accent3 3 2 5 2 3" xfId="4719" xr:uid="{00000000-0005-0000-0000-00001B100000}"/>
    <cellStyle name="20% - Accent3 3 2 5 2 4" xfId="4720" xr:uid="{00000000-0005-0000-0000-00001C100000}"/>
    <cellStyle name="20% - Accent3 3 2 5 2 5" xfId="4721" xr:uid="{00000000-0005-0000-0000-00001D100000}"/>
    <cellStyle name="20% - Accent3 3 2 5 2 6" xfId="4722" xr:uid="{00000000-0005-0000-0000-00001E100000}"/>
    <cellStyle name="20% - Accent3 3 2 5 3" xfId="4723" xr:uid="{00000000-0005-0000-0000-00001F100000}"/>
    <cellStyle name="20% - Accent3 3 2 5 3 2" xfId="4724" xr:uid="{00000000-0005-0000-0000-000020100000}"/>
    <cellStyle name="20% - Accent3 3 2 5 3 3" xfId="4725" xr:uid="{00000000-0005-0000-0000-000021100000}"/>
    <cellStyle name="20% - Accent3 3 2 5 4" xfId="4726" xr:uid="{00000000-0005-0000-0000-000022100000}"/>
    <cellStyle name="20% - Accent3 3 2 5 5" xfId="4727" xr:uid="{00000000-0005-0000-0000-000023100000}"/>
    <cellStyle name="20% - Accent3 3 2 5 6" xfId="4728" xr:uid="{00000000-0005-0000-0000-000024100000}"/>
    <cellStyle name="20% - Accent3 3 2 5 7" xfId="4729" xr:uid="{00000000-0005-0000-0000-000025100000}"/>
    <cellStyle name="20% - Accent3 3 2 6" xfId="4730" xr:uid="{00000000-0005-0000-0000-000026100000}"/>
    <cellStyle name="20% - Accent3 3 2 6 2" xfId="4731" xr:uid="{00000000-0005-0000-0000-000027100000}"/>
    <cellStyle name="20% - Accent3 3 2 6 2 2" xfId="4732" xr:uid="{00000000-0005-0000-0000-000028100000}"/>
    <cellStyle name="20% - Accent3 3 2 6 2 3" xfId="4733" xr:uid="{00000000-0005-0000-0000-000029100000}"/>
    <cellStyle name="20% - Accent3 3 2 6 3" xfId="4734" xr:uid="{00000000-0005-0000-0000-00002A100000}"/>
    <cellStyle name="20% - Accent3 3 2 6 4" xfId="4735" xr:uid="{00000000-0005-0000-0000-00002B100000}"/>
    <cellStyle name="20% - Accent3 3 2 6 5" xfId="4736" xr:uid="{00000000-0005-0000-0000-00002C100000}"/>
    <cellStyle name="20% - Accent3 3 2 6 6" xfId="4737" xr:uid="{00000000-0005-0000-0000-00002D100000}"/>
    <cellStyle name="20% - Accent3 3 2 7" xfId="4738" xr:uid="{00000000-0005-0000-0000-00002E100000}"/>
    <cellStyle name="20% - Accent3 3 2 7 2" xfId="4739" xr:uid="{00000000-0005-0000-0000-00002F100000}"/>
    <cellStyle name="20% - Accent3 3 2 7 2 2" xfId="4740" xr:uid="{00000000-0005-0000-0000-000030100000}"/>
    <cellStyle name="20% - Accent3 3 2 7 2 3" xfId="4741" xr:uid="{00000000-0005-0000-0000-000031100000}"/>
    <cellStyle name="20% - Accent3 3 2 7 3" xfId="4742" xr:uid="{00000000-0005-0000-0000-000032100000}"/>
    <cellStyle name="20% - Accent3 3 2 7 4" xfId="4743" xr:uid="{00000000-0005-0000-0000-000033100000}"/>
    <cellStyle name="20% - Accent3 3 2 7 5" xfId="4744" xr:uid="{00000000-0005-0000-0000-000034100000}"/>
    <cellStyle name="20% - Accent3 3 2 7 6" xfId="4745" xr:uid="{00000000-0005-0000-0000-000035100000}"/>
    <cellStyle name="20% - Accent3 3 2 8" xfId="4746" xr:uid="{00000000-0005-0000-0000-000036100000}"/>
    <cellStyle name="20% - Accent3 3 2 8 2" xfId="4747" xr:uid="{00000000-0005-0000-0000-000037100000}"/>
    <cellStyle name="20% - Accent3 3 2 8 2 2" xfId="4748" xr:uid="{00000000-0005-0000-0000-000038100000}"/>
    <cellStyle name="20% - Accent3 3 2 8 2 3" xfId="4749" xr:uid="{00000000-0005-0000-0000-000039100000}"/>
    <cellStyle name="20% - Accent3 3 2 8 3" xfId="4750" xr:uid="{00000000-0005-0000-0000-00003A100000}"/>
    <cellStyle name="20% - Accent3 3 2 8 4" xfId="4751" xr:uid="{00000000-0005-0000-0000-00003B100000}"/>
    <cellStyle name="20% - Accent3 3 2 8 5" xfId="4752" xr:uid="{00000000-0005-0000-0000-00003C100000}"/>
    <cellStyle name="20% - Accent3 3 2 8 6" xfId="4753" xr:uid="{00000000-0005-0000-0000-00003D100000}"/>
    <cellStyle name="20% - Accent3 3 2 9" xfId="4754" xr:uid="{00000000-0005-0000-0000-00003E100000}"/>
    <cellStyle name="20% - Accent3 3 2 9 2" xfId="4755" xr:uid="{00000000-0005-0000-0000-00003F100000}"/>
    <cellStyle name="20% - Accent3 3 2 9 2 2" xfId="4756" xr:uid="{00000000-0005-0000-0000-000040100000}"/>
    <cellStyle name="20% - Accent3 3 2 9 2 3" xfId="4757" xr:uid="{00000000-0005-0000-0000-000041100000}"/>
    <cellStyle name="20% - Accent3 3 2 9 3" xfId="4758" xr:uid="{00000000-0005-0000-0000-000042100000}"/>
    <cellStyle name="20% - Accent3 3 2 9 4" xfId="4759" xr:uid="{00000000-0005-0000-0000-000043100000}"/>
    <cellStyle name="20% - Accent3 3 2 9 5" xfId="4760" xr:uid="{00000000-0005-0000-0000-000044100000}"/>
    <cellStyle name="20% - Accent3 3 2 9 6" xfId="4761" xr:uid="{00000000-0005-0000-0000-000045100000}"/>
    <cellStyle name="20% - Accent3 3 3" xfId="4762" xr:uid="{00000000-0005-0000-0000-000046100000}"/>
    <cellStyle name="20% - Accent3 3 3 10" xfId="4763" xr:uid="{00000000-0005-0000-0000-000047100000}"/>
    <cellStyle name="20% - Accent3 3 3 10 2" xfId="4764" xr:uid="{00000000-0005-0000-0000-000048100000}"/>
    <cellStyle name="20% - Accent3 3 3 10 3" xfId="4765" xr:uid="{00000000-0005-0000-0000-000049100000}"/>
    <cellStyle name="20% - Accent3 3 3 11" xfId="4766" xr:uid="{00000000-0005-0000-0000-00004A100000}"/>
    <cellStyle name="20% - Accent3 3 3 12" xfId="4767" xr:uid="{00000000-0005-0000-0000-00004B100000}"/>
    <cellStyle name="20% - Accent3 3 3 13" xfId="4768" xr:uid="{00000000-0005-0000-0000-00004C100000}"/>
    <cellStyle name="20% - Accent3 3 3 14" xfId="4769" xr:uid="{00000000-0005-0000-0000-00004D100000}"/>
    <cellStyle name="20% - Accent3 3 3 2" xfId="4770" xr:uid="{00000000-0005-0000-0000-00004E100000}"/>
    <cellStyle name="20% - Accent3 3 3 2 10" xfId="4771" xr:uid="{00000000-0005-0000-0000-00004F100000}"/>
    <cellStyle name="20% - Accent3 3 3 2 11" xfId="4772" xr:uid="{00000000-0005-0000-0000-000050100000}"/>
    <cellStyle name="20% - Accent3 3 3 2 12" xfId="4773" xr:uid="{00000000-0005-0000-0000-000051100000}"/>
    <cellStyle name="20% - Accent3 3 3 2 13" xfId="4774" xr:uid="{00000000-0005-0000-0000-000052100000}"/>
    <cellStyle name="20% - Accent3 3 3 2 2" xfId="4775" xr:uid="{00000000-0005-0000-0000-000053100000}"/>
    <cellStyle name="20% - Accent3 3 3 2 2 10" xfId="4776" xr:uid="{00000000-0005-0000-0000-000054100000}"/>
    <cellStyle name="20% - Accent3 3 3 2 2 2" xfId="4777" xr:uid="{00000000-0005-0000-0000-000055100000}"/>
    <cellStyle name="20% - Accent3 3 3 2 2 2 2" xfId="4778" xr:uid="{00000000-0005-0000-0000-000056100000}"/>
    <cellStyle name="20% - Accent3 3 3 2 2 2 2 2" xfId="4779" xr:uid="{00000000-0005-0000-0000-000057100000}"/>
    <cellStyle name="20% - Accent3 3 3 2 2 2 2 2 2" xfId="4780" xr:uid="{00000000-0005-0000-0000-000058100000}"/>
    <cellStyle name="20% - Accent3 3 3 2 2 2 2 2 3" xfId="4781" xr:uid="{00000000-0005-0000-0000-000059100000}"/>
    <cellStyle name="20% - Accent3 3 3 2 2 2 2 3" xfId="4782" xr:uid="{00000000-0005-0000-0000-00005A100000}"/>
    <cellStyle name="20% - Accent3 3 3 2 2 2 2 4" xfId="4783" xr:uid="{00000000-0005-0000-0000-00005B100000}"/>
    <cellStyle name="20% - Accent3 3 3 2 2 2 2 5" xfId="4784" xr:uid="{00000000-0005-0000-0000-00005C100000}"/>
    <cellStyle name="20% - Accent3 3 3 2 2 2 2 6" xfId="4785" xr:uid="{00000000-0005-0000-0000-00005D100000}"/>
    <cellStyle name="20% - Accent3 3 3 2 2 2 3" xfId="4786" xr:uid="{00000000-0005-0000-0000-00005E100000}"/>
    <cellStyle name="20% - Accent3 3 3 2 2 2 3 2" xfId="4787" xr:uid="{00000000-0005-0000-0000-00005F100000}"/>
    <cellStyle name="20% - Accent3 3 3 2 2 2 3 2 2" xfId="4788" xr:uid="{00000000-0005-0000-0000-000060100000}"/>
    <cellStyle name="20% - Accent3 3 3 2 2 2 3 2 3" xfId="4789" xr:uid="{00000000-0005-0000-0000-000061100000}"/>
    <cellStyle name="20% - Accent3 3 3 2 2 2 3 3" xfId="4790" xr:uid="{00000000-0005-0000-0000-000062100000}"/>
    <cellStyle name="20% - Accent3 3 3 2 2 2 3 4" xfId="4791" xr:uid="{00000000-0005-0000-0000-000063100000}"/>
    <cellStyle name="20% - Accent3 3 3 2 2 2 3 5" xfId="4792" xr:uid="{00000000-0005-0000-0000-000064100000}"/>
    <cellStyle name="20% - Accent3 3 3 2 2 2 3 6" xfId="4793" xr:uid="{00000000-0005-0000-0000-000065100000}"/>
    <cellStyle name="20% - Accent3 3 3 2 2 2 4" xfId="4794" xr:uid="{00000000-0005-0000-0000-000066100000}"/>
    <cellStyle name="20% - Accent3 3 3 2 2 2 4 2" xfId="4795" xr:uid="{00000000-0005-0000-0000-000067100000}"/>
    <cellStyle name="20% - Accent3 3 3 2 2 2 4 3" xfId="4796" xr:uid="{00000000-0005-0000-0000-000068100000}"/>
    <cellStyle name="20% - Accent3 3 3 2 2 2 5" xfId="4797" xr:uid="{00000000-0005-0000-0000-000069100000}"/>
    <cellStyle name="20% - Accent3 3 3 2 2 2 6" xfId="4798" xr:uid="{00000000-0005-0000-0000-00006A100000}"/>
    <cellStyle name="20% - Accent3 3 3 2 2 2 7" xfId="4799" xr:uid="{00000000-0005-0000-0000-00006B100000}"/>
    <cellStyle name="20% - Accent3 3 3 2 2 2 8" xfId="4800" xr:uid="{00000000-0005-0000-0000-00006C100000}"/>
    <cellStyle name="20% - Accent3 3 3 2 2 3" xfId="4801" xr:uid="{00000000-0005-0000-0000-00006D100000}"/>
    <cellStyle name="20% - Accent3 3 3 2 2 3 2" xfId="4802" xr:uid="{00000000-0005-0000-0000-00006E100000}"/>
    <cellStyle name="20% - Accent3 3 3 2 2 3 2 2" xfId="4803" xr:uid="{00000000-0005-0000-0000-00006F100000}"/>
    <cellStyle name="20% - Accent3 3 3 2 2 3 2 2 2" xfId="4804" xr:uid="{00000000-0005-0000-0000-000070100000}"/>
    <cellStyle name="20% - Accent3 3 3 2 2 3 2 2 3" xfId="4805" xr:uid="{00000000-0005-0000-0000-000071100000}"/>
    <cellStyle name="20% - Accent3 3 3 2 2 3 2 3" xfId="4806" xr:uid="{00000000-0005-0000-0000-000072100000}"/>
    <cellStyle name="20% - Accent3 3 3 2 2 3 2 4" xfId="4807" xr:uid="{00000000-0005-0000-0000-000073100000}"/>
    <cellStyle name="20% - Accent3 3 3 2 2 3 2 5" xfId="4808" xr:uid="{00000000-0005-0000-0000-000074100000}"/>
    <cellStyle name="20% - Accent3 3 3 2 2 3 2 6" xfId="4809" xr:uid="{00000000-0005-0000-0000-000075100000}"/>
    <cellStyle name="20% - Accent3 3 3 2 2 3 3" xfId="4810" xr:uid="{00000000-0005-0000-0000-000076100000}"/>
    <cellStyle name="20% - Accent3 3 3 2 2 3 3 2" xfId="4811" xr:uid="{00000000-0005-0000-0000-000077100000}"/>
    <cellStyle name="20% - Accent3 3 3 2 2 3 3 3" xfId="4812" xr:uid="{00000000-0005-0000-0000-000078100000}"/>
    <cellStyle name="20% - Accent3 3 3 2 2 3 4" xfId="4813" xr:uid="{00000000-0005-0000-0000-000079100000}"/>
    <cellStyle name="20% - Accent3 3 3 2 2 3 5" xfId="4814" xr:uid="{00000000-0005-0000-0000-00007A100000}"/>
    <cellStyle name="20% - Accent3 3 3 2 2 3 6" xfId="4815" xr:uid="{00000000-0005-0000-0000-00007B100000}"/>
    <cellStyle name="20% - Accent3 3 3 2 2 3 7" xfId="4816" xr:uid="{00000000-0005-0000-0000-00007C100000}"/>
    <cellStyle name="20% - Accent3 3 3 2 2 4" xfId="4817" xr:uid="{00000000-0005-0000-0000-00007D100000}"/>
    <cellStyle name="20% - Accent3 3 3 2 2 4 2" xfId="4818" xr:uid="{00000000-0005-0000-0000-00007E100000}"/>
    <cellStyle name="20% - Accent3 3 3 2 2 4 2 2" xfId="4819" xr:uid="{00000000-0005-0000-0000-00007F100000}"/>
    <cellStyle name="20% - Accent3 3 3 2 2 4 2 3" xfId="4820" xr:uid="{00000000-0005-0000-0000-000080100000}"/>
    <cellStyle name="20% - Accent3 3 3 2 2 4 3" xfId="4821" xr:uid="{00000000-0005-0000-0000-000081100000}"/>
    <cellStyle name="20% - Accent3 3 3 2 2 4 4" xfId="4822" xr:uid="{00000000-0005-0000-0000-000082100000}"/>
    <cellStyle name="20% - Accent3 3 3 2 2 4 5" xfId="4823" xr:uid="{00000000-0005-0000-0000-000083100000}"/>
    <cellStyle name="20% - Accent3 3 3 2 2 4 6" xfId="4824" xr:uid="{00000000-0005-0000-0000-000084100000}"/>
    <cellStyle name="20% - Accent3 3 3 2 2 5" xfId="4825" xr:uid="{00000000-0005-0000-0000-000085100000}"/>
    <cellStyle name="20% - Accent3 3 3 2 2 5 2" xfId="4826" xr:uid="{00000000-0005-0000-0000-000086100000}"/>
    <cellStyle name="20% - Accent3 3 3 2 2 5 2 2" xfId="4827" xr:uid="{00000000-0005-0000-0000-000087100000}"/>
    <cellStyle name="20% - Accent3 3 3 2 2 5 2 3" xfId="4828" xr:uid="{00000000-0005-0000-0000-000088100000}"/>
    <cellStyle name="20% - Accent3 3 3 2 2 5 3" xfId="4829" xr:uid="{00000000-0005-0000-0000-000089100000}"/>
    <cellStyle name="20% - Accent3 3 3 2 2 5 4" xfId="4830" xr:uid="{00000000-0005-0000-0000-00008A100000}"/>
    <cellStyle name="20% - Accent3 3 3 2 2 5 5" xfId="4831" xr:uid="{00000000-0005-0000-0000-00008B100000}"/>
    <cellStyle name="20% - Accent3 3 3 2 2 5 6" xfId="4832" xr:uid="{00000000-0005-0000-0000-00008C100000}"/>
    <cellStyle name="20% - Accent3 3 3 2 2 6" xfId="4833" xr:uid="{00000000-0005-0000-0000-00008D100000}"/>
    <cellStyle name="20% - Accent3 3 3 2 2 6 2" xfId="4834" xr:uid="{00000000-0005-0000-0000-00008E100000}"/>
    <cellStyle name="20% - Accent3 3 3 2 2 6 3" xfId="4835" xr:uid="{00000000-0005-0000-0000-00008F100000}"/>
    <cellStyle name="20% - Accent3 3 3 2 2 7" xfId="4836" xr:uid="{00000000-0005-0000-0000-000090100000}"/>
    <cellStyle name="20% - Accent3 3 3 2 2 8" xfId="4837" xr:uid="{00000000-0005-0000-0000-000091100000}"/>
    <cellStyle name="20% - Accent3 3 3 2 2 9" xfId="4838" xr:uid="{00000000-0005-0000-0000-000092100000}"/>
    <cellStyle name="20% - Accent3 3 3 2 3" xfId="4839" xr:uid="{00000000-0005-0000-0000-000093100000}"/>
    <cellStyle name="20% - Accent3 3 3 2 3 2" xfId="4840" xr:uid="{00000000-0005-0000-0000-000094100000}"/>
    <cellStyle name="20% - Accent3 3 3 2 3 2 2" xfId="4841" xr:uid="{00000000-0005-0000-0000-000095100000}"/>
    <cellStyle name="20% - Accent3 3 3 2 3 2 2 2" xfId="4842" xr:uid="{00000000-0005-0000-0000-000096100000}"/>
    <cellStyle name="20% - Accent3 3 3 2 3 2 2 2 2" xfId="4843" xr:uid="{00000000-0005-0000-0000-000097100000}"/>
    <cellStyle name="20% - Accent3 3 3 2 3 2 2 2 3" xfId="4844" xr:uid="{00000000-0005-0000-0000-000098100000}"/>
    <cellStyle name="20% - Accent3 3 3 2 3 2 2 3" xfId="4845" xr:uid="{00000000-0005-0000-0000-000099100000}"/>
    <cellStyle name="20% - Accent3 3 3 2 3 2 2 4" xfId="4846" xr:uid="{00000000-0005-0000-0000-00009A100000}"/>
    <cellStyle name="20% - Accent3 3 3 2 3 2 2 5" xfId="4847" xr:uid="{00000000-0005-0000-0000-00009B100000}"/>
    <cellStyle name="20% - Accent3 3 3 2 3 2 2 6" xfId="4848" xr:uid="{00000000-0005-0000-0000-00009C100000}"/>
    <cellStyle name="20% - Accent3 3 3 2 3 2 3" xfId="4849" xr:uid="{00000000-0005-0000-0000-00009D100000}"/>
    <cellStyle name="20% - Accent3 3 3 2 3 2 3 2" xfId="4850" xr:uid="{00000000-0005-0000-0000-00009E100000}"/>
    <cellStyle name="20% - Accent3 3 3 2 3 2 3 3" xfId="4851" xr:uid="{00000000-0005-0000-0000-00009F100000}"/>
    <cellStyle name="20% - Accent3 3 3 2 3 2 4" xfId="4852" xr:uid="{00000000-0005-0000-0000-0000A0100000}"/>
    <cellStyle name="20% - Accent3 3 3 2 3 2 5" xfId="4853" xr:uid="{00000000-0005-0000-0000-0000A1100000}"/>
    <cellStyle name="20% - Accent3 3 3 2 3 2 6" xfId="4854" xr:uid="{00000000-0005-0000-0000-0000A2100000}"/>
    <cellStyle name="20% - Accent3 3 3 2 3 2 7" xfId="4855" xr:uid="{00000000-0005-0000-0000-0000A3100000}"/>
    <cellStyle name="20% - Accent3 3 3 2 3 3" xfId="4856" xr:uid="{00000000-0005-0000-0000-0000A4100000}"/>
    <cellStyle name="20% - Accent3 3 3 2 3 3 2" xfId="4857" xr:uid="{00000000-0005-0000-0000-0000A5100000}"/>
    <cellStyle name="20% - Accent3 3 3 2 3 3 2 2" xfId="4858" xr:uid="{00000000-0005-0000-0000-0000A6100000}"/>
    <cellStyle name="20% - Accent3 3 3 2 3 3 2 3" xfId="4859" xr:uid="{00000000-0005-0000-0000-0000A7100000}"/>
    <cellStyle name="20% - Accent3 3 3 2 3 3 3" xfId="4860" xr:uid="{00000000-0005-0000-0000-0000A8100000}"/>
    <cellStyle name="20% - Accent3 3 3 2 3 3 4" xfId="4861" xr:uid="{00000000-0005-0000-0000-0000A9100000}"/>
    <cellStyle name="20% - Accent3 3 3 2 3 3 5" xfId="4862" xr:uid="{00000000-0005-0000-0000-0000AA100000}"/>
    <cellStyle name="20% - Accent3 3 3 2 3 3 6" xfId="4863" xr:uid="{00000000-0005-0000-0000-0000AB100000}"/>
    <cellStyle name="20% - Accent3 3 3 2 3 4" xfId="4864" xr:uid="{00000000-0005-0000-0000-0000AC100000}"/>
    <cellStyle name="20% - Accent3 3 3 2 3 4 2" xfId="4865" xr:uid="{00000000-0005-0000-0000-0000AD100000}"/>
    <cellStyle name="20% - Accent3 3 3 2 3 4 2 2" xfId="4866" xr:uid="{00000000-0005-0000-0000-0000AE100000}"/>
    <cellStyle name="20% - Accent3 3 3 2 3 4 2 3" xfId="4867" xr:uid="{00000000-0005-0000-0000-0000AF100000}"/>
    <cellStyle name="20% - Accent3 3 3 2 3 4 3" xfId="4868" xr:uid="{00000000-0005-0000-0000-0000B0100000}"/>
    <cellStyle name="20% - Accent3 3 3 2 3 4 4" xfId="4869" xr:uid="{00000000-0005-0000-0000-0000B1100000}"/>
    <cellStyle name="20% - Accent3 3 3 2 3 4 5" xfId="4870" xr:uid="{00000000-0005-0000-0000-0000B2100000}"/>
    <cellStyle name="20% - Accent3 3 3 2 3 4 6" xfId="4871" xr:uid="{00000000-0005-0000-0000-0000B3100000}"/>
    <cellStyle name="20% - Accent3 3 3 2 3 5" xfId="4872" xr:uid="{00000000-0005-0000-0000-0000B4100000}"/>
    <cellStyle name="20% - Accent3 3 3 2 3 5 2" xfId="4873" xr:uid="{00000000-0005-0000-0000-0000B5100000}"/>
    <cellStyle name="20% - Accent3 3 3 2 3 5 3" xfId="4874" xr:uid="{00000000-0005-0000-0000-0000B6100000}"/>
    <cellStyle name="20% - Accent3 3 3 2 3 6" xfId="4875" xr:uid="{00000000-0005-0000-0000-0000B7100000}"/>
    <cellStyle name="20% - Accent3 3 3 2 3 7" xfId="4876" xr:uid="{00000000-0005-0000-0000-0000B8100000}"/>
    <cellStyle name="20% - Accent3 3 3 2 3 8" xfId="4877" xr:uid="{00000000-0005-0000-0000-0000B9100000}"/>
    <cellStyle name="20% - Accent3 3 3 2 3 9" xfId="4878" xr:uid="{00000000-0005-0000-0000-0000BA100000}"/>
    <cellStyle name="20% - Accent3 3 3 2 4" xfId="4879" xr:uid="{00000000-0005-0000-0000-0000BB100000}"/>
    <cellStyle name="20% - Accent3 3 3 2 4 2" xfId="4880" xr:uid="{00000000-0005-0000-0000-0000BC100000}"/>
    <cellStyle name="20% - Accent3 3 3 2 4 2 2" xfId="4881" xr:uid="{00000000-0005-0000-0000-0000BD100000}"/>
    <cellStyle name="20% - Accent3 3 3 2 4 2 2 2" xfId="4882" xr:uid="{00000000-0005-0000-0000-0000BE100000}"/>
    <cellStyle name="20% - Accent3 3 3 2 4 2 2 3" xfId="4883" xr:uid="{00000000-0005-0000-0000-0000BF100000}"/>
    <cellStyle name="20% - Accent3 3 3 2 4 2 3" xfId="4884" xr:uid="{00000000-0005-0000-0000-0000C0100000}"/>
    <cellStyle name="20% - Accent3 3 3 2 4 2 4" xfId="4885" xr:uid="{00000000-0005-0000-0000-0000C1100000}"/>
    <cellStyle name="20% - Accent3 3 3 2 4 2 5" xfId="4886" xr:uid="{00000000-0005-0000-0000-0000C2100000}"/>
    <cellStyle name="20% - Accent3 3 3 2 4 2 6" xfId="4887" xr:uid="{00000000-0005-0000-0000-0000C3100000}"/>
    <cellStyle name="20% - Accent3 3 3 2 4 3" xfId="4888" xr:uid="{00000000-0005-0000-0000-0000C4100000}"/>
    <cellStyle name="20% - Accent3 3 3 2 4 3 2" xfId="4889" xr:uid="{00000000-0005-0000-0000-0000C5100000}"/>
    <cellStyle name="20% - Accent3 3 3 2 4 3 3" xfId="4890" xr:uid="{00000000-0005-0000-0000-0000C6100000}"/>
    <cellStyle name="20% - Accent3 3 3 2 4 4" xfId="4891" xr:uid="{00000000-0005-0000-0000-0000C7100000}"/>
    <cellStyle name="20% - Accent3 3 3 2 4 5" xfId="4892" xr:uid="{00000000-0005-0000-0000-0000C8100000}"/>
    <cellStyle name="20% - Accent3 3 3 2 4 6" xfId="4893" xr:uid="{00000000-0005-0000-0000-0000C9100000}"/>
    <cellStyle name="20% - Accent3 3 3 2 4 7" xfId="4894" xr:uid="{00000000-0005-0000-0000-0000CA100000}"/>
    <cellStyle name="20% - Accent3 3 3 2 5" xfId="4895" xr:uid="{00000000-0005-0000-0000-0000CB100000}"/>
    <cellStyle name="20% - Accent3 3 3 2 5 2" xfId="4896" xr:uid="{00000000-0005-0000-0000-0000CC100000}"/>
    <cellStyle name="20% - Accent3 3 3 2 5 2 2" xfId="4897" xr:uid="{00000000-0005-0000-0000-0000CD100000}"/>
    <cellStyle name="20% - Accent3 3 3 2 5 2 3" xfId="4898" xr:uid="{00000000-0005-0000-0000-0000CE100000}"/>
    <cellStyle name="20% - Accent3 3 3 2 5 3" xfId="4899" xr:uid="{00000000-0005-0000-0000-0000CF100000}"/>
    <cellStyle name="20% - Accent3 3 3 2 5 4" xfId="4900" xr:uid="{00000000-0005-0000-0000-0000D0100000}"/>
    <cellStyle name="20% - Accent3 3 3 2 5 5" xfId="4901" xr:uid="{00000000-0005-0000-0000-0000D1100000}"/>
    <cellStyle name="20% - Accent3 3 3 2 5 6" xfId="4902" xr:uid="{00000000-0005-0000-0000-0000D2100000}"/>
    <cellStyle name="20% - Accent3 3 3 2 6" xfId="4903" xr:uid="{00000000-0005-0000-0000-0000D3100000}"/>
    <cellStyle name="20% - Accent3 3 3 2 6 2" xfId="4904" xr:uid="{00000000-0005-0000-0000-0000D4100000}"/>
    <cellStyle name="20% - Accent3 3 3 2 6 2 2" xfId="4905" xr:uid="{00000000-0005-0000-0000-0000D5100000}"/>
    <cellStyle name="20% - Accent3 3 3 2 6 2 3" xfId="4906" xr:uid="{00000000-0005-0000-0000-0000D6100000}"/>
    <cellStyle name="20% - Accent3 3 3 2 6 3" xfId="4907" xr:uid="{00000000-0005-0000-0000-0000D7100000}"/>
    <cellStyle name="20% - Accent3 3 3 2 6 4" xfId="4908" xr:uid="{00000000-0005-0000-0000-0000D8100000}"/>
    <cellStyle name="20% - Accent3 3 3 2 6 5" xfId="4909" xr:uid="{00000000-0005-0000-0000-0000D9100000}"/>
    <cellStyle name="20% - Accent3 3 3 2 6 6" xfId="4910" xr:uid="{00000000-0005-0000-0000-0000DA100000}"/>
    <cellStyle name="20% - Accent3 3 3 2 7" xfId="4911" xr:uid="{00000000-0005-0000-0000-0000DB100000}"/>
    <cellStyle name="20% - Accent3 3 3 2 7 2" xfId="4912" xr:uid="{00000000-0005-0000-0000-0000DC100000}"/>
    <cellStyle name="20% - Accent3 3 3 2 7 2 2" xfId="4913" xr:uid="{00000000-0005-0000-0000-0000DD100000}"/>
    <cellStyle name="20% - Accent3 3 3 2 7 2 3" xfId="4914" xr:uid="{00000000-0005-0000-0000-0000DE100000}"/>
    <cellStyle name="20% - Accent3 3 3 2 7 3" xfId="4915" xr:uid="{00000000-0005-0000-0000-0000DF100000}"/>
    <cellStyle name="20% - Accent3 3 3 2 7 4" xfId="4916" xr:uid="{00000000-0005-0000-0000-0000E0100000}"/>
    <cellStyle name="20% - Accent3 3 3 2 7 5" xfId="4917" xr:uid="{00000000-0005-0000-0000-0000E1100000}"/>
    <cellStyle name="20% - Accent3 3 3 2 7 6" xfId="4918" xr:uid="{00000000-0005-0000-0000-0000E2100000}"/>
    <cellStyle name="20% - Accent3 3 3 2 8" xfId="4919" xr:uid="{00000000-0005-0000-0000-0000E3100000}"/>
    <cellStyle name="20% - Accent3 3 3 2 8 2" xfId="4920" xr:uid="{00000000-0005-0000-0000-0000E4100000}"/>
    <cellStyle name="20% - Accent3 3 3 2 8 2 2" xfId="4921" xr:uid="{00000000-0005-0000-0000-0000E5100000}"/>
    <cellStyle name="20% - Accent3 3 3 2 8 2 3" xfId="4922" xr:uid="{00000000-0005-0000-0000-0000E6100000}"/>
    <cellStyle name="20% - Accent3 3 3 2 8 3" xfId="4923" xr:uid="{00000000-0005-0000-0000-0000E7100000}"/>
    <cellStyle name="20% - Accent3 3 3 2 8 4" xfId="4924" xr:uid="{00000000-0005-0000-0000-0000E8100000}"/>
    <cellStyle name="20% - Accent3 3 3 2 8 5" xfId="4925" xr:uid="{00000000-0005-0000-0000-0000E9100000}"/>
    <cellStyle name="20% - Accent3 3 3 2 8 6" xfId="4926" xr:uid="{00000000-0005-0000-0000-0000EA100000}"/>
    <cellStyle name="20% - Accent3 3 3 2 9" xfId="4927" xr:uid="{00000000-0005-0000-0000-0000EB100000}"/>
    <cellStyle name="20% - Accent3 3 3 2 9 2" xfId="4928" xr:uid="{00000000-0005-0000-0000-0000EC100000}"/>
    <cellStyle name="20% - Accent3 3 3 2 9 3" xfId="4929" xr:uid="{00000000-0005-0000-0000-0000ED100000}"/>
    <cellStyle name="20% - Accent3 3 3 3" xfId="4930" xr:uid="{00000000-0005-0000-0000-0000EE100000}"/>
    <cellStyle name="20% - Accent3 3 3 3 10" xfId="4931" xr:uid="{00000000-0005-0000-0000-0000EF100000}"/>
    <cellStyle name="20% - Accent3 3 3 3 2" xfId="4932" xr:uid="{00000000-0005-0000-0000-0000F0100000}"/>
    <cellStyle name="20% - Accent3 3 3 3 2 2" xfId="4933" xr:uid="{00000000-0005-0000-0000-0000F1100000}"/>
    <cellStyle name="20% - Accent3 3 3 3 2 2 2" xfId="4934" xr:uid="{00000000-0005-0000-0000-0000F2100000}"/>
    <cellStyle name="20% - Accent3 3 3 3 2 2 2 2" xfId="4935" xr:uid="{00000000-0005-0000-0000-0000F3100000}"/>
    <cellStyle name="20% - Accent3 3 3 3 2 2 2 3" xfId="4936" xr:uid="{00000000-0005-0000-0000-0000F4100000}"/>
    <cellStyle name="20% - Accent3 3 3 3 2 2 3" xfId="4937" xr:uid="{00000000-0005-0000-0000-0000F5100000}"/>
    <cellStyle name="20% - Accent3 3 3 3 2 2 4" xfId="4938" xr:uid="{00000000-0005-0000-0000-0000F6100000}"/>
    <cellStyle name="20% - Accent3 3 3 3 2 2 5" xfId="4939" xr:uid="{00000000-0005-0000-0000-0000F7100000}"/>
    <cellStyle name="20% - Accent3 3 3 3 2 2 6" xfId="4940" xr:uid="{00000000-0005-0000-0000-0000F8100000}"/>
    <cellStyle name="20% - Accent3 3 3 3 2 3" xfId="4941" xr:uid="{00000000-0005-0000-0000-0000F9100000}"/>
    <cellStyle name="20% - Accent3 3 3 3 2 3 2" xfId="4942" xr:uid="{00000000-0005-0000-0000-0000FA100000}"/>
    <cellStyle name="20% - Accent3 3 3 3 2 3 2 2" xfId="4943" xr:uid="{00000000-0005-0000-0000-0000FB100000}"/>
    <cellStyle name="20% - Accent3 3 3 3 2 3 2 3" xfId="4944" xr:uid="{00000000-0005-0000-0000-0000FC100000}"/>
    <cellStyle name="20% - Accent3 3 3 3 2 3 3" xfId="4945" xr:uid="{00000000-0005-0000-0000-0000FD100000}"/>
    <cellStyle name="20% - Accent3 3 3 3 2 3 4" xfId="4946" xr:uid="{00000000-0005-0000-0000-0000FE100000}"/>
    <cellStyle name="20% - Accent3 3 3 3 2 3 5" xfId="4947" xr:uid="{00000000-0005-0000-0000-0000FF100000}"/>
    <cellStyle name="20% - Accent3 3 3 3 2 3 6" xfId="4948" xr:uid="{00000000-0005-0000-0000-000000110000}"/>
    <cellStyle name="20% - Accent3 3 3 3 2 4" xfId="4949" xr:uid="{00000000-0005-0000-0000-000001110000}"/>
    <cellStyle name="20% - Accent3 3 3 3 2 4 2" xfId="4950" xr:uid="{00000000-0005-0000-0000-000002110000}"/>
    <cellStyle name="20% - Accent3 3 3 3 2 4 3" xfId="4951" xr:uid="{00000000-0005-0000-0000-000003110000}"/>
    <cellStyle name="20% - Accent3 3 3 3 2 5" xfId="4952" xr:uid="{00000000-0005-0000-0000-000004110000}"/>
    <cellStyle name="20% - Accent3 3 3 3 2 6" xfId="4953" xr:uid="{00000000-0005-0000-0000-000005110000}"/>
    <cellStyle name="20% - Accent3 3 3 3 2 7" xfId="4954" xr:uid="{00000000-0005-0000-0000-000006110000}"/>
    <cellStyle name="20% - Accent3 3 3 3 2 8" xfId="4955" xr:uid="{00000000-0005-0000-0000-000007110000}"/>
    <cellStyle name="20% - Accent3 3 3 3 3" xfId="4956" xr:uid="{00000000-0005-0000-0000-000008110000}"/>
    <cellStyle name="20% - Accent3 3 3 3 3 2" xfId="4957" xr:uid="{00000000-0005-0000-0000-000009110000}"/>
    <cellStyle name="20% - Accent3 3 3 3 3 2 2" xfId="4958" xr:uid="{00000000-0005-0000-0000-00000A110000}"/>
    <cellStyle name="20% - Accent3 3 3 3 3 2 2 2" xfId="4959" xr:uid="{00000000-0005-0000-0000-00000B110000}"/>
    <cellStyle name="20% - Accent3 3 3 3 3 2 2 3" xfId="4960" xr:uid="{00000000-0005-0000-0000-00000C110000}"/>
    <cellStyle name="20% - Accent3 3 3 3 3 2 3" xfId="4961" xr:uid="{00000000-0005-0000-0000-00000D110000}"/>
    <cellStyle name="20% - Accent3 3 3 3 3 2 4" xfId="4962" xr:uid="{00000000-0005-0000-0000-00000E110000}"/>
    <cellStyle name="20% - Accent3 3 3 3 3 2 5" xfId="4963" xr:uid="{00000000-0005-0000-0000-00000F110000}"/>
    <cellStyle name="20% - Accent3 3 3 3 3 2 6" xfId="4964" xr:uid="{00000000-0005-0000-0000-000010110000}"/>
    <cellStyle name="20% - Accent3 3 3 3 3 3" xfId="4965" xr:uid="{00000000-0005-0000-0000-000011110000}"/>
    <cellStyle name="20% - Accent3 3 3 3 3 3 2" xfId="4966" xr:uid="{00000000-0005-0000-0000-000012110000}"/>
    <cellStyle name="20% - Accent3 3 3 3 3 3 3" xfId="4967" xr:uid="{00000000-0005-0000-0000-000013110000}"/>
    <cellStyle name="20% - Accent3 3 3 3 3 4" xfId="4968" xr:uid="{00000000-0005-0000-0000-000014110000}"/>
    <cellStyle name="20% - Accent3 3 3 3 3 5" xfId="4969" xr:uid="{00000000-0005-0000-0000-000015110000}"/>
    <cellStyle name="20% - Accent3 3 3 3 3 6" xfId="4970" xr:uid="{00000000-0005-0000-0000-000016110000}"/>
    <cellStyle name="20% - Accent3 3 3 3 3 7" xfId="4971" xr:uid="{00000000-0005-0000-0000-000017110000}"/>
    <cellStyle name="20% - Accent3 3 3 3 4" xfId="4972" xr:uid="{00000000-0005-0000-0000-000018110000}"/>
    <cellStyle name="20% - Accent3 3 3 3 4 2" xfId="4973" xr:uid="{00000000-0005-0000-0000-000019110000}"/>
    <cellStyle name="20% - Accent3 3 3 3 4 2 2" xfId="4974" xr:uid="{00000000-0005-0000-0000-00001A110000}"/>
    <cellStyle name="20% - Accent3 3 3 3 4 2 3" xfId="4975" xr:uid="{00000000-0005-0000-0000-00001B110000}"/>
    <cellStyle name="20% - Accent3 3 3 3 4 3" xfId="4976" xr:uid="{00000000-0005-0000-0000-00001C110000}"/>
    <cellStyle name="20% - Accent3 3 3 3 4 4" xfId="4977" xr:uid="{00000000-0005-0000-0000-00001D110000}"/>
    <cellStyle name="20% - Accent3 3 3 3 4 5" xfId="4978" xr:uid="{00000000-0005-0000-0000-00001E110000}"/>
    <cellStyle name="20% - Accent3 3 3 3 4 6" xfId="4979" xr:uid="{00000000-0005-0000-0000-00001F110000}"/>
    <cellStyle name="20% - Accent3 3 3 3 5" xfId="4980" xr:uid="{00000000-0005-0000-0000-000020110000}"/>
    <cellStyle name="20% - Accent3 3 3 3 5 2" xfId="4981" xr:uid="{00000000-0005-0000-0000-000021110000}"/>
    <cellStyle name="20% - Accent3 3 3 3 5 2 2" xfId="4982" xr:uid="{00000000-0005-0000-0000-000022110000}"/>
    <cellStyle name="20% - Accent3 3 3 3 5 2 3" xfId="4983" xr:uid="{00000000-0005-0000-0000-000023110000}"/>
    <cellStyle name="20% - Accent3 3 3 3 5 3" xfId="4984" xr:uid="{00000000-0005-0000-0000-000024110000}"/>
    <cellStyle name="20% - Accent3 3 3 3 5 4" xfId="4985" xr:uid="{00000000-0005-0000-0000-000025110000}"/>
    <cellStyle name="20% - Accent3 3 3 3 5 5" xfId="4986" xr:uid="{00000000-0005-0000-0000-000026110000}"/>
    <cellStyle name="20% - Accent3 3 3 3 5 6" xfId="4987" xr:uid="{00000000-0005-0000-0000-000027110000}"/>
    <cellStyle name="20% - Accent3 3 3 3 6" xfId="4988" xr:uid="{00000000-0005-0000-0000-000028110000}"/>
    <cellStyle name="20% - Accent3 3 3 3 6 2" xfId="4989" xr:uid="{00000000-0005-0000-0000-000029110000}"/>
    <cellStyle name="20% - Accent3 3 3 3 6 3" xfId="4990" xr:uid="{00000000-0005-0000-0000-00002A110000}"/>
    <cellStyle name="20% - Accent3 3 3 3 7" xfId="4991" xr:uid="{00000000-0005-0000-0000-00002B110000}"/>
    <cellStyle name="20% - Accent3 3 3 3 8" xfId="4992" xr:uid="{00000000-0005-0000-0000-00002C110000}"/>
    <cellStyle name="20% - Accent3 3 3 3 9" xfId="4993" xr:uid="{00000000-0005-0000-0000-00002D110000}"/>
    <cellStyle name="20% - Accent3 3 3 4" xfId="4994" xr:uid="{00000000-0005-0000-0000-00002E110000}"/>
    <cellStyle name="20% - Accent3 3 3 4 2" xfId="4995" xr:uid="{00000000-0005-0000-0000-00002F110000}"/>
    <cellStyle name="20% - Accent3 3 3 4 2 2" xfId="4996" xr:uid="{00000000-0005-0000-0000-000030110000}"/>
    <cellStyle name="20% - Accent3 3 3 4 2 2 2" xfId="4997" xr:uid="{00000000-0005-0000-0000-000031110000}"/>
    <cellStyle name="20% - Accent3 3 3 4 2 2 2 2" xfId="4998" xr:uid="{00000000-0005-0000-0000-000032110000}"/>
    <cellStyle name="20% - Accent3 3 3 4 2 2 2 3" xfId="4999" xr:uid="{00000000-0005-0000-0000-000033110000}"/>
    <cellStyle name="20% - Accent3 3 3 4 2 2 3" xfId="5000" xr:uid="{00000000-0005-0000-0000-000034110000}"/>
    <cellStyle name="20% - Accent3 3 3 4 2 2 4" xfId="5001" xr:uid="{00000000-0005-0000-0000-000035110000}"/>
    <cellStyle name="20% - Accent3 3 3 4 2 2 5" xfId="5002" xr:uid="{00000000-0005-0000-0000-000036110000}"/>
    <cellStyle name="20% - Accent3 3 3 4 2 2 6" xfId="5003" xr:uid="{00000000-0005-0000-0000-000037110000}"/>
    <cellStyle name="20% - Accent3 3 3 4 2 3" xfId="5004" xr:uid="{00000000-0005-0000-0000-000038110000}"/>
    <cellStyle name="20% - Accent3 3 3 4 2 3 2" xfId="5005" xr:uid="{00000000-0005-0000-0000-000039110000}"/>
    <cellStyle name="20% - Accent3 3 3 4 2 3 3" xfId="5006" xr:uid="{00000000-0005-0000-0000-00003A110000}"/>
    <cellStyle name="20% - Accent3 3 3 4 2 4" xfId="5007" xr:uid="{00000000-0005-0000-0000-00003B110000}"/>
    <cellStyle name="20% - Accent3 3 3 4 2 5" xfId="5008" xr:uid="{00000000-0005-0000-0000-00003C110000}"/>
    <cellStyle name="20% - Accent3 3 3 4 2 6" xfId="5009" xr:uid="{00000000-0005-0000-0000-00003D110000}"/>
    <cellStyle name="20% - Accent3 3 3 4 2 7" xfId="5010" xr:uid="{00000000-0005-0000-0000-00003E110000}"/>
    <cellStyle name="20% - Accent3 3 3 4 3" xfId="5011" xr:uid="{00000000-0005-0000-0000-00003F110000}"/>
    <cellStyle name="20% - Accent3 3 3 4 3 2" xfId="5012" xr:uid="{00000000-0005-0000-0000-000040110000}"/>
    <cellStyle name="20% - Accent3 3 3 4 3 2 2" xfId="5013" xr:uid="{00000000-0005-0000-0000-000041110000}"/>
    <cellStyle name="20% - Accent3 3 3 4 3 2 3" xfId="5014" xr:uid="{00000000-0005-0000-0000-000042110000}"/>
    <cellStyle name="20% - Accent3 3 3 4 3 3" xfId="5015" xr:uid="{00000000-0005-0000-0000-000043110000}"/>
    <cellStyle name="20% - Accent3 3 3 4 3 4" xfId="5016" xr:uid="{00000000-0005-0000-0000-000044110000}"/>
    <cellStyle name="20% - Accent3 3 3 4 3 5" xfId="5017" xr:uid="{00000000-0005-0000-0000-000045110000}"/>
    <cellStyle name="20% - Accent3 3 3 4 3 6" xfId="5018" xr:uid="{00000000-0005-0000-0000-000046110000}"/>
    <cellStyle name="20% - Accent3 3 3 4 4" xfId="5019" xr:uid="{00000000-0005-0000-0000-000047110000}"/>
    <cellStyle name="20% - Accent3 3 3 4 4 2" xfId="5020" xr:uid="{00000000-0005-0000-0000-000048110000}"/>
    <cellStyle name="20% - Accent3 3 3 4 4 2 2" xfId="5021" xr:uid="{00000000-0005-0000-0000-000049110000}"/>
    <cellStyle name="20% - Accent3 3 3 4 4 2 3" xfId="5022" xr:uid="{00000000-0005-0000-0000-00004A110000}"/>
    <cellStyle name="20% - Accent3 3 3 4 4 3" xfId="5023" xr:uid="{00000000-0005-0000-0000-00004B110000}"/>
    <cellStyle name="20% - Accent3 3 3 4 4 4" xfId="5024" xr:uid="{00000000-0005-0000-0000-00004C110000}"/>
    <cellStyle name="20% - Accent3 3 3 4 4 5" xfId="5025" xr:uid="{00000000-0005-0000-0000-00004D110000}"/>
    <cellStyle name="20% - Accent3 3 3 4 4 6" xfId="5026" xr:uid="{00000000-0005-0000-0000-00004E110000}"/>
    <cellStyle name="20% - Accent3 3 3 4 5" xfId="5027" xr:uid="{00000000-0005-0000-0000-00004F110000}"/>
    <cellStyle name="20% - Accent3 3 3 4 5 2" xfId="5028" xr:uid="{00000000-0005-0000-0000-000050110000}"/>
    <cellStyle name="20% - Accent3 3 3 4 5 3" xfId="5029" xr:uid="{00000000-0005-0000-0000-000051110000}"/>
    <cellStyle name="20% - Accent3 3 3 4 6" xfId="5030" xr:uid="{00000000-0005-0000-0000-000052110000}"/>
    <cellStyle name="20% - Accent3 3 3 4 7" xfId="5031" xr:uid="{00000000-0005-0000-0000-000053110000}"/>
    <cellStyle name="20% - Accent3 3 3 4 8" xfId="5032" xr:uid="{00000000-0005-0000-0000-000054110000}"/>
    <cellStyle name="20% - Accent3 3 3 4 9" xfId="5033" xr:uid="{00000000-0005-0000-0000-000055110000}"/>
    <cellStyle name="20% - Accent3 3 3 5" xfId="5034" xr:uid="{00000000-0005-0000-0000-000056110000}"/>
    <cellStyle name="20% - Accent3 3 3 5 2" xfId="5035" xr:uid="{00000000-0005-0000-0000-000057110000}"/>
    <cellStyle name="20% - Accent3 3 3 5 2 2" xfId="5036" xr:uid="{00000000-0005-0000-0000-000058110000}"/>
    <cellStyle name="20% - Accent3 3 3 5 2 2 2" xfId="5037" xr:uid="{00000000-0005-0000-0000-000059110000}"/>
    <cellStyle name="20% - Accent3 3 3 5 2 2 3" xfId="5038" xr:uid="{00000000-0005-0000-0000-00005A110000}"/>
    <cellStyle name="20% - Accent3 3 3 5 2 3" xfId="5039" xr:uid="{00000000-0005-0000-0000-00005B110000}"/>
    <cellStyle name="20% - Accent3 3 3 5 2 4" xfId="5040" xr:uid="{00000000-0005-0000-0000-00005C110000}"/>
    <cellStyle name="20% - Accent3 3 3 5 2 5" xfId="5041" xr:uid="{00000000-0005-0000-0000-00005D110000}"/>
    <cellStyle name="20% - Accent3 3 3 5 2 6" xfId="5042" xr:uid="{00000000-0005-0000-0000-00005E110000}"/>
    <cellStyle name="20% - Accent3 3 3 5 3" xfId="5043" xr:uid="{00000000-0005-0000-0000-00005F110000}"/>
    <cellStyle name="20% - Accent3 3 3 5 3 2" xfId="5044" xr:uid="{00000000-0005-0000-0000-000060110000}"/>
    <cellStyle name="20% - Accent3 3 3 5 3 3" xfId="5045" xr:uid="{00000000-0005-0000-0000-000061110000}"/>
    <cellStyle name="20% - Accent3 3 3 5 4" xfId="5046" xr:uid="{00000000-0005-0000-0000-000062110000}"/>
    <cellStyle name="20% - Accent3 3 3 5 5" xfId="5047" xr:uid="{00000000-0005-0000-0000-000063110000}"/>
    <cellStyle name="20% - Accent3 3 3 5 6" xfId="5048" xr:uid="{00000000-0005-0000-0000-000064110000}"/>
    <cellStyle name="20% - Accent3 3 3 5 7" xfId="5049" xr:uid="{00000000-0005-0000-0000-000065110000}"/>
    <cellStyle name="20% - Accent3 3 3 6" xfId="5050" xr:uid="{00000000-0005-0000-0000-000066110000}"/>
    <cellStyle name="20% - Accent3 3 3 6 2" xfId="5051" xr:uid="{00000000-0005-0000-0000-000067110000}"/>
    <cellStyle name="20% - Accent3 3 3 6 2 2" xfId="5052" xr:uid="{00000000-0005-0000-0000-000068110000}"/>
    <cellStyle name="20% - Accent3 3 3 6 2 3" xfId="5053" xr:uid="{00000000-0005-0000-0000-000069110000}"/>
    <cellStyle name="20% - Accent3 3 3 6 3" xfId="5054" xr:uid="{00000000-0005-0000-0000-00006A110000}"/>
    <cellStyle name="20% - Accent3 3 3 6 4" xfId="5055" xr:uid="{00000000-0005-0000-0000-00006B110000}"/>
    <cellStyle name="20% - Accent3 3 3 6 5" xfId="5056" xr:uid="{00000000-0005-0000-0000-00006C110000}"/>
    <cellStyle name="20% - Accent3 3 3 6 6" xfId="5057" xr:uid="{00000000-0005-0000-0000-00006D110000}"/>
    <cellStyle name="20% - Accent3 3 3 7" xfId="5058" xr:uid="{00000000-0005-0000-0000-00006E110000}"/>
    <cellStyle name="20% - Accent3 3 3 7 2" xfId="5059" xr:uid="{00000000-0005-0000-0000-00006F110000}"/>
    <cellStyle name="20% - Accent3 3 3 7 2 2" xfId="5060" xr:uid="{00000000-0005-0000-0000-000070110000}"/>
    <cellStyle name="20% - Accent3 3 3 7 2 3" xfId="5061" xr:uid="{00000000-0005-0000-0000-000071110000}"/>
    <cellStyle name="20% - Accent3 3 3 7 3" xfId="5062" xr:uid="{00000000-0005-0000-0000-000072110000}"/>
    <cellStyle name="20% - Accent3 3 3 7 4" xfId="5063" xr:uid="{00000000-0005-0000-0000-000073110000}"/>
    <cellStyle name="20% - Accent3 3 3 7 5" xfId="5064" xr:uid="{00000000-0005-0000-0000-000074110000}"/>
    <cellStyle name="20% - Accent3 3 3 7 6" xfId="5065" xr:uid="{00000000-0005-0000-0000-000075110000}"/>
    <cellStyle name="20% - Accent3 3 3 8" xfId="5066" xr:uid="{00000000-0005-0000-0000-000076110000}"/>
    <cellStyle name="20% - Accent3 3 3 8 2" xfId="5067" xr:uid="{00000000-0005-0000-0000-000077110000}"/>
    <cellStyle name="20% - Accent3 3 3 8 2 2" xfId="5068" xr:uid="{00000000-0005-0000-0000-000078110000}"/>
    <cellStyle name="20% - Accent3 3 3 8 2 3" xfId="5069" xr:uid="{00000000-0005-0000-0000-000079110000}"/>
    <cellStyle name="20% - Accent3 3 3 8 3" xfId="5070" xr:uid="{00000000-0005-0000-0000-00007A110000}"/>
    <cellStyle name="20% - Accent3 3 3 8 4" xfId="5071" xr:uid="{00000000-0005-0000-0000-00007B110000}"/>
    <cellStyle name="20% - Accent3 3 3 8 5" xfId="5072" xr:uid="{00000000-0005-0000-0000-00007C110000}"/>
    <cellStyle name="20% - Accent3 3 3 8 6" xfId="5073" xr:uid="{00000000-0005-0000-0000-00007D110000}"/>
    <cellStyle name="20% - Accent3 3 3 9" xfId="5074" xr:uid="{00000000-0005-0000-0000-00007E110000}"/>
    <cellStyle name="20% - Accent3 3 3 9 2" xfId="5075" xr:uid="{00000000-0005-0000-0000-00007F110000}"/>
    <cellStyle name="20% - Accent3 3 3 9 2 2" xfId="5076" xr:uid="{00000000-0005-0000-0000-000080110000}"/>
    <cellStyle name="20% - Accent3 3 3 9 2 3" xfId="5077" xr:uid="{00000000-0005-0000-0000-000081110000}"/>
    <cellStyle name="20% - Accent3 3 3 9 3" xfId="5078" xr:uid="{00000000-0005-0000-0000-000082110000}"/>
    <cellStyle name="20% - Accent3 3 3 9 4" xfId="5079" xr:uid="{00000000-0005-0000-0000-000083110000}"/>
    <cellStyle name="20% - Accent3 3 3 9 5" xfId="5080" xr:uid="{00000000-0005-0000-0000-000084110000}"/>
    <cellStyle name="20% - Accent3 3 3 9 6" xfId="5081" xr:uid="{00000000-0005-0000-0000-000085110000}"/>
    <cellStyle name="20% - Accent3 3 4" xfId="5082" xr:uid="{00000000-0005-0000-0000-000086110000}"/>
    <cellStyle name="20% - Accent3 3 4 10" xfId="5083" xr:uid="{00000000-0005-0000-0000-000087110000}"/>
    <cellStyle name="20% - Accent3 3 4 11" xfId="5084" xr:uid="{00000000-0005-0000-0000-000088110000}"/>
    <cellStyle name="20% - Accent3 3 4 12" xfId="5085" xr:uid="{00000000-0005-0000-0000-000089110000}"/>
    <cellStyle name="20% - Accent3 3 4 13" xfId="5086" xr:uid="{00000000-0005-0000-0000-00008A110000}"/>
    <cellStyle name="20% - Accent3 3 4 2" xfId="5087" xr:uid="{00000000-0005-0000-0000-00008B110000}"/>
    <cellStyle name="20% - Accent3 3 4 2 10" xfId="5088" xr:uid="{00000000-0005-0000-0000-00008C110000}"/>
    <cellStyle name="20% - Accent3 3 4 2 2" xfId="5089" xr:uid="{00000000-0005-0000-0000-00008D110000}"/>
    <cellStyle name="20% - Accent3 3 4 2 2 2" xfId="5090" xr:uid="{00000000-0005-0000-0000-00008E110000}"/>
    <cellStyle name="20% - Accent3 3 4 2 2 2 2" xfId="5091" xr:uid="{00000000-0005-0000-0000-00008F110000}"/>
    <cellStyle name="20% - Accent3 3 4 2 2 2 2 2" xfId="5092" xr:uid="{00000000-0005-0000-0000-000090110000}"/>
    <cellStyle name="20% - Accent3 3 4 2 2 2 2 3" xfId="5093" xr:uid="{00000000-0005-0000-0000-000091110000}"/>
    <cellStyle name="20% - Accent3 3 4 2 2 2 3" xfId="5094" xr:uid="{00000000-0005-0000-0000-000092110000}"/>
    <cellStyle name="20% - Accent3 3 4 2 2 2 4" xfId="5095" xr:uid="{00000000-0005-0000-0000-000093110000}"/>
    <cellStyle name="20% - Accent3 3 4 2 2 2 5" xfId="5096" xr:uid="{00000000-0005-0000-0000-000094110000}"/>
    <cellStyle name="20% - Accent3 3 4 2 2 2 6" xfId="5097" xr:uid="{00000000-0005-0000-0000-000095110000}"/>
    <cellStyle name="20% - Accent3 3 4 2 2 3" xfId="5098" xr:uid="{00000000-0005-0000-0000-000096110000}"/>
    <cellStyle name="20% - Accent3 3 4 2 2 3 2" xfId="5099" xr:uid="{00000000-0005-0000-0000-000097110000}"/>
    <cellStyle name="20% - Accent3 3 4 2 2 3 2 2" xfId="5100" xr:uid="{00000000-0005-0000-0000-000098110000}"/>
    <cellStyle name="20% - Accent3 3 4 2 2 3 2 3" xfId="5101" xr:uid="{00000000-0005-0000-0000-000099110000}"/>
    <cellStyle name="20% - Accent3 3 4 2 2 3 3" xfId="5102" xr:uid="{00000000-0005-0000-0000-00009A110000}"/>
    <cellStyle name="20% - Accent3 3 4 2 2 3 4" xfId="5103" xr:uid="{00000000-0005-0000-0000-00009B110000}"/>
    <cellStyle name="20% - Accent3 3 4 2 2 3 5" xfId="5104" xr:uid="{00000000-0005-0000-0000-00009C110000}"/>
    <cellStyle name="20% - Accent3 3 4 2 2 3 6" xfId="5105" xr:uid="{00000000-0005-0000-0000-00009D110000}"/>
    <cellStyle name="20% - Accent3 3 4 2 2 4" xfId="5106" xr:uid="{00000000-0005-0000-0000-00009E110000}"/>
    <cellStyle name="20% - Accent3 3 4 2 2 4 2" xfId="5107" xr:uid="{00000000-0005-0000-0000-00009F110000}"/>
    <cellStyle name="20% - Accent3 3 4 2 2 4 3" xfId="5108" xr:uid="{00000000-0005-0000-0000-0000A0110000}"/>
    <cellStyle name="20% - Accent3 3 4 2 2 5" xfId="5109" xr:uid="{00000000-0005-0000-0000-0000A1110000}"/>
    <cellStyle name="20% - Accent3 3 4 2 2 6" xfId="5110" xr:uid="{00000000-0005-0000-0000-0000A2110000}"/>
    <cellStyle name="20% - Accent3 3 4 2 2 7" xfId="5111" xr:uid="{00000000-0005-0000-0000-0000A3110000}"/>
    <cellStyle name="20% - Accent3 3 4 2 2 8" xfId="5112" xr:uid="{00000000-0005-0000-0000-0000A4110000}"/>
    <cellStyle name="20% - Accent3 3 4 2 3" xfId="5113" xr:uid="{00000000-0005-0000-0000-0000A5110000}"/>
    <cellStyle name="20% - Accent3 3 4 2 3 2" xfId="5114" xr:uid="{00000000-0005-0000-0000-0000A6110000}"/>
    <cellStyle name="20% - Accent3 3 4 2 3 2 2" xfId="5115" xr:uid="{00000000-0005-0000-0000-0000A7110000}"/>
    <cellStyle name="20% - Accent3 3 4 2 3 2 2 2" xfId="5116" xr:uid="{00000000-0005-0000-0000-0000A8110000}"/>
    <cellStyle name="20% - Accent3 3 4 2 3 2 2 3" xfId="5117" xr:uid="{00000000-0005-0000-0000-0000A9110000}"/>
    <cellStyle name="20% - Accent3 3 4 2 3 2 3" xfId="5118" xr:uid="{00000000-0005-0000-0000-0000AA110000}"/>
    <cellStyle name="20% - Accent3 3 4 2 3 2 4" xfId="5119" xr:uid="{00000000-0005-0000-0000-0000AB110000}"/>
    <cellStyle name="20% - Accent3 3 4 2 3 2 5" xfId="5120" xr:uid="{00000000-0005-0000-0000-0000AC110000}"/>
    <cellStyle name="20% - Accent3 3 4 2 3 2 6" xfId="5121" xr:uid="{00000000-0005-0000-0000-0000AD110000}"/>
    <cellStyle name="20% - Accent3 3 4 2 3 3" xfId="5122" xr:uid="{00000000-0005-0000-0000-0000AE110000}"/>
    <cellStyle name="20% - Accent3 3 4 2 3 3 2" xfId="5123" xr:uid="{00000000-0005-0000-0000-0000AF110000}"/>
    <cellStyle name="20% - Accent3 3 4 2 3 3 3" xfId="5124" xr:uid="{00000000-0005-0000-0000-0000B0110000}"/>
    <cellStyle name="20% - Accent3 3 4 2 3 4" xfId="5125" xr:uid="{00000000-0005-0000-0000-0000B1110000}"/>
    <cellStyle name="20% - Accent3 3 4 2 3 5" xfId="5126" xr:uid="{00000000-0005-0000-0000-0000B2110000}"/>
    <cellStyle name="20% - Accent3 3 4 2 3 6" xfId="5127" xr:uid="{00000000-0005-0000-0000-0000B3110000}"/>
    <cellStyle name="20% - Accent3 3 4 2 3 7" xfId="5128" xr:uid="{00000000-0005-0000-0000-0000B4110000}"/>
    <cellStyle name="20% - Accent3 3 4 2 4" xfId="5129" xr:uid="{00000000-0005-0000-0000-0000B5110000}"/>
    <cellStyle name="20% - Accent3 3 4 2 4 2" xfId="5130" xr:uid="{00000000-0005-0000-0000-0000B6110000}"/>
    <cellStyle name="20% - Accent3 3 4 2 4 2 2" xfId="5131" xr:uid="{00000000-0005-0000-0000-0000B7110000}"/>
    <cellStyle name="20% - Accent3 3 4 2 4 2 3" xfId="5132" xr:uid="{00000000-0005-0000-0000-0000B8110000}"/>
    <cellStyle name="20% - Accent3 3 4 2 4 3" xfId="5133" xr:uid="{00000000-0005-0000-0000-0000B9110000}"/>
    <cellStyle name="20% - Accent3 3 4 2 4 4" xfId="5134" xr:uid="{00000000-0005-0000-0000-0000BA110000}"/>
    <cellStyle name="20% - Accent3 3 4 2 4 5" xfId="5135" xr:uid="{00000000-0005-0000-0000-0000BB110000}"/>
    <cellStyle name="20% - Accent3 3 4 2 4 6" xfId="5136" xr:uid="{00000000-0005-0000-0000-0000BC110000}"/>
    <cellStyle name="20% - Accent3 3 4 2 5" xfId="5137" xr:uid="{00000000-0005-0000-0000-0000BD110000}"/>
    <cellStyle name="20% - Accent3 3 4 2 5 2" xfId="5138" xr:uid="{00000000-0005-0000-0000-0000BE110000}"/>
    <cellStyle name="20% - Accent3 3 4 2 5 2 2" xfId="5139" xr:uid="{00000000-0005-0000-0000-0000BF110000}"/>
    <cellStyle name="20% - Accent3 3 4 2 5 2 3" xfId="5140" xr:uid="{00000000-0005-0000-0000-0000C0110000}"/>
    <cellStyle name="20% - Accent3 3 4 2 5 3" xfId="5141" xr:uid="{00000000-0005-0000-0000-0000C1110000}"/>
    <cellStyle name="20% - Accent3 3 4 2 5 4" xfId="5142" xr:uid="{00000000-0005-0000-0000-0000C2110000}"/>
    <cellStyle name="20% - Accent3 3 4 2 5 5" xfId="5143" xr:uid="{00000000-0005-0000-0000-0000C3110000}"/>
    <cellStyle name="20% - Accent3 3 4 2 5 6" xfId="5144" xr:uid="{00000000-0005-0000-0000-0000C4110000}"/>
    <cellStyle name="20% - Accent3 3 4 2 6" xfId="5145" xr:uid="{00000000-0005-0000-0000-0000C5110000}"/>
    <cellStyle name="20% - Accent3 3 4 2 6 2" xfId="5146" xr:uid="{00000000-0005-0000-0000-0000C6110000}"/>
    <cellStyle name="20% - Accent3 3 4 2 6 3" xfId="5147" xr:uid="{00000000-0005-0000-0000-0000C7110000}"/>
    <cellStyle name="20% - Accent3 3 4 2 7" xfId="5148" xr:uid="{00000000-0005-0000-0000-0000C8110000}"/>
    <cellStyle name="20% - Accent3 3 4 2 8" xfId="5149" xr:uid="{00000000-0005-0000-0000-0000C9110000}"/>
    <cellStyle name="20% - Accent3 3 4 2 9" xfId="5150" xr:uid="{00000000-0005-0000-0000-0000CA110000}"/>
    <cellStyle name="20% - Accent3 3 4 3" xfId="5151" xr:uid="{00000000-0005-0000-0000-0000CB110000}"/>
    <cellStyle name="20% - Accent3 3 4 3 2" xfId="5152" xr:uid="{00000000-0005-0000-0000-0000CC110000}"/>
    <cellStyle name="20% - Accent3 3 4 3 2 2" xfId="5153" xr:uid="{00000000-0005-0000-0000-0000CD110000}"/>
    <cellStyle name="20% - Accent3 3 4 3 2 2 2" xfId="5154" xr:uid="{00000000-0005-0000-0000-0000CE110000}"/>
    <cellStyle name="20% - Accent3 3 4 3 2 2 2 2" xfId="5155" xr:uid="{00000000-0005-0000-0000-0000CF110000}"/>
    <cellStyle name="20% - Accent3 3 4 3 2 2 2 3" xfId="5156" xr:uid="{00000000-0005-0000-0000-0000D0110000}"/>
    <cellStyle name="20% - Accent3 3 4 3 2 2 3" xfId="5157" xr:uid="{00000000-0005-0000-0000-0000D1110000}"/>
    <cellStyle name="20% - Accent3 3 4 3 2 2 4" xfId="5158" xr:uid="{00000000-0005-0000-0000-0000D2110000}"/>
    <cellStyle name="20% - Accent3 3 4 3 2 2 5" xfId="5159" xr:uid="{00000000-0005-0000-0000-0000D3110000}"/>
    <cellStyle name="20% - Accent3 3 4 3 2 2 6" xfId="5160" xr:uid="{00000000-0005-0000-0000-0000D4110000}"/>
    <cellStyle name="20% - Accent3 3 4 3 2 3" xfId="5161" xr:uid="{00000000-0005-0000-0000-0000D5110000}"/>
    <cellStyle name="20% - Accent3 3 4 3 2 3 2" xfId="5162" xr:uid="{00000000-0005-0000-0000-0000D6110000}"/>
    <cellStyle name="20% - Accent3 3 4 3 2 3 3" xfId="5163" xr:uid="{00000000-0005-0000-0000-0000D7110000}"/>
    <cellStyle name="20% - Accent3 3 4 3 2 4" xfId="5164" xr:uid="{00000000-0005-0000-0000-0000D8110000}"/>
    <cellStyle name="20% - Accent3 3 4 3 2 5" xfId="5165" xr:uid="{00000000-0005-0000-0000-0000D9110000}"/>
    <cellStyle name="20% - Accent3 3 4 3 2 6" xfId="5166" xr:uid="{00000000-0005-0000-0000-0000DA110000}"/>
    <cellStyle name="20% - Accent3 3 4 3 2 7" xfId="5167" xr:uid="{00000000-0005-0000-0000-0000DB110000}"/>
    <cellStyle name="20% - Accent3 3 4 3 3" xfId="5168" xr:uid="{00000000-0005-0000-0000-0000DC110000}"/>
    <cellStyle name="20% - Accent3 3 4 3 3 2" xfId="5169" xr:uid="{00000000-0005-0000-0000-0000DD110000}"/>
    <cellStyle name="20% - Accent3 3 4 3 3 2 2" xfId="5170" xr:uid="{00000000-0005-0000-0000-0000DE110000}"/>
    <cellStyle name="20% - Accent3 3 4 3 3 2 3" xfId="5171" xr:uid="{00000000-0005-0000-0000-0000DF110000}"/>
    <cellStyle name="20% - Accent3 3 4 3 3 3" xfId="5172" xr:uid="{00000000-0005-0000-0000-0000E0110000}"/>
    <cellStyle name="20% - Accent3 3 4 3 3 4" xfId="5173" xr:uid="{00000000-0005-0000-0000-0000E1110000}"/>
    <cellStyle name="20% - Accent3 3 4 3 3 5" xfId="5174" xr:uid="{00000000-0005-0000-0000-0000E2110000}"/>
    <cellStyle name="20% - Accent3 3 4 3 3 6" xfId="5175" xr:uid="{00000000-0005-0000-0000-0000E3110000}"/>
    <cellStyle name="20% - Accent3 3 4 3 4" xfId="5176" xr:uid="{00000000-0005-0000-0000-0000E4110000}"/>
    <cellStyle name="20% - Accent3 3 4 3 4 2" xfId="5177" xr:uid="{00000000-0005-0000-0000-0000E5110000}"/>
    <cellStyle name="20% - Accent3 3 4 3 4 2 2" xfId="5178" xr:uid="{00000000-0005-0000-0000-0000E6110000}"/>
    <cellStyle name="20% - Accent3 3 4 3 4 2 3" xfId="5179" xr:uid="{00000000-0005-0000-0000-0000E7110000}"/>
    <cellStyle name="20% - Accent3 3 4 3 4 3" xfId="5180" xr:uid="{00000000-0005-0000-0000-0000E8110000}"/>
    <cellStyle name="20% - Accent3 3 4 3 4 4" xfId="5181" xr:uid="{00000000-0005-0000-0000-0000E9110000}"/>
    <cellStyle name="20% - Accent3 3 4 3 4 5" xfId="5182" xr:uid="{00000000-0005-0000-0000-0000EA110000}"/>
    <cellStyle name="20% - Accent3 3 4 3 4 6" xfId="5183" xr:uid="{00000000-0005-0000-0000-0000EB110000}"/>
    <cellStyle name="20% - Accent3 3 4 3 5" xfId="5184" xr:uid="{00000000-0005-0000-0000-0000EC110000}"/>
    <cellStyle name="20% - Accent3 3 4 3 5 2" xfId="5185" xr:uid="{00000000-0005-0000-0000-0000ED110000}"/>
    <cellStyle name="20% - Accent3 3 4 3 5 3" xfId="5186" xr:uid="{00000000-0005-0000-0000-0000EE110000}"/>
    <cellStyle name="20% - Accent3 3 4 3 6" xfId="5187" xr:uid="{00000000-0005-0000-0000-0000EF110000}"/>
    <cellStyle name="20% - Accent3 3 4 3 7" xfId="5188" xr:uid="{00000000-0005-0000-0000-0000F0110000}"/>
    <cellStyle name="20% - Accent3 3 4 3 8" xfId="5189" xr:uid="{00000000-0005-0000-0000-0000F1110000}"/>
    <cellStyle name="20% - Accent3 3 4 3 9" xfId="5190" xr:uid="{00000000-0005-0000-0000-0000F2110000}"/>
    <cellStyle name="20% - Accent3 3 4 4" xfId="5191" xr:uid="{00000000-0005-0000-0000-0000F3110000}"/>
    <cellStyle name="20% - Accent3 3 4 4 2" xfId="5192" xr:uid="{00000000-0005-0000-0000-0000F4110000}"/>
    <cellStyle name="20% - Accent3 3 4 4 2 2" xfId="5193" xr:uid="{00000000-0005-0000-0000-0000F5110000}"/>
    <cellStyle name="20% - Accent3 3 4 4 2 2 2" xfId="5194" xr:uid="{00000000-0005-0000-0000-0000F6110000}"/>
    <cellStyle name="20% - Accent3 3 4 4 2 2 3" xfId="5195" xr:uid="{00000000-0005-0000-0000-0000F7110000}"/>
    <cellStyle name="20% - Accent3 3 4 4 2 3" xfId="5196" xr:uid="{00000000-0005-0000-0000-0000F8110000}"/>
    <cellStyle name="20% - Accent3 3 4 4 2 4" xfId="5197" xr:uid="{00000000-0005-0000-0000-0000F9110000}"/>
    <cellStyle name="20% - Accent3 3 4 4 2 5" xfId="5198" xr:uid="{00000000-0005-0000-0000-0000FA110000}"/>
    <cellStyle name="20% - Accent3 3 4 4 2 6" xfId="5199" xr:uid="{00000000-0005-0000-0000-0000FB110000}"/>
    <cellStyle name="20% - Accent3 3 4 4 3" xfId="5200" xr:uid="{00000000-0005-0000-0000-0000FC110000}"/>
    <cellStyle name="20% - Accent3 3 4 4 3 2" xfId="5201" xr:uid="{00000000-0005-0000-0000-0000FD110000}"/>
    <cellStyle name="20% - Accent3 3 4 4 3 3" xfId="5202" xr:uid="{00000000-0005-0000-0000-0000FE110000}"/>
    <cellStyle name="20% - Accent3 3 4 4 4" xfId="5203" xr:uid="{00000000-0005-0000-0000-0000FF110000}"/>
    <cellStyle name="20% - Accent3 3 4 4 5" xfId="5204" xr:uid="{00000000-0005-0000-0000-000000120000}"/>
    <cellStyle name="20% - Accent3 3 4 4 6" xfId="5205" xr:uid="{00000000-0005-0000-0000-000001120000}"/>
    <cellStyle name="20% - Accent3 3 4 4 7" xfId="5206" xr:uid="{00000000-0005-0000-0000-000002120000}"/>
    <cellStyle name="20% - Accent3 3 4 5" xfId="5207" xr:uid="{00000000-0005-0000-0000-000003120000}"/>
    <cellStyle name="20% - Accent3 3 4 5 2" xfId="5208" xr:uid="{00000000-0005-0000-0000-000004120000}"/>
    <cellStyle name="20% - Accent3 3 4 5 2 2" xfId="5209" xr:uid="{00000000-0005-0000-0000-000005120000}"/>
    <cellStyle name="20% - Accent3 3 4 5 2 3" xfId="5210" xr:uid="{00000000-0005-0000-0000-000006120000}"/>
    <cellStyle name="20% - Accent3 3 4 5 3" xfId="5211" xr:uid="{00000000-0005-0000-0000-000007120000}"/>
    <cellStyle name="20% - Accent3 3 4 5 4" xfId="5212" xr:uid="{00000000-0005-0000-0000-000008120000}"/>
    <cellStyle name="20% - Accent3 3 4 5 5" xfId="5213" xr:uid="{00000000-0005-0000-0000-000009120000}"/>
    <cellStyle name="20% - Accent3 3 4 5 6" xfId="5214" xr:uid="{00000000-0005-0000-0000-00000A120000}"/>
    <cellStyle name="20% - Accent3 3 4 6" xfId="5215" xr:uid="{00000000-0005-0000-0000-00000B120000}"/>
    <cellStyle name="20% - Accent3 3 4 6 2" xfId="5216" xr:uid="{00000000-0005-0000-0000-00000C120000}"/>
    <cellStyle name="20% - Accent3 3 4 6 2 2" xfId="5217" xr:uid="{00000000-0005-0000-0000-00000D120000}"/>
    <cellStyle name="20% - Accent3 3 4 6 2 3" xfId="5218" xr:uid="{00000000-0005-0000-0000-00000E120000}"/>
    <cellStyle name="20% - Accent3 3 4 6 3" xfId="5219" xr:uid="{00000000-0005-0000-0000-00000F120000}"/>
    <cellStyle name="20% - Accent3 3 4 6 4" xfId="5220" xr:uid="{00000000-0005-0000-0000-000010120000}"/>
    <cellStyle name="20% - Accent3 3 4 6 5" xfId="5221" xr:uid="{00000000-0005-0000-0000-000011120000}"/>
    <cellStyle name="20% - Accent3 3 4 6 6" xfId="5222" xr:uid="{00000000-0005-0000-0000-000012120000}"/>
    <cellStyle name="20% - Accent3 3 4 7" xfId="5223" xr:uid="{00000000-0005-0000-0000-000013120000}"/>
    <cellStyle name="20% - Accent3 3 4 7 2" xfId="5224" xr:uid="{00000000-0005-0000-0000-000014120000}"/>
    <cellStyle name="20% - Accent3 3 4 7 2 2" xfId="5225" xr:uid="{00000000-0005-0000-0000-000015120000}"/>
    <cellStyle name="20% - Accent3 3 4 7 2 3" xfId="5226" xr:uid="{00000000-0005-0000-0000-000016120000}"/>
    <cellStyle name="20% - Accent3 3 4 7 3" xfId="5227" xr:uid="{00000000-0005-0000-0000-000017120000}"/>
    <cellStyle name="20% - Accent3 3 4 7 4" xfId="5228" xr:uid="{00000000-0005-0000-0000-000018120000}"/>
    <cellStyle name="20% - Accent3 3 4 7 5" xfId="5229" xr:uid="{00000000-0005-0000-0000-000019120000}"/>
    <cellStyle name="20% - Accent3 3 4 7 6" xfId="5230" xr:uid="{00000000-0005-0000-0000-00001A120000}"/>
    <cellStyle name="20% - Accent3 3 4 8" xfId="5231" xr:uid="{00000000-0005-0000-0000-00001B120000}"/>
    <cellStyle name="20% - Accent3 3 4 8 2" xfId="5232" xr:uid="{00000000-0005-0000-0000-00001C120000}"/>
    <cellStyle name="20% - Accent3 3 4 8 2 2" xfId="5233" xr:uid="{00000000-0005-0000-0000-00001D120000}"/>
    <cellStyle name="20% - Accent3 3 4 8 2 3" xfId="5234" xr:uid="{00000000-0005-0000-0000-00001E120000}"/>
    <cellStyle name="20% - Accent3 3 4 8 3" xfId="5235" xr:uid="{00000000-0005-0000-0000-00001F120000}"/>
    <cellStyle name="20% - Accent3 3 4 8 4" xfId="5236" xr:uid="{00000000-0005-0000-0000-000020120000}"/>
    <cellStyle name="20% - Accent3 3 4 8 5" xfId="5237" xr:uid="{00000000-0005-0000-0000-000021120000}"/>
    <cellStyle name="20% - Accent3 3 4 8 6" xfId="5238" xr:uid="{00000000-0005-0000-0000-000022120000}"/>
    <cellStyle name="20% - Accent3 3 4 9" xfId="5239" xr:uid="{00000000-0005-0000-0000-000023120000}"/>
    <cellStyle name="20% - Accent3 3 4 9 2" xfId="5240" xr:uid="{00000000-0005-0000-0000-000024120000}"/>
    <cellStyle name="20% - Accent3 3 4 9 3" xfId="5241" xr:uid="{00000000-0005-0000-0000-000025120000}"/>
    <cellStyle name="20% - Accent3 3 5" xfId="5242" xr:uid="{00000000-0005-0000-0000-000026120000}"/>
    <cellStyle name="20% - Accent3 3 5 10" xfId="5243" xr:uid="{00000000-0005-0000-0000-000027120000}"/>
    <cellStyle name="20% - Accent3 3 5 2" xfId="5244" xr:uid="{00000000-0005-0000-0000-000028120000}"/>
    <cellStyle name="20% - Accent3 3 5 2 2" xfId="5245" xr:uid="{00000000-0005-0000-0000-000029120000}"/>
    <cellStyle name="20% - Accent3 3 5 2 2 2" xfId="5246" xr:uid="{00000000-0005-0000-0000-00002A120000}"/>
    <cellStyle name="20% - Accent3 3 5 2 2 2 2" xfId="5247" xr:uid="{00000000-0005-0000-0000-00002B120000}"/>
    <cellStyle name="20% - Accent3 3 5 2 2 2 3" xfId="5248" xr:uid="{00000000-0005-0000-0000-00002C120000}"/>
    <cellStyle name="20% - Accent3 3 5 2 2 3" xfId="5249" xr:uid="{00000000-0005-0000-0000-00002D120000}"/>
    <cellStyle name="20% - Accent3 3 5 2 2 4" xfId="5250" xr:uid="{00000000-0005-0000-0000-00002E120000}"/>
    <cellStyle name="20% - Accent3 3 5 2 2 5" xfId="5251" xr:uid="{00000000-0005-0000-0000-00002F120000}"/>
    <cellStyle name="20% - Accent3 3 5 2 2 6" xfId="5252" xr:uid="{00000000-0005-0000-0000-000030120000}"/>
    <cellStyle name="20% - Accent3 3 5 2 3" xfId="5253" xr:uid="{00000000-0005-0000-0000-000031120000}"/>
    <cellStyle name="20% - Accent3 3 5 2 3 2" xfId="5254" xr:uid="{00000000-0005-0000-0000-000032120000}"/>
    <cellStyle name="20% - Accent3 3 5 2 3 2 2" xfId="5255" xr:uid="{00000000-0005-0000-0000-000033120000}"/>
    <cellStyle name="20% - Accent3 3 5 2 3 2 3" xfId="5256" xr:uid="{00000000-0005-0000-0000-000034120000}"/>
    <cellStyle name="20% - Accent3 3 5 2 3 3" xfId="5257" xr:uid="{00000000-0005-0000-0000-000035120000}"/>
    <cellStyle name="20% - Accent3 3 5 2 3 4" xfId="5258" xr:uid="{00000000-0005-0000-0000-000036120000}"/>
    <cellStyle name="20% - Accent3 3 5 2 3 5" xfId="5259" xr:uid="{00000000-0005-0000-0000-000037120000}"/>
    <cellStyle name="20% - Accent3 3 5 2 3 6" xfId="5260" xr:uid="{00000000-0005-0000-0000-000038120000}"/>
    <cellStyle name="20% - Accent3 3 5 2 4" xfId="5261" xr:uid="{00000000-0005-0000-0000-000039120000}"/>
    <cellStyle name="20% - Accent3 3 5 2 4 2" xfId="5262" xr:uid="{00000000-0005-0000-0000-00003A120000}"/>
    <cellStyle name="20% - Accent3 3 5 2 4 3" xfId="5263" xr:uid="{00000000-0005-0000-0000-00003B120000}"/>
    <cellStyle name="20% - Accent3 3 5 2 5" xfId="5264" xr:uid="{00000000-0005-0000-0000-00003C120000}"/>
    <cellStyle name="20% - Accent3 3 5 2 6" xfId="5265" xr:uid="{00000000-0005-0000-0000-00003D120000}"/>
    <cellStyle name="20% - Accent3 3 5 2 7" xfId="5266" xr:uid="{00000000-0005-0000-0000-00003E120000}"/>
    <cellStyle name="20% - Accent3 3 5 2 8" xfId="5267" xr:uid="{00000000-0005-0000-0000-00003F120000}"/>
    <cellStyle name="20% - Accent3 3 5 3" xfId="5268" xr:uid="{00000000-0005-0000-0000-000040120000}"/>
    <cellStyle name="20% - Accent3 3 5 3 2" xfId="5269" xr:uid="{00000000-0005-0000-0000-000041120000}"/>
    <cellStyle name="20% - Accent3 3 5 3 2 2" xfId="5270" xr:uid="{00000000-0005-0000-0000-000042120000}"/>
    <cellStyle name="20% - Accent3 3 5 3 2 2 2" xfId="5271" xr:uid="{00000000-0005-0000-0000-000043120000}"/>
    <cellStyle name="20% - Accent3 3 5 3 2 2 3" xfId="5272" xr:uid="{00000000-0005-0000-0000-000044120000}"/>
    <cellStyle name="20% - Accent3 3 5 3 2 3" xfId="5273" xr:uid="{00000000-0005-0000-0000-000045120000}"/>
    <cellStyle name="20% - Accent3 3 5 3 2 4" xfId="5274" xr:uid="{00000000-0005-0000-0000-000046120000}"/>
    <cellStyle name="20% - Accent3 3 5 3 2 5" xfId="5275" xr:uid="{00000000-0005-0000-0000-000047120000}"/>
    <cellStyle name="20% - Accent3 3 5 3 2 6" xfId="5276" xr:uid="{00000000-0005-0000-0000-000048120000}"/>
    <cellStyle name="20% - Accent3 3 5 3 3" xfId="5277" xr:uid="{00000000-0005-0000-0000-000049120000}"/>
    <cellStyle name="20% - Accent3 3 5 3 3 2" xfId="5278" xr:uid="{00000000-0005-0000-0000-00004A120000}"/>
    <cellStyle name="20% - Accent3 3 5 3 3 3" xfId="5279" xr:uid="{00000000-0005-0000-0000-00004B120000}"/>
    <cellStyle name="20% - Accent3 3 5 3 4" xfId="5280" xr:uid="{00000000-0005-0000-0000-00004C120000}"/>
    <cellStyle name="20% - Accent3 3 5 3 5" xfId="5281" xr:uid="{00000000-0005-0000-0000-00004D120000}"/>
    <cellStyle name="20% - Accent3 3 5 3 6" xfId="5282" xr:uid="{00000000-0005-0000-0000-00004E120000}"/>
    <cellStyle name="20% - Accent3 3 5 3 7" xfId="5283" xr:uid="{00000000-0005-0000-0000-00004F120000}"/>
    <cellStyle name="20% - Accent3 3 5 4" xfId="5284" xr:uid="{00000000-0005-0000-0000-000050120000}"/>
    <cellStyle name="20% - Accent3 3 5 4 2" xfId="5285" xr:uid="{00000000-0005-0000-0000-000051120000}"/>
    <cellStyle name="20% - Accent3 3 5 4 2 2" xfId="5286" xr:uid="{00000000-0005-0000-0000-000052120000}"/>
    <cellStyle name="20% - Accent3 3 5 4 2 3" xfId="5287" xr:uid="{00000000-0005-0000-0000-000053120000}"/>
    <cellStyle name="20% - Accent3 3 5 4 3" xfId="5288" xr:uid="{00000000-0005-0000-0000-000054120000}"/>
    <cellStyle name="20% - Accent3 3 5 4 4" xfId="5289" xr:uid="{00000000-0005-0000-0000-000055120000}"/>
    <cellStyle name="20% - Accent3 3 5 4 5" xfId="5290" xr:uid="{00000000-0005-0000-0000-000056120000}"/>
    <cellStyle name="20% - Accent3 3 5 4 6" xfId="5291" xr:uid="{00000000-0005-0000-0000-000057120000}"/>
    <cellStyle name="20% - Accent3 3 5 5" xfId="5292" xr:uid="{00000000-0005-0000-0000-000058120000}"/>
    <cellStyle name="20% - Accent3 3 5 5 2" xfId="5293" xr:uid="{00000000-0005-0000-0000-000059120000}"/>
    <cellStyle name="20% - Accent3 3 5 5 2 2" xfId="5294" xr:uid="{00000000-0005-0000-0000-00005A120000}"/>
    <cellStyle name="20% - Accent3 3 5 5 2 3" xfId="5295" xr:uid="{00000000-0005-0000-0000-00005B120000}"/>
    <cellStyle name="20% - Accent3 3 5 5 3" xfId="5296" xr:uid="{00000000-0005-0000-0000-00005C120000}"/>
    <cellStyle name="20% - Accent3 3 5 5 4" xfId="5297" xr:uid="{00000000-0005-0000-0000-00005D120000}"/>
    <cellStyle name="20% - Accent3 3 5 5 5" xfId="5298" xr:uid="{00000000-0005-0000-0000-00005E120000}"/>
    <cellStyle name="20% - Accent3 3 5 5 6" xfId="5299" xr:uid="{00000000-0005-0000-0000-00005F120000}"/>
    <cellStyle name="20% - Accent3 3 5 6" xfId="5300" xr:uid="{00000000-0005-0000-0000-000060120000}"/>
    <cellStyle name="20% - Accent3 3 5 6 2" xfId="5301" xr:uid="{00000000-0005-0000-0000-000061120000}"/>
    <cellStyle name="20% - Accent3 3 5 6 3" xfId="5302" xr:uid="{00000000-0005-0000-0000-000062120000}"/>
    <cellStyle name="20% - Accent3 3 5 7" xfId="5303" xr:uid="{00000000-0005-0000-0000-000063120000}"/>
    <cellStyle name="20% - Accent3 3 5 8" xfId="5304" xr:uid="{00000000-0005-0000-0000-000064120000}"/>
    <cellStyle name="20% - Accent3 3 5 9" xfId="5305" xr:uid="{00000000-0005-0000-0000-000065120000}"/>
    <cellStyle name="20% - Accent3 3 6" xfId="5306" xr:uid="{00000000-0005-0000-0000-000066120000}"/>
    <cellStyle name="20% - Accent3 3 6 2" xfId="5307" xr:uid="{00000000-0005-0000-0000-000067120000}"/>
    <cellStyle name="20% - Accent3 3 6 2 2" xfId="5308" xr:uid="{00000000-0005-0000-0000-000068120000}"/>
    <cellStyle name="20% - Accent3 3 6 2 2 2" xfId="5309" xr:uid="{00000000-0005-0000-0000-000069120000}"/>
    <cellStyle name="20% - Accent3 3 6 2 2 2 2" xfId="5310" xr:uid="{00000000-0005-0000-0000-00006A120000}"/>
    <cellStyle name="20% - Accent3 3 6 2 2 2 3" xfId="5311" xr:uid="{00000000-0005-0000-0000-00006B120000}"/>
    <cellStyle name="20% - Accent3 3 6 2 2 3" xfId="5312" xr:uid="{00000000-0005-0000-0000-00006C120000}"/>
    <cellStyle name="20% - Accent3 3 6 2 2 4" xfId="5313" xr:uid="{00000000-0005-0000-0000-00006D120000}"/>
    <cellStyle name="20% - Accent3 3 6 2 2 5" xfId="5314" xr:uid="{00000000-0005-0000-0000-00006E120000}"/>
    <cellStyle name="20% - Accent3 3 6 2 2 6" xfId="5315" xr:uid="{00000000-0005-0000-0000-00006F120000}"/>
    <cellStyle name="20% - Accent3 3 6 2 3" xfId="5316" xr:uid="{00000000-0005-0000-0000-000070120000}"/>
    <cellStyle name="20% - Accent3 3 6 2 3 2" xfId="5317" xr:uid="{00000000-0005-0000-0000-000071120000}"/>
    <cellStyle name="20% - Accent3 3 6 2 3 3" xfId="5318" xr:uid="{00000000-0005-0000-0000-000072120000}"/>
    <cellStyle name="20% - Accent3 3 6 2 4" xfId="5319" xr:uid="{00000000-0005-0000-0000-000073120000}"/>
    <cellStyle name="20% - Accent3 3 6 2 5" xfId="5320" xr:uid="{00000000-0005-0000-0000-000074120000}"/>
    <cellStyle name="20% - Accent3 3 6 2 6" xfId="5321" xr:uid="{00000000-0005-0000-0000-000075120000}"/>
    <cellStyle name="20% - Accent3 3 6 2 7" xfId="5322" xr:uid="{00000000-0005-0000-0000-000076120000}"/>
    <cellStyle name="20% - Accent3 3 6 3" xfId="5323" xr:uid="{00000000-0005-0000-0000-000077120000}"/>
    <cellStyle name="20% - Accent3 3 6 3 2" xfId="5324" xr:uid="{00000000-0005-0000-0000-000078120000}"/>
    <cellStyle name="20% - Accent3 3 6 3 2 2" xfId="5325" xr:uid="{00000000-0005-0000-0000-000079120000}"/>
    <cellStyle name="20% - Accent3 3 6 3 2 3" xfId="5326" xr:uid="{00000000-0005-0000-0000-00007A120000}"/>
    <cellStyle name="20% - Accent3 3 6 3 3" xfId="5327" xr:uid="{00000000-0005-0000-0000-00007B120000}"/>
    <cellStyle name="20% - Accent3 3 6 3 4" xfId="5328" xr:uid="{00000000-0005-0000-0000-00007C120000}"/>
    <cellStyle name="20% - Accent3 3 6 3 5" xfId="5329" xr:uid="{00000000-0005-0000-0000-00007D120000}"/>
    <cellStyle name="20% - Accent3 3 6 3 6" xfId="5330" xr:uid="{00000000-0005-0000-0000-00007E120000}"/>
    <cellStyle name="20% - Accent3 3 6 4" xfId="5331" xr:uid="{00000000-0005-0000-0000-00007F120000}"/>
    <cellStyle name="20% - Accent3 3 6 4 2" xfId="5332" xr:uid="{00000000-0005-0000-0000-000080120000}"/>
    <cellStyle name="20% - Accent3 3 6 4 2 2" xfId="5333" xr:uid="{00000000-0005-0000-0000-000081120000}"/>
    <cellStyle name="20% - Accent3 3 6 4 2 3" xfId="5334" xr:uid="{00000000-0005-0000-0000-000082120000}"/>
    <cellStyle name="20% - Accent3 3 6 4 3" xfId="5335" xr:uid="{00000000-0005-0000-0000-000083120000}"/>
    <cellStyle name="20% - Accent3 3 6 4 4" xfId="5336" xr:uid="{00000000-0005-0000-0000-000084120000}"/>
    <cellStyle name="20% - Accent3 3 6 4 5" xfId="5337" xr:uid="{00000000-0005-0000-0000-000085120000}"/>
    <cellStyle name="20% - Accent3 3 6 4 6" xfId="5338" xr:uid="{00000000-0005-0000-0000-000086120000}"/>
    <cellStyle name="20% - Accent3 3 6 5" xfId="5339" xr:uid="{00000000-0005-0000-0000-000087120000}"/>
    <cellStyle name="20% - Accent3 3 6 5 2" xfId="5340" xr:uid="{00000000-0005-0000-0000-000088120000}"/>
    <cellStyle name="20% - Accent3 3 6 5 3" xfId="5341" xr:uid="{00000000-0005-0000-0000-000089120000}"/>
    <cellStyle name="20% - Accent3 3 6 6" xfId="5342" xr:uid="{00000000-0005-0000-0000-00008A120000}"/>
    <cellStyle name="20% - Accent3 3 6 7" xfId="5343" xr:uid="{00000000-0005-0000-0000-00008B120000}"/>
    <cellStyle name="20% - Accent3 3 6 8" xfId="5344" xr:uid="{00000000-0005-0000-0000-00008C120000}"/>
    <cellStyle name="20% - Accent3 3 6 9" xfId="5345" xr:uid="{00000000-0005-0000-0000-00008D120000}"/>
    <cellStyle name="20% - Accent3 3 7" xfId="5346" xr:uid="{00000000-0005-0000-0000-00008E120000}"/>
    <cellStyle name="20% - Accent3 3 7 2" xfId="5347" xr:uid="{00000000-0005-0000-0000-00008F120000}"/>
    <cellStyle name="20% - Accent3 3 7 2 2" xfId="5348" xr:uid="{00000000-0005-0000-0000-000090120000}"/>
    <cellStyle name="20% - Accent3 3 7 2 2 2" xfId="5349" xr:uid="{00000000-0005-0000-0000-000091120000}"/>
    <cellStyle name="20% - Accent3 3 7 2 2 3" xfId="5350" xr:uid="{00000000-0005-0000-0000-000092120000}"/>
    <cellStyle name="20% - Accent3 3 7 2 3" xfId="5351" xr:uid="{00000000-0005-0000-0000-000093120000}"/>
    <cellStyle name="20% - Accent3 3 7 2 4" xfId="5352" xr:uid="{00000000-0005-0000-0000-000094120000}"/>
    <cellStyle name="20% - Accent3 3 7 2 5" xfId="5353" xr:uid="{00000000-0005-0000-0000-000095120000}"/>
    <cellStyle name="20% - Accent3 3 7 2 6" xfId="5354" xr:uid="{00000000-0005-0000-0000-000096120000}"/>
    <cellStyle name="20% - Accent3 3 7 3" xfId="5355" xr:uid="{00000000-0005-0000-0000-000097120000}"/>
    <cellStyle name="20% - Accent3 3 7 3 2" xfId="5356" xr:uid="{00000000-0005-0000-0000-000098120000}"/>
    <cellStyle name="20% - Accent3 3 7 3 3" xfId="5357" xr:uid="{00000000-0005-0000-0000-000099120000}"/>
    <cellStyle name="20% - Accent3 3 7 4" xfId="5358" xr:uid="{00000000-0005-0000-0000-00009A120000}"/>
    <cellStyle name="20% - Accent3 3 7 5" xfId="5359" xr:uid="{00000000-0005-0000-0000-00009B120000}"/>
    <cellStyle name="20% - Accent3 3 7 6" xfId="5360" xr:uid="{00000000-0005-0000-0000-00009C120000}"/>
    <cellStyle name="20% - Accent3 3 7 7" xfId="5361" xr:uid="{00000000-0005-0000-0000-00009D120000}"/>
    <cellStyle name="20% - Accent3 3 8" xfId="5362" xr:uid="{00000000-0005-0000-0000-00009E120000}"/>
    <cellStyle name="20% - Accent3 3 8 2" xfId="5363" xr:uid="{00000000-0005-0000-0000-00009F120000}"/>
    <cellStyle name="20% - Accent3 3 8 2 2" xfId="5364" xr:uid="{00000000-0005-0000-0000-0000A0120000}"/>
    <cellStyle name="20% - Accent3 3 8 2 3" xfId="5365" xr:uid="{00000000-0005-0000-0000-0000A1120000}"/>
    <cellStyle name="20% - Accent3 3 8 3" xfId="5366" xr:uid="{00000000-0005-0000-0000-0000A2120000}"/>
    <cellStyle name="20% - Accent3 3 8 4" xfId="5367" xr:uid="{00000000-0005-0000-0000-0000A3120000}"/>
    <cellStyle name="20% - Accent3 3 8 5" xfId="5368" xr:uid="{00000000-0005-0000-0000-0000A4120000}"/>
    <cellStyle name="20% - Accent3 3 8 6" xfId="5369" xr:uid="{00000000-0005-0000-0000-0000A5120000}"/>
    <cellStyle name="20% - Accent3 3 9" xfId="5370" xr:uid="{00000000-0005-0000-0000-0000A6120000}"/>
    <cellStyle name="20% - Accent3 3 9 2" xfId="5371" xr:uid="{00000000-0005-0000-0000-0000A7120000}"/>
    <cellStyle name="20% - Accent3 3 9 2 2" xfId="5372" xr:uid="{00000000-0005-0000-0000-0000A8120000}"/>
    <cellStyle name="20% - Accent3 3 9 2 3" xfId="5373" xr:uid="{00000000-0005-0000-0000-0000A9120000}"/>
    <cellStyle name="20% - Accent3 3 9 3" xfId="5374" xr:uid="{00000000-0005-0000-0000-0000AA120000}"/>
    <cellStyle name="20% - Accent3 3 9 4" xfId="5375" xr:uid="{00000000-0005-0000-0000-0000AB120000}"/>
    <cellStyle name="20% - Accent3 3 9 5" xfId="5376" xr:uid="{00000000-0005-0000-0000-0000AC120000}"/>
    <cellStyle name="20% - Accent3 3 9 6" xfId="5377" xr:uid="{00000000-0005-0000-0000-0000AD120000}"/>
    <cellStyle name="20% - Accent3 4" xfId="5378" xr:uid="{00000000-0005-0000-0000-0000AE120000}"/>
    <cellStyle name="20% - Accent3 4 10" xfId="5379" xr:uid="{00000000-0005-0000-0000-0000AF120000}"/>
    <cellStyle name="20% - Accent3 4 10 2" xfId="5380" xr:uid="{00000000-0005-0000-0000-0000B0120000}"/>
    <cellStyle name="20% - Accent3 4 10 2 2" xfId="5381" xr:uid="{00000000-0005-0000-0000-0000B1120000}"/>
    <cellStyle name="20% - Accent3 4 10 2 3" xfId="5382" xr:uid="{00000000-0005-0000-0000-0000B2120000}"/>
    <cellStyle name="20% - Accent3 4 10 3" xfId="5383" xr:uid="{00000000-0005-0000-0000-0000B3120000}"/>
    <cellStyle name="20% - Accent3 4 10 4" xfId="5384" xr:uid="{00000000-0005-0000-0000-0000B4120000}"/>
    <cellStyle name="20% - Accent3 4 10 5" xfId="5385" xr:uid="{00000000-0005-0000-0000-0000B5120000}"/>
    <cellStyle name="20% - Accent3 4 10 6" xfId="5386" xr:uid="{00000000-0005-0000-0000-0000B6120000}"/>
    <cellStyle name="20% - Accent3 4 11" xfId="5387" xr:uid="{00000000-0005-0000-0000-0000B7120000}"/>
    <cellStyle name="20% - Accent3 4 11 2" xfId="5388" xr:uid="{00000000-0005-0000-0000-0000B8120000}"/>
    <cellStyle name="20% - Accent3 4 11 3" xfId="5389" xr:uid="{00000000-0005-0000-0000-0000B9120000}"/>
    <cellStyle name="20% - Accent3 4 12" xfId="5390" xr:uid="{00000000-0005-0000-0000-0000BA120000}"/>
    <cellStyle name="20% - Accent3 4 13" xfId="5391" xr:uid="{00000000-0005-0000-0000-0000BB120000}"/>
    <cellStyle name="20% - Accent3 4 14" xfId="5392" xr:uid="{00000000-0005-0000-0000-0000BC120000}"/>
    <cellStyle name="20% - Accent3 4 15" xfId="5393" xr:uid="{00000000-0005-0000-0000-0000BD120000}"/>
    <cellStyle name="20% - Accent3 4 2" xfId="5394" xr:uid="{00000000-0005-0000-0000-0000BE120000}"/>
    <cellStyle name="20% - Accent3 4 2 10" xfId="5395" xr:uid="{00000000-0005-0000-0000-0000BF120000}"/>
    <cellStyle name="20% - Accent3 4 2 10 2" xfId="5396" xr:uid="{00000000-0005-0000-0000-0000C0120000}"/>
    <cellStyle name="20% - Accent3 4 2 10 3" xfId="5397" xr:uid="{00000000-0005-0000-0000-0000C1120000}"/>
    <cellStyle name="20% - Accent3 4 2 11" xfId="5398" xr:uid="{00000000-0005-0000-0000-0000C2120000}"/>
    <cellStyle name="20% - Accent3 4 2 12" xfId="5399" xr:uid="{00000000-0005-0000-0000-0000C3120000}"/>
    <cellStyle name="20% - Accent3 4 2 13" xfId="5400" xr:uid="{00000000-0005-0000-0000-0000C4120000}"/>
    <cellStyle name="20% - Accent3 4 2 14" xfId="5401" xr:uid="{00000000-0005-0000-0000-0000C5120000}"/>
    <cellStyle name="20% - Accent3 4 2 2" xfId="5402" xr:uid="{00000000-0005-0000-0000-0000C6120000}"/>
    <cellStyle name="20% - Accent3 4 2 2 10" xfId="5403" xr:uid="{00000000-0005-0000-0000-0000C7120000}"/>
    <cellStyle name="20% - Accent3 4 2 2 11" xfId="5404" xr:uid="{00000000-0005-0000-0000-0000C8120000}"/>
    <cellStyle name="20% - Accent3 4 2 2 12" xfId="5405" xr:uid="{00000000-0005-0000-0000-0000C9120000}"/>
    <cellStyle name="20% - Accent3 4 2 2 13" xfId="5406" xr:uid="{00000000-0005-0000-0000-0000CA120000}"/>
    <cellStyle name="20% - Accent3 4 2 2 2" xfId="5407" xr:uid="{00000000-0005-0000-0000-0000CB120000}"/>
    <cellStyle name="20% - Accent3 4 2 2 2 10" xfId="5408" xr:uid="{00000000-0005-0000-0000-0000CC120000}"/>
    <cellStyle name="20% - Accent3 4 2 2 2 2" xfId="5409" xr:uid="{00000000-0005-0000-0000-0000CD120000}"/>
    <cellStyle name="20% - Accent3 4 2 2 2 2 2" xfId="5410" xr:uid="{00000000-0005-0000-0000-0000CE120000}"/>
    <cellStyle name="20% - Accent3 4 2 2 2 2 2 2" xfId="5411" xr:uid="{00000000-0005-0000-0000-0000CF120000}"/>
    <cellStyle name="20% - Accent3 4 2 2 2 2 2 2 2" xfId="5412" xr:uid="{00000000-0005-0000-0000-0000D0120000}"/>
    <cellStyle name="20% - Accent3 4 2 2 2 2 2 2 3" xfId="5413" xr:uid="{00000000-0005-0000-0000-0000D1120000}"/>
    <cellStyle name="20% - Accent3 4 2 2 2 2 2 3" xfId="5414" xr:uid="{00000000-0005-0000-0000-0000D2120000}"/>
    <cellStyle name="20% - Accent3 4 2 2 2 2 2 4" xfId="5415" xr:uid="{00000000-0005-0000-0000-0000D3120000}"/>
    <cellStyle name="20% - Accent3 4 2 2 2 2 2 5" xfId="5416" xr:uid="{00000000-0005-0000-0000-0000D4120000}"/>
    <cellStyle name="20% - Accent3 4 2 2 2 2 2 6" xfId="5417" xr:uid="{00000000-0005-0000-0000-0000D5120000}"/>
    <cellStyle name="20% - Accent3 4 2 2 2 2 3" xfId="5418" xr:uid="{00000000-0005-0000-0000-0000D6120000}"/>
    <cellStyle name="20% - Accent3 4 2 2 2 2 3 2" xfId="5419" xr:uid="{00000000-0005-0000-0000-0000D7120000}"/>
    <cellStyle name="20% - Accent3 4 2 2 2 2 3 2 2" xfId="5420" xr:uid="{00000000-0005-0000-0000-0000D8120000}"/>
    <cellStyle name="20% - Accent3 4 2 2 2 2 3 2 3" xfId="5421" xr:uid="{00000000-0005-0000-0000-0000D9120000}"/>
    <cellStyle name="20% - Accent3 4 2 2 2 2 3 3" xfId="5422" xr:uid="{00000000-0005-0000-0000-0000DA120000}"/>
    <cellStyle name="20% - Accent3 4 2 2 2 2 3 4" xfId="5423" xr:uid="{00000000-0005-0000-0000-0000DB120000}"/>
    <cellStyle name="20% - Accent3 4 2 2 2 2 3 5" xfId="5424" xr:uid="{00000000-0005-0000-0000-0000DC120000}"/>
    <cellStyle name="20% - Accent3 4 2 2 2 2 3 6" xfId="5425" xr:uid="{00000000-0005-0000-0000-0000DD120000}"/>
    <cellStyle name="20% - Accent3 4 2 2 2 2 4" xfId="5426" xr:uid="{00000000-0005-0000-0000-0000DE120000}"/>
    <cellStyle name="20% - Accent3 4 2 2 2 2 4 2" xfId="5427" xr:uid="{00000000-0005-0000-0000-0000DF120000}"/>
    <cellStyle name="20% - Accent3 4 2 2 2 2 4 3" xfId="5428" xr:uid="{00000000-0005-0000-0000-0000E0120000}"/>
    <cellStyle name="20% - Accent3 4 2 2 2 2 5" xfId="5429" xr:uid="{00000000-0005-0000-0000-0000E1120000}"/>
    <cellStyle name="20% - Accent3 4 2 2 2 2 6" xfId="5430" xr:uid="{00000000-0005-0000-0000-0000E2120000}"/>
    <cellStyle name="20% - Accent3 4 2 2 2 2 7" xfId="5431" xr:uid="{00000000-0005-0000-0000-0000E3120000}"/>
    <cellStyle name="20% - Accent3 4 2 2 2 2 8" xfId="5432" xr:uid="{00000000-0005-0000-0000-0000E4120000}"/>
    <cellStyle name="20% - Accent3 4 2 2 2 3" xfId="5433" xr:uid="{00000000-0005-0000-0000-0000E5120000}"/>
    <cellStyle name="20% - Accent3 4 2 2 2 3 2" xfId="5434" xr:uid="{00000000-0005-0000-0000-0000E6120000}"/>
    <cellStyle name="20% - Accent3 4 2 2 2 3 2 2" xfId="5435" xr:uid="{00000000-0005-0000-0000-0000E7120000}"/>
    <cellStyle name="20% - Accent3 4 2 2 2 3 2 2 2" xfId="5436" xr:uid="{00000000-0005-0000-0000-0000E8120000}"/>
    <cellStyle name="20% - Accent3 4 2 2 2 3 2 2 3" xfId="5437" xr:uid="{00000000-0005-0000-0000-0000E9120000}"/>
    <cellStyle name="20% - Accent3 4 2 2 2 3 2 3" xfId="5438" xr:uid="{00000000-0005-0000-0000-0000EA120000}"/>
    <cellStyle name="20% - Accent3 4 2 2 2 3 2 4" xfId="5439" xr:uid="{00000000-0005-0000-0000-0000EB120000}"/>
    <cellStyle name="20% - Accent3 4 2 2 2 3 2 5" xfId="5440" xr:uid="{00000000-0005-0000-0000-0000EC120000}"/>
    <cellStyle name="20% - Accent3 4 2 2 2 3 2 6" xfId="5441" xr:uid="{00000000-0005-0000-0000-0000ED120000}"/>
    <cellStyle name="20% - Accent3 4 2 2 2 3 3" xfId="5442" xr:uid="{00000000-0005-0000-0000-0000EE120000}"/>
    <cellStyle name="20% - Accent3 4 2 2 2 3 3 2" xfId="5443" xr:uid="{00000000-0005-0000-0000-0000EF120000}"/>
    <cellStyle name="20% - Accent3 4 2 2 2 3 3 3" xfId="5444" xr:uid="{00000000-0005-0000-0000-0000F0120000}"/>
    <cellStyle name="20% - Accent3 4 2 2 2 3 4" xfId="5445" xr:uid="{00000000-0005-0000-0000-0000F1120000}"/>
    <cellStyle name="20% - Accent3 4 2 2 2 3 5" xfId="5446" xr:uid="{00000000-0005-0000-0000-0000F2120000}"/>
    <cellStyle name="20% - Accent3 4 2 2 2 3 6" xfId="5447" xr:uid="{00000000-0005-0000-0000-0000F3120000}"/>
    <cellStyle name="20% - Accent3 4 2 2 2 3 7" xfId="5448" xr:uid="{00000000-0005-0000-0000-0000F4120000}"/>
    <cellStyle name="20% - Accent3 4 2 2 2 4" xfId="5449" xr:uid="{00000000-0005-0000-0000-0000F5120000}"/>
    <cellStyle name="20% - Accent3 4 2 2 2 4 2" xfId="5450" xr:uid="{00000000-0005-0000-0000-0000F6120000}"/>
    <cellStyle name="20% - Accent3 4 2 2 2 4 2 2" xfId="5451" xr:uid="{00000000-0005-0000-0000-0000F7120000}"/>
    <cellStyle name="20% - Accent3 4 2 2 2 4 2 3" xfId="5452" xr:uid="{00000000-0005-0000-0000-0000F8120000}"/>
    <cellStyle name="20% - Accent3 4 2 2 2 4 3" xfId="5453" xr:uid="{00000000-0005-0000-0000-0000F9120000}"/>
    <cellStyle name="20% - Accent3 4 2 2 2 4 4" xfId="5454" xr:uid="{00000000-0005-0000-0000-0000FA120000}"/>
    <cellStyle name="20% - Accent3 4 2 2 2 4 5" xfId="5455" xr:uid="{00000000-0005-0000-0000-0000FB120000}"/>
    <cellStyle name="20% - Accent3 4 2 2 2 4 6" xfId="5456" xr:uid="{00000000-0005-0000-0000-0000FC120000}"/>
    <cellStyle name="20% - Accent3 4 2 2 2 5" xfId="5457" xr:uid="{00000000-0005-0000-0000-0000FD120000}"/>
    <cellStyle name="20% - Accent3 4 2 2 2 5 2" xfId="5458" xr:uid="{00000000-0005-0000-0000-0000FE120000}"/>
    <cellStyle name="20% - Accent3 4 2 2 2 5 2 2" xfId="5459" xr:uid="{00000000-0005-0000-0000-0000FF120000}"/>
    <cellStyle name="20% - Accent3 4 2 2 2 5 2 3" xfId="5460" xr:uid="{00000000-0005-0000-0000-000000130000}"/>
    <cellStyle name="20% - Accent3 4 2 2 2 5 3" xfId="5461" xr:uid="{00000000-0005-0000-0000-000001130000}"/>
    <cellStyle name="20% - Accent3 4 2 2 2 5 4" xfId="5462" xr:uid="{00000000-0005-0000-0000-000002130000}"/>
    <cellStyle name="20% - Accent3 4 2 2 2 5 5" xfId="5463" xr:uid="{00000000-0005-0000-0000-000003130000}"/>
    <cellStyle name="20% - Accent3 4 2 2 2 5 6" xfId="5464" xr:uid="{00000000-0005-0000-0000-000004130000}"/>
    <cellStyle name="20% - Accent3 4 2 2 2 6" xfId="5465" xr:uid="{00000000-0005-0000-0000-000005130000}"/>
    <cellStyle name="20% - Accent3 4 2 2 2 6 2" xfId="5466" xr:uid="{00000000-0005-0000-0000-000006130000}"/>
    <cellStyle name="20% - Accent3 4 2 2 2 6 3" xfId="5467" xr:uid="{00000000-0005-0000-0000-000007130000}"/>
    <cellStyle name="20% - Accent3 4 2 2 2 7" xfId="5468" xr:uid="{00000000-0005-0000-0000-000008130000}"/>
    <cellStyle name="20% - Accent3 4 2 2 2 8" xfId="5469" xr:uid="{00000000-0005-0000-0000-000009130000}"/>
    <cellStyle name="20% - Accent3 4 2 2 2 9" xfId="5470" xr:uid="{00000000-0005-0000-0000-00000A130000}"/>
    <cellStyle name="20% - Accent3 4 2 2 3" xfId="5471" xr:uid="{00000000-0005-0000-0000-00000B130000}"/>
    <cellStyle name="20% - Accent3 4 2 2 3 2" xfId="5472" xr:uid="{00000000-0005-0000-0000-00000C130000}"/>
    <cellStyle name="20% - Accent3 4 2 2 3 2 2" xfId="5473" xr:uid="{00000000-0005-0000-0000-00000D130000}"/>
    <cellStyle name="20% - Accent3 4 2 2 3 2 2 2" xfId="5474" xr:uid="{00000000-0005-0000-0000-00000E130000}"/>
    <cellStyle name="20% - Accent3 4 2 2 3 2 2 2 2" xfId="5475" xr:uid="{00000000-0005-0000-0000-00000F130000}"/>
    <cellStyle name="20% - Accent3 4 2 2 3 2 2 2 3" xfId="5476" xr:uid="{00000000-0005-0000-0000-000010130000}"/>
    <cellStyle name="20% - Accent3 4 2 2 3 2 2 3" xfId="5477" xr:uid="{00000000-0005-0000-0000-000011130000}"/>
    <cellStyle name="20% - Accent3 4 2 2 3 2 2 4" xfId="5478" xr:uid="{00000000-0005-0000-0000-000012130000}"/>
    <cellStyle name="20% - Accent3 4 2 2 3 2 2 5" xfId="5479" xr:uid="{00000000-0005-0000-0000-000013130000}"/>
    <cellStyle name="20% - Accent3 4 2 2 3 2 2 6" xfId="5480" xr:uid="{00000000-0005-0000-0000-000014130000}"/>
    <cellStyle name="20% - Accent3 4 2 2 3 2 3" xfId="5481" xr:uid="{00000000-0005-0000-0000-000015130000}"/>
    <cellStyle name="20% - Accent3 4 2 2 3 2 3 2" xfId="5482" xr:uid="{00000000-0005-0000-0000-000016130000}"/>
    <cellStyle name="20% - Accent3 4 2 2 3 2 3 3" xfId="5483" xr:uid="{00000000-0005-0000-0000-000017130000}"/>
    <cellStyle name="20% - Accent3 4 2 2 3 2 4" xfId="5484" xr:uid="{00000000-0005-0000-0000-000018130000}"/>
    <cellStyle name="20% - Accent3 4 2 2 3 2 5" xfId="5485" xr:uid="{00000000-0005-0000-0000-000019130000}"/>
    <cellStyle name="20% - Accent3 4 2 2 3 2 6" xfId="5486" xr:uid="{00000000-0005-0000-0000-00001A130000}"/>
    <cellStyle name="20% - Accent3 4 2 2 3 2 7" xfId="5487" xr:uid="{00000000-0005-0000-0000-00001B130000}"/>
    <cellStyle name="20% - Accent3 4 2 2 3 3" xfId="5488" xr:uid="{00000000-0005-0000-0000-00001C130000}"/>
    <cellStyle name="20% - Accent3 4 2 2 3 3 2" xfId="5489" xr:uid="{00000000-0005-0000-0000-00001D130000}"/>
    <cellStyle name="20% - Accent3 4 2 2 3 3 2 2" xfId="5490" xr:uid="{00000000-0005-0000-0000-00001E130000}"/>
    <cellStyle name="20% - Accent3 4 2 2 3 3 2 3" xfId="5491" xr:uid="{00000000-0005-0000-0000-00001F130000}"/>
    <cellStyle name="20% - Accent3 4 2 2 3 3 3" xfId="5492" xr:uid="{00000000-0005-0000-0000-000020130000}"/>
    <cellStyle name="20% - Accent3 4 2 2 3 3 4" xfId="5493" xr:uid="{00000000-0005-0000-0000-000021130000}"/>
    <cellStyle name="20% - Accent3 4 2 2 3 3 5" xfId="5494" xr:uid="{00000000-0005-0000-0000-000022130000}"/>
    <cellStyle name="20% - Accent3 4 2 2 3 3 6" xfId="5495" xr:uid="{00000000-0005-0000-0000-000023130000}"/>
    <cellStyle name="20% - Accent3 4 2 2 3 4" xfId="5496" xr:uid="{00000000-0005-0000-0000-000024130000}"/>
    <cellStyle name="20% - Accent3 4 2 2 3 4 2" xfId="5497" xr:uid="{00000000-0005-0000-0000-000025130000}"/>
    <cellStyle name="20% - Accent3 4 2 2 3 4 2 2" xfId="5498" xr:uid="{00000000-0005-0000-0000-000026130000}"/>
    <cellStyle name="20% - Accent3 4 2 2 3 4 2 3" xfId="5499" xr:uid="{00000000-0005-0000-0000-000027130000}"/>
    <cellStyle name="20% - Accent3 4 2 2 3 4 3" xfId="5500" xr:uid="{00000000-0005-0000-0000-000028130000}"/>
    <cellStyle name="20% - Accent3 4 2 2 3 4 4" xfId="5501" xr:uid="{00000000-0005-0000-0000-000029130000}"/>
    <cellStyle name="20% - Accent3 4 2 2 3 4 5" xfId="5502" xr:uid="{00000000-0005-0000-0000-00002A130000}"/>
    <cellStyle name="20% - Accent3 4 2 2 3 4 6" xfId="5503" xr:uid="{00000000-0005-0000-0000-00002B130000}"/>
    <cellStyle name="20% - Accent3 4 2 2 3 5" xfId="5504" xr:uid="{00000000-0005-0000-0000-00002C130000}"/>
    <cellStyle name="20% - Accent3 4 2 2 3 5 2" xfId="5505" xr:uid="{00000000-0005-0000-0000-00002D130000}"/>
    <cellStyle name="20% - Accent3 4 2 2 3 5 3" xfId="5506" xr:uid="{00000000-0005-0000-0000-00002E130000}"/>
    <cellStyle name="20% - Accent3 4 2 2 3 6" xfId="5507" xr:uid="{00000000-0005-0000-0000-00002F130000}"/>
    <cellStyle name="20% - Accent3 4 2 2 3 7" xfId="5508" xr:uid="{00000000-0005-0000-0000-000030130000}"/>
    <cellStyle name="20% - Accent3 4 2 2 3 8" xfId="5509" xr:uid="{00000000-0005-0000-0000-000031130000}"/>
    <cellStyle name="20% - Accent3 4 2 2 3 9" xfId="5510" xr:uid="{00000000-0005-0000-0000-000032130000}"/>
    <cellStyle name="20% - Accent3 4 2 2 4" xfId="5511" xr:uid="{00000000-0005-0000-0000-000033130000}"/>
    <cellStyle name="20% - Accent3 4 2 2 4 2" xfId="5512" xr:uid="{00000000-0005-0000-0000-000034130000}"/>
    <cellStyle name="20% - Accent3 4 2 2 4 2 2" xfId="5513" xr:uid="{00000000-0005-0000-0000-000035130000}"/>
    <cellStyle name="20% - Accent3 4 2 2 4 2 2 2" xfId="5514" xr:uid="{00000000-0005-0000-0000-000036130000}"/>
    <cellStyle name="20% - Accent3 4 2 2 4 2 2 3" xfId="5515" xr:uid="{00000000-0005-0000-0000-000037130000}"/>
    <cellStyle name="20% - Accent3 4 2 2 4 2 3" xfId="5516" xr:uid="{00000000-0005-0000-0000-000038130000}"/>
    <cellStyle name="20% - Accent3 4 2 2 4 2 4" xfId="5517" xr:uid="{00000000-0005-0000-0000-000039130000}"/>
    <cellStyle name="20% - Accent3 4 2 2 4 2 5" xfId="5518" xr:uid="{00000000-0005-0000-0000-00003A130000}"/>
    <cellStyle name="20% - Accent3 4 2 2 4 2 6" xfId="5519" xr:uid="{00000000-0005-0000-0000-00003B130000}"/>
    <cellStyle name="20% - Accent3 4 2 2 4 3" xfId="5520" xr:uid="{00000000-0005-0000-0000-00003C130000}"/>
    <cellStyle name="20% - Accent3 4 2 2 4 3 2" xfId="5521" xr:uid="{00000000-0005-0000-0000-00003D130000}"/>
    <cellStyle name="20% - Accent3 4 2 2 4 3 3" xfId="5522" xr:uid="{00000000-0005-0000-0000-00003E130000}"/>
    <cellStyle name="20% - Accent3 4 2 2 4 4" xfId="5523" xr:uid="{00000000-0005-0000-0000-00003F130000}"/>
    <cellStyle name="20% - Accent3 4 2 2 4 5" xfId="5524" xr:uid="{00000000-0005-0000-0000-000040130000}"/>
    <cellStyle name="20% - Accent3 4 2 2 4 6" xfId="5525" xr:uid="{00000000-0005-0000-0000-000041130000}"/>
    <cellStyle name="20% - Accent3 4 2 2 4 7" xfId="5526" xr:uid="{00000000-0005-0000-0000-000042130000}"/>
    <cellStyle name="20% - Accent3 4 2 2 5" xfId="5527" xr:uid="{00000000-0005-0000-0000-000043130000}"/>
    <cellStyle name="20% - Accent3 4 2 2 5 2" xfId="5528" xr:uid="{00000000-0005-0000-0000-000044130000}"/>
    <cellStyle name="20% - Accent3 4 2 2 5 2 2" xfId="5529" xr:uid="{00000000-0005-0000-0000-000045130000}"/>
    <cellStyle name="20% - Accent3 4 2 2 5 2 3" xfId="5530" xr:uid="{00000000-0005-0000-0000-000046130000}"/>
    <cellStyle name="20% - Accent3 4 2 2 5 3" xfId="5531" xr:uid="{00000000-0005-0000-0000-000047130000}"/>
    <cellStyle name="20% - Accent3 4 2 2 5 4" xfId="5532" xr:uid="{00000000-0005-0000-0000-000048130000}"/>
    <cellStyle name="20% - Accent3 4 2 2 5 5" xfId="5533" xr:uid="{00000000-0005-0000-0000-000049130000}"/>
    <cellStyle name="20% - Accent3 4 2 2 5 6" xfId="5534" xr:uid="{00000000-0005-0000-0000-00004A130000}"/>
    <cellStyle name="20% - Accent3 4 2 2 6" xfId="5535" xr:uid="{00000000-0005-0000-0000-00004B130000}"/>
    <cellStyle name="20% - Accent3 4 2 2 6 2" xfId="5536" xr:uid="{00000000-0005-0000-0000-00004C130000}"/>
    <cellStyle name="20% - Accent3 4 2 2 6 2 2" xfId="5537" xr:uid="{00000000-0005-0000-0000-00004D130000}"/>
    <cellStyle name="20% - Accent3 4 2 2 6 2 3" xfId="5538" xr:uid="{00000000-0005-0000-0000-00004E130000}"/>
    <cellStyle name="20% - Accent3 4 2 2 6 3" xfId="5539" xr:uid="{00000000-0005-0000-0000-00004F130000}"/>
    <cellStyle name="20% - Accent3 4 2 2 6 4" xfId="5540" xr:uid="{00000000-0005-0000-0000-000050130000}"/>
    <cellStyle name="20% - Accent3 4 2 2 6 5" xfId="5541" xr:uid="{00000000-0005-0000-0000-000051130000}"/>
    <cellStyle name="20% - Accent3 4 2 2 6 6" xfId="5542" xr:uid="{00000000-0005-0000-0000-000052130000}"/>
    <cellStyle name="20% - Accent3 4 2 2 7" xfId="5543" xr:uid="{00000000-0005-0000-0000-000053130000}"/>
    <cellStyle name="20% - Accent3 4 2 2 7 2" xfId="5544" xr:uid="{00000000-0005-0000-0000-000054130000}"/>
    <cellStyle name="20% - Accent3 4 2 2 7 2 2" xfId="5545" xr:uid="{00000000-0005-0000-0000-000055130000}"/>
    <cellStyle name="20% - Accent3 4 2 2 7 2 3" xfId="5546" xr:uid="{00000000-0005-0000-0000-000056130000}"/>
    <cellStyle name="20% - Accent3 4 2 2 7 3" xfId="5547" xr:uid="{00000000-0005-0000-0000-000057130000}"/>
    <cellStyle name="20% - Accent3 4 2 2 7 4" xfId="5548" xr:uid="{00000000-0005-0000-0000-000058130000}"/>
    <cellStyle name="20% - Accent3 4 2 2 7 5" xfId="5549" xr:uid="{00000000-0005-0000-0000-000059130000}"/>
    <cellStyle name="20% - Accent3 4 2 2 7 6" xfId="5550" xr:uid="{00000000-0005-0000-0000-00005A130000}"/>
    <cellStyle name="20% - Accent3 4 2 2 8" xfId="5551" xr:uid="{00000000-0005-0000-0000-00005B130000}"/>
    <cellStyle name="20% - Accent3 4 2 2 8 2" xfId="5552" xr:uid="{00000000-0005-0000-0000-00005C130000}"/>
    <cellStyle name="20% - Accent3 4 2 2 8 2 2" xfId="5553" xr:uid="{00000000-0005-0000-0000-00005D130000}"/>
    <cellStyle name="20% - Accent3 4 2 2 8 2 3" xfId="5554" xr:uid="{00000000-0005-0000-0000-00005E130000}"/>
    <cellStyle name="20% - Accent3 4 2 2 8 3" xfId="5555" xr:uid="{00000000-0005-0000-0000-00005F130000}"/>
    <cellStyle name="20% - Accent3 4 2 2 8 4" xfId="5556" xr:uid="{00000000-0005-0000-0000-000060130000}"/>
    <cellStyle name="20% - Accent3 4 2 2 8 5" xfId="5557" xr:uid="{00000000-0005-0000-0000-000061130000}"/>
    <cellStyle name="20% - Accent3 4 2 2 8 6" xfId="5558" xr:uid="{00000000-0005-0000-0000-000062130000}"/>
    <cellStyle name="20% - Accent3 4 2 2 9" xfId="5559" xr:uid="{00000000-0005-0000-0000-000063130000}"/>
    <cellStyle name="20% - Accent3 4 2 2 9 2" xfId="5560" xr:uid="{00000000-0005-0000-0000-000064130000}"/>
    <cellStyle name="20% - Accent3 4 2 2 9 3" xfId="5561" xr:uid="{00000000-0005-0000-0000-000065130000}"/>
    <cellStyle name="20% - Accent3 4 2 3" xfId="5562" xr:uid="{00000000-0005-0000-0000-000066130000}"/>
    <cellStyle name="20% - Accent3 4 2 3 10" xfId="5563" xr:uid="{00000000-0005-0000-0000-000067130000}"/>
    <cellStyle name="20% - Accent3 4 2 3 2" xfId="5564" xr:uid="{00000000-0005-0000-0000-000068130000}"/>
    <cellStyle name="20% - Accent3 4 2 3 2 2" xfId="5565" xr:uid="{00000000-0005-0000-0000-000069130000}"/>
    <cellStyle name="20% - Accent3 4 2 3 2 2 2" xfId="5566" xr:uid="{00000000-0005-0000-0000-00006A130000}"/>
    <cellStyle name="20% - Accent3 4 2 3 2 2 2 2" xfId="5567" xr:uid="{00000000-0005-0000-0000-00006B130000}"/>
    <cellStyle name="20% - Accent3 4 2 3 2 2 2 3" xfId="5568" xr:uid="{00000000-0005-0000-0000-00006C130000}"/>
    <cellStyle name="20% - Accent3 4 2 3 2 2 3" xfId="5569" xr:uid="{00000000-0005-0000-0000-00006D130000}"/>
    <cellStyle name="20% - Accent3 4 2 3 2 2 4" xfId="5570" xr:uid="{00000000-0005-0000-0000-00006E130000}"/>
    <cellStyle name="20% - Accent3 4 2 3 2 2 5" xfId="5571" xr:uid="{00000000-0005-0000-0000-00006F130000}"/>
    <cellStyle name="20% - Accent3 4 2 3 2 2 6" xfId="5572" xr:uid="{00000000-0005-0000-0000-000070130000}"/>
    <cellStyle name="20% - Accent3 4 2 3 2 3" xfId="5573" xr:uid="{00000000-0005-0000-0000-000071130000}"/>
    <cellStyle name="20% - Accent3 4 2 3 2 3 2" xfId="5574" xr:uid="{00000000-0005-0000-0000-000072130000}"/>
    <cellStyle name="20% - Accent3 4 2 3 2 3 2 2" xfId="5575" xr:uid="{00000000-0005-0000-0000-000073130000}"/>
    <cellStyle name="20% - Accent3 4 2 3 2 3 2 3" xfId="5576" xr:uid="{00000000-0005-0000-0000-000074130000}"/>
    <cellStyle name="20% - Accent3 4 2 3 2 3 3" xfId="5577" xr:uid="{00000000-0005-0000-0000-000075130000}"/>
    <cellStyle name="20% - Accent3 4 2 3 2 3 4" xfId="5578" xr:uid="{00000000-0005-0000-0000-000076130000}"/>
    <cellStyle name="20% - Accent3 4 2 3 2 3 5" xfId="5579" xr:uid="{00000000-0005-0000-0000-000077130000}"/>
    <cellStyle name="20% - Accent3 4 2 3 2 3 6" xfId="5580" xr:uid="{00000000-0005-0000-0000-000078130000}"/>
    <cellStyle name="20% - Accent3 4 2 3 2 4" xfId="5581" xr:uid="{00000000-0005-0000-0000-000079130000}"/>
    <cellStyle name="20% - Accent3 4 2 3 2 4 2" xfId="5582" xr:uid="{00000000-0005-0000-0000-00007A130000}"/>
    <cellStyle name="20% - Accent3 4 2 3 2 4 3" xfId="5583" xr:uid="{00000000-0005-0000-0000-00007B130000}"/>
    <cellStyle name="20% - Accent3 4 2 3 2 5" xfId="5584" xr:uid="{00000000-0005-0000-0000-00007C130000}"/>
    <cellStyle name="20% - Accent3 4 2 3 2 6" xfId="5585" xr:uid="{00000000-0005-0000-0000-00007D130000}"/>
    <cellStyle name="20% - Accent3 4 2 3 2 7" xfId="5586" xr:uid="{00000000-0005-0000-0000-00007E130000}"/>
    <cellStyle name="20% - Accent3 4 2 3 2 8" xfId="5587" xr:uid="{00000000-0005-0000-0000-00007F130000}"/>
    <cellStyle name="20% - Accent3 4 2 3 3" xfId="5588" xr:uid="{00000000-0005-0000-0000-000080130000}"/>
    <cellStyle name="20% - Accent3 4 2 3 3 2" xfId="5589" xr:uid="{00000000-0005-0000-0000-000081130000}"/>
    <cellStyle name="20% - Accent3 4 2 3 3 2 2" xfId="5590" xr:uid="{00000000-0005-0000-0000-000082130000}"/>
    <cellStyle name="20% - Accent3 4 2 3 3 2 2 2" xfId="5591" xr:uid="{00000000-0005-0000-0000-000083130000}"/>
    <cellStyle name="20% - Accent3 4 2 3 3 2 2 3" xfId="5592" xr:uid="{00000000-0005-0000-0000-000084130000}"/>
    <cellStyle name="20% - Accent3 4 2 3 3 2 3" xfId="5593" xr:uid="{00000000-0005-0000-0000-000085130000}"/>
    <cellStyle name="20% - Accent3 4 2 3 3 2 4" xfId="5594" xr:uid="{00000000-0005-0000-0000-000086130000}"/>
    <cellStyle name="20% - Accent3 4 2 3 3 2 5" xfId="5595" xr:uid="{00000000-0005-0000-0000-000087130000}"/>
    <cellStyle name="20% - Accent3 4 2 3 3 2 6" xfId="5596" xr:uid="{00000000-0005-0000-0000-000088130000}"/>
    <cellStyle name="20% - Accent3 4 2 3 3 3" xfId="5597" xr:uid="{00000000-0005-0000-0000-000089130000}"/>
    <cellStyle name="20% - Accent3 4 2 3 3 3 2" xfId="5598" xr:uid="{00000000-0005-0000-0000-00008A130000}"/>
    <cellStyle name="20% - Accent3 4 2 3 3 3 3" xfId="5599" xr:uid="{00000000-0005-0000-0000-00008B130000}"/>
    <cellStyle name="20% - Accent3 4 2 3 3 4" xfId="5600" xr:uid="{00000000-0005-0000-0000-00008C130000}"/>
    <cellStyle name="20% - Accent3 4 2 3 3 5" xfId="5601" xr:uid="{00000000-0005-0000-0000-00008D130000}"/>
    <cellStyle name="20% - Accent3 4 2 3 3 6" xfId="5602" xr:uid="{00000000-0005-0000-0000-00008E130000}"/>
    <cellStyle name="20% - Accent3 4 2 3 3 7" xfId="5603" xr:uid="{00000000-0005-0000-0000-00008F130000}"/>
    <cellStyle name="20% - Accent3 4 2 3 4" xfId="5604" xr:uid="{00000000-0005-0000-0000-000090130000}"/>
    <cellStyle name="20% - Accent3 4 2 3 4 2" xfId="5605" xr:uid="{00000000-0005-0000-0000-000091130000}"/>
    <cellStyle name="20% - Accent3 4 2 3 4 2 2" xfId="5606" xr:uid="{00000000-0005-0000-0000-000092130000}"/>
    <cellStyle name="20% - Accent3 4 2 3 4 2 3" xfId="5607" xr:uid="{00000000-0005-0000-0000-000093130000}"/>
    <cellStyle name="20% - Accent3 4 2 3 4 3" xfId="5608" xr:uid="{00000000-0005-0000-0000-000094130000}"/>
    <cellStyle name="20% - Accent3 4 2 3 4 4" xfId="5609" xr:uid="{00000000-0005-0000-0000-000095130000}"/>
    <cellStyle name="20% - Accent3 4 2 3 4 5" xfId="5610" xr:uid="{00000000-0005-0000-0000-000096130000}"/>
    <cellStyle name="20% - Accent3 4 2 3 4 6" xfId="5611" xr:uid="{00000000-0005-0000-0000-000097130000}"/>
    <cellStyle name="20% - Accent3 4 2 3 5" xfId="5612" xr:uid="{00000000-0005-0000-0000-000098130000}"/>
    <cellStyle name="20% - Accent3 4 2 3 5 2" xfId="5613" xr:uid="{00000000-0005-0000-0000-000099130000}"/>
    <cellStyle name="20% - Accent3 4 2 3 5 2 2" xfId="5614" xr:uid="{00000000-0005-0000-0000-00009A130000}"/>
    <cellStyle name="20% - Accent3 4 2 3 5 2 3" xfId="5615" xr:uid="{00000000-0005-0000-0000-00009B130000}"/>
    <cellStyle name="20% - Accent3 4 2 3 5 3" xfId="5616" xr:uid="{00000000-0005-0000-0000-00009C130000}"/>
    <cellStyle name="20% - Accent3 4 2 3 5 4" xfId="5617" xr:uid="{00000000-0005-0000-0000-00009D130000}"/>
    <cellStyle name="20% - Accent3 4 2 3 5 5" xfId="5618" xr:uid="{00000000-0005-0000-0000-00009E130000}"/>
    <cellStyle name="20% - Accent3 4 2 3 5 6" xfId="5619" xr:uid="{00000000-0005-0000-0000-00009F130000}"/>
    <cellStyle name="20% - Accent3 4 2 3 6" xfId="5620" xr:uid="{00000000-0005-0000-0000-0000A0130000}"/>
    <cellStyle name="20% - Accent3 4 2 3 6 2" xfId="5621" xr:uid="{00000000-0005-0000-0000-0000A1130000}"/>
    <cellStyle name="20% - Accent3 4 2 3 6 3" xfId="5622" xr:uid="{00000000-0005-0000-0000-0000A2130000}"/>
    <cellStyle name="20% - Accent3 4 2 3 7" xfId="5623" xr:uid="{00000000-0005-0000-0000-0000A3130000}"/>
    <cellStyle name="20% - Accent3 4 2 3 8" xfId="5624" xr:uid="{00000000-0005-0000-0000-0000A4130000}"/>
    <cellStyle name="20% - Accent3 4 2 3 9" xfId="5625" xr:uid="{00000000-0005-0000-0000-0000A5130000}"/>
    <cellStyle name="20% - Accent3 4 2 4" xfId="5626" xr:uid="{00000000-0005-0000-0000-0000A6130000}"/>
    <cellStyle name="20% - Accent3 4 2 4 2" xfId="5627" xr:uid="{00000000-0005-0000-0000-0000A7130000}"/>
    <cellStyle name="20% - Accent3 4 2 4 2 2" xfId="5628" xr:uid="{00000000-0005-0000-0000-0000A8130000}"/>
    <cellStyle name="20% - Accent3 4 2 4 2 2 2" xfId="5629" xr:uid="{00000000-0005-0000-0000-0000A9130000}"/>
    <cellStyle name="20% - Accent3 4 2 4 2 2 2 2" xfId="5630" xr:uid="{00000000-0005-0000-0000-0000AA130000}"/>
    <cellStyle name="20% - Accent3 4 2 4 2 2 2 3" xfId="5631" xr:uid="{00000000-0005-0000-0000-0000AB130000}"/>
    <cellStyle name="20% - Accent3 4 2 4 2 2 3" xfId="5632" xr:uid="{00000000-0005-0000-0000-0000AC130000}"/>
    <cellStyle name="20% - Accent3 4 2 4 2 2 4" xfId="5633" xr:uid="{00000000-0005-0000-0000-0000AD130000}"/>
    <cellStyle name="20% - Accent3 4 2 4 2 2 5" xfId="5634" xr:uid="{00000000-0005-0000-0000-0000AE130000}"/>
    <cellStyle name="20% - Accent3 4 2 4 2 2 6" xfId="5635" xr:uid="{00000000-0005-0000-0000-0000AF130000}"/>
    <cellStyle name="20% - Accent3 4 2 4 2 3" xfId="5636" xr:uid="{00000000-0005-0000-0000-0000B0130000}"/>
    <cellStyle name="20% - Accent3 4 2 4 2 3 2" xfId="5637" xr:uid="{00000000-0005-0000-0000-0000B1130000}"/>
    <cellStyle name="20% - Accent3 4 2 4 2 3 3" xfId="5638" xr:uid="{00000000-0005-0000-0000-0000B2130000}"/>
    <cellStyle name="20% - Accent3 4 2 4 2 4" xfId="5639" xr:uid="{00000000-0005-0000-0000-0000B3130000}"/>
    <cellStyle name="20% - Accent3 4 2 4 2 5" xfId="5640" xr:uid="{00000000-0005-0000-0000-0000B4130000}"/>
    <cellStyle name="20% - Accent3 4 2 4 2 6" xfId="5641" xr:uid="{00000000-0005-0000-0000-0000B5130000}"/>
    <cellStyle name="20% - Accent3 4 2 4 2 7" xfId="5642" xr:uid="{00000000-0005-0000-0000-0000B6130000}"/>
    <cellStyle name="20% - Accent3 4 2 4 3" xfId="5643" xr:uid="{00000000-0005-0000-0000-0000B7130000}"/>
    <cellStyle name="20% - Accent3 4 2 4 3 2" xfId="5644" xr:uid="{00000000-0005-0000-0000-0000B8130000}"/>
    <cellStyle name="20% - Accent3 4 2 4 3 2 2" xfId="5645" xr:uid="{00000000-0005-0000-0000-0000B9130000}"/>
    <cellStyle name="20% - Accent3 4 2 4 3 2 3" xfId="5646" xr:uid="{00000000-0005-0000-0000-0000BA130000}"/>
    <cellStyle name="20% - Accent3 4 2 4 3 3" xfId="5647" xr:uid="{00000000-0005-0000-0000-0000BB130000}"/>
    <cellStyle name="20% - Accent3 4 2 4 3 4" xfId="5648" xr:uid="{00000000-0005-0000-0000-0000BC130000}"/>
    <cellStyle name="20% - Accent3 4 2 4 3 5" xfId="5649" xr:uid="{00000000-0005-0000-0000-0000BD130000}"/>
    <cellStyle name="20% - Accent3 4 2 4 3 6" xfId="5650" xr:uid="{00000000-0005-0000-0000-0000BE130000}"/>
    <cellStyle name="20% - Accent3 4 2 4 4" xfId="5651" xr:uid="{00000000-0005-0000-0000-0000BF130000}"/>
    <cellStyle name="20% - Accent3 4 2 4 4 2" xfId="5652" xr:uid="{00000000-0005-0000-0000-0000C0130000}"/>
    <cellStyle name="20% - Accent3 4 2 4 4 2 2" xfId="5653" xr:uid="{00000000-0005-0000-0000-0000C1130000}"/>
    <cellStyle name="20% - Accent3 4 2 4 4 2 3" xfId="5654" xr:uid="{00000000-0005-0000-0000-0000C2130000}"/>
    <cellStyle name="20% - Accent3 4 2 4 4 3" xfId="5655" xr:uid="{00000000-0005-0000-0000-0000C3130000}"/>
    <cellStyle name="20% - Accent3 4 2 4 4 4" xfId="5656" xr:uid="{00000000-0005-0000-0000-0000C4130000}"/>
    <cellStyle name="20% - Accent3 4 2 4 4 5" xfId="5657" xr:uid="{00000000-0005-0000-0000-0000C5130000}"/>
    <cellStyle name="20% - Accent3 4 2 4 4 6" xfId="5658" xr:uid="{00000000-0005-0000-0000-0000C6130000}"/>
    <cellStyle name="20% - Accent3 4 2 4 5" xfId="5659" xr:uid="{00000000-0005-0000-0000-0000C7130000}"/>
    <cellStyle name="20% - Accent3 4 2 4 5 2" xfId="5660" xr:uid="{00000000-0005-0000-0000-0000C8130000}"/>
    <cellStyle name="20% - Accent3 4 2 4 5 3" xfId="5661" xr:uid="{00000000-0005-0000-0000-0000C9130000}"/>
    <cellStyle name="20% - Accent3 4 2 4 6" xfId="5662" xr:uid="{00000000-0005-0000-0000-0000CA130000}"/>
    <cellStyle name="20% - Accent3 4 2 4 7" xfId="5663" xr:uid="{00000000-0005-0000-0000-0000CB130000}"/>
    <cellStyle name="20% - Accent3 4 2 4 8" xfId="5664" xr:uid="{00000000-0005-0000-0000-0000CC130000}"/>
    <cellStyle name="20% - Accent3 4 2 4 9" xfId="5665" xr:uid="{00000000-0005-0000-0000-0000CD130000}"/>
    <cellStyle name="20% - Accent3 4 2 5" xfId="5666" xr:uid="{00000000-0005-0000-0000-0000CE130000}"/>
    <cellStyle name="20% - Accent3 4 2 5 2" xfId="5667" xr:uid="{00000000-0005-0000-0000-0000CF130000}"/>
    <cellStyle name="20% - Accent3 4 2 5 2 2" xfId="5668" xr:uid="{00000000-0005-0000-0000-0000D0130000}"/>
    <cellStyle name="20% - Accent3 4 2 5 2 2 2" xfId="5669" xr:uid="{00000000-0005-0000-0000-0000D1130000}"/>
    <cellStyle name="20% - Accent3 4 2 5 2 2 3" xfId="5670" xr:uid="{00000000-0005-0000-0000-0000D2130000}"/>
    <cellStyle name="20% - Accent3 4 2 5 2 3" xfId="5671" xr:uid="{00000000-0005-0000-0000-0000D3130000}"/>
    <cellStyle name="20% - Accent3 4 2 5 2 4" xfId="5672" xr:uid="{00000000-0005-0000-0000-0000D4130000}"/>
    <cellStyle name="20% - Accent3 4 2 5 2 5" xfId="5673" xr:uid="{00000000-0005-0000-0000-0000D5130000}"/>
    <cellStyle name="20% - Accent3 4 2 5 2 6" xfId="5674" xr:uid="{00000000-0005-0000-0000-0000D6130000}"/>
    <cellStyle name="20% - Accent3 4 2 5 3" xfId="5675" xr:uid="{00000000-0005-0000-0000-0000D7130000}"/>
    <cellStyle name="20% - Accent3 4 2 5 3 2" xfId="5676" xr:uid="{00000000-0005-0000-0000-0000D8130000}"/>
    <cellStyle name="20% - Accent3 4 2 5 3 3" xfId="5677" xr:uid="{00000000-0005-0000-0000-0000D9130000}"/>
    <cellStyle name="20% - Accent3 4 2 5 4" xfId="5678" xr:uid="{00000000-0005-0000-0000-0000DA130000}"/>
    <cellStyle name="20% - Accent3 4 2 5 5" xfId="5679" xr:uid="{00000000-0005-0000-0000-0000DB130000}"/>
    <cellStyle name="20% - Accent3 4 2 5 6" xfId="5680" xr:uid="{00000000-0005-0000-0000-0000DC130000}"/>
    <cellStyle name="20% - Accent3 4 2 5 7" xfId="5681" xr:uid="{00000000-0005-0000-0000-0000DD130000}"/>
    <cellStyle name="20% - Accent3 4 2 6" xfId="5682" xr:uid="{00000000-0005-0000-0000-0000DE130000}"/>
    <cellStyle name="20% - Accent3 4 2 6 2" xfId="5683" xr:uid="{00000000-0005-0000-0000-0000DF130000}"/>
    <cellStyle name="20% - Accent3 4 2 6 2 2" xfId="5684" xr:uid="{00000000-0005-0000-0000-0000E0130000}"/>
    <cellStyle name="20% - Accent3 4 2 6 2 3" xfId="5685" xr:uid="{00000000-0005-0000-0000-0000E1130000}"/>
    <cellStyle name="20% - Accent3 4 2 6 3" xfId="5686" xr:uid="{00000000-0005-0000-0000-0000E2130000}"/>
    <cellStyle name="20% - Accent3 4 2 6 4" xfId="5687" xr:uid="{00000000-0005-0000-0000-0000E3130000}"/>
    <cellStyle name="20% - Accent3 4 2 6 5" xfId="5688" xr:uid="{00000000-0005-0000-0000-0000E4130000}"/>
    <cellStyle name="20% - Accent3 4 2 6 6" xfId="5689" xr:uid="{00000000-0005-0000-0000-0000E5130000}"/>
    <cellStyle name="20% - Accent3 4 2 7" xfId="5690" xr:uid="{00000000-0005-0000-0000-0000E6130000}"/>
    <cellStyle name="20% - Accent3 4 2 7 2" xfId="5691" xr:uid="{00000000-0005-0000-0000-0000E7130000}"/>
    <cellStyle name="20% - Accent3 4 2 7 2 2" xfId="5692" xr:uid="{00000000-0005-0000-0000-0000E8130000}"/>
    <cellStyle name="20% - Accent3 4 2 7 2 3" xfId="5693" xr:uid="{00000000-0005-0000-0000-0000E9130000}"/>
    <cellStyle name="20% - Accent3 4 2 7 3" xfId="5694" xr:uid="{00000000-0005-0000-0000-0000EA130000}"/>
    <cellStyle name="20% - Accent3 4 2 7 4" xfId="5695" xr:uid="{00000000-0005-0000-0000-0000EB130000}"/>
    <cellStyle name="20% - Accent3 4 2 7 5" xfId="5696" xr:uid="{00000000-0005-0000-0000-0000EC130000}"/>
    <cellStyle name="20% - Accent3 4 2 7 6" xfId="5697" xr:uid="{00000000-0005-0000-0000-0000ED130000}"/>
    <cellStyle name="20% - Accent3 4 2 8" xfId="5698" xr:uid="{00000000-0005-0000-0000-0000EE130000}"/>
    <cellStyle name="20% - Accent3 4 2 8 2" xfId="5699" xr:uid="{00000000-0005-0000-0000-0000EF130000}"/>
    <cellStyle name="20% - Accent3 4 2 8 2 2" xfId="5700" xr:uid="{00000000-0005-0000-0000-0000F0130000}"/>
    <cellStyle name="20% - Accent3 4 2 8 2 3" xfId="5701" xr:uid="{00000000-0005-0000-0000-0000F1130000}"/>
    <cellStyle name="20% - Accent3 4 2 8 3" xfId="5702" xr:uid="{00000000-0005-0000-0000-0000F2130000}"/>
    <cellStyle name="20% - Accent3 4 2 8 4" xfId="5703" xr:uid="{00000000-0005-0000-0000-0000F3130000}"/>
    <cellStyle name="20% - Accent3 4 2 8 5" xfId="5704" xr:uid="{00000000-0005-0000-0000-0000F4130000}"/>
    <cellStyle name="20% - Accent3 4 2 8 6" xfId="5705" xr:uid="{00000000-0005-0000-0000-0000F5130000}"/>
    <cellStyle name="20% - Accent3 4 2 9" xfId="5706" xr:uid="{00000000-0005-0000-0000-0000F6130000}"/>
    <cellStyle name="20% - Accent3 4 2 9 2" xfId="5707" xr:uid="{00000000-0005-0000-0000-0000F7130000}"/>
    <cellStyle name="20% - Accent3 4 2 9 2 2" xfId="5708" xr:uid="{00000000-0005-0000-0000-0000F8130000}"/>
    <cellStyle name="20% - Accent3 4 2 9 2 3" xfId="5709" xr:uid="{00000000-0005-0000-0000-0000F9130000}"/>
    <cellStyle name="20% - Accent3 4 2 9 3" xfId="5710" xr:uid="{00000000-0005-0000-0000-0000FA130000}"/>
    <cellStyle name="20% - Accent3 4 2 9 4" xfId="5711" xr:uid="{00000000-0005-0000-0000-0000FB130000}"/>
    <cellStyle name="20% - Accent3 4 2 9 5" xfId="5712" xr:uid="{00000000-0005-0000-0000-0000FC130000}"/>
    <cellStyle name="20% - Accent3 4 2 9 6" xfId="5713" xr:uid="{00000000-0005-0000-0000-0000FD130000}"/>
    <cellStyle name="20% - Accent3 4 3" xfId="5714" xr:uid="{00000000-0005-0000-0000-0000FE130000}"/>
    <cellStyle name="20% - Accent3 4 3 10" xfId="5715" xr:uid="{00000000-0005-0000-0000-0000FF130000}"/>
    <cellStyle name="20% - Accent3 4 3 11" xfId="5716" xr:uid="{00000000-0005-0000-0000-000000140000}"/>
    <cellStyle name="20% - Accent3 4 3 12" xfId="5717" xr:uid="{00000000-0005-0000-0000-000001140000}"/>
    <cellStyle name="20% - Accent3 4 3 13" xfId="5718" xr:uid="{00000000-0005-0000-0000-000002140000}"/>
    <cellStyle name="20% - Accent3 4 3 2" xfId="5719" xr:uid="{00000000-0005-0000-0000-000003140000}"/>
    <cellStyle name="20% - Accent3 4 3 2 10" xfId="5720" xr:uid="{00000000-0005-0000-0000-000004140000}"/>
    <cellStyle name="20% - Accent3 4 3 2 2" xfId="5721" xr:uid="{00000000-0005-0000-0000-000005140000}"/>
    <cellStyle name="20% - Accent3 4 3 2 2 2" xfId="5722" xr:uid="{00000000-0005-0000-0000-000006140000}"/>
    <cellStyle name="20% - Accent3 4 3 2 2 2 2" xfId="5723" xr:uid="{00000000-0005-0000-0000-000007140000}"/>
    <cellStyle name="20% - Accent3 4 3 2 2 2 2 2" xfId="5724" xr:uid="{00000000-0005-0000-0000-000008140000}"/>
    <cellStyle name="20% - Accent3 4 3 2 2 2 2 3" xfId="5725" xr:uid="{00000000-0005-0000-0000-000009140000}"/>
    <cellStyle name="20% - Accent3 4 3 2 2 2 3" xfId="5726" xr:uid="{00000000-0005-0000-0000-00000A140000}"/>
    <cellStyle name="20% - Accent3 4 3 2 2 2 4" xfId="5727" xr:uid="{00000000-0005-0000-0000-00000B140000}"/>
    <cellStyle name="20% - Accent3 4 3 2 2 2 5" xfId="5728" xr:uid="{00000000-0005-0000-0000-00000C140000}"/>
    <cellStyle name="20% - Accent3 4 3 2 2 2 6" xfId="5729" xr:uid="{00000000-0005-0000-0000-00000D140000}"/>
    <cellStyle name="20% - Accent3 4 3 2 2 3" xfId="5730" xr:uid="{00000000-0005-0000-0000-00000E140000}"/>
    <cellStyle name="20% - Accent3 4 3 2 2 3 2" xfId="5731" xr:uid="{00000000-0005-0000-0000-00000F140000}"/>
    <cellStyle name="20% - Accent3 4 3 2 2 3 2 2" xfId="5732" xr:uid="{00000000-0005-0000-0000-000010140000}"/>
    <cellStyle name="20% - Accent3 4 3 2 2 3 2 3" xfId="5733" xr:uid="{00000000-0005-0000-0000-000011140000}"/>
    <cellStyle name="20% - Accent3 4 3 2 2 3 3" xfId="5734" xr:uid="{00000000-0005-0000-0000-000012140000}"/>
    <cellStyle name="20% - Accent3 4 3 2 2 3 4" xfId="5735" xr:uid="{00000000-0005-0000-0000-000013140000}"/>
    <cellStyle name="20% - Accent3 4 3 2 2 3 5" xfId="5736" xr:uid="{00000000-0005-0000-0000-000014140000}"/>
    <cellStyle name="20% - Accent3 4 3 2 2 3 6" xfId="5737" xr:uid="{00000000-0005-0000-0000-000015140000}"/>
    <cellStyle name="20% - Accent3 4 3 2 2 4" xfId="5738" xr:uid="{00000000-0005-0000-0000-000016140000}"/>
    <cellStyle name="20% - Accent3 4 3 2 2 4 2" xfId="5739" xr:uid="{00000000-0005-0000-0000-000017140000}"/>
    <cellStyle name="20% - Accent3 4 3 2 2 4 3" xfId="5740" xr:uid="{00000000-0005-0000-0000-000018140000}"/>
    <cellStyle name="20% - Accent3 4 3 2 2 5" xfId="5741" xr:uid="{00000000-0005-0000-0000-000019140000}"/>
    <cellStyle name="20% - Accent3 4 3 2 2 6" xfId="5742" xr:uid="{00000000-0005-0000-0000-00001A140000}"/>
    <cellStyle name="20% - Accent3 4 3 2 2 7" xfId="5743" xr:uid="{00000000-0005-0000-0000-00001B140000}"/>
    <cellStyle name="20% - Accent3 4 3 2 2 8" xfId="5744" xr:uid="{00000000-0005-0000-0000-00001C140000}"/>
    <cellStyle name="20% - Accent3 4 3 2 3" xfId="5745" xr:uid="{00000000-0005-0000-0000-00001D140000}"/>
    <cellStyle name="20% - Accent3 4 3 2 3 2" xfId="5746" xr:uid="{00000000-0005-0000-0000-00001E140000}"/>
    <cellStyle name="20% - Accent3 4 3 2 3 2 2" xfId="5747" xr:uid="{00000000-0005-0000-0000-00001F140000}"/>
    <cellStyle name="20% - Accent3 4 3 2 3 2 2 2" xfId="5748" xr:uid="{00000000-0005-0000-0000-000020140000}"/>
    <cellStyle name="20% - Accent3 4 3 2 3 2 2 3" xfId="5749" xr:uid="{00000000-0005-0000-0000-000021140000}"/>
    <cellStyle name="20% - Accent3 4 3 2 3 2 3" xfId="5750" xr:uid="{00000000-0005-0000-0000-000022140000}"/>
    <cellStyle name="20% - Accent3 4 3 2 3 2 4" xfId="5751" xr:uid="{00000000-0005-0000-0000-000023140000}"/>
    <cellStyle name="20% - Accent3 4 3 2 3 2 5" xfId="5752" xr:uid="{00000000-0005-0000-0000-000024140000}"/>
    <cellStyle name="20% - Accent3 4 3 2 3 2 6" xfId="5753" xr:uid="{00000000-0005-0000-0000-000025140000}"/>
    <cellStyle name="20% - Accent3 4 3 2 3 3" xfId="5754" xr:uid="{00000000-0005-0000-0000-000026140000}"/>
    <cellStyle name="20% - Accent3 4 3 2 3 3 2" xfId="5755" xr:uid="{00000000-0005-0000-0000-000027140000}"/>
    <cellStyle name="20% - Accent3 4 3 2 3 3 3" xfId="5756" xr:uid="{00000000-0005-0000-0000-000028140000}"/>
    <cellStyle name="20% - Accent3 4 3 2 3 4" xfId="5757" xr:uid="{00000000-0005-0000-0000-000029140000}"/>
    <cellStyle name="20% - Accent3 4 3 2 3 5" xfId="5758" xr:uid="{00000000-0005-0000-0000-00002A140000}"/>
    <cellStyle name="20% - Accent3 4 3 2 3 6" xfId="5759" xr:uid="{00000000-0005-0000-0000-00002B140000}"/>
    <cellStyle name="20% - Accent3 4 3 2 3 7" xfId="5760" xr:uid="{00000000-0005-0000-0000-00002C140000}"/>
    <cellStyle name="20% - Accent3 4 3 2 4" xfId="5761" xr:uid="{00000000-0005-0000-0000-00002D140000}"/>
    <cellStyle name="20% - Accent3 4 3 2 4 2" xfId="5762" xr:uid="{00000000-0005-0000-0000-00002E140000}"/>
    <cellStyle name="20% - Accent3 4 3 2 4 2 2" xfId="5763" xr:uid="{00000000-0005-0000-0000-00002F140000}"/>
    <cellStyle name="20% - Accent3 4 3 2 4 2 3" xfId="5764" xr:uid="{00000000-0005-0000-0000-000030140000}"/>
    <cellStyle name="20% - Accent3 4 3 2 4 3" xfId="5765" xr:uid="{00000000-0005-0000-0000-000031140000}"/>
    <cellStyle name="20% - Accent3 4 3 2 4 4" xfId="5766" xr:uid="{00000000-0005-0000-0000-000032140000}"/>
    <cellStyle name="20% - Accent3 4 3 2 4 5" xfId="5767" xr:uid="{00000000-0005-0000-0000-000033140000}"/>
    <cellStyle name="20% - Accent3 4 3 2 4 6" xfId="5768" xr:uid="{00000000-0005-0000-0000-000034140000}"/>
    <cellStyle name="20% - Accent3 4 3 2 5" xfId="5769" xr:uid="{00000000-0005-0000-0000-000035140000}"/>
    <cellStyle name="20% - Accent3 4 3 2 5 2" xfId="5770" xr:uid="{00000000-0005-0000-0000-000036140000}"/>
    <cellStyle name="20% - Accent3 4 3 2 5 2 2" xfId="5771" xr:uid="{00000000-0005-0000-0000-000037140000}"/>
    <cellStyle name="20% - Accent3 4 3 2 5 2 3" xfId="5772" xr:uid="{00000000-0005-0000-0000-000038140000}"/>
    <cellStyle name="20% - Accent3 4 3 2 5 3" xfId="5773" xr:uid="{00000000-0005-0000-0000-000039140000}"/>
    <cellStyle name="20% - Accent3 4 3 2 5 4" xfId="5774" xr:uid="{00000000-0005-0000-0000-00003A140000}"/>
    <cellStyle name="20% - Accent3 4 3 2 5 5" xfId="5775" xr:uid="{00000000-0005-0000-0000-00003B140000}"/>
    <cellStyle name="20% - Accent3 4 3 2 5 6" xfId="5776" xr:uid="{00000000-0005-0000-0000-00003C140000}"/>
    <cellStyle name="20% - Accent3 4 3 2 6" xfId="5777" xr:uid="{00000000-0005-0000-0000-00003D140000}"/>
    <cellStyle name="20% - Accent3 4 3 2 6 2" xfId="5778" xr:uid="{00000000-0005-0000-0000-00003E140000}"/>
    <cellStyle name="20% - Accent3 4 3 2 6 3" xfId="5779" xr:uid="{00000000-0005-0000-0000-00003F140000}"/>
    <cellStyle name="20% - Accent3 4 3 2 7" xfId="5780" xr:uid="{00000000-0005-0000-0000-000040140000}"/>
    <cellStyle name="20% - Accent3 4 3 2 8" xfId="5781" xr:uid="{00000000-0005-0000-0000-000041140000}"/>
    <cellStyle name="20% - Accent3 4 3 2 9" xfId="5782" xr:uid="{00000000-0005-0000-0000-000042140000}"/>
    <cellStyle name="20% - Accent3 4 3 3" xfId="5783" xr:uid="{00000000-0005-0000-0000-000043140000}"/>
    <cellStyle name="20% - Accent3 4 3 3 2" xfId="5784" xr:uid="{00000000-0005-0000-0000-000044140000}"/>
    <cellStyle name="20% - Accent3 4 3 3 2 2" xfId="5785" xr:uid="{00000000-0005-0000-0000-000045140000}"/>
    <cellStyle name="20% - Accent3 4 3 3 2 2 2" xfId="5786" xr:uid="{00000000-0005-0000-0000-000046140000}"/>
    <cellStyle name="20% - Accent3 4 3 3 2 2 2 2" xfId="5787" xr:uid="{00000000-0005-0000-0000-000047140000}"/>
    <cellStyle name="20% - Accent3 4 3 3 2 2 2 3" xfId="5788" xr:uid="{00000000-0005-0000-0000-000048140000}"/>
    <cellStyle name="20% - Accent3 4 3 3 2 2 3" xfId="5789" xr:uid="{00000000-0005-0000-0000-000049140000}"/>
    <cellStyle name="20% - Accent3 4 3 3 2 2 4" xfId="5790" xr:uid="{00000000-0005-0000-0000-00004A140000}"/>
    <cellStyle name="20% - Accent3 4 3 3 2 2 5" xfId="5791" xr:uid="{00000000-0005-0000-0000-00004B140000}"/>
    <cellStyle name="20% - Accent3 4 3 3 2 2 6" xfId="5792" xr:uid="{00000000-0005-0000-0000-00004C140000}"/>
    <cellStyle name="20% - Accent3 4 3 3 2 3" xfId="5793" xr:uid="{00000000-0005-0000-0000-00004D140000}"/>
    <cellStyle name="20% - Accent3 4 3 3 2 3 2" xfId="5794" xr:uid="{00000000-0005-0000-0000-00004E140000}"/>
    <cellStyle name="20% - Accent3 4 3 3 2 3 3" xfId="5795" xr:uid="{00000000-0005-0000-0000-00004F140000}"/>
    <cellStyle name="20% - Accent3 4 3 3 2 4" xfId="5796" xr:uid="{00000000-0005-0000-0000-000050140000}"/>
    <cellStyle name="20% - Accent3 4 3 3 2 5" xfId="5797" xr:uid="{00000000-0005-0000-0000-000051140000}"/>
    <cellStyle name="20% - Accent3 4 3 3 2 6" xfId="5798" xr:uid="{00000000-0005-0000-0000-000052140000}"/>
    <cellStyle name="20% - Accent3 4 3 3 2 7" xfId="5799" xr:uid="{00000000-0005-0000-0000-000053140000}"/>
    <cellStyle name="20% - Accent3 4 3 3 3" xfId="5800" xr:uid="{00000000-0005-0000-0000-000054140000}"/>
    <cellStyle name="20% - Accent3 4 3 3 3 2" xfId="5801" xr:uid="{00000000-0005-0000-0000-000055140000}"/>
    <cellStyle name="20% - Accent3 4 3 3 3 2 2" xfId="5802" xr:uid="{00000000-0005-0000-0000-000056140000}"/>
    <cellStyle name="20% - Accent3 4 3 3 3 2 3" xfId="5803" xr:uid="{00000000-0005-0000-0000-000057140000}"/>
    <cellStyle name="20% - Accent3 4 3 3 3 3" xfId="5804" xr:uid="{00000000-0005-0000-0000-000058140000}"/>
    <cellStyle name="20% - Accent3 4 3 3 3 4" xfId="5805" xr:uid="{00000000-0005-0000-0000-000059140000}"/>
    <cellStyle name="20% - Accent3 4 3 3 3 5" xfId="5806" xr:uid="{00000000-0005-0000-0000-00005A140000}"/>
    <cellStyle name="20% - Accent3 4 3 3 3 6" xfId="5807" xr:uid="{00000000-0005-0000-0000-00005B140000}"/>
    <cellStyle name="20% - Accent3 4 3 3 4" xfId="5808" xr:uid="{00000000-0005-0000-0000-00005C140000}"/>
    <cellStyle name="20% - Accent3 4 3 3 4 2" xfId="5809" xr:uid="{00000000-0005-0000-0000-00005D140000}"/>
    <cellStyle name="20% - Accent3 4 3 3 4 2 2" xfId="5810" xr:uid="{00000000-0005-0000-0000-00005E140000}"/>
    <cellStyle name="20% - Accent3 4 3 3 4 2 3" xfId="5811" xr:uid="{00000000-0005-0000-0000-00005F140000}"/>
    <cellStyle name="20% - Accent3 4 3 3 4 3" xfId="5812" xr:uid="{00000000-0005-0000-0000-000060140000}"/>
    <cellStyle name="20% - Accent3 4 3 3 4 4" xfId="5813" xr:uid="{00000000-0005-0000-0000-000061140000}"/>
    <cellStyle name="20% - Accent3 4 3 3 4 5" xfId="5814" xr:uid="{00000000-0005-0000-0000-000062140000}"/>
    <cellStyle name="20% - Accent3 4 3 3 4 6" xfId="5815" xr:uid="{00000000-0005-0000-0000-000063140000}"/>
    <cellStyle name="20% - Accent3 4 3 3 5" xfId="5816" xr:uid="{00000000-0005-0000-0000-000064140000}"/>
    <cellStyle name="20% - Accent3 4 3 3 5 2" xfId="5817" xr:uid="{00000000-0005-0000-0000-000065140000}"/>
    <cellStyle name="20% - Accent3 4 3 3 5 3" xfId="5818" xr:uid="{00000000-0005-0000-0000-000066140000}"/>
    <cellStyle name="20% - Accent3 4 3 3 6" xfId="5819" xr:uid="{00000000-0005-0000-0000-000067140000}"/>
    <cellStyle name="20% - Accent3 4 3 3 7" xfId="5820" xr:uid="{00000000-0005-0000-0000-000068140000}"/>
    <cellStyle name="20% - Accent3 4 3 3 8" xfId="5821" xr:uid="{00000000-0005-0000-0000-000069140000}"/>
    <cellStyle name="20% - Accent3 4 3 3 9" xfId="5822" xr:uid="{00000000-0005-0000-0000-00006A140000}"/>
    <cellStyle name="20% - Accent3 4 3 4" xfId="5823" xr:uid="{00000000-0005-0000-0000-00006B140000}"/>
    <cellStyle name="20% - Accent3 4 3 4 2" xfId="5824" xr:uid="{00000000-0005-0000-0000-00006C140000}"/>
    <cellStyle name="20% - Accent3 4 3 4 2 2" xfId="5825" xr:uid="{00000000-0005-0000-0000-00006D140000}"/>
    <cellStyle name="20% - Accent3 4 3 4 2 2 2" xfId="5826" xr:uid="{00000000-0005-0000-0000-00006E140000}"/>
    <cellStyle name="20% - Accent3 4 3 4 2 2 3" xfId="5827" xr:uid="{00000000-0005-0000-0000-00006F140000}"/>
    <cellStyle name="20% - Accent3 4 3 4 2 3" xfId="5828" xr:uid="{00000000-0005-0000-0000-000070140000}"/>
    <cellStyle name="20% - Accent3 4 3 4 2 4" xfId="5829" xr:uid="{00000000-0005-0000-0000-000071140000}"/>
    <cellStyle name="20% - Accent3 4 3 4 2 5" xfId="5830" xr:uid="{00000000-0005-0000-0000-000072140000}"/>
    <cellStyle name="20% - Accent3 4 3 4 2 6" xfId="5831" xr:uid="{00000000-0005-0000-0000-000073140000}"/>
    <cellStyle name="20% - Accent3 4 3 4 3" xfId="5832" xr:uid="{00000000-0005-0000-0000-000074140000}"/>
    <cellStyle name="20% - Accent3 4 3 4 3 2" xfId="5833" xr:uid="{00000000-0005-0000-0000-000075140000}"/>
    <cellStyle name="20% - Accent3 4 3 4 3 3" xfId="5834" xr:uid="{00000000-0005-0000-0000-000076140000}"/>
    <cellStyle name="20% - Accent3 4 3 4 4" xfId="5835" xr:uid="{00000000-0005-0000-0000-000077140000}"/>
    <cellStyle name="20% - Accent3 4 3 4 5" xfId="5836" xr:uid="{00000000-0005-0000-0000-000078140000}"/>
    <cellStyle name="20% - Accent3 4 3 4 6" xfId="5837" xr:uid="{00000000-0005-0000-0000-000079140000}"/>
    <cellStyle name="20% - Accent3 4 3 4 7" xfId="5838" xr:uid="{00000000-0005-0000-0000-00007A140000}"/>
    <cellStyle name="20% - Accent3 4 3 5" xfId="5839" xr:uid="{00000000-0005-0000-0000-00007B140000}"/>
    <cellStyle name="20% - Accent3 4 3 5 2" xfId="5840" xr:uid="{00000000-0005-0000-0000-00007C140000}"/>
    <cellStyle name="20% - Accent3 4 3 5 2 2" xfId="5841" xr:uid="{00000000-0005-0000-0000-00007D140000}"/>
    <cellStyle name="20% - Accent3 4 3 5 2 3" xfId="5842" xr:uid="{00000000-0005-0000-0000-00007E140000}"/>
    <cellStyle name="20% - Accent3 4 3 5 3" xfId="5843" xr:uid="{00000000-0005-0000-0000-00007F140000}"/>
    <cellStyle name="20% - Accent3 4 3 5 4" xfId="5844" xr:uid="{00000000-0005-0000-0000-000080140000}"/>
    <cellStyle name="20% - Accent3 4 3 5 5" xfId="5845" xr:uid="{00000000-0005-0000-0000-000081140000}"/>
    <cellStyle name="20% - Accent3 4 3 5 6" xfId="5846" xr:uid="{00000000-0005-0000-0000-000082140000}"/>
    <cellStyle name="20% - Accent3 4 3 6" xfId="5847" xr:uid="{00000000-0005-0000-0000-000083140000}"/>
    <cellStyle name="20% - Accent3 4 3 6 2" xfId="5848" xr:uid="{00000000-0005-0000-0000-000084140000}"/>
    <cellStyle name="20% - Accent3 4 3 6 2 2" xfId="5849" xr:uid="{00000000-0005-0000-0000-000085140000}"/>
    <cellStyle name="20% - Accent3 4 3 6 2 3" xfId="5850" xr:uid="{00000000-0005-0000-0000-000086140000}"/>
    <cellStyle name="20% - Accent3 4 3 6 3" xfId="5851" xr:uid="{00000000-0005-0000-0000-000087140000}"/>
    <cellStyle name="20% - Accent3 4 3 6 4" xfId="5852" xr:uid="{00000000-0005-0000-0000-000088140000}"/>
    <cellStyle name="20% - Accent3 4 3 6 5" xfId="5853" xr:uid="{00000000-0005-0000-0000-000089140000}"/>
    <cellStyle name="20% - Accent3 4 3 6 6" xfId="5854" xr:uid="{00000000-0005-0000-0000-00008A140000}"/>
    <cellStyle name="20% - Accent3 4 3 7" xfId="5855" xr:uid="{00000000-0005-0000-0000-00008B140000}"/>
    <cellStyle name="20% - Accent3 4 3 7 2" xfId="5856" xr:uid="{00000000-0005-0000-0000-00008C140000}"/>
    <cellStyle name="20% - Accent3 4 3 7 2 2" xfId="5857" xr:uid="{00000000-0005-0000-0000-00008D140000}"/>
    <cellStyle name="20% - Accent3 4 3 7 2 3" xfId="5858" xr:uid="{00000000-0005-0000-0000-00008E140000}"/>
    <cellStyle name="20% - Accent3 4 3 7 3" xfId="5859" xr:uid="{00000000-0005-0000-0000-00008F140000}"/>
    <cellStyle name="20% - Accent3 4 3 7 4" xfId="5860" xr:uid="{00000000-0005-0000-0000-000090140000}"/>
    <cellStyle name="20% - Accent3 4 3 7 5" xfId="5861" xr:uid="{00000000-0005-0000-0000-000091140000}"/>
    <cellStyle name="20% - Accent3 4 3 7 6" xfId="5862" xr:uid="{00000000-0005-0000-0000-000092140000}"/>
    <cellStyle name="20% - Accent3 4 3 8" xfId="5863" xr:uid="{00000000-0005-0000-0000-000093140000}"/>
    <cellStyle name="20% - Accent3 4 3 8 2" xfId="5864" xr:uid="{00000000-0005-0000-0000-000094140000}"/>
    <cellStyle name="20% - Accent3 4 3 8 2 2" xfId="5865" xr:uid="{00000000-0005-0000-0000-000095140000}"/>
    <cellStyle name="20% - Accent3 4 3 8 2 3" xfId="5866" xr:uid="{00000000-0005-0000-0000-000096140000}"/>
    <cellStyle name="20% - Accent3 4 3 8 3" xfId="5867" xr:uid="{00000000-0005-0000-0000-000097140000}"/>
    <cellStyle name="20% - Accent3 4 3 8 4" xfId="5868" xr:uid="{00000000-0005-0000-0000-000098140000}"/>
    <cellStyle name="20% - Accent3 4 3 8 5" xfId="5869" xr:uid="{00000000-0005-0000-0000-000099140000}"/>
    <cellStyle name="20% - Accent3 4 3 8 6" xfId="5870" xr:uid="{00000000-0005-0000-0000-00009A140000}"/>
    <cellStyle name="20% - Accent3 4 3 9" xfId="5871" xr:uid="{00000000-0005-0000-0000-00009B140000}"/>
    <cellStyle name="20% - Accent3 4 3 9 2" xfId="5872" xr:uid="{00000000-0005-0000-0000-00009C140000}"/>
    <cellStyle name="20% - Accent3 4 3 9 3" xfId="5873" xr:uid="{00000000-0005-0000-0000-00009D140000}"/>
    <cellStyle name="20% - Accent3 4 4" xfId="5874" xr:uid="{00000000-0005-0000-0000-00009E140000}"/>
    <cellStyle name="20% - Accent3 4 4 10" xfId="5875" xr:uid="{00000000-0005-0000-0000-00009F140000}"/>
    <cellStyle name="20% - Accent3 4 4 2" xfId="5876" xr:uid="{00000000-0005-0000-0000-0000A0140000}"/>
    <cellStyle name="20% - Accent3 4 4 2 2" xfId="5877" xr:uid="{00000000-0005-0000-0000-0000A1140000}"/>
    <cellStyle name="20% - Accent3 4 4 2 2 2" xfId="5878" xr:uid="{00000000-0005-0000-0000-0000A2140000}"/>
    <cellStyle name="20% - Accent3 4 4 2 2 2 2" xfId="5879" xr:uid="{00000000-0005-0000-0000-0000A3140000}"/>
    <cellStyle name="20% - Accent3 4 4 2 2 2 3" xfId="5880" xr:uid="{00000000-0005-0000-0000-0000A4140000}"/>
    <cellStyle name="20% - Accent3 4 4 2 2 3" xfId="5881" xr:uid="{00000000-0005-0000-0000-0000A5140000}"/>
    <cellStyle name="20% - Accent3 4 4 2 2 4" xfId="5882" xr:uid="{00000000-0005-0000-0000-0000A6140000}"/>
    <cellStyle name="20% - Accent3 4 4 2 2 5" xfId="5883" xr:uid="{00000000-0005-0000-0000-0000A7140000}"/>
    <cellStyle name="20% - Accent3 4 4 2 2 6" xfId="5884" xr:uid="{00000000-0005-0000-0000-0000A8140000}"/>
    <cellStyle name="20% - Accent3 4 4 2 3" xfId="5885" xr:uid="{00000000-0005-0000-0000-0000A9140000}"/>
    <cellStyle name="20% - Accent3 4 4 2 3 2" xfId="5886" xr:uid="{00000000-0005-0000-0000-0000AA140000}"/>
    <cellStyle name="20% - Accent3 4 4 2 3 2 2" xfId="5887" xr:uid="{00000000-0005-0000-0000-0000AB140000}"/>
    <cellStyle name="20% - Accent3 4 4 2 3 2 3" xfId="5888" xr:uid="{00000000-0005-0000-0000-0000AC140000}"/>
    <cellStyle name="20% - Accent3 4 4 2 3 3" xfId="5889" xr:uid="{00000000-0005-0000-0000-0000AD140000}"/>
    <cellStyle name="20% - Accent3 4 4 2 3 4" xfId="5890" xr:uid="{00000000-0005-0000-0000-0000AE140000}"/>
    <cellStyle name="20% - Accent3 4 4 2 3 5" xfId="5891" xr:uid="{00000000-0005-0000-0000-0000AF140000}"/>
    <cellStyle name="20% - Accent3 4 4 2 3 6" xfId="5892" xr:uid="{00000000-0005-0000-0000-0000B0140000}"/>
    <cellStyle name="20% - Accent3 4 4 2 4" xfId="5893" xr:uid="{00000000-0005-0000-0000-0000B1140000}"/>
    <cellStyle name="20% - Accent3 4 4 2 4 2" xfId="5894" xr:uid="{00000000-0005-0000-0000-0000B2140000}"/>
    <cellStyle name="20% - Accent3 4 4 2 4 3" xfId="5895" xr:uid="{00000000-0005-0000-0000-0000B3140000}"/>
    <cellStyle name="20% - Accent3 4 4 2 5" xfId="5896" xr:uid="{00000000-0005-0000-0000-0000B4140000}"/>
    <cellStyle name="20% - Accent3 4 4 2 6" xfId="5897" xr:uid="{00000000-0005-0000-0000-0000B5140000}"/>
    <cellStyle name="20% - Accent3 4 4 2 7" xfId="5898" xr:uid="{00000000-0005-0000-0000-0000B6140000}"/>
    <cellStyle name="20% - Accent3 4 4 2 8" xfId="5899" xr:uid="{00000000-0005-0000-0000-0000B7140000}"/>
    <cellStyle name="20% - Accent3 4 4 3" xfId="5900" xr:uid="{00000000-0005-0000-0000-0000B8140000}"/>
    <cellStyle name="20% - Accent3 4 4 3 2" xfId="5901" xr:uid="{00000000-0005-0000-0000-0000B9140000}"/>
    <cellStyle name="20% - Accent3 4 4 3 2 2" xfId="5902" xr:uid="{00000000-0005-0000-0000-0000BA140000}"/>
    <cellStyle name="20% - Accent3 4 4 3 2 2 2" xfId="5903" xr:uid="{00000000-0005-0000-0000-0000BB140000}"/>
    <cellStyle name="20% - Accent3 4 4 3 2 2 3" xfId="5904" xr:uid="{00000000-0005-0000-0000-0000BC140000}"/>
    <cellStyle name="20% - Accent3 4 4 3 2 3" xfId="5905" xr:uid="{00000000-0005-0000-0000-0000BD140000}"/>
    <cellStyle name="20% - Accent3 4 4 3 2 4" xfId="5906" xr:uid="{00000000-0005-0000-0000-0000BE140000}"/>
    <cellStyle name="20% - Accent3 4 4 3 2 5" xfId="5907" xr:uid="{00000000-0005-0000-0000-0000BF140000}"/>
    <cellStyle name="20% - Accent3 4 4 3 2 6" xfId="5908" xr:uid="{00000000-0005-0000-0000-0000C0140000}"/>
    <cellStyle name="20% - Accent3 4 4 3 3" xfId="5909" xr:uid="{00000000-0005-0000-0000-0000C1140000}"/>
    <cellStyle name="20% - Accent3 4 4 3 3 2" xfId="5910" xr:uid="{00000000-0005-0000-0000-0000C2140000}"/>
    <cellStyle name="20% - Accent3 4 4 3 3 3" xfId="5911" xr:uid="{00000000-0005-0000-0000-0000C3140000}"/>
    <cellStyle name="20% - Accent3 4 4 3 4" xfId="5912" xr:uid="{00000000-0005-0000-0000-0000C4140000}"/>
    <cellStyle name="20% - Accent3 4 4 3 5" xfId="5913" xr:uid="{00000000-0005-0000-0000-0000C5140000}"/>
    <cellStyle name="20% - Accent3 4 4 3 6" xfId="5914" xr:uid="{00000000-0005-0000-0000-0000C6140000}"/>
    <cellStyle name="20% - Accent3 4 4 3 7" xfId="5915" xr:uid="{00000000-0005-0000-0000-0000C7140000}"/>
    <cellStyle name="20% - Accent3 4 4 4" xfId="5916" xr:uid="{00000000-0005-0000-0000-0000C8140000}"/>
    <cellStyle name="20% - Accent3 4 4 4 2" xfId="5917" xr:uid="{00000000-0005-0000-0000-0000C9140000}"/>
    <cellStyle name="20% - Accent3 4 4 4 2 2" xfId="5918" xr:uid="{00000000-0005-0000-0000-0000CA140000}"/>
    <cellStyle name="20% - Accent3 4 4 4 2 3" xfId="5919" xr:uid="{00000000-0005-0000-0000-0000CB140000}"/>
    <cellStyle name="20% - Accent3 4 4 4 3" xfId="5920" xr:uid="{00000000-0005-0000-0000-0000CC140000}"/>
    <cellStyle name="20% - Accent3 4 4 4 4" xfId="5921" xr:uid="{00000000-0005-0000-0000-0000CD140000}"/>
    <cellStyle name="20% - Accent3 4 4 4 5" xfId="5922" xr:uid="{00000000-0005-0000-0000-0000CE140000}"/>
    <cellStyle name="20% - Accent3 4 4 4 6" xfId="5923" xr:uid="{00000000-0005-0000-0000-0000CF140000}"/>
    <cellStyle name="20% - Accent3 4 4 5" xfId="5924" xr:uid="{00000000-0005-0000-0000-0000D0140000}"/>
    <cellStyle name="20% - Accent3 4 4 5 2" xfId="5925" xr:uid="{00000000-0005-0000-0000-0000D1140000}"/>
    <cellStyle name="20% - Accent3 4 4 5 2 2" xfId="5926" xr:uid="{00000000-0005-0000-0000-0000D2140000}"/>
    <cellStyle name="20% - Accent3 4 4 5 2 3" xfId="5927" xr:uid="{00000000-0005-0000-0000-0000D3140000}"/>
    <cellStyle name="20% - Accent3 4 4 5 3" xfId="5928" xr:uid="{00000000-0005-0000-0000-0000D4140000}"/>
    <cellStyle name="20% - Accent3 4 4 5 4" xfId="5929" xr:uid="{00000000-0005-0000-0000-0000D5140000}"/>
    <cellStyle name="20% - Accent3 4 4 5 5" xfId="5930" xr:uid="{00000000-0005-0000-0000-0000D6140000}"/>
    <cellStyle name="20% - Accent3 4 4 5 6" xfId="5931" xr:uid="{00000000-0005-0000-0000-0000D7140000}"/>
    <cellStyle name="20% - Accent3 4 4 6" xfId="5932" xr:uid="{00000000-0005-0000-0000-0000D8140000}"/>
    <cellStyle name="20% - Accent3 4 4 6 2" xfId="5933" xr:uid="{00000000-0005-0000-0000-0000D9140000}"/>
    <cellStyle name="20% - Accent3 4 4 6 3" xfId="5934" xr:uid="{00000000-0005-0000-0000-0000DA140000}"/>
    <cellStyle name="20% - Accent3 4 4 7" xfId="5935" xr:uid="{00000000-0005-0000-0000-0000DB140000}"/>
    <cellStyle name="20% - Accent3 4 4 8" xfId="5936" xr:uid="{00000000-0005-0000-0000-0000DC140000}"/>
    <cellStyle name="20% - Accent3 4 4 9" xfId="5937" xr:uid="{00000000-0005-0000-0000-0000DD140000}"/>
    <cellStyle name="20% - Accent3 4 5" xfId="5938" xr:uid="{00000000-0005-0000-0000-0000DE140000}"/>
    <cellStyle name="20% - Accent3 4 5 2" xfId="5939" xr:uid="{00000000-0005-0000-0000-0000DF140000}"/>
    <cellStyle name="20% - Accent3 4 5 2 2" xfId="5940" xr:uid="{00000000-0005-0000-0000-0000E0140000}"/>
    <cellStyle name="20% - Accent3 4 5 2 2 2" xfId="5941" xr:uid="{00000000-0005-0000-0000-0000E1140000}"/>
    <cellStyle name="20% - Accent3 4 5 2 2 2 2" xfId="5942" xr:uid="{00000000-0005-0000-0000-0000E2140000}"/>
    <cellStyle name="20% - Accent3 4 5 2 2 2 3" xfId="5943" xr:uid="{00000000-0005-0000-0000-0000E3140000}"/>
    <cellStyle name="20% - Accent3 4 5 2 2 3" xfId="5944" xr:uid="{00000000-0005-0000-0000-0000E4140000}"/>
    <cellStyle name="20% - Accent3 4 5 2 2 4" xfId="5945" xr:uid="{00000000-0005-0000-0000-0000E5140000}"/>
    <cellStyle name="20% - Accent3 4 5 2 2 5" xfId="5946" xr:uid="{00000000-0005-0000-0000-0000E6140000}"/>
    <cellStyle name="20% - Accent3 4 5 2 2 6" xfId="5947" xr:uid="{00000000-0005-0000-0000-0000E7140000}"/>
    <cellStyle name="20% - Accent3 4 5 2 3" xfId="5948" xr:uid="{00000000-0005-0000-0000-0000E8140000}"/>
    <cellStyle name="20% - Accent3 4 5 2 3 2" xfId="5949" xr:uid="{00000000-0005-0000-0000-0000E9140000}"/>
    <cellStyle name="20% - Accent3 4 5 2 3 3" xfId="5950" xr:uid="{00000000-0005-0000-0000-0000EA140000}"/>
    <cellStyle name="20% - Accent3 4 5 2 4" xfId="5951" xr:uid="{00000000-0005-0000-0000-0000EB140000}"/>
    <cellStyle name="20% - Accent3 4 5 2 5" xfId="5952" xr:uid="{00000000-0005-0000-0000-0000EC140000}"/>
    <cellStyle name="20% - Accent3 4 5 2 6" xfId="5953" xr:uid="{00000000-0005-0000-0000-0000ED140000}"/>
    <cellStyle name="20% - Accent3 4 5 2 7" xfId="5954" xr:uid="{00000000-0005-0000-0000-0000EE140000}"/>
    <cellStyle name="20% - Accent3 4 5 3" xfId="5955" xr:uid="{00000000-0005-0000-0000-0000EF140000}"/>
    <cellStyle name="20% - Accent3 4 5 3 2" xfId="5956" xr:uid="{00000000-0005-0000-0000-0000F0140000}"/>
    <cellStyle name="20% - Accent3 4 5 3 2 2" xfId="5957" xr:uid="{00000000-0005-0000-0000-0000F1140000}"/>
    <cellStyle name="20% - Accent3 4 5 3 2 3" xfId="5958" xr:uid="{00000000-0005-0000-0000-0000F2140000}"/>
    <cellStyle name="20% - Accent3 4 5 3 3" xfId="5959" xr:uid="{00000000-0005-0000-0000-0000F3140000}"/>
    <cellStyle name="20% - Accent3 4 5 3 4" xfId="5960" xr:uid="{00000000-0005-0000-0000-0000F4140000}"/>
    <cellStyle name="20% - Accent3 4 5 3 5" xfId="5961" xr:uid="{00000000-0005-0000-0000-0000F5140000}"/>
    <cellStyle name="20% - Accent3 4 5 3 6" xfId="5962" xr:uid="{00000000-0005-0000-0000-0000F6140000}"/>
    <cellStyle name="20% - Accent3 4 5 4" xfId="5963" xr:uid="{00000000-0005-0000-0000-0000F7140000}"/>
    <cellStyle name="20% - Accent3 4 5 4 2" xfId="5964" xr:uid="{00000000-0005-0000-0000-0000F8140000}"/>
    <cellStyle name="20% - Accent3 4 5 4 2 2" xfId="5965" xr:uid="{00000000-0005-0000-0000-0000F9140000}"/>
    <cellStyle name="20% - Accent3 4 5 4 2 3" xfId="5966" xr:uid="{00000000-0005-0000-0000-0000FA140000}"/>
    <cellStyle name="20% - Accent3 4 5 4 3" xfId="5967" xr:uid="{00000000-0005-0000-0000-0000FB140000}"/>
    <cellStyle name="20% - Accent3 4 5 4 4" xfId="5968" xr:uid="{00000000-0005-0000-0000-0000FC140000}"/>
    <cellStyle name="20% - Accent3 4 5 4 5" xfId="5969" xr:uid="{00000000-0005-0000-0000-0000FD140000}"/>
    <cellStyle name="20% - Accent3 4 5 4 6" xfId="5970" xr:uid="{00000000-0005-0000-0000-0000FE140000}"/>
    <cellStyle name="20% - Accent3 4 5 5" xfId="5971" xr:uid="{00000000-0005-0000-0000-0000FF140000}"/>
    <cellStyle name="20% - Accent3 4 5 5 2" xfId="5972" xr:uid="{00000000-0005-0000-0000-000000150000}"/>
    <cellStyle name="20% - Accent3 4 5 5 3" xfId="5973" xr:uid="{00000000-0005-0000-0000-000001150000}"/>
    <cellStyle name="20% - Accent3 4 5 6" xfId="5974" xr:uid="{00000000-0005-0000-0000-000002150000}"/>
    <cellStyle name="20% - Accent3 4 5 7" xfId="5975" xr:uid="{00000000-0005-0000-0000-000003150000}"/>
    <cellStyle name="20% - Accent3 4 5 8" xfId="5976" xr:uid="{00000000-0005-0000-0000-000004150000}"/>
    <cellStyle name="20% - Accent3 4 5 9" xfId="5977" xr:uid="{00000000-0005-0000-0000-000005150000}"/>
    <cellStyle name="20% - Accent3 4 6" xfId="5978" xr:uid="{00000000-0005-0000-0000-000006150000}"/>
    <cellStyle name="20% - Accent3 4 6 2" xfId="5979" xr:uid="{00000000-0005-0000-0000-000007150000}"/>
    <cellStyle name="20% - Accent3 4 6 2 2" xfId="5980" xr:uid="{00000000-0005-0000-0000-000008150000}"/>
    <cellStyle name="20% - Accent3 4 6 2 2 2" xfId="5981" xr:uid="{00000000-0005-0000-0000-000009150000}"/>
    <cellStyle name="20% - Accent3 4 6 2 2 3" xfId="5982" xr:uid="{00000000-0005-0000-0000-00000A150000}"/>
    <cellStyle name="20% - Accent3 4 6 2 3" xfId="5983" xr:uid="{00000000-0005-0000-0000-00000B150000}"/>
    <cellStyle name="20% - Accent3 4 6 2 4" xfId="5984" xr:uid="{00000000-0005-0000-0000-00000C150000}"/>
    <cellStyle name="20% - Accent3 4 6 2 5" xfId="5985" xr:uid="{00000000-0005-0000-0000-00000D150000}"/>
    <cellStyle name="20% - Accent3 4 6 2 6" xfId="5986" xr:uid="{00000000-0005-0000-0000-00000E150000}"/>
    <cellStyle name="20% - Accent3 4 6 3" xfId="5987" xr:uid="{00000000-0005-0000-0000-00000F150000}"/>
    <cellStyle name="20% - Accent3 4 6 3 2" xfId="5988" xr:uid="{00000000-0005-0000-0000-000010150000}"/>
    <cellStyle name="20% - Accent3 4 6 3 3" xfId="5989" xr:uid="{00000000-0005-0000-0000-000011150000}"/>
    <cellStyle name="20% - Accent3 4 6 4" xfId="5990" xr:uid="{00000000-0005-0000-0000-000012150000}"/>
    <cellStyle name="20% - Accent3 4 6 5" xfId="5991" xr:uid="{00000000-0005-0000-0000-000013150000}"/>
    <cellStyle name="20% - Accent3 4 6 6" xfId="5992" xr:uid="{00000000-0005-0000-0000-000014150000}"/>
    <cellStyle name="20% - Accent3 4 6 7" xfId="5993" xr:uid="{00000000-0005-0000-0000-000015150000}"/>
    <cellStyle name="20% - Accent3 4 7" xfId="5994" xr:uid="{00000000-0005-0000-0000-000016150000}"/>
    <cellStyle name="20% - Accent3 4 7 2" xfId="5995" xr:uid="{00000000-0005-0000-0000-000017150000}"/>
    <cellStyle name="20% - Accent3 4 7 2 2" xfId="5996" xr:uid="{00000000-0005-0000-0000-000018150000}"/>
    <cellStyle name="20% - Accent3 4 7 2 3" xfId="5997" xr:uid="{00000000-0005-0000-0000-000019150000}"/>
    <cellStyle name="20% - Accent3 4 7 3" xfId="5998" xr:uid="{00000000-0005-0000-0000-00001A150000}"/>
    <cellStyle name="20% - Accent3 4 7 4" xfId="5999" xr:uid="{00000000-0005-0000-0000-00001B150000}"/>
    <cellStyle name="20% - Accent3 4 7 5" xfId="6000" xr:uid="{00000000-0005-0000-0000-00001C150000}"/>
    <cellStyle name="20% - Accent3 4 7 6" xfId="6001" xr:uid="{00000000-0005-0000-0000-00001D150000}"/>
    <cellStyle name="20% - Accent3 4 8" xfId="6002" xr:uid="{00000000-0005-0000-0000-00001E150000}"/>
    <cellStyle name="20% - Accent3 4 8 2" xfId="6003" xr:uid="{00000000-0005-0000-0000-00001F150000}"/>
    <cellStyle name="20% - Accent3 4 8 2 2" xfId="6004" xr:uid="{00000000-0005-0000-0000-000020150000}"/>
    <cellStyle name="20% - Accent3 4 8 2 3" xfId="6005" xr:uid="{00000000-0005-0000-0000-000021150000}"/>
    <cellStyle name="20% - Accent3 4 8 3" xfId="6006" xr:uid="{00000000-0005-0000-0000-000022150000}"/>
    <cellStyle name="20% - Accent3 4 8 4" xfId="6007" xr:uid="{00000000-0005-0000-0000-000023150000}"/>
    <cellStyle name="20% - Accent3 4 8 5" xfId="6008" xr:uid="{00000000-0005-0000-0000-000024150000}"/>
    <cellStyle name="20% - Accent3 4 8 6" xfId="6009" xr:uid="{00000000-0005-0000-0000-000025150000}"/>
    <cellStyle name="20% - Accent3 4 9" xfId="6010" xr:uid="{00000000-0005-0000-0000-000026150000}"/>
    <cellStyle name="20% - Accent3 4 9 2" xfId="6011" xr:uid="{00000000-0005-0000-0000-000027150000}"/>
    <cellStyle name="20% - Accent3 4 9 2 2" xfId="6012" xr:uid="{00000000-0005-0000-0000-000028150000}"/>
    <cellStyle name="20% - Accent3 4 9 2 3" xfId="6013" xr:uid="{00000000-0005-0000-0000-000029150000}"/>
    <cellStyle name="20% - Accent3 4 9 3" xfId="6014" xr:uid="{00000000-0005-0000-0000-00002A150000}"/>
    <cellStyle name="20% - Accent3 4 9 4" xfId="6015" xr:uid="{00000000-0005-0000-0000-00002B150000}"/>
    <cellStyle name="20% - Accent3 4 9 5" xfId="6016" xr:uid="{00000000-0005-0000-0000-00002C150000}"/>
    <cellStyle name="20% - Accent3 4 9 6" xfId="6017" xr:uid="{00000000-0005-0000-0000-00002D150000}"/>
    <cellStyle name="20% - Accent3 5" xfId="6018" xr:uid="{00000000-0005-0000-0000-00002E150000}"/>
    <cellStyle name="20% - Accent3 5 10" xfId="6019" xr:uid="{00000000-0005-0000-0000-00002F150000}"/>
    <cellStyle name="20% - Accent3 5 11" xfId="6020" xr:uid="{00000000-0005-0000-0000-000030150000}"/>
    <cellStyle name="20% - Accent3 5 12" xfId="6021" xr:uid="{00000000-0005-0000-0000-000031150000}"/>
    <cellStyle name="20% - Accent3 5 13" xfId="6022" xr:uid="{00000000-0005-0000-0000-000032150000}"/>
    <cellStyle name="20% - Accent3 5 2" xfId="6023" xr:uid="{00000000-0005-0000-0000-000033150000}"/>
    <cellStyle name="20% - Accent3 5 2 10" xfId="6024" xr:uid="{00000000-0005-0000-0000-000034150000}"/>
    <cellStyle name="20% - Accent3 5 2 2" xfId="6025" xr:uid="{00000000-0005-0000-0000-000035150000}"/>
    <cellStyle name="20% - Accent3 5 2 2 2" xfId="6026" xr:uid="{00000000-0005-0000-0000-000036150000}"/>
    <cellStyle name="20% - Accent3 5 2 2 2 2" xfId="6027" xr:uid="{00000000-0005-0000-0000-000037150000}"/>
    <cellStyle name="20% - Accent3 5 2 2 2 2 2" xfId="6028" xr:uid="{00000000-0005-0000-0000-000038150000}"/>
    <cellStyle name="20% - Accent3 5 2 2 2 2 3" xfId="6029" xr:uid="{00000000-0005-0000-0000-000039150000}"/>
    <cellStyle name="20% - Accent3 5 2 2 2 3" xfId="6030" xr:uid="{00000000-0005-0000-0000-00003A150000}"/>
    <cellStyle name="20% - Accent3 5 2 2 2 4" xfId="6031" xr:uid="{00000000-0005-0000-0000-00003B150000}"/>
    <cellStyle name="20% - Accent3 5 2 2 2 5" xfId="6032" xr:uid="{00000000-0005-0000-0000-00003C150000}"/>
    <cellStyle name="20% - Accent3 5 2 2 2 6" xfId="6033" xr:uid="{00000000-0005-0000-0000-00003D150000}"/>
    <cellStyle name="20% - Accent3 5 2 2 3" xfId="6034" xr:uid="{00000000-0005-0000-0000-00003E150000}"/>
    <cellStyle name="20% - Accent3 5 2 2 3 2" xfId="6035" xr:uid="{00000000-0005-0000-0000-00003F150000}"/>
    <cellStyle name="20% - Accent3 5 2 2 3 2 2" xfId="6036" xr:uid="{00000000-0005-0000-0000-000040150000}"/>
    <cellStyle name="20% - Accent3 5 2 2 3 2 3" xfId="6037" xr:uid="{00000000-0005-0000-0000-000041150000}"/>
    <cellStyle name="20% - Accent3 5 2 2 3 3" xfId="6038" xr:uid="{00000000-0005-0000-0000-000042150000}"/>
    <cellStyle name="20% - Accent3 5 2 2 3 4" xfId="6039" xr:uid="{00000000-0005-0000-0000-000043150000}"/>
    <cellStyle name="20% - Accent3 5 2 2 3 5" xfId="6040" xr:uid="{00000000-0005-0000-0000-000044150000}"/>
    <cellStyle name="20% - Accent3 5 2 2 3 6" xfId="6041" xr:uid="{00000000-0005-0000-0000-000045150000}"/>
    <cellStyle name="20% - Accent3 5 2 2 4" xfId="6042" xr:uid="{00000000-0005-0000-0000-000046150000}"/>
    <cellStyle name="20% - Accent3 5 2 2 4 2" xfId="6043" xr:uid="{00000000-0005-0000-0000-000047150000}"/>
    <cellStyle name="20% - Accent3 5 2 2 4 3" xfId="6044" xr:uid="{00000000-0005-0000-0000-000048150000}"/>
    <cellStyle name="20% - Accent3 5 2 2 5" xfId="6045" xr:uid="{00000000-0005-0000-0000-000049150000}"/>
    <cellStyle name="20% - Accent3 5 2 2 6" xfId="6046" xr:uid="{00000000-0005-0000-0000-00004A150000}"/>
    <cellStyle name="20% - Accent3 5 2 2 7" xfId="6047" xr:uid="{00000000-0005-0000-0000-00004B150000}"/>
    <cellStyle name="20% - Accent3 5 2 2 8" xfId="6048" xr:uid="{00000000-0005-0000-0000-00004C150000}"/>
    <cellStyle name="20% - Accent3 5 2 3" xfId="6049" xr:uid="{00000000-0005-0000-0000-00004D150000}"/>
    <cellStyle name="20% - Accent3 5 2 3 2" xfId="6050" xr:uid="{00000000-0005-0000-0000-00004E150000}"/>
    <cellStyle name="20% - Accent3 5 2 3 2 2" xfId="6051" xr:uid="{00000000-0005-0000-0000-00004F150000}"/>
    <cellStyle name="20% - Accent3 5 2 3 2 2 2" xfId="6052" xr:uid="{00000000-0005-0000-0000-000050150000}"/>
    <cellStyle name="20% - Accent3 5 2 3 2 2 3" xfId="6053" xr:uid="{00000000-0005-0000-0000-000051150000}"/>
    <cellStyle name="20% - Accent3 5 2 3 2 3" xfId="6054" xr:uid="{00000000-0005-0000-0000-000052150000}"/>
    <cellStyle name="20% - Accent3 5 2 3 2 4" xfId="6055" xr:uid="{00000000-0005-0000-0000-000053150000}"/>
    <cellStyle name="20% - Accent3 5 2 3 2 5" xfId="6056" xr:uid="{00000000-0005-0000-0000-000054150000}"/>
    <cellStyle name="20% - Accent3 5 2 3 2 6" xfId="6057" xr:uid="{00000000-0005-0000-0000-000055150000}"/>
    <cellStyle name="20% - Accent3 5 2 3 3" xfId="6058" xr:uid="{00000000-0005-0000-0000-000056150000}"/>
    <cellStyle name="20% - Accent3 5 2 3 3 2" xfId="6059" xr:uid="{00000000-0005-0000-0000-000057150000}"/>
    <cellStyle name="20% - Accent3 5 2 3 3 3" xfId="6060" xr:uid="{00000000-0005-0000-0000-000058150000}"/>
    <cellStyle name="20% - Accent3 5 2 3 4" xfId="6061" xr:uid="{00000000-0005-0000-0000-000059150000}"/>
    <cellStyle name="20% - Accent3 5 2 3 5" xfId="6062" xr:uid="{00000000-0005-0000-0000-00005A150000}"/>
    <cellStyle name="20% - Accent3 5 2 3 6" xfId="6063" xr:uid="{00000000-0005-0000-0000-00005B150000}"/>
    <cellStyle name="20% - Accent3 5 2 3 7" xfId="6064" xr:uid="{00000000-0005-0000-0000-00005C150000}"/>
    <cellStyle name="20% - Accent3 5 2 4" xfId="6065" xr:uid="{00000000-0005-0000-0000-00005D150000}"/>
    <cellStyle name="20% - Accent3 5 2 4 2" xfId="6066" xr:uid="{00000000-0005-0000-0000-00005E150000}"/>
    <cellStyle name="20% - Accent3 5 2 4 2 2" xfId="6067" xr:uid="{00000000-0005-0000-0000-00005F150000}"/>
    <cellStyle name="20% - Accent3 5 2 4 2 3" xfId="6068" xr:uid="{00000000-0005-0000-0000-000060150000}"/>
    <cellStyle name="20% - Accent3 5 2 4 3" xfId="6069" xr:uid="{00000000-0005-0000-0000-000061150000}"/>
    <cellStyle name="20% - Accent3 5 2 4 4" xfId="6070" xr:uid="{00000000-0005-0000-0000-000062150000}"/>
    <cellStyle name="20% - Accent3 5 2 4 5" xfId="6071" xr:uid="{00000000-0005-0000-0000-000063150000}"/>
    <cellStyle name="20% - Accent3 5 2 4 6" xfId="6072" xr:uid="{00000000-0005-0000-0000-000064150000}"/>
    <cellStyle name="20% - Accent3 5 2 5" xfId="6073" xr:uid="{00000000-0005-0000-0000-000065150000}"/>
    <cellStyle name="20% - Accent3 5 2 5 2" xfId="6074" xr:uid="{00000000-0005-0000-0000-000066150000}"/>
    <cellStyle name="20% - Accent3 5 2 5 2 2" xfId="6075" xr:uid="{00000000-0005-0000-0000-000067150000}"/>
    <cellStyle name="20% - Accent3 5 2 5 2 3" xfId="6076" xr:uid="{00000000-0005-0000-0000-000068150000}"/>
    <cellStyle name="20% - Accent3 5 2 5 3" xfId="6077" xr:uid="{00000000-0005-0000-0000-000069150000}"/>
    <cellStyle name="20% - Accent3 5 2 5 4" xfId="6078" xr:uid="{00000000-0005-0000-0000-00006A150000}"/>
    <cellStyle name="20% - Accent3 5 2 5 5" xfId="6079" xr:uid="{00000000-0005-0000-0000-00006B150000}"/>
    <cellStyle name="20% - Accent3 5 2 5 6" xfId="6080" xr:uid="{00000000-0005-0000-0000-00006C150000}"/>
    <cellStyle name="20% - Accent3 5 2 6" xfId="6081" xr:uid="{00000000-0005-0000-0000-00006D150000}"/>
    <cellStyle name="20% - Accent3 5 2 6 2" xfId="6082" xr:uid="{00000000-0005-0000-0000-00006E150000}"/>
    <cellStyle name="20% - Accent3 5 2 6 3" xfId="6083" xr:uid="{00000000-0005-0000-0000-00006F150000}"/>
    <cellStyle name="20% - Accent3 5 2 7" xfId="6084" xr:uid="{00000000-0005-0000-0000-000070150000}"/>
    <cellStyle name="20% - Accent3 5 2 8" xfId="6085" xr:uid="{00000000-0005-0000-0000-000071150000}"/>
    <cellStyle name="20% - Accent3 5 2 9" xfId="6086" xr:uid="{00000000-0005-0000-0000-000072150000}"/>
    <cellStyle name="20% - Accent3 5 3" xfId="6087" xr:uid="{00000000-0005-0000-0000-000073150000}"/>
    <cellStyle name="20% - Accent3 5 3 2" xfId="6088" xr:uid="{00000000-0005-0000-0000-000074150000}"/>
    <cellStyle name="20% - Accent3 5 3 2 2" xfId="6089" xr:uid="{00000000-0005-0000-0000-000075150000}"/>
    <cellStyle name="20% - Accent3 5 3 2 2 2" xfId="6090" xr:uid="{00000000-0005-0000-0000-000076150000}"/>
    <cellStyle name="20% - Accent3 5 3 2 2 2 2" xfId="6091" xr:uid="{00000000-0005-0000-0000-000077150000}"/>
    <cellStyle name="20% - Accent3 5 3 2 2 2 3" xfId="6092" xr:uid="{00000000-0005-0000-0000-000078150000}"/>
    <cellStyle name="20% - Accent3 5 3 2 2 3" xfId="6093" xr:uid="{00000000-0005-0000-0000-000079150000}"/>
    <cellStyle name="20% - Accent3 5 3 2 2 4" xfId="6094" xr:uid="{00000000-0005-0000-0000-00007A150000}"/>
    <cellStyle name="20% - Accent3 5 3 2 2 5" xfId="6095" xr:uid="{00000000-0005-0000-0000-00007B150000}"/>
    <cellStyle name="20% - Accent3 5 3 2 2 6" xfId="6096" xr:uid="{00000000-0005-0000-0000-00007C150000}"/>
    <cellStyle name="20% - Accent3 5 3 2 3" xfId="6097" xr:uid="{00000000-0005-0000-0000-00007D150000}"/>
    <cellStyle name="20% - Accent3 5 3 2 3 2" xfId="6098" xr:uid="{00000000-0005-0000-0000-00007E150000}"/>
    <cellStyle name="20% - Accent3 5 3 2 3 3" xfId="6099" xr:uid="{00000000-0005-0000-0000-00007F150000}"/>
    <cellStyle name="20% - Accent3 5 3 2 4" xfId="6100" xr:uid="{00000000-0005-0000-0000-000080150000}"/>
    <cellStyle name="20% - Accent3 5 3 2 5" xfId="6101" xr:uid="{00000000-0005-0000-0000-000081150000}"/>
    <cellStyle name="20% - Accent3 5 3 2 6" xfId="6102" xr:uid="{00000000-0005-0000-0000-000082150000}"/>
    <cellStyle name="20% - Accent3 5 3 2 7" xfId="6103" xr:uid="{00000000-0005-0000-0000-000083150000}"/>
    <cellStyle name="20% - Accent3 5 3 3" xfId="6104" xr:uid="{00000000-0005-0000-0000-000084150000}"/>
    <cellStyle name="20% - Accent3 5 3 3 2" xfId="6105" xr:uid="{00000000-0005-0000-0000-000085150000}"/>
    <cellStyle name="20% - Accent3 5 3 3 2 2" xfId="6106" xr:uid="{00000000-0005-0000-0000-000086150000}"/>
    <cellStyle name="20% - Accent3 5 3 3 2 3" xfId="6107" xr:uid="{00000000-0005-0000-0000-000087150000}"/>
    <cellStyle name="20% - Accent3 5 3 3 3" xfId="6108" xr:uid="{00000000-0005-0000-0000-000088150000}"/>
    <cellStyle name="20% - Accent3 5 3 3 4" xfId="6109" xr:uid="{00000000-0005-0000-0000-000089150000}"/>
    <cellStyle name="20% - Accent3 5 3 3 5" xfId="6110" xr:uid="{00000000-0005-0000-0000-00008A150000}"/>
    <cellStyle name="20% - Accent3 5 3 3 6" xfId="6111" xr:uid="{00000000-0005-0000-0000-00008B150000}"/>
    <cellStyle name="20% - Accent3 5 3 4" xfId="6112" xr:uid="{00000000-0005-0000-0000-00008C150000}"/>
    <cellStyle name="20% - Accent3 5 3 4 2" xfId="6113" xr:uid="{00000000-0005-0000-0000-00008D150000}"/>
    <cellStyle name="20% - Accent3 5 3 4 2 2" xfId="6114" xr:uid="{00000000-0005-0000-0000-00008E150000}"/>
    <cellStyle name="20% - Accent3 5 3 4 2 3" xfId="6115" xr:uid="{00000000-0005-0000-0000-00008F150000}"/>
    <cellStyle name="20% - Accent3 5 3 4 3" xfId="6116" xr:uid="{00000000-0005-0000-0000-000090150000}"/>
    <cellStyle name="20% - Accent3 5 3 4 4" xfId="6117" xr:uid="{00000000-0005-0000-0000-000091150000}"/>
    <cellStyle name="20% - Accent3 5 3 4 5" xfId="6118" xr:uid="{00000000-0005-0000-0000-000092150000}"/>
    <cellStyle name="20% - Accent3 5 3 4 6" xfId="6119" xr:uid="{00000000-0005-0000-0000-000093150000}"/>
    <cellStyle name="20% - Accent3 5 3 5" xfId="6120" xr:uid="{00000000-0005-0000-0000-000094150000}"/>
    <cellStyle name="20% - Accent3 5 3 5 2" xfId="6121" xr:uid="{00000000-0005-0000-0000-000095150000}"/>
    <cellStyle name="20% - Accent3 5 3 5 3" xfId="6122" xr:uid="{00000000-0005-0000-0000-000096150000}"/>
    <cellStyle name="20% - Accent3 5 3 6" xfId="6123" xr:uid="{00000000-0005-0000-0000-000097150000}"/>
    <cellStyle name="20% - Accent3 5 3 7" xfId="6124" xr:uid="{00000000-0005-0000-0000-000098150000}"/>
    <cellStyle name="20% - Accent3 5 3 8" xfId="6125" xr:uid="{00000000-0005-0000-0000-000099150000}"/>
    <cellStyle name="20% - Accent3 5 3 9" xfId="6126" xr:uid="{00000000-0005-0000-0000-00009A150000}"/>
    <cellStyle name="20% - Accent3 5 4" xfId="6127" xr:uid="{00000000-0005-0000-0000-00009B150000}"/>
    <cellStyle name="20% - Accent3 5 4 2" xfId="6128" xr:uid="{00000000-0005-0000-0000-00009C150000}"/>
    <cellStyle name="20% - Accent3 5 4 2 2" xfId="6129" xr:uid="{00000000-0005-0000-0000-00009D150000}"/>
    <cellStyle name="20% - Accent3 5 4 2 2 2" xfId="6130" xr:uid="{00000000-0005-0000-0000-00009E150000}"/>
    <cellStyle name="20% - Accent3 5 4 2 2 3" xfId="6131" xr:uid="{00000000-0005-0000-0000-00009F150000}"/>
    <cellStyle name="20% - Accent3 5 4 2 3" xfId="6132" xr:uid="{00000000-0005-0000-0000-0000A0150000}"/>
    <cellStyle name="20% - Accent3 5 4 2 4" xfId="6133" xr:uid="{00000000-0005-0000-0000-0000A1150000}"/>
    <cellStyle name="20% - Accent3 5 4 2 5" xfId="6134" xr:uid="{00000000-0005-0000-0000-0000A2150000}"/>
    <cellStyle name="20% - Accent3 5 4 2 6" xfId="6135" xr:uid="{00000000-0005-0000-0000-0000A3150000}"/>
    <cellStyle name="20% - Accent3 5 4 3" xfId="6136" xr:uid="{00000000-0005-0000-0000-0000A4150000}"/>
    <cellStyle name="20% - Accent3 5 4 3 2" xfId="6137" xr:uid="{00000000-0005-0000-0000-0000A5150000}"/>
    <cellStyle name="20% - Accent3 5 4 3 3" xfId="6138" xr:uid="{00000000-0005-0000-0000-0000A6150000}"/>
    <cellStyle name="20% - Accent3 5 4 4" xfId="6139" xr:uid="{00000000-0005-0000-0000-0000A7150000}"/>
    <cellStyle name="20% - Accent3 5 4 5" xfId="6140" xr:uid="{00000000-0005-0000-0000-0000A8150000}"/>
    <cellStyle name="20% - Accent3 5 4 6" xfId="6141" xr:uid="{00000000-0005-0000-0000-0000A9150000}"/>
    <cellStyle name="20% - Accent3 5 4 7" xfId="6142" xr:uid="{00000000-0005-0000-0000-0000AA150000}"/>
    <cellStyle name="20% - Accent3 5 5" xfId="6143" xr:uid="{00000000-0005-0000-0000-0000AB150000}"/>
    <cellStyle name="20% - Accent3 5 5 2" xfId="6144" xr:uid="{00000000-0005-0000-0000-0000AC150000}"/>
    <cellStyle name="20% - Accent3 5 5 2 2" xfId="6145" xr:uid="{00000000-0005-0000-0000-0000AD150000}"/>
    <cellStyle name="20% - Accent3 5 5 2 3" xfId="6146" xr:uid="{00000000-0005-0000-0000-0000AE150000}"/>
    <cellStyle name="20% - Accent3 5 5 3" xfId="6147" xr:uid="{00000000-0005-0000-0000-0000AF150000}"/>
    <cellStyle name="20% - Accent3 5 5 4" xfId="6148" xr:uid="{00000000-0005-0000-0000-0000B0150000}"/>
    <cellStyle name="20% - Accent3 5 5 5" xfId="6149" xr:uid="{00000000-0005-0000-0000-0000B1150000}"/>
    <cellStyle name="20% - Accent3 5 5 6" xfId="6150" xr:uid="{00000000-0005-0000-0000-0000B2150000}"/>
    <cellStyle name="20% - Accent3 5 6" xfId="6151" xr:uid="{00000000-0005-0000-0000-0000B3150000}"/>
    <cellStyle name="20% - Accent3 5 6 2" xfId="6152" xr:uid="{00000000-0005-0000-0000-0000B4150000}"/>
    <cellStyle name="20% - Accent3 5 6 2 2" xfId="6153" xr:uid="{00000000-0005-0000-0000-0000B5150000}"/>
    <cellStyle name="20% - Accent3 5 6 2 3" xfId="6154" xr:uid="{00000000-0005-0000-0000-0000B6150000}"/>
    <cellStyle name="20% - Accent3 5 6 3" xfId="6155" xr:uid="{00000000-0005-0000-0000-0000B7150000}"/>
    <cellStyle name="20% - Accent3 5 6 4" xfId="6156" xr:uid="{00000000-0005-0000-0000-0000B8150000}"/>
    <cellStyle name="20% - Accent3 5 6 5" xfId="6157" xr:uid="{00000000-0005-0000-0000-0000B9150000}"/>
    <cellStyle name="20% - Accent3 5 6 6" xfId="6158" xr:uid="{00000000-0005-0000-0000-0000BA150000}"/>
    <cellStyle name="20% - Accent3 5 7" xfId="6159" xr:uid="{00000000-0005-0000-0000-0000BB150000}"/>
    <cellStyle name="20% - Accent3 5 7 2" xfId="6160" xr:uid="{00000000-0005-0000-0000-0000BC150000}"/>
    <cellStyle name="20% - Accent3 5 7 2 2" xfId="6161" xr:uid="{00000000-0005-0000-0000-0000BD150000}"/>
    <cellStyle name="20% - Accent3 5 7 2 3" xfId="6162" xr:uid="{00000000-0005-0000-0000-0000BE150000}"/>
    <cellStyle name="20% - Accent3 5 7 3" xfId="6163" xr:uid="{00000000-0005-0000-0000-0000BF150000}"/>
    <cellStyle name="20% - Accent3 5 7 4" xfId="6164" xr:uid="{00000000-0005-0000-0000-0000C0150000}"/>
    <cellStyle name="20% - Accent3 5 7 5" xfId="6165" xr:uid="{00000000-0005-0000-0000-0000C1150000}"/>
    <cellStyle name="20% - Accent3 5 7 6" xfId="6166" xr:uid="{00000000-0005-0000-0000-0000C2150000}"/>
    <cellStyle name="20% - Accent3 5 8" xfId="6167" xr:uid="{00000000-0005-0000-0000-0000C3150000}"/>
    <cellStyle name="20% - Accent3 5 8 2" xfId="6168" xr:uid="{00000000-0005-0000-0000-0000C4150000}"/>
    <cellStyle name="20% - Accent3 5 8 2 2" xfId="6169" xr:uid="{00000000-0005-0000-0000-0000C5150000}"/>
    <cellStyle name="20% - Accent3 5 8 2 3" xfId="6170" xr:uid="{00000000-0005-0000-0000-0000C6150000}"/>
    <cellStyle name="20% - Accent3 5 8 3" xfId="6171" xr:uid="{00000000-0005-0000-0000-0000C7150000}"/>
    <cellStyle name="20% - Accent3 5 8 4" xfId="6172" xr:uid="{00000000-0005-0000-0000-0000C8150000}"/>
    <cellStyle name="20% - Accent3 5 8 5" xfId="6173" xr:uid="{00000000-0005-0000-0000-0000C9150000}"/>
    <cellStyle name="20% - Accent3 5 8 6" xfId="6174" xr:uid="{00000000-0005-0000-0000-0000CA150000}"/>
    <cellStyle name="20% - Accent3 5 9" xfId="6175" xr:uid="{00000000-0005-0000-0000-0000CB150000}"/>
    <cellStyle name="20% - Accent3 5 9 2" xfId="6176" xr:uid="{00000000-0005-0000-0000-0000CC150000}"/>
    <cellStyle name="20% - Accent3 5 9 3" xfId="6177" xr:uid="{00000000-0005-0000-0000-0000CD150000}"/>
    <cellStyle name="20% - Accent3 6" xfId="6178" xr:uid="{00000000-0005-0000-0000-0000CE150000}"/>
    <cellStyle name="20% - Accent3 6 10" xfId="6179" xr:uid="{00000000-0005-0000-0000-0000CF150000}"/>
    <cellStyle name="20% - Accent3 6 11" xfId="6180" xr:uid="{00000000-0005-0000-0000-0000D0150000}"/>
    <cellStyle name="20% - Accent3 6 2" xfId="6181" xr:uid="{00000000-0005-0000-0000-0000D1150000}"/>
    <cellStyle name="20% - Accent3 6 2 2" xfId="6182" xr:uid="{00000000-0005-0000-0000-0000D2150000}"/>
    <cellStyle name="20% - Accent3 6 2 2 2" xfId="6183" xr:uid="{00000000-0005-0000-0000-0000D3150000}"/>
    <cellStyle name="20% - Accent3 6 2 2 2 2" xfId="6184" xr:uid="{00000000-0005-0000-0000-0000D4150000}"/>
    <cellStyle name="20% - Accent3 6 2 2 2 3" xfId="6185" xr:uid="{00000000-0005-0000-0000-0000D5150000}"/>
    <cellStyle name="20% - Accent3 6 2 2 3" xfId="6186" xr:uid="{00000000-0005-0000-0000-0000D6150000}"/>
    <cellStyle name="20% - Accent3 6 2 2 4" xfId="6187" xr:uid="{00000000-0005-0000-0000-0000D7150000}"/>
    <cellStyle name="20% - Accent3 6 2 2 5" xfId="6188" xr:uid="{00000000-0005-0000-0000-0000D8150000}"/>
    <cellStyle name="20% - Accent3 6 2 2 6" xfId="6189" xr:uid="{00000000-0005-0000-0000-0000D9150000}"/>
    <cellStyle name="20% - Accent3 6 2 3" xfId="6190" xr:uid="{00000000-0005-0000-0000-0000DA150000}"/>
    <cellStyle name="20% - Accent3 6 2 3 2" xfId="6191" xr:uid="{00000000-0005-0000-0000-0000DB150000}"/>
    <cellStyle name="20% - Accent3 6 2 3 2 2" xfId="6192" xr:uid="{00000000-0005-0000-0000-0000DC150000}"/>
    <cellStyle name="20% - Accent3 6 2 3 2 3" xfId="6193" xr:uid="{00000000-0005-0000-0000-0000DD150000}"/>
    <cellStyle name="20% - Accent3 6 2 3 3" xfId="6194" xr:uid="{00000000-0005-0000-0000-0000DE150000}"/>
    <cellStyle name="20% - Accent3 6 2 3 4" xfId="6195" xr:uid="{00000000-0005-0000-0000-0000DF150000}"/>
    <cellStyle name="20% - Accent3 6 2 3 5" xfId="6196" xr:uid="{00000000-0005-0000-0000-0000E0150000}"/>
    <cellStyle name="20% - Accent3 6 2 3 6" xfId="6197" xr:uid="{00000000-0005-0000-0000-0000E1150000}"/>
    <cellStyle name="20% - Accent3 6 2 4" xfId="6198" xr:uid="{00000000-0005-0000-0000-0000E2150000}"/>
    <cellStyle name="20% - Accent3 6 2 4 2" xfId="6199" xr:uid="{00000000-0005-0000-0000-0000E3150000}"/>
    <cellStyle name="20% - Accent3 6 2 4 3" xfId="6200" xr:uid="{00000000-0005-0000-0000-0000E4150000}"/>
    <cellStyle name="20% - Accent3 6 2 5" xfId="6201" xr:uid="{00000000-0005-0000-0000-0000E5150000}"/>
    <cellStyle name="20% - Accent3 6 2 6" xfId="6202" xr:uid="{00000000-0005-0000-0000-0000E6150000}"/>
    <cellStyle name="20% - Accent3 6 2 7" xfId="6203" xr:uid="{00000000-0005-0000-0000-0000E7150000}"/>
    <cellStyle name="20% - Accent3 6 2 8" xfId="6204" xr:uid="{00000000-0005-0000-0000-0000E8150000}"/>
    <cellStyle name="20% - Accent3 6 3" xfId="6205" xr:uid="{00000000-0005-0000-0000-0000E9150000}"/>
    <cellStyle name="20% - Accent3 6 3 2" xfId="6206" xr:uid="{00000000-0005-0000-0000-0000EA150000}"/>
    <cellStyle name="20% - Accent3 6 3 2 2" xfId="6207" xr:uid="{00000000-0005-0000-0000-0000EB150000}"/>
    <cellStyle name="20% - Accent3 6 3 2 2 2" xfId="6208" xr:uid="{00000000-0005-0000-0000-0000EC150000}"/>
    <cellStyle name="20% - Accent3 6 3 2 2 3" xfId="6209" xr:uid="{00000000-0005-0000-0000-0000ED150000}"/>
    <cellStyle name="20% - Accent3 6 3 2 3" xfId="6210" xr:uid="{00000000-0005-0000-0000-0000EE150000}"/>
    <cellStyle name="20% - Accent3 6 3 2 4" xfId="6211" xr:uid="{00000000-0005-0000-0000-0000EF150000}"/>
    <cellStyle name="20% - Accent3 6 3 2 5" xfId="6212" xr:uid="{00000000-0005-0000-0000-0000F0150000}"/>
    <cellStyle name="20% - Accent3 6 3 2 6" xfId="6213" xr:uid="{00000000-0005-0000-0000-0000F1150000}"/>
    <cellStyle name="20% - Accent3 6 3 3" xfId="6214" xr:uid="{00000000-0005-0000-0000-0000F2150000}"/>
    <cellStyle name="20% - Accent3 6 3 3 2" xfId="6215" xr:uid="{00000000-0005-0000-0000-0000F3150000}"/>
    <cellStyle name="20% - Accent3 6 3 3 3" xfId="6216" xr:uid="{00000000-0005-0000-0000-0000F4150000}"/>
    <cellStyle name="20% - Accent3 6 3 4" xfId="6217" xr:uid="{00000000-0005-0000-0000-0000F5150000}"/>
    <cellStyle name="20% - Accent3 6 3 5" xfId="6218" xr:uid="{00000000-0005-0000-0000-0000F6150000}"/>
    <cellStyle name="20% - Accent3 6 3 6" xfId="6219" xr:uid="{00000000-0005-0000-0000-0000F7150000}"/>
    <cellStyle name="20% - Accent3 6 3 7" xfId="6220" xr:uid="{00000000-0005-0000-0000-0000F8150000}"/>
    <cellStyle name="20% - Accent3 6 4" xfId="6221" xr:uid="{00000000-0005-0000-0000-0000F9150000}"/>
    <cellStyle name="20% - Accent3 6 4 2" xfId="6222" xr:uid="{00000000-0005-0000-0000-0000FA150000}"/>
    <cellStyle name="20% - Accent3 6 4 2 2" xfId="6223" xr:uid="{00000000-0005-0000-0000-0000FB150000}"/>
    <cellStyle name="20% - Accent3 6 4 2 3" xfId="6224" xr:uid="{00000000-0005-0000-0000-0000FC150000}"/>
    <cellStyle name="20% - Accent3 6 4 3" xfId="6225" xr:uid="{00000000-0005-0000-0000-0000FD150000}"/>
    <cellStyle name="20% - Accent3 6 4 4" xfId="6226" xr:uid="{00000000-0005-0000-0000-0000FE150000}"/>
    <cellStyle name="20% - Accent3 6 4 5" xfId="6227" xr:uid="{00000000-0005-0000-0000-0000FF150000}"/>
    <cellStyle name="20% - Accent3 6 4 6" xfId="6228" xr:uid="{00000000-0005-0000-0000-000000160000}"/>
    <cellStyle name="20% - Accent3 6 5" xfId="6229" xr:uid="{00000000-0005-0000-0000-000001160000}"/>
    <cellStyle name="20% - Accent3 6 5 2" xfId="6230" xr:uid="{00000000-0005-0000-0000-000002160000}"/>
    <cellStyle name="20% - Accent3 6 5 2 2" xfId="6231" xr:uid="{00000000-0005-0000-0000-000003160000}"/>
    <cellStyle name="20% - Accent3 6 5 2 3" xfId="6232" xr:uid="{00000000-0005-0000-0000-000004160000}"/>
    <cellStyle name="20% - Accent3 6 5 3" xfId="6233" xr:uid="{00000000-0005-0000-0000-000005160000}"/>
    <cellStyle name="20% - Accent3 6 5 4" xfId="6234" xr:uid="{00000000-0005-0000-0000-000006160000}"/>
    <cellStyle name="20% - Accent3 6 5 5" xfId="6235" xr:uid="{00000000-0005-0000-0000-000007160000}"/>
    <cellStyle name="20% - Accent3 6 5 6" xfId="6236" xr:uid="{00000000-0005-0000-0000-000008160000}"/>
    <cellStyle name="20% - Accent3 6 6" xfId="6237" xr:uid="{00000000-0005-0000-0000-000009160000}"/>
    <cellStyle name="20% - Accent3 6 6 2" xfId="6238" xr:uid="{00000000-0005-0000-0000-00000A160000}"/>
    <cellStyle name="20% - Accent3 6 6 2 2" xfId="6239" xr:uid="{00000000-0005-0000-0000-00000B160000}"/>
    <cellStyle name="20% - Accent3 6 6 2 3" xfId="6240" xr:uid="{00000000-0005-0000-0000-00000C160000}"/>
    <cellStyle name="20% - Accent3 6 6 3" xfId="6241" xr:uid="{00000000-0005-0000-0000-00000D160000}"/>
    <cellStyle name="20% - Accent3 6 6 4" xfId="6242" xr:uid="{00000000-0005-0000-0000-00000E160000}"/>
    <cellStyle name="20% - Accent3 6 6 5" xfId="6243" xr:uid="{00000000-0005-0000-0000-00000F160000}"/>
    <cellStyle name="20% - Accent3 6 6 6" xfId="6244" xr:uid="{00000000-0005-0000-0000-000010160000}"/>
    <cellStyle name="20% - Accent3 6 7" xfId="6245" xr:uid="{00000000-0005-0000-0000-000011160000}"/>
    <cellStyle name="20% - Accent3 6 7 2" xfId="6246" xr:uid="{00000000-0005-0000-0000-000012160000}"/>
    <cellStyle name="20% - Accent3 6 7 3" xfId="6247" xr:uid="{00000000-0005-0000-0000-000013160000}"/>
    <cellStyle name="20% - Accent3 6 8" xfId="6248" xr:uid="{00000000-0005-0000-0000-000014160000}"/>
    <cellStyle name="20% - Accent3 6 9" xfId="6249" xr:uid="{00000000-0005-0000-0000-000015160000}"/>
    <cellStyle name="20% - Accent3 7" xfId="6250" xr:uid="{00000000-0005-0000-0000-000016160000}"/>
    <cellStyle name="20% - Accent3 7 2" xfId="6251" xr:uid="{00000000-0005-0000-0000-000017160000}"/>
    <cellStyle name="20% - Accent3 7 2 2" xfId="6252" xr:uid="{00000000-0005-0000-0000-000018160000}"/>
    <cellStyle name="20% - Accent3 7 2 3" xfId="6253" xr:uid="{00000000-0005-0000-0000-000019160000}"/>
    <cellStyle name="20% - Accent3 7 3" xfId="6254" xr:uid="{00000000-0005-0000-0000-00001A160000}"/>
    <cellStyle name="20% - Accent3 7 4" xfId="6255" xr:uid="{00000000-0005-0000-0000-00001B160000}"/>
    <cellStyle name="20% - Accent3 7 5" xfId="6256" xr:uid="{00000000-0005-0000-0000-00001C160000}"/>
    <cellStyle name="20% - Accent3 7 6" xfId="6257" xr:uid="{00000000-0005-0000-0000-00001D160000}"/>
    <cellStyle name="20% - Accent3 8" xfId="6258" xr:uid="{00000000-0005-0000-0000-00001E160000}"/>
    <cellStyle name="20% - Accent3 8 2" xfId="6259" xr:uid="{00000000-0005-0000-0000-00001F160000}"/>
    <cellStyle name="20% - Accent3 8 2 2" xfId="6260" xr:uid="{00000000-0005-0000-0000-000020160000}"/>
    <cellStyle name="20% - Accent3 8 2 3" xfId="6261" xr:uid="{00000000-0005-0000-0000-000021160000}"/>
    <cellStyle name="20% - Accent3 8 3" xfId="6262" xr:uid="{00000000-0005-0000-0000-000022160000}"/>
    <cellStyle name="20% - Accent3 8 4" xfId="6263" xr:uid="{00000000-0005-0000-0000-000023160000}"/>
    <cellStyle name="20% - Accent3 8 5" xfId="6264" xr:uid="{00000000-0005-0000-0000-000024160000}"/>
    <cellStyle name="20% - Accent3 8 6" xfId="6265" xr:uid="{00000000-0005-0000-0000-000025160000}"/>
    <cellStyle name="20% - Accent3 9" xfId="6266" xr:uid="{00000000-0005-0000-0000-000026160000}"/>
    <cellStyle name="20% - Accent3 9 2" xfId="6267" xr:uid="{00000000-0005-0000-0000-000027160000}"/>
    <cellStyle name="20% - Accent3 9 2 2" xfId="6268" xr:uid="{00000000-0005-0000-0000-000028160000}"/>
    <cellStyle name="20% - Accent3 9 2 3" xfId="6269" xr:uid="{00000000-0005-0000-0000-000029160000}"/>
    <cellStyle name="20% - Accent3 9 3" xfId="6270" xr:uid="{00000000-0005-0000-0000-00002A160000}"/>
    <cellStyle name="20% - Accent3 9 4" xfId="6271" xr:uid="{00000000-0005-0000-0000-00002B160000}"/>
    <cellStyle name="20% - Accent3 9 5" xfId="6272" xr:uid="{00000000-0005-0000-0000-00002C160000}"/>
    <cellStyle name="20% - Accent3 9 6" xfId="6273" xr:uid="{00000000-0005-0000-0000-00002D160000}"/>
    <cellStyle name="20% - Accent4" xfId="33" builtinId="42" customBuiltin="1"/>
    <cellStyle name="20% - Accent4 10" xfId="6274" xr:uid="{00000000-0005-0000-0000-00002F160000}"/>
    <cellStyle name="20% - Accent4 10 2" xfId="6275" xr:uid="{00000000-0005-0000-0000-000030160000}"/>
    <cellStyle name="20% - Accent4 10 2 2" xfId="6276" xr:uid="{00000000-0005-0000-0000-000031160000}"/>
    <cellStyle name="20% - Accent4 10 2 3" xfId="6277" xr:uid="{00000000-0005-0000-0000-000032160000}"/>
    <cellStyle name="20% - Accent4 10 3" xfId="6278" xr:uid="{00000000-0005-0000-0000-000033160000}"/>
    <cellStyle name="20% - Accent4 10 4" xfId="6279" xr:uid="{00000000-0005-0000-0000-000034160000}"/>
    <cellStyle name="20% - Accent4 10 5" xfId="6280" xr:uid="{00000000-0005-0000-0000-000035160000}"/>
    <cellStyle name="20% - Accent4 10 6" xfId="6281" xr:uid="{00000000-0005-0000-0000-000036160000}"/>
    <cellStyle name="20% - Accent4 11" xfId="6282" xr:uid="{00000000-0005-0000-0000-000037160000}"/>
    <cellStyle name="20% - Accent4 11 2" xfId="6283" xr:uid="{00000000-0005-0000-0000-000038160000}"/>
    <cellStyle name="20% - Accent4 11 2 2" xfId="6284" xr:uid="{00000000-0005-0000-0000-000039160000}"/>
    <cellStyle name="20% - Accent4 11 2 3" xfId="6285" xr:uid="{00000000-0005-0000-0000-00003A160000}"/>
    <cellStyle name="20% - Accent4 11 3" xfId="6286" xr:uid="{00000000-0005-0000-0000-00003B160000}"/>
    <cellStyle name="20% - Accent4 11 4" xfId="6287" xr:uid="{00000000-0005-0000-0000-00003C160000}"/>
    <cellStyle name="20% - Accent4 11 5" xfId="6288" xr:uid="{00000000-0005-0000-0000-00003D160000}"/>
    <cellStyle name="20% - Accent4 11 6" xfId="6289" xr:uid="{00000000-0005-0000-0000-00003E160000}"/>
    <cellStyle name="20% - Accent4 12" xfId="6290" xr:uid="{00000000-0005-0000-0000-00003F160000}"/>
    <cellStyle name="20% - Accent4 12 2" xfId="6291" xr:uid="{00000000-0005-0000-0000-000040160000}"/>
    <cellStyle name="20% - Accent4 12 2 2" xfId="6292" xr:uid="{00000000-0005-0000-0000-000041160000}"/>
    <cellStyle name="20% - Accent4 12 2 3" xfId="6293" xr:uid="{00000000-0005-0000-0000-000042160000}"/>
    <cellStyle name="20% - Accent4 12 3" xfId="6294" xr:uid="{00000000-0005-0000-0000-000043160000}"/>
    <cellStyle name="20% - Accent4 12 4" xfId="6295" xr:uid="{00000000-0005-0000-0000-000044160000}"/>
    <cellStyle name="20% - Accent4 12 5" xfId="6296" xr:uid="{00000000-0005-0000-0000-000045160000}"/>
    <cellStyle name="20% - Accent4 12 6" xfId="6297" xr:uid="{00000000-0005-0000-0000-000046160000}"/>
    <cellStyle name="20% - Accent4 13" xfId="6298" xr:uid="{00000000-0005-0000-0000-000047160000}"/>
    <cellStyle name="20% - Accent4 13 2" xfId="6299" xr:uid="{00000000-0005-0000-0000-000048160000}"/>
    <cellStyle name="20% - Accent4 13 3" xfId="6300" xr:uid="{00000000-0005-0000-0000-000049160000}"/>
    <cellStyle name="20% - Accent4 14" xfId="6301" xr:uid="{00000000-0005-0000-0000-00004A160000}"/>
    <cellStyle name="20% - Accent4 15" xfId="6302" xr:uid="{00000000-0005-0000-0000-00004B160000}"/>
    <cellStyle name="20% - Accent4 16" xfId="6303" xr:uid="{00000000-0005-0000-0000-00004C160000}"/>
    <cellStyle name="20% - Accent4 17" xfId="6304" xr:uid="{00000000-0005-0000-0000-00004D160000}"/>
    <cellStyle name="20% - Accent4 18" xfId="6305" xr:uid="{00000000-0005-0000-0000-00004E160000}"/>
    <cellStyle name="20% - Accent4 2" xfId="55" xr:uid="{00000000-0005-0000-0000-00004F160000}"/>
    <cellStyle name="20% - Accent4 2 2" xfId="288" xr:uid="{00000000-0005-0000-0000-000050160000}"/>
    <cellStyle name="20% - Accent4 2 3" xfId="289" xr:uid="{00000000-0005-0000-0000-000051160000}"/>
    <cellStyle name="20% - Accent4 3" xfId="290" xr:uid="{00000000-0005-0000-0000-000052160000}"/>
    <cellStyle name="20% - Accent4 3 10" xfId="6306" xr:uid="{00000000-0005-0000-0000-000053160000}"/>
    <cellStyle name="20% - Accent4 3 10 2" xfId="6307" xr:uid="{00000000-0005-0000-0000-000054160000}"/>
    <cellStyle name="20% - Accent4 3 10 2 2" xfId="6308" xr:uid="{00000000-0005-0000-0000-000055160000}"/>
    <cellStyle name="20% - Accent4 3 10 2 3" xfId="6309" xr:uid="{00000000-0005-0000-0000-000056160000}"/>
    <cellStyle name="20% - Accent4 3 10 3" xfId="6310" xr:uid="{00000000-0005-0000-0000-000057160000}"/>
    <cellStyle name="20% - Accent4 3 10 4" xfId="6311" xr:uid="{00000000-0005-0000-0000-000058160000}"/>
    <cellStyle name="20% - Accent4 3 10 5" xfId="6312" xr:uid="{00000000-0005-0000-0000-000059160000}"/>
    <cellStyle name="20% - Accent4 3 10 6" xfId="6313" xr:uid="{00000000-0005-0000-0000-00005A160000}"/>
    <cellStyle name="20% - Accent4 3 11" xfId="6314" xr:uid="{00000000-0005-0000-0000-00005B160000}"/>
    <cellStyle name="20% - Accent4 3 11 2" xfId="6315" xr:uid="{00000000-0005-0000-0000-00005C160000}"/>
    <cellStyle name="20% - Accent4 3 11 2 2" xfId="6316" xr:uid="{00000000-0005-0000-0000-00005D160000}"/>
    <cellStyle name="20% - Accent4 3 11 2 3" xfId="6317" xr:uid="{00000000-0005-0000-0000-00005E160000}"/>
    <cellStyle name="20% - Accent4 3 11 3" xfId="6318" xr:uid="{00000000-0005-0000-0000-00005F160000}"/>
    <cellStyle name="20% - Accent4 3 11 4" xfId="6319" xr:uid="{00000000-0005-0000-0000-000060160000}"/>
    <cellStyle name="20% - Accent4 3 11 5" xfId="6320" xr:uid="{00000000-0005-0000-0000-000061160000}"/>
    <cellStyle name="20% - Accent4 3 11 6" xfId="6321" xr:uid="{00000000-0005-0000-0000-000062160000}"/>
    <cellStyle name="20% - Accent4 3 12" xfId="6322" xr:uid="{00000000-0005-0000-0000-000063160000}"/>
    <cellStyle name="20% - Accent4 3 12 2" xfId="6323" xr:uid="{00000000-0005-0000-0000-000064160000}"/>
    <cellStyle name="20% - Accent4 3 12 3" xfId="6324" xr:uid="{00000000-0005-0000-0000-000065160000}"/>
    <cellStyle name="20% - Accent4 3 13" xfId="6325" xr:uid="{00000000-0005-0000-0000-000066160000}"/>
    <cellStyle name="20% - Accent4 3 14" xfId="6326" xr:uid="{00000000-0005-0000-0000-000067160000}"/>
    <cellStyle name="20% - Accent4 3 15" xfId="6327" xr:uid="{00000000-0005-0000-0000-000068160000}"/>
    <cellStyle name="20% - Accent4 3 16" xfId="6328" xr:uid="{00000000-0005-0000-0000-000069160000}"/>
    <cellStyle name="20% - Accent4 3 2" xfId="6329" xr:uid="{00000000-0005-0000-0000-00006A160000}"/>
    <cellStyle name="20% - Accent4 3 2 10" xfId="6330" xr:uid="{00000000-0005-0000-0000-00006B160000}"/>
    <cellStyle name="20% - Accent4 3 2 10 2" xfId="6331" xr:uid="{00000000-0005-0000-0000-00006C160000}"/>
    <cellStyle name="20% - Accent4 3 2 10 3" xfId="6332" xr:uid="{00000000-0005-0000-0000-00006D160000}"/>
    <cellStyle name="20% - Accent4 3 2 11" xfId="6333" xr:uid="{00000000-0005-0000-0000-00006E160000}"/>
    <cellStyle name="20% - Accent4 3 2 12" xfId="6334" xr:uid="{00000000-0005-0000-0000-00006F160000}"/>
    <cellStyle name="20% - Accent4 3 2 13" xfId="6335" xr:uid="{00000000-0005-0000-0000-000070160000}"/>
    <cellStyle name="20% - Accent4 3 2 14" xfId="6336" xr:uid="{00000000-0005-0000-0000-000071160000}"/>
    <cellStyle name="20% - Accent4 3 2 2" xfId="6337" xr:uid="{00000000-0005-0000-0000-000072160000}"/>
    <cellStyle name="20% - Accent4 3 2 2 10" xfId="6338" xr:uid="{00000000-0005-0000-0000-000073160000}"/>
    <cellStyle name="20% - Accent4 3 2 2 11" xfId="6339" xr:uid="{00000000-0005-0000-0000-000074160000}"/>
    <cellStyle name="20% - Accent4 3 2 2 12" xfId="6340" xr:uid="{00000000-0005-0000-0000-000075160000}"/>
    <cellStyle name="20% - Accent4 3 2 2 13" xfId="6341" xr:uid="{00000000-0005-0000-0000-000076160000}"/>
    <cellStyle name="20% - Accent4 3 2 2 2" xfId="6342" xr:uid="{00000000-0005-0000-0000-000077160000}"/>
    <cellStyle name="20% - Accent4 3 2 2 2 10" xfId="6343" xr:uid="{00000000-0005-0000-0000-000078160000}"/>
    <cellStyle name="20% - Accent4 3 2 2 2 2" xfId="6344" xr:uid="{00000000-0005-0000-0000-000079160000}"/>
    <cellStyle name="20% - Accent4 3 2 2 2 2 2" xfId="6345" xr:uid="{00000000-0005-0000-0000-00007A160000}"/>
    <cellStyle name="20% - Accent4 3 2 2 2 2 2 2" xfId="6346" xr:uid="{00000000-0005-0000-0000-00007B160000}"/>
    <cellStyle name="20% - Accent4 3 2 2 2 2 2 2 2" xfId="6347" xr:uid="{00000000-0005-0000-0000-00007C160000}"/>
    <cellStyle name="20% - Accent4 3 2 2 2 2 2 2 3" xfId="6348" xr:uid="{00000000-0005-0000-0000-00007D160000}"/>
    <cellStyle name="20% - Accent4 3 2 2 2 2 2 3" xfId="6349" xr:uid="{00000000-0005-0000-0000-00007E160000}"/>
    <cellStyle name="20% - Accent4 3 2 2 2 2 2 4" xfId="6350" xr:uid="{00000000-0005-0000-0000-00007F160000}"/>
    <cellStyle name="20% - Accent4 3 2 2 2 2 2 5" xfId="6351" xr:uid="{00000000-0005-0000-0000-000080160000}"/>
    <cellStyle name="20% - Accent4 3 2 2 2 2 2 6" xfId="6352" xr:uid="{00000000-0005-0000-0000-000081160000}"/>
    <cellStyle name="20% - Accent4 3 2 2 2 2 3" xfId="6353" xr:uid="{00000000-0005-0000-0000-000082160000}"/>
    <cellStyle name="20% - Accent4 3 2 2 2 2 3 2" xfId="6354" xr:uid="{00000000-0005-0000-0000-000083160000}"/>
    <cellStyle name="20% - Accent4 3 2 2 2 2 3 2 2" xfId="6355" xr:uid="{00000000-0005-0000-0000-000084160000}"/>
    <cellStyle name="20% - Accent4 3 2 2 2 2 3 2 3" xfId="6356" xr:uid="{00000000-0005-0000-0000-000085160000}"/>
    <cellStyle name="20% - Accent4 3 2 2 2 2 3 3" xfId="6357" xr:uid="{00000000-0005-0000-0000-000086160000}"/>
    <cellStyle name="20% - Accent4 3 2 2 2 2 3 4" xfId="6358" xr:uid="{00000000-0005-0000-0000-000087160000}"/>
    <cellStyle name="20% - Accent4 3 2 2 2 2 3 5" xfId="6359" xr:uid="{00000000-0005-0000-0000-000088160000}"/>
    <cellStyle name="20% - Accent4 3 2 2 2 2 3 6" xfId="6360" xr:uid="{00000000-0005-0000-0000-000089160000}"/>
    <cellStyle name="20% - Accent4 3 2 2 2 2 4" xfId="6361" xr:uid="{00000000-0005-0000-0000-00008A160000}"/>
    <cellStyle name="20% - Accent4 3 2 2 2 2 4 2" xfId="6362" xr:uid="{00000000-0005-0000-0000-00008B160000}"/>
    <cellStyle name="20% - Accent4 3 2 2 2 2 4 3" xfId="6363" xr:uid="{00000000-0005-0000-0000-00008C160000}"/>
    <cellStyle name="20% - Accent4 3 2 2 2 2 5" xfId="6364" xr:uid="{00000000-0005-0000-0000-00008D160000}"/>
    <cellStyle name="20% - Accent4 3 2 2 2 2 6" xfId="6365" xr:uid="{00000000-0005-0000-0000-00008E160000}"/>
    <cellStyle name="20% - Accent4 3 2 2 2 2 7" xfId="6366" xr:uid="{00000000-0005-0000-0000-00008F160000}"/>
    <cellStyle name="20% - Accent4 3 2 2 2 2 8" xfId="6367" xr:uid="{00000000-0005-0000-0000-000090160000}"/>
    <cellStyle name="20% - Accent4 3 2 2 2 3" xfId="6368" xr:uid="{00000000-0005-0000-0000-000091160000}"/>
    <cellStyle name="20% - Accent4 3 2 2 2 3 2" xfId="6369" xr:uid="{00000000-0005-0000-0000-000092160000}"/>
    <cellStyle name="20% - Accent4 3 2 2 2 3 2 2" xfId="6370" xr:uid="{00000000-0005-0000-0000-000093160000}"/>
    <cellStyle name="20% - Accent4 3 2 2 2 3 2 2 2" xfId="6371" xr:uid="{00000000-0005-0000-0000-000094160000}"/>
    <cellStyle name="20% - Accent4 3 2 2 2 3 2 2 3" xfId="6372" xr:uid="{00000000-0005-0000-0000-000095160000}"/>
    <cellStyle name="20% - Accent4 3 2 2 2 3 2 3" xfId="6373" xr:uid="{00000000-0005-0000-0000-000096160000}"/>
    <cellStyle name="20% - Accent4 3 2 2 2 3 2 4" xfId="6374" xr:uid="{00000000-0005-0000-0000-000097160000}"/>
    <cellStyle name="20% - Accent4 3 2 2 2 3 2 5" xfId="6375" xr:uid="{00000000-0005-0000-0000-000098160000}"/>
    <cellStyle name="20% - Accent4 3 2 2 2 3 2 6" xfId="6376" xr:uid="{00000000-0005-0000-0000-000099160000}"/>
    <cellStyle name="20% - Accent4 3 2 2 2 3 3" xfId="6377" xr:uid="{00000000-0005-0000-0000-00009A160000}"/>
    <cellStyle name="20% - Accent4 3 2 2 2 3 3 2" xfId="6378" xr:uid="{00000000-0005-0000-0000-00009B160000}"/>
    <cellStyle name="20% - Accent4 3 2 2 2 3 3 3" xfId="6379" xr:uid="{00000000-0005-0000-0000-00009C160000}"/>
    <cellStyle name="20% - Accent4 3 2 2 2 3 4" xfId="6380" xr:uid="{00000000-0005-0000-0000-00009D160000}"/>
    <cellStyle name="20% - Accent4 3 2 2 2 3 5" xfId="6381" xr:uid="{00000000-0005-0000-0000-00009E160000}"/>
    <cellStyle name="20% - Accent4 3 2 2 2 3 6" xfId="6382" xr:uid="{00000000-0005-0000-0000-00009F160000}"/>
    <cellStyle name="20% - Accent4 3 2 2 2 3 7" xfId="6383" xr:uid="{00000000-0005-0000-0000-0000A0160000}"/>
    <cellStyle name="20% - Accent4 3 2 2 2 4" xfId="6384" xr:uid="{00000000-0005-0000-0000-0000A1160000}"/>
    <cellStyle name="20% - Accent4 3 2 2 2 4 2" xfId="6385" xr:uid="{00000000-0005-0000-0000-0000A2160000}"/>
    <cellStyle name="20% - Accent4 3 2 2 2 4 2 2" xfId="6386" xr:uid="{00000000-0005-0000-0000-0000A3160000}"/>
    <cellStyle name="20% - Accent4 3 2 2 2 4 2 3" xfId="6387" xr:uid="{00000000-0005-0000-0000-0000A4160000}"/>
    <cellStyle name="20% - Accent4 3 2 2 2 4 3" xfId="6388" xr:uid="{00000000-0005-0000-0000-0000A5160000}"/>
    <cellStyle name="20% - Accent4 3 2 2 2 4 4" xfId="6389" xr:uid="{00000000-0005-0000-0000-0000A6160000}"/>
    <cellStyle name="20% - Accent4 3 2 2 2 4 5" xfId="6390" xr:uid="{00000000-0005-0000-0000-0000A7160000}"/>
    <cellStyle name="20% - Accent4 3 2 2 2 4 6" xfId="6391" xr:uid="{00000000-0005-0000-0000-0000A8160000}"/>
    <cellStyle name="20% - Accent4 3 2 2 2 5" xfId="6392" xr:uid="{00000000-0005-0000-0000-0000A9160000}"/>
    <cellStyle name="20% - Accent4 3 2 2 2 5 2" xfId="6393" xr:uid="{00000000-0005-0000-0000-0000AA160000}"/>
    <cellStyle name="20% - Accent4 3 2 2 2 5 2 2" xfId="6394" xr:uid="{00000000-0005-0000-0000-0000AB160000}"/>
    <cellStyle name="20% - Accent4 3 2 2 2 5 2 3" xfId="6395" xr:uid="{00000000-0005-0000-0000-0000AC160000}"/>
    <cellStyle name="20% - Accent4 3 2 2 2 5 3" xfId="6396" xr:uid="{00000000-0005-0000-0000-0000AD160000}"/>
    <cellStyle name="20% - Accent4 3 2 2 2 5 4" xfId="6397" xr:uid="{00000000-0005-0000-0000-0000AE160000}"/>
    <cellStyle name="20% - Accent4 3 2 2 2 5 5" xfId="6398" xr:uid="{00000000-0005-0000-0000-0000AF160000}"/>
    <cellStyle name="20% - Accent4 3 2 2 2 5 6" xfId="6399" xr:uid="{00000000-0005-0000-0000-0000B0160000}"/>
    <cellStyle name="20% - Accent4 3 2 2 2 6" xfId="6400" xr:uid="{00000000-0005-0000-0000-0000B1160000}"/>
    <cellStyle name="20% - Accent4 3 2 2 2 6 2" xfId="6401" xr:uid="{00000000-0005-0000-0000-0000B2160000}"/>
    <cellStyle name="20% - Accent4 3 2 2 2 6 3" xfId="6402" xr:uid="{00000000-0005-0000-0000-0000B3160000}"/>
    <cellStyle name="20% - Accent4 3 2 2 2 7" xfId="6403" xr:uid="{00000000-0005-0000-0000-0000B4160000}"/>
    <cellStyle name="20% - Accent4 3 2 2 2 8" xfId="6404" xr:uid="{00000000-0005-0000-0000-0000B5160000}"/>
    <cellStyle name="20% - Accent4 3 2 2 2 9" xfId="6405" xr:uid="{00000000-0005-0000-0000-0000B6160000}"/>
    <cellStyle name="20% - Accent4 3 2 2 3" xfId="6406" xr:uid="{00000000-0005-0000-0000-0000B7160000}"/>
    <cellStyle name="20% - Accent4 3 2 2 3 2" xfId="6407" xr:uid="{00000000-0005-0000-0000-0000B8160000}"/>
    <cellStyle name="20% - Accent4 3 2 2 3 2 2" xfId="6408" xr:uid="{00000000-0005-0000-0000-0000B9160000}"/>
    <cellStyle name="20% - Accent4 3 2 2 3 2 2 2" xfId="6409" xr:uid="{00000000-0005-0000-0000-0000BA160000}"/>
    <cellStyle name="20% - Accent4 3 2 2 3 2 2 2 2" xfId="6410" xr:uid="{00000000-0005-0000-0000-0000BB160000}"/>
    <cellStyle name="20% - Accent4 3 2 2 3 2 2 2 3" xfId="6411" xr:uid="{00000000-0005-0000-0000-0000BC160000}"/>
    <cellStyle name="20% - Accent4 3 2 2 3 2 2 3" xfId="6412" xr:uid="{00000000-0005-0000-0000-0000BD160000}"/>
    <cellStyle name="20% - Accent4 3 2 2 3 2 2 4" xfId="6413" xr:uid="{00000000-0005-0000-0000-0000BE160000}"/>
    <cellStyle name="20% - Accent4 3 2 2 3 2 2 5" xfId="6414" xr:uid="{00000000-0005-0000-0000-0000BF160000}"/>
    <cellStyle name="20% - Accent4 3 2 2 3 2 2 6" xfId="6415" xr:uid="{00000000-0005-0000-0000-0000C0160000}"/>
    <cellStyle name="20% - Accent4 3 2 2 3 2 3" xfId="6416" xr:uid="{00000000-0005-0000-0000-0000C1160000}"/>
    <cellStyle name="20% - Accent4 3 2 2 3 2 3 2" xfId="6417" xr:uid="{00000000-0005-0000-0000-0000C2160000}"/>
    <cellStyle name="20% - Accent4 3 2 2 3 2 3 3" xfId="6418" xr:uid="{00000000-0005-0000-0000-0000C3160000}"/>
    <cellStyle name="20% - Accent4 3 2 2 3 2 4" xfId="6419" xr:uid="{00000000-0005-0000-0000-0000C4160000}"/>
    <cellStyle name="20% - Accent4 3 2 2 3 2 5" xfId="6420" xr:uid="{00000000-0005-0000-0000-0000C5160000}"/>
    <cellStyle name="20% - Accent4 3 2 2 3 2 6" xfId="6421" xr:uid="{00000000-0005-0000-0000-0000C6160000}"/>
    <cellStyle name="20% - Accent4 3 2 2 3 2 7" xfId="6422" xr:uid="{00000000-0005-0000-0000-0000C7160000}"/>
    <cellStyle name="20% - Accent4 3 2 2 3 3" xfId="6423" xr:uid="{00000000-0005-0000-0000-0000C8160000}"/>
    <cellStyle name="20% - Accent4 3 2 2 3 3 2" xfId="6424" xr:uid="{00000000-0005-0000-0000-0000C9160000}"/>
    <cellStyle name="20% - Accent4 3 2 2 3 3 2 2" xfId="6425" xr:uid="{00000000-0005-0000-0000-0000CA160000}"/>
    <cellStyle name="20% - Accent4 3 2 2 3 3 2 3" xfId="6426" xr:uid="{00000000-0005-0000-0000-0000CB160000}"/>
    <cellStyle name="20% - Accent4 3 2 2 3 3 3" xfId="6427" xr:uid="{00000000-0005-0000-0000-0000CC160000}"/>
    <cellStyle name="20% - Accent4 3 2 2 3 3 4" xfId="6428" xr:uid="{00000000-0005-0000-0000-0000CD160000}"/>
    <cellStyle name="20% - Accent4 3 2 2 3 3 5" xfId="6429" xr:uid="{00000000-0005-0000-0000-0000CE160000}"/>
    <cellStyle name="20% - Accent4 3 2 2 3 3 6" xfId="6430" xr:uid="{00000000-0005-0000-0000-0000CF160000}"/>
    <cellStyle name="20% - Accent4 3 2 2 3 4" xfId="6431" xr:uid="{00000000-0005-0000-0000-0000D0160000}"/>
    <cellStyle name="20% - Accent4 3 2 2 3 4 2" xfId="6432" xr:uid="{00000000-0005-0000-0000-0000D1160000}"/>
    <cellStyle name="20% - Accent4 3 2 2 3 4 2 2" xfId="6433" xr:uid="{00000000-0005-0000-0000-0000D2160000}"/>
    <cellStyle name="20% - Accent4 3 2 2 3 4 2 3" xfId="6434" xr:uid="{00000000-0005-0000-0000-0000D3160000}"/>
    <cellStyle name="20% - Accent4 3 2 2 3 4 3" xfId="6435" xr:uid="{00000000-0005-0000-0000-0000D4160000}"/>
    <cellStyle name="20% - Accent4 3 2 2 3 4 4" xfId="6436" xr:uid="{00000000-0005-0000-0000-0000D5160000}"/>
    <cellStyle name="20% - Accent4 3 2 2 3 4 5" xfId="6437" xr:uid="{00000000-0005-0000-0000-0000D6160000}"/>
    <cellStyle name="20% - Accent4 3 2 2 3 4 6" xfId="6438" xr:uid="{00000000-0005-0000-0000-0000D7160000}"/>
    <cellStyle name="20% - Accent4 3 2 2 3 5" xfId="6439" xr:uid="{00000000-0005-0000-0000-0000D8160000}"/>
    <cellStyle name="20% - Accent4 3 2 2 3 5 2" xfId="6440" xr:uid="{00000000-0005-0000-0000-0000D9160000}"/>
    <cellStyle name="20% - Accent4 3 2 2 3 5 3" xfId="6441" xr:uid="{00000000-0005-0000-0000-0000DA160000}"/>
    <cellStyle name="20% - Accent4 3 2 2 3 6" xfId="6442" xr:uid="{00000000-0005-0000-0000-0000DB160000}"/>
    <cellStyle name="20% - Accent4 3 2 2 3 7" xfId="6443" xr:uid="{00000000-0005-0000-0000-0000DC160000}"/>
    <cellStyle name="20% - Accent4 3 2 2 3 8" xfId="6444" xr:uid="{00000000-0005-0000-0000-0000DD160000}"/>
    <cellStyle name="20% - Accent4 3 2 2 3 9" xfId="6445" xr:uid="{00000000-0005-0000-0000-0000DE160000}"/>
    <cellStyle name="20% - Accent4 3 2 2 4" xfId="6446" xr:uid="{00000000-0005-0000-0000-0000DF160000}"/>
    <cellStyle name="20% - Accent4 3 2 2 4 2" xfId="6447" xr:uid="{00000000-0005-0000-0000-0000E0160000}"/>
    <cellStyle name="20% - Accent4 3 2 2 4 2 2" xfId="6448" xr:uid="{00000000-0005-0000-0000-0000E1160000}"/>
    <cellStyle name="20% - Accent4 3 2 2 4 2 2 2" xfId="6449" xr:uid="{00000000-0005-0000-0000-0000E2160000}"/>
    <cellStyle name="20% - Accent4 3 2 2 4 2 2 3" xfId="6450" xr:uid="{00000000-0005-0000-0000-0000E3160000}"/>
    <cellStyle name="20% - Accent4 3 2 2 4 2 3" xfId="6451" xr:uid="{00000000-0005-0000-0000-0000E4160000}"/>
    <cellStyle name="20% - Accent4 3 2 2 4 2 4" xfId="6452" xr:uid="{00000000-0005-0000-0000-0000E5160000}"/>
    <cellStyle name="20% - Accent4 3 2 2 4 2 5" xfId="6453" xr:uid="{00000000-0005-0000-0000-0000E6160000}"/>
    <cellStyle name="20% - Accent4 3 2 2 4 2 6" xfId="6454" xr:uid="{00000000-0005-0000-0000-0000E7160000}"/>
    <cellStyle name="20% - Accent4 3 2 2 4 3" xfId="6455" xr:uid="{00000000-0005-0000-0000-0000E8160000}"/>
    <cellStyle name="20% - Accent4 3 2 2 4 3 2" xfId="6456" xr:uid="{00000000-0005-0000-0000-0000E9160000}"/>
    <cellStyle name="20% - Accent4 3 2 2 4 3 3" xfId="6457" xr:uid="{00000000-0005-0000-0000-0000EA160000}"/>
    <cellStyle name="20% - Accent4 3 2 2 4 4" xfId="6458" xr:uid="{00000000-0005-0000-0000-0000EB160000}"/>
    <cellStyle name="20% - Accent4 3 2 2 4 5" xfId="6459" xr:uid="{00000000-0005-0000-0000-0000EC160000}"/>
    <cellStyle name="20% - Accent4 3 2 2 4 6" xfId="6460" xr:uid="{00000000-0005-0000-0000-0000ED160000}"/>
    <cellStyle name="20% - Accent4 3 2 2 4 7" xfId="6461" xr:uid="{00000000-0005-0000-0000-0000EE160000}"/>
    <cellStyle name="20% - Accent4 3 2 2 5" xfId="6462" xr:uid="{00000000-0005-0000-0000-0000EF160000}"/>
    <cellStyle name="20% - Accent4 3 2 2 5 2" xfId="6463" xr:uid="{00000000-0005-0000-0000-0000F0160000}"/>
    <cellStyle name="20% - Accent4 3 2 2 5 2 2" xfId="6464" xr:uid="{00000000-0005-0000-0000-0000F1160000}"/>
    <cellStyle name="20% - Accent4 3 2 2 5 2 3" xfId="6465" xr:uid="{00000000-0005-0000-0000-0000F2160000}"/>
    <cellStyle name="20% - Accent4 3 2 2 5 3" xfId="6466" xr:uid="{00000000-0005-0000-0000-0000F3160000}"/>
    <cellStyle name="20% - Accent4 3 2 2 5 4" xfId="6467" xr:uid="{00000000-0005-0000-0000-0000F4160000}"/>
    <cellStyle name="20% - Accent4 3 2 2 5 5" xfId="6468" xr:uid="{00000000-0005-0000-0000-0000F5160000}"/>
    <cellStyle name="20% - Accent4 3 2 2 5 6" xfId="6469" xr:uid="{00000000-0005-0000-0000-0000F6160000}"/>
    <cellStyle name="20% - Accent4 3 2 2 6" xfId="6470" xr:uid="{00000000-0005-0000-0000-0000F7160000}"/>
    <cellStyle name="20% - Accent4 3 2 2 6 2" xfId="6471" xr:uid="{00000000-0005-0000-0000-0000F8160000}"/>
    <cellStyle name="20% - Accent4 3 2 2 6 2 2" xfId="6472" xr:uid="{00000000-0005-0000-0000-0000F9160000}"/>
    <cellStyle name="20% - Accent4 3 2 2 6 2 3" xfId="6473" xr:uid="{00000000-0005-0000-0000-0000FA160000}"/>
    <cellStyle name="20% - Accent4 3 2 2 6 3" xfId="6474" xr:uid="{00000000-0005-0000-0000-0000FB160000}"/>
    <cellStyle name="20% - Accent4 3 2 2 6 4" xfId="6475" xr:uid="{00000000-0005-0000-0000-0000FC160000}"/>
    <cellStyle name="20% - Accent4 3 2 2 6 5" xfId="6476" xr:uid="{00000000-0005-0000-0000-0000FD160000}"/>
    <cellStyle name="20% - Accent4 3 2 2 6 6" xfId="6477" xr:uid="{00000000-0005-0000-0000-0000FE160000}"/>
    <cellStyle name="20% - Accent4 3 2 2 7" xfId="6478" xr:uid="{00000000-0005-0000-0000-0000FF160000}"/>
    <cellStyle name="20% - Accent4 3 2 2 7 2" xfId="6479" xr:uid="{00000000-0005-0000-0000-000000170000}"/>
    <cellStyle name="20% - Accent4 3 2 2 7 2 2" xfId="6480" xr:uid="{00000000-0005-0000-0000-000001170000}"/>
    <cellStyle name="20% - Accent4 3 2 2 7 2 3" xfId="6481" xr:uid="{00000000-0005-0000-0000-000002170000}"/>
    <cellStyle name="20% - Accent4 3 2 2 7 3" xfId="6482" xr:uid="{00000000-0005-0000-0000-000003170000}"/>
    <cellStyle name="20% - Accent4 3 2 2 7 4" xfId="6483" xr:uid="{00000000-0005-0000-0000-000004170000}"/>
    <cellStyle name="20% - Accent4 3 2 2 7 5" xfId="6484" xr:uid="{00000000-0005-0000-0000-000005170000}"/>
    <cellStyle name="20% - Accent4 3 2 2 7 6" xfId="6485" xr:uid="{00000000-0005-0000-0000-000006170000}"/>
    <cellStyle name="20% - Accent4 3 2 2 8" xfId="6486" xr:uid="{00000000-0005-0000-0000-000007170000}"/>
    <cellStyle name="20% - Accent4 3 2 2 8 2" xfId="6487" xr:uid="{00000000-0005-0000-0000-000008170000}"/>
    <cellStyle name="20% - Accent4 3 2 2 8 2 2" xfId="6488" xr:uid="{00000000-0005-0000-0000-000009170000}"/>
    <cellStyle name="20% - Accent4 3 2 2 8 2 3" xfId="6489" xr:uid="{00000000-0005-0000-0000-00000A170000}"/>
    <cellStyle name="20% - Accent4 3 2 2 8 3" xfId="6490" xr:uid="{00000000-0005-0000-0000-00000B170000}"/>
    <cellStyle name="20% - Accent4 3 2 2 8 4" xfId="6491" xr:uid="{00000000-0005-0000-0000-00000C170000}"/>
    <cellStyle name="20% - Accent4 3 2 2 8 5" xfId="6492" xr:uid="{00000000-0005-0000-0000-00000D170000}"/>
    <cellStyle name="20% - Accent4 3 2 2 8 6" xfId="6493" xr:uid="{00000000-0005-0000-0000-00000E170000}"/>
    <cellStyle name="20% - Accent4 3 2 2 9" xfId="6494" xr:uid="{00000000-0005-0000-0000-00000F170000}"/>
    <cellStyle name="20% - Accent4 3 2 2 9 2" xfId="6495" xr:uid="{00000000-0005-0000-0000-000010170000}"/>
    <cellStyle name="20% - Accent4 3 2 2 9 3" xfId="6496" xr:uid="{00000000-0005-0000-0000-000011170000}"/>
    <cellStyle name="20% - Accent4 3 2 3" xfId="6497" xr:uid="{00000000-0005-0000-0000-000012170000}"/>
    <cellStyle name="20% - Accent4 3 2 3 10" xfId="6498" xr:uid="{00000000-0005-0000-0000-000013170000}"/>
    <cellStyle name="20% - Accent4 3 2 3 2" xfId="6499" xr:uid="{00000000-0005-0000-0000-000014170000}"/>
    <cellStyle name="20% - Accent4 3 2 3 2 2" xfId="6500" xr:uid="{00000000-0005-0000-0000-000015170000}"/>
    <cellStyle name="20% - Accent4 3 2 3 2 2 2" xfId="6501" xr:uid="{00000000-0005-0000-0000-000016170000}"/>
    <cellStyle name="20% - Accent4 3 2 3 2 2 2 2" xfId="6502" xr:uid="{00000000-0005-0000-0000-000017170000}"/>
    <cellStyle name="20% - Accent4 3 2 3 2 2 2 3" xfId="6503" xr:uid="{00000000-0005-0000-0000-000018170000}"/>
    <cellStyle name="20% - Accent4 3 2 3 2 2 3" xfId="6504" xr:uid="{00000000-0005-0000-0000-000019170000}"/>
    <cellStyle name="20% - Accent4 3 2 3 2 2 4" xfId="6505" xr:uid="{00000000-0005-0000-0000-00001A170000}"/>
    <cellStyle name="20% - Accent4 3 2 3 2 2 5" xfId="6506" xr:uid="{00000000-0005-0000-0000-00001B170000}"/>
    <cellStyle name="20% - Accent4 3 2 3 2 2 6" xfId="6507" xr:uid="{00000000-0005-0000-0000-00001C170000}"/>
    <cellStyle name="20% - Accent4 3 2 3 2 3" xfId="6508" xr:uid="{00000000-0005-0000-0000-00001D170000}"/>
    <cellStyle name="20% - Accent4 3 2 3 2 3 2" xfId="6509" xr:uid="{00000000-0005-0000-0000-00001E170000}"/>
    <cellStyle name="20% - Accent4 3 2 3 2 3 2 2" xfId="6510" xr:uid="{00000000-0005-0000-0000-00001F170000}"/>
    <cellStyle name="20% - Accent4 3 2 3 2 3 2 3" xfId="6511" xr:uid="{00000000-0005-0000-0000-000020170000}"/>
    <cellStyle name="20% - Accent4 3 2 3 2 3 3" xfId="6512" xr:uid="{00000000-0005-0000-0000-000021170000}"/>
    <cellStyle name="20% - Accent4 3 2 3 2 3 4" xfId="6513" xr:uid="{00000000-0005-0000-0000-000022170000}"/>
    <cellStyle name="20% - Accent4 3 2 3 2 3 5" xfId="6514" xr:uid="{00000000-0005-0000-0000-000023170000}"/>
    <cellStyle name="20% - Accent4 3 2 3 2 3 6" xfId="6515" xr:uid="{00000000-0005-0000-0000-000024170000}"/>
    <cellStyle name="20% - Accent4 3 2 3 2 4" xfId="6516" xr:uid="{00000000-0005-0000-0000-000025170000}"/>
    <cellStyle name="20% - Accent4 3 2 3 2 4 2" xfId="6517" xr:uid="{00000000-0005-0000-0000-000026170000}"/>
    <cellStyle name="20% - Accent4 3 2 3 2 4 3" xfId="6518" xr:uid="{00000000-0005-0000-0000-000027170000}"/>
    <cellStyle name="20% - Accent4 3 2 3 2 5" xfId="6519" xr:uid="{00000000-0005-0000-0000-000028170000}"/>
    <cellStyle name="20% - Accent4 3 2 3 2 6" xfId="6520" xr:uid="{00000000-0005-0000-0000-000029170000}"/>
    <cellStyle name="20% - Accent4 3 2 3 2 7" xfId="6521" xr:uid="{00000000-0005-0000-0000-00002A170000}"/>
    <cellStyle name="20% - Accent4 3 2 3 2 8" xfId="6522" xr:uid="{00000000-0005-0000-0000-00002B170000}"/>
    <cellStyle name="20% - Accent4 3 2 3 3" xfId="6523" xr:uid="{00000000-0005-0000-0000-00002C170000}"/>
    <cellStyle name="20% - Accent4 3 2 3 3 2" xfId="6524" xr:uid="{00000000-0005-0000-0000-00002D170000}"/>
    <cellStyle name="20% - Accent4 3 2 3 3 2 2" xfId="6525" xr:uid="{00000000-0005-0000-0000-00002E170000}"/>
    <cellStyle name="20% - Accent4 3 2 3 3 2 2 2" xfId="6526" xr:uid="{00000000-0005-0000-0000-00002F170000}"/>
    <cellStyle name="20% - Accent4 3 2 3 3 2 2 3" xfId="6527" xr:uid="{00000000-0005-0000-0000-000030170000}"/>
    <cellStyle name="20% - Accent4 3 2 3 3 2 3" xfId="6528" xr:uid="{00000000-0005-0000-0000-000031170000}"/>
    <cellStyle name="20% - Accent4 3 2 3 3 2 4" xfId="6529" xr:uid="{00000000-0005-0000-0000-000032170000}"/>
    <cellStyle name="20% - Accent4 3 2 3 3 2 5" xfId="6530" xr:uid="{00000000-0005-0000-0000-000033170000}"/>
    <cellStyle name="20% - Accent4 3 2 3 3 2 6" xfId="6531" xr:uid="{00000000-0005-0000-0000-000034170000}"/>
    <cellStyle name="20% - Accent4 3 2 3 3 3" xfId="6532" xr:uid="{00000000-0005-0000-0000-000035170000}"/>
    <cellStyle name="20% - Accent4 3 2 3 3 3 2" xfId="6533" xr:uid="{00000000-0005-0000-0000-000036170000}"/>
    <cellStyle name="20% - Accent4 3 2 3 3 3 3" xfId="6534" xr:uid="{00000000-0005-0000-0000-000037170000}"/>
    <cellStyle name="20% - Accent4 3 2 3 3 4" xfId="6535" xr:uid="{00000000-0005-0000-0000-000038170000}"/>
    <cellStyle name="20% - Accent4 3 2 3 3 5" xfId="6536" xr:uid="{00000000-0005-0000-0000-000039170000}"/>
    <cellStyle name="20% - Accent4 3 2 3 3 6" xfId="6537" xr:uid="{00000000-0005-0000-0000-00003A170000}"/>
    <cellStyle name="20% - Accent4 3 2 3 3 7" xfId="6538" xr:uid="{00000000-0005-0000-0000-00003B170000}"/>
    <cellStyle name="20% - Accent4 3 2 3 4" xfId="6539" xr:uid="{00000000-0005-0000-0000-00003C170000}"/>
    <cellStyle name="20% - Accent4 3 2 3 4 2" xfId="6540" xr:uid="{00000000-0005-0000-0000-00003D170000}"/>
    <cellStyle name="20% - Accent4 3 2 3 4 2 2" xfId="6541" xr:uid="{00000000-0005-0000-0000-00003E170000}"/>
    <cellStyle name="20% - Accent4 3 2 3 4 2 3" xfId="6542" xr:uid="{00000000-0005-0000-0000-00003F170000}"/>
    <cellStyle name="20% - Accent4 3 2 3 4 3" xfId="6543" xr:uid="{00000000-0005-0000-0000-000040170000}"/>
    <cellStyle name="20% - Accent4 3 2 3 4 4" xfId="6544" xr:uid="{00000000-0005-0000-0000-000041170000}"/>
    <cellStyle name="20% - Accent4 3 2 3 4 5" xfId="6545" xr:uid="{00000000-0005-0000-0000-000042170000}"/>
    <cellStyle name="20% - Accent4 3 2 3 4 6" xfId="6546" xr:uid="{00000000-0005-0000-0000-000043170000}"/>
    <cellStyle name="20% - Accent4 3 2 3 5" xfId="6547" xr:uid="{00000000-0005-0000-0000-000044170000}"/>
    <cellStyle name="20% - Accent4 3 2 3 5 2" xfId="6548" xr:uid="{00000000-0005-0000-0000-000045170000}"/>
    <cellStyle name="20% - Accent4 3 2 3 5 2 2" xfId="6549" xr:uid="{00000000-0005-0000-0000-000046170000}"/>
    <cellStyle name="20% - Accent4 3 2 3 5 2 3" xfId="6550" xr:uid="{00000000-0005-0000-0000-000047170000}"/>
    <cellStyle name="20% - Accent4 3 2 3 5 3" xfId="6551" xr:uid="{00000000-0005-0000-0000-000048170000}"/>
    <cellStyle name="20% - Accent4 3 2 3 5 4" xfId="6552" xr:uid="{00000000-0005-0000-0000-000049170000}"/>
    <cellStyle name="20% - Accent4 3 2 3 5 5" xfId="6553" xr:uid="{00000000-0005-0000-0000-00004A170000}"/>
    <cellStyle name="20% - Accent4 3 2 3 5 6" xfId="6554" xr:uid="{00000000-0005-0000-0000-00004B170000}"/>
    <cellStyle name="20% - Accent4 3 2 3 6" xfId="6555" xr:uid="{00000000-0005-0000-0000-00004C170000}"/>
    <cellStyle name="20% - Accent4 3 2 3 6 2" xfId="6556" xr:uid="{00000000-0005-0000-0000-00004D170000}"/>
    <cellStyle name="20% - Accent4 3 2 3 6 3" xfId="6557" xr:uid="{00000000-0005-0000-0000-00004E170000}"/>
    <cellStyle name="20% - Accent4 3 2 3 7" xfId="6558" xr:uid="{00000000-0005-0000-0000-00004F170000}"/>
    <cellStyle name="20% - Accent4 3 2 3 8" xfId="6559" xr:uid="{00000000-0005-0000-0000-000050170000}"/>
    <cellStyle name="20% - Accent4 3 2 3 9" xfId="6560" xr:uid="{00000000-0005-0000-0000-000051170000}"/>
    <cellStyle name="20% - Accent4 3 2 4" xfId="6561" xr:uid="{00000000-0005-0000-0000-000052170000}"/>
    <cellStyle name="20% - Accent4 3 2 4 2" xfId="6562" xr:uid="{00000000-0005-0000-0000-000053170000}"/>
    <cellStyle name="20% - Accent4 3 2 4 2 2" xfId="6563" xr:uid="{00000000-0005-0000-0000-000054170000}"/>
    <cellStyle name="20% - Accent4 3 2 4 2 2 2" xfId="6564" xr:uid="{00000000-0005-0000-0000-000055170000}"/>
    <cellStyle name="20% - Accent4 3 2 4 2 2 2 2" xfId="6565" xr:uid="{00000000-0005-0000-0000-000056170000}"/>
    <cellStyle name="20% - Accent4 3 2 4 2 2 2 3" xfId="6566" xr:uid="{00000000-0005-0000-0000-000057170000}"/>
    <cellStyle name="20% - Accent4 3 2 4 2 2 3" xfId="6567" xr:uid="{00000000-0005-0000-0000-000058170000}"/>
    <cellStyle name="20% - Accent4 3 2 4 2 2 4" xfId="6568" xr:uid="{00000000-0005-0000-0000-000059170000}"/>
    <cellStyle name="20% - Accent4 3 2 4 2 2 5" xfId="6569" xr:uid="{00000000-0005-0000-0000-00005A170000}"/>
    <cellStyle name="20% - Accent4 3 2 4 2 2 6" xfId="6570" xr:uid="{00000000-0005-0000-0000-00005B170000}"/>
    <cellStyle name="20% - Accent4 3 2 4 2 3" xfId="6571" xr:uid="{00000000-0005-0000-0000-00005C170000}"/>
    <cellStyle name="20% - Accent4 3 2 4 2 3 2" xfId="6572" xr:uid="{00000000-0005-0000-0000-00005D170000}"/>
    <cellStyle name="20% - Accent4 3 2 4 2 3 3" xfId="6573" xr:uid="{00000000-0005-0000-0000-00005E170000}"/>
    <cellStyle name="20% - Accent4 3 2 4 2 4" xfId="6574" xr:uid="{00000000-0005-0000-0000-00005F170000}"/>
    <cellStyle name="20% - Accent4 3 2 4 2 5" xfId="6575" xr:uid="{00000000-0005-0000-0000-000060170000}"/>
    <cellStyle name="20% - Accent4 3 2 4 2 6" xfId="6576" xr:uid="{00000000-0005-0000-0000-000061170000}"/>
    <cellStyle name="20% - Accent4 3 2 4 2 7" xfId="6577" xr:uid="{00000000-0005-0000-0000-000062170000}"/>
    <cellStyle name="20% - Accent4 3 2 4 3" xfId="6578" xr:uid="{00000000-0005-0000-0000-000063170000}"/>
    <cellStyle name="20% - Accent4 3 2 4 3 2" xfId="6579" xr:uid="{00000000-0005-0000-0000-000064170000}"/>
    <cellStyle name="20% - Accent4 3 2 4 3 2 2" xfId="6580" xr:uid="{00000000-0005-0000-0000-000065170000}"/>
    <cellStyle name="20% - Accent4 3 2 4 3 2 3" xfId="6581" xr:uid="{00000000-0005-0000-0000-000066170000}"/>
    <cellStyle name="20% - Accent4 3 2 4 3 3" xfId="6582" xr:uid="{00000000-0005-0000-0000-000067170000}"/>
    <cellStyle name="20% - Accent4 3 2 4 3 4" xfId="6583" xr:uid="{00000000-0005-0000-0000-000068170000}"/>
    <cellStyle name="20% - Accent4 3 2 4 3 5" xfId="6584" xr:uid="{00000000-0005-0000-0000-000069170000}"/>
    <cellStyle name="20% - Accent4 3 2 4 3 6" xfId="6585" xr:uid="{00000000-0005-0000-0000-00006A170000}"/>
    <cellStyle name="20% - Accent4 3 2 4 4" xfId="6586" xr:uid="{00000000-0005-0000-0000-00006B170000}"/>
    <cellStyle name="20% - Accent4 3 2 4 4 2" xfId="6587" xr:uid="{00000000-0005-0000-0000-00006C170000}"/>
    <cellStyle name="20% - Accent4 3 2 4 4 2 2" xfId="6588" xr:uid="{00000000-0005-0000-0000-00006D170000}"/>
    <cellStyle name="20% - Accent4 3 2 4 4 2 3" xfId="6589" xr:uid="{00000000-0005-0000-0000-00006E170000}"/>
    <cellStyle name="20% - Accent4 3 2 4 4 3" xfId="6590" xr:uid="{00000000-0005-0000-0000-00006F170000}"/>
    <cellStyle name="20% - Accent4 3 2 4 4 4" xfId="6591" xr:uid="{00000000-0005-0000-0000-000070170000}"/>
    <cellStyle name="20% - Accent4 3 2 4 4 5" xfId="6592" xr:uid="{00000000-0005-0000-0000-000071170000}"/>
    <cellStyle name="20% - Accent4 3 2 4 4 6" xfId="6593" xr:uid="{00000000-0005-0000-0000-000072170000}"/>
    <cellStyle name="20% - Accent4 3 2 4 5" xfId="6594" xr:uid="{00000000-0005-0000-0000-000073170000}"/>
    <cellStyle name="20% - Accent4 3 2 4 5 2" xfId="6595" xr:uid="{00000000-0005-0000-0000-000074170000}"/>
    <cellStyle name="20% - Accent4 3 2 4 5 3" xfId="6596" xr:uid="{00000000-0005-0000-0000-000075170000}"/>
    <cellStyle name="20% - Accent4 3 2 4 6" xfId="6597" xr:uid="{00000000-0005-0000-0000-000076170000}"/>
    <cellStyle name="20% - Accent4 3 2 4 7" xfId="6598" xr:uid="{00000000-0005-0000-0000-000077170000}"/>
    <cellStyle name="20% - Accent4 3 2 4 8" xfId="6599" xr:uid="{00000000-0005-0000-0000-000078170000}"/>
    <cellStyle name="20% - Accent4 3 2 4 9" xfId="6600" xr:uid="{00000000-0005-0000-0000-000079170000}"/>
    <cellStyle name="20% - Accent4 3 2 5" xfId="6601" xr:uid="{00000000-0005-0000-0000-00007A170000}"/>
    <cellStyle name="20% - Accent4 3 2 5 2" xfId="6602" xr:uid="{00000000-0005-0000-0000-00007B170000}"/>
    <cellStyle name="20% - Accent4 3 2 5 2 2" xfId="6603" xr:uid="{00000000-0005-0000-0000-00007C170000}"/>
    <cellStyle name="20% - Accent4 3 2 5 2 2 2" xfId="6604" xr:uid="{00000000-0005-0000-0000-00007D170000}"/>
    <cellStyle name="20% - Accent4 3 2 5 2 2 3" xfId="6605" xr:uid="{00000000-0005-0000-0000-00007E170000}"/>
    <cellStyle name="20% - Accent4 3 2 5 2 3" xfId="6606" xr:uid="{00000000-0005-0000-0000-00007F170000}"/>
    <cellStyle name="20% - Accent4 3 2 5 2 4" xfId="6607" xr:uid="{00000000-0005-0000-0000-000080170000}"/>
    <cellStyle name="20% - Accent4 3 2 5 2 5" xfId="6608" xr:uid="{00000000-0005-0000-0000-000081170000}"/>
    <cellStyle name="20% - Accent4 3 2 5 2 6" xfId="6609" xr:uid="{00000000-0005-0000-0000-000082170000}"/>
    <cellStyle name="20% - Accent4 3 2 5 3" xfId="6610" xr:uid="{00000000-0005-0000-0000-000083170000}"/>
    <cellStyle name="20% - Accent4 3 2 5 3 2" xfId="6611" xr:uid="{00000000-0005-0000-0000-000084170000}"/>
    <cellStyle name="20% - Accent4 3 2 5 3 3" xfId="6612" xr:uid="{00000000-0005-0000-0000-000085170000}"/>
    <cellStyle name="20% - Accent4 3 2 5 4" xfId="6613" xr:uid="{00000000-0005-0000-0000-000086170000}"/>
    <cellStyle name="20% - Accent4 3 2 5 5" xfId="6614" xr:uid="{00000000-0005-0000-0000-000087170000}"/>
    <cellStyle name="20% - Accent4 3 2 5 6" xfId="6615" xr:uid="{00000000-0005-0000-0000-000088170000}"/>
    <cellStyle name="20% - Accent4 3 2 5 7" xfId="6616" xr:uid="{00000000-0005-0000-0000-000089170000}"/>
    <cellStyle name="20% - Accent4 3 2 6" xfId="6617" xr:uid="{00000000-0005-0000-0000-00008A170000}"/>
    <cellStyle name="20% - Accent4 3 2 6 2" xfId="6618" xr:uid="{00000000-0005-0000-0000-00008B170000}"/>
    <cellStyle name="20% - Accent4 3 2 6 2 2" xfId="6619" xr:uid="{00000000-0005-0000-0000-00008C170000}"/>
    <cellStyle name="20% - Accent4 3 2 6 2 3" xfId="6620" xr:uid="{00000000-0005-0000-0000-00008D170000}"/>
    <cellStyle name="20% - Accent4 3 2 6 3" xfId="6621" xr:uid="{00000000-0005-0000-0000-00008E170000}"/>
    <cellStyle name="20% - Accent4 3 2 6 4" xfId="6622" xr:uid="{00000000-0005-0000-0000-00008F170000}"/>
    <cellStyle name="20% - Accent4 3 2 6 5" xfId="6623" xr:uid="{00000000-0005-0000-0000-000090170000}"/>
    <cellStyle name="20% - Accent4 3 2 6 6" xfId="6624" xr:uid="{00000000-0005-0000-0000-000091170000}"/>
    <cellStyle name="20% - Accent4 3 2 7" xfId="6625" xr:uid="{00000000-0005-0000-0000-000092170000}"/>
    <cellStyle name="20% - Accent4 3 2 7 2" xfId="6626" xr:uid="{00000000-0005-0000-0000-000093170000}"/>
    <cellStyle name="20% - Accent4 3 2 7 2 2" xfId="6627" xr:uid="{00000000-0005-0000-0000-000094170000}"/>
    <cellStyle name="20% - Accent4 3 2 7 2 3" xfId="6628" xr:uid="{00000000-0005-0000-0000-000095170000}"/>
    <cellStyle name="20% - Accent4 3 2 7 3" xfId="6629" xr:uid="{00000000-0005-0000-0000-000096170000}"/>
    <cellStyle name="20% - Accent4 3 2 7 4" xfId="6630" xr:uid="{00000000-0005-0000-0000-000097170000}"/>
    <cellStyle name="20% - Accent4 3 2 7 5" xfId="6631" xr:uid="{00000000-0005-0000-0000-000098170000}"/>
    <cellStyle name="20% - Accent4 3 2 7 6" xfId="6632" xr:uid="{00000000-0005-0000-0000-000099170000}"/>
    <cellStyle name="20% - Accent4 3 2 8" xfId="6633" xr:uid="{00000000-0005-0000-0000-00009A170000}"/>
    <cellStyle name="20% - Accent4 3 2 8 2" xfId="6634" xr:uid="{00000000-0005-0000-0000-00009B170000}"/>
    <cellStyle name="20% - Accent4 3 2 8 2 2" xfId="6635" xr:uid="{00000000-0005-0000-0000-00009C170000}"/>
    <cellStyle name="20% - Accent4 3 2 8 2 3" xfId="6636" xr:uid="{00000000-0005-0000-0000-00009D170000}"/>
    <cellStyle name="20% - Accent4 3 2 8 3" xfId="6637" xr:uid="{00000000-0005-0000-0000-00009E170000}"/>
    <cellStyle name="20% - Accent4 3 2 8 4" xfId="6638" xr:uid="{00000000-0005-0000-0000-00009F170000}"/>
    <cellStyle name="20% - Accent4 3 2 8 5" xfId="6639" xr:uid="{00000000-0005-0000-0000-0000A0170000}"/>
    <cellStyle name="20% - Accent4 3 2 8 6" xfId="6640" xr:uid="{00000000-0005-0000-0000-0000A1170000}"/>
    <cellStyle name="20% - Accent4 3 2 9" xfId="6641" xr:uid="{00000000-0005-0000-0000-0000A2170000}"/>
    <cellStyle name="20% - Accent4 3 2 9 2" xfId="6642" xr:uid="{00000000-0005-0000-0000-0000A3170000}"/>
    <cellStyle name="20% - Accent4 3 2 9 2 2" xfId="6643" xr:uid="{00000000-0005-0000-0000-0000A4170000}"/>
    <cellStyle name="20% - Accent4 3 2 9 2 3" xfId="6644" xr:uid="{00000000-0005-0000-0000-0000A5170000}"/>
    <cellStyle name="20% - Accent4 3 2 9 3" xfId="6645" xr:uid="{00000000-0005-0000-0000-0000A6170000}"/>
    <cellStyle name="20% - Accent4 3 2 9 4" xfId="6646" xr:uid="{00000000-0005-0000-0000-0000A7170000}"/>
    <cellStyle name="20% - Accent4 3 2 9 5" xfId="6647" xr:uid="{00000000-0005-0000-0000-0000A8170000}"/>
    <cellStyle name="20% - Accent4 3 2 9 6" xfId="6648" xr:uid="{00000000-0005-0000-0000-0000A9170000}"/>
    <cellStyle name="20% - Accent4 3 3" xfId="6649" xr:uid="{00000000-0005-0000-0000-0000AA170000}"/>
    <cellStyle name="20% - Accent4 3 3 10" xfId="6650" xr:uid="{00000000-0005-0000-0000-0000AB170000}"/>
    <cellStyle name="20% - Accent4 3 3 10 2" xfId="6651" xr:uid="{00000000-0005-0000-0000-0000AC170000}"/>
    <cellStyle name="20% - Accent4 3 3 10 3" xfId="6652" xr:uid="{00000000-0005-0000-0000-0000AD170000}"/>
    <cellStyle name="20% - Accent4 3 3 11" xfId="6653" xr:uid="{00000000-0005-0000-0000-0000AE170000}"/>
    <cellStyle name="20% - Accent4 3 3 12" xfId="6654" xr:uid="{00000000-0005-0000-0000-0000AF170000}"/>
    <cellStyle name="20% - Accent4 3 3 13" xfId="6655" xr:uid="{00000000-0005-0000-0000-0000B0170000}"/>
    <cellStyle name="20% - Accent4 3 3 14" xfId="6656" xr:uid="{00000000-0005-0000-0000-0000B1170000}"/>
    <cellStyle name="20% - Accent4 3 3 2" xfId="6657" xr:uid="{00000000-0005-0000-0000-0000B2170000}"/>
    <cellStyle name="20% - Accent4 3 3 2 10" xfId="6658" xr:uid="{00000000-0005-0000-0000-0000B3170000}"/>
    <cellStyle name="20% - Accent4 3 3 2 11" xfId="6659" xr:uid="{00000000-0005-0000-0000-0000B4170000}"/>
    <cellStyle name="20% - Accent4 3 3 2 12" xfId="6660" xr:uid="{00000000-0005-0000-0000-0000B5170000}"/>
    <cellStyle name="20% - Accent4 3 3 2 13" xfId="6661" xr:uid="{00000000-0005-0000-0000-0000B6170000}"/>
    <cellStyle name="20% - Accent4 3 3 2 2" xfId="6662" xr:uid="{00000000-0005-0000-0000-0000B7170000}"/>
    <cellStyle name="20% - Accent4 3 3 2 2 10" xfId="6663" xr:uid="{00000000-0005-0000-0000-0000B8170000}"/>
    <cellStyle name="20% - Accent4 3 3 2 2 2" xfId="6664" xr:uid="{00000000-0005-0000-0000-0000B9170000}"/>
    <cellStyle name="20% - Accent4 3 3 2 2 2 2" xfId="6665" xr:uid="{00000000-0005-0000-0000-0000BA170000}"/>
    <cellStyle name="20% - Accent4 3 3 2 2 2 2 2" xfId="6666" xr:uid="{00000000-0005-0000-0000-0000BB170000}"/>
    <cellStyle name="20% - Accent4 3 3 2 2 2 2 2 2" xfId="6667" xr:uid="{00000000-0005-0000-0000-0000BC170000}"/>
    <cellStyle name="20% - Accent4 3 3 2 2 2 2 2 3" xfId="6668" xr:uid="{00000000-0005-0000-0000-0000BD170000}"/>
    <cellStyle name="20% - Accent4 3 3 2 2 2 2 3" xfId="6669" xr:uid="{00000000-0005-0000-0000-0000BE170000}"/>
    <cellStyle name="20% - Accent4 3 3 2 2 2 2 4" xfId="6670" xr:uid="{00000000-0005-0000-0000-0000BF170000}"/>
    <cellStyle name="20% - Accent4 3 3 2 2 2 2 5" xfId="6671" xr:uid="{00000000-0005-0000-0000-0000C0170000}"/>
    <cellStyle name="20% - Accent4 3 3 2 2 2 2 6" xfId="6672" xr:uid="{00000000-0005-0000-0000-0000C1170000}"/>
    <cellStyle name="20% - Accent4 3 3 2 2 2 3" xfId="6673" xr:uid="{00000000-0005-0000-0000-0000C2170000}"/>
    <cellStyle name="20% - Accent4 3 3 2 2 2 3 2" xfId="6674" xr:uid="{00000000-0005-0000-0000-0000C3170000}"/>
    <cellStyle name="20% - Accent4 3 3 2 2 2 3 2 2" xfId="6675" xr:uid="{00000000-0005-0000-0000-0000C4170000}"/>
    <cellStyle name="20% - Accent4 3 3 2 2 2 3 2 3" xfId="6676" xr:uid="{00000000-0005-0000-0000-0000C5170000}"/>
    <cellStyle name="20% - Accent4 3 3 2 2 2 3 3" xfId="6677" xr:uid="{00000000-0005-0000-0000-0000C6170000}"/>
    <cellStyle name="20% - Accent4 3 3 2 2 2 3 4" xfId="6678" xr:uid="{00000000-0005-0000-0000-0000C7170000}"/>
    <cellStyle name="20% - Accent4 3 3 2 2 2 3 5" xfId="6679" xr:uid="{00000000-0005-0000-0000-0000C8170000}"/>
    <cellStyle name="20% - Accent4 3 3 2 2 2 3 6" xfId="6680" xr:uid="{00000000-0005-0000-0000-0000C9170000}"/>
    <cellStyle name="20% - Accent4 3 3 2 2 2 4" xfId="6681" xr:uid="{00000000-0005-0000-0000-0000CA170000}"/>
    <cellStyle name="20% - Accent4 3 3 2 2 2 4 2" xfId="6682" xr:uid="{00000000-0005-0000-0000-0000CB170000}"/>
    <cellStyle name="20% - Accent4 3 3 2 2 2 4 3" xfId="6683" xr:uid="{00000000-0005-0000-0000-0000CC170000}"/>
    <cellStyle name="20% - Accent4 3 3 2 2 2 5" xfId="6684" xr:uid="{00000000-0005-0000-0000-0000CD170000}"/>
    <cellStyle name="20% - Accent4 3 3 2 2 2 6" xfId="6685" xr:uid="{00000000-0005-0000-0000-0000CE170000}"/>
    <cellStyle name="20% - Accent4 3 3 2 2 2 7" xfId="6686" xr:uid="{00000000-0005-0000-0000-0000CF170000}"/>
    <cellStyle name="20% - Accent4 3 3 2 2 2 8" xfId="6687" xr:uid="{00000000-0005-0000-0000-0000D0170000}"/>
    <cellStyle name="20% - Accent4 3 3 2 2 3" xfId="6688" xr:uid="{00000000-0005-0000-0000-0000D1170000}"/>
    <cellStyle name="20% - Accent4 3 3 2 2 3 2" xfId="6689" xr:uid="{00000000-0005-0000-0000-0000D2170000}"/>
    <cellStyle name="20% - Accent4 3 3 2 2 3 2 2" xfId="6690" xr:uid="{00000000-0005-0000-0000-0000D3170000}"/>
    <cellStyle name="20% - Accent4 3 3 2 2 3 2 2 2" xfId="6691" xr:uid="{00000000-0005-0000-0000-0000D4170000}"/>
    <cellStyle name="20% - Accent4 3 3 2 2 3 2 2 3" xfId="6692" xr:uid="{00000000-0005-0000-0000-0000D5170000}"/>
    <cellStyle name="20% - Accent4 3 3 2 2 3 2 3" xfId="6693" xr:uid="{00000000-0005-0000-0000-0000D6170000}"/>
    <cellStyle name="20% - Accent4 3 3 2 2 3 2 4" xfId="6694" xr:uid="{00000000-0005-0000-0000-0000D7170000}"/>
    <cellStyle name="20% - Accent4 3 3 2 2 3 2 5" xfId="6695" xr:uid="{00000000-0005-0000-0000-0000D8170000}"/>
    <cellStyle name="20% - Accent4 3 3 2 2 3 2 6" xfId="6696" xr:uid="{00000000-0005-0000-0000-0000D9170000}"/>
    <cellStyle name="20% - Accent4 3 3 2 2 3 3" xfId="6697" xr:uid="{00000000-0005-0000-0000-0000DA170000}"/>
    <cellStyle name="20% - Accent4 3 3 2 2 3 3 2" xfId="6698" xr:uid="{00000000-0005-0000-0000-0000DB170000}"/>
    <cellStyle name="20% - Accent4 3 3 2 2 3 3 3" xfId="6699" xr:uid="{00000000-0005-0000-0000-0000DC170000}"/>
    <cellStyle name="20% - Accent4 3 3 2 2 3 4" xfId="6700" xr:uid="{00000000-0005-0000-0000-0000DD170000}"/>
    <cellStyle name="20% - Accent4 3 3 2 2 3 5" xfId="6701" xr:uid="{00000000-0005-0000-0000-0000DE170000}"/>
    <cellStyle name="20% - Accent4 3 3 2 2 3 6" xfId="6702" xr:uid="{00000000-0005-0000-0000-0000DF170000}"/>
    <cellStyle name="20% - Accent4 3 3 2 2 3 7" xfId="6703" xr:uid="{00000000-0005-0000-0000-0000E0170000}"/>
    <cellStyle name="20% - Accent4 3 3 2 2 4" xfId="6704" xr:uid="{00000000-0005-0000-0000-0000E1170000}"/>
    <cellStyle name="20% - Accent4 3 3 2 2 4 2" xfId="6705" xr:uid="{00000000-0005-0000-0000-0000E2170000}"/>
    <cellStyle name="20% - Accent4 3 3 2 2 4 2 2" xfId="6706" xr:uid="{00000000-0005-0000-0000-0000E3170000}"/>
    <cellStyle name="20% - Accent4 3 3 2 2 4 2 3" xfId="6707" xr:uid="{00000000-0005-0000-0000-0000E4170000}"/>
    <cellStyle name="20% - Accent4 3 3 2 2 4 3" xfId="6708" xr:uid="{00000000-0005-0000-0000-0000E5170000}"/>
    <cellStyle name="20% - Accent4 3 3 2 2 4 4" xfId="6709" xr:uid="{00000000-0005-0000-0000-0000E6170000}"/>
    <cellStyle name="20% - Accent4 3 3 2 2 4 5" xfId="6710" xr:uid="{00000000-0005-0000-0000-0000E7170000}"/>
    <cellStyle name="20% - Accent4 3 3 2 2 4 6" xfId="6711" xr:uid="{00000000-0005-0000-0000-0000E8170000}"/>
    <cellStyle name="20% - Accent4 3 3 2 2 5" xfId="6712" xr:uid="{00000000-0005-0000-0000-0000E9170000}"/>
    <cellStyle name="20% - Accent4 3 3 2 2 5 2" xfId="6713" xr:uid="{00000000-0005-0000-0000-0000EA170000}"/>
    <cellStyle name="20% - Accent4 3 3 2 2 5 2 2" xfId="6714" xr:uid="{00000000-0005-0000-0000-0000EB170000}"/>
    <cellStyle name="20% - Accent4 3 3 2 2 5 2 3" xfId="6715" xr:uid="{00000000-0005-0000-0000-0000EC170000}"/>
    <cellStyle name="20% - Accent4 3 3 2 2 5 3" xfId="6716" xr:uid="{00000000-0005-0000-0000-0000ED170000}"/>
    <cellStyle name="20% - Accent4 3 3 2 2 5 4" xfId="6717" xr:uid="{00000000-0005-0000-0000-0000EE170000}"/>
    <cellStyle name="20% - Accent4 3 3 2 2 5 5" xfId="6718" xr:uid="{00000000-0005-0000-0000-0000EF170000}"/>
    <cellStyle name="20% - Accent4 3 3 2 2 5 6" xfId="6719" xr:uid="{00000000-0005-0000-0000-0000F0170000}"/>
    <cellStyle name="20% - Accent4 3 3 2 2 6" xfId="6720" xr:uid="{00000000-0005-0000-0000-0000F1170000}"/>
    <cellStyle name="20% - Accent4 3 3 2 2 6 2" xfId="6721" xr:uid="{00000000-0005-0000-0000-0000F2170000}"/>
    <cellStyle name="20% - Accent4 3 3 2 2 6 3" xfId="6722" xr:uid="{00000000-0005-0000-0000-0000F3170000}"/>
    <cellStyle name="20% - Accent4 3 3 2 2 7" xfId="6723" xr:uid="{00000000-0005-0000-0000-0000F4170000}"/>
    <cellStyle name="20% - Accent4 3 3 2 2 8" xfId="6724" xr:uid="{00000000-0005-0000-0000-0000F5170000}"/>
    <cellStyle name="20% - Accent4 3 3 2 2 9" xfId="6725" xr:uid="{00000000-0005-0000-0000-0000F6170000}"/>
    <cellStyle name="20% - Accent4 3 3 2 3" xfId="6726" xr:uid="{00000000-0005-0000-0000-0000F7170000}"/>
    <cellStyle name="20% - Accent4 3 3 2 3 2" xfId="6727" xr:uid="{00000000-0005-0000-0000-0000F8170000}"/>
    <cellStyle name="20% - Accent4 3 3 2 3 2 2" xfId="6728" xr:uid="{00000000-0005-0000-0000-0000F9170000}"/>
    <cellStyle name="20% - Accent4 3 3 2 3 2 2 2" xfId="6729" xr:uid="{00000000-0005-0000-0000-0000FA170000}"/>
    <cellStyle name="20% - Accent4 3 3 2 3 2 2 2 2" xfId="6730" xr:uid="{00000000-0005-0000-0000-0000FB170000}"/>
    <cellStyle name="20% - Accent4 3 3 2 3 2 2 2 3" xfId="6731" xr:uid="{00000000-0005-0000-0000-0000FC170000}"/>
    <cellStyle name="20% - Accent4 3 3 2 3 2 2 3" xfId="6732" xr:uid="{00000000-0005-0000-0000-0000FD170000}"/>
    <cellStyle name="20% - Accent4 3 3 2 3 2 2 4" xfId="6733" xr:uid="{00000000-0005-0000-0000-0000FE170000}"/>
    <cellStyle name="20% - Accent4 3 3 2 3 2 2 5" xfId="6734" xr:uid="{00000000-0005-0000-0000-0000FF170000}"/>
    <cellStyle name="20% - Accent4 3 3 2 3 2 2 6" xfId="6735" xr:uid="{00000000-0005-0000-0000-000000180000}"/>
    <cellStyle name="20% - Accent4 3 3 2 3 2 3" xfId="6736" xr:uid="{00000000-0005-0000-0000-000001180000}"/>
    <cellStyle name="20% - Accent4 3 3 2 3 2 3 2" xfId="6737" xr:uid="{00000000-0005-0000-0000-000002180000}"/>
    <cellStyle name="20% - Accent4 3 3 2 3 2 3 3" xfId="6738" xr:uid="{00000000-0005-0000-0000-000003180000}"/>
    <cellStyle name="20% - Accent4 3 3 2 3 2 4" xfId="6739" xr:uid="{00000000-0005-0000-0000-000004180000}"/>
    <cellStyle name="20% - Accent4 3 3 2 3 2 5" xfId="6740" xr:uid="{00000000-0005-0000-0000-000005180000}"/>
    <cellStyle name="20% - Accent4 3 3 2 3 2 6" xfId="6741" xr:uid="{00000000-0005-0000-0000-000006180000}"/>
    <cellStyle name="20% - Accent4 3 3 2 3 2 7" xfId="6742" xr:uid="{00000000-0005-0000-0000-000007180000}"/>
    <cellStyle name="20% - Accent4 3 3 2 3 3" xfId="6743" xr:uid="{00000000-0005-0000-0000-000008180000}"/>
    <cellStyle name="20% - Accent4 3 3 2 3 3 2" xfId="6744" xr:uid="{00000000-0005-0000-0000-000009180000}"/>
    <cellStyle name="20% - Accent4 3 3 2 3 3 2 2" xfId="6745" xr:uid="{00000000-0005-0000-0000-00000A180000}"/>
    <cellStyle name="20% - Accent4 3 3 2 3 3 2 3" xfId="6746" xr:uid="{00000000-0005-0000-0000-00000B180000}"/>
    <cellStyle name="20% - Accent4 3 3 2 3 3 3" xfId="6747" xr:uid="{00000000-0005-0000-0000-00000C180000}"/>
    <cellStyle name="20% - Accent4 3 3 2 3 3 4" xfId="6748" xr:uid="{00000000-0005-0000-0000-00000D180000}"/>
    <cellStyle name="20% - Accent4 3 3 2 3 3 5" xfId="6749" xr:uid="{00000000-0005-0000-0000-00000E180000}"/>
    <cellStyle name="20% - Accent4 3 3 2 3 3 6" xfId="6750" xr:uid="{00000000-0005-0000-0000-00000F180000}"/>
    <cellStyle name="20% - Accent4 3 3 2 3 4" xfId="6751" xr:uid="{00000000-0005-0000-0000-000010180000}"/>
    <cellStyle name="20% - Accent4 3 3 2 3 4 2" xfId="6752" xr:uid="{00000000-0005-0000-0000-000011180000}"/>
    <cellStyle name="20% - Accent4 3 3 2 3 4 2 2" xfId="6753" xr:uid="{00000000-0005-0000-0000-000012180000}"/>
    <cellStyle name="20% - Accent4 3 3 2 3 4 2 3" xfId="6754" xr:uid="{00000000-0005-0000-0000-000013180000}"/>
    <cellStyle name="20% - Accent4 3 3 2 3 4 3" xfId="6755" xr:uid="{00000000-0005-0000-0000-000014180000}"/>
    <cellStyle name="20% - Accent4 3 3 2 3 4 4" xfId="6756" xr:uid="{00000000-0005-0000-0000-000015180000}"/>
    <cellStyle name="20% - Accent4 3 3 2 3 4 5" xfId="6757" xr:uid="{00000000-0005-0000-0000-000016180000}"/>
    <cellStyle name="20% - Accent4 3 3 2 3 4 6" xfId="6758" xr:uid="{00000000-0005-0000-0000-000017180000}"/>
    <cellStyle name="20% - Accent4 3 3 2 3 5" xfId="6759" xr:uid="{00000000-0005-0000-0000-000018180000}"/>
    <cellStyle name="20% - Accent4 3 3 2 3 5 2" xfId="6760" xr:uid="{00000000-0005-0000-0000-000019180000}"/>
    <cellStyle name="20% - Accent4 3 3 2 3 5 3" xfId="6761" xr:uid="{00000000-0005-0000-0000-00001A180000}"/>
    <cellStyle name="20% - Accent4 3 3 2 3 6" xfId="6762" xr:uid="{00000000-0005-0000-0000-00001B180000}"/>
    <cellStyle name="20% - Accent4 3 3 2 3 7" xfId="6763" xr:uid="{00000000-0005-0000-0000-00001C180000}"/>
    <cellStyle name="20% - Accent4 3 3 2 3 8" xfId="6764" xr:uid="{00000000-0005-0000-0000-00001D180000}"/>
    <cellStyle name="20% - Accent4 3 3 2 3 9" xfId="6765" xr:uid="{00000000-0005-0000-0000-00001E180000}"/>
    <cellStyle name="20% - Accent4 3 3 2 4" xfId="6766" xr:uid="{00000000-0005-0000-0000-00001F180000}"/>
    <cellStyle name="20% - Accent4 3 3 2 4 2" xfId="6767" xr:uid="{00000000-0005-0000-0000-000020180000}"/>
    <cellStyle name="20% - Accent4 3 3 2 4 2 2" xfId="6768" xr:uid="{00000000-0005-0000-0000-000021180000}"/>
    <cellStyle name="20% - Accent4 3 3 2 4 2 2 2" xfId="6769" xr:uid="{00000000-0005-0000-0000-000022180000}"/>
    <cellStyle name="20% - Accent4 3 3 2 4 2 2 3" xfId="6770" xr:uid="{00000000-0005-0000-0000-000023180000}"/>
    <cellStyle name="20% - Accent4 3 3 2 4 2 3" xfId="6771" xr:uid="{00000000-0005-0000-0000-000024180000}"/>
    <cellStyle name="20% - Accent4 3 3 2 4 2 4" xfId="6772" xr:uid="{00000000-0005-0000-0000-000025180000}"/>
    <cellStyle name="20% - Accent4 3 3 2 4 2 5" xfId="6773" xr:uid="{00000000-0005-0000-0000-000026180000}"/>
    <cellStyle name="20% - Accent4 3 3 2 4 2 6" xfId="6774" xr:uid="{00000000-0005-0000-0000-000027180000}"/>
    <cellStyle name="20% - Accent4 3 3 2 4 3" xfId="6775" xr:uid="{00000000-0005-0000-0000-000028180000}"/>
    <cellStyle name="20% - Accent4 3 3 2 4 3 2" xfId="6776" xr:uid="{00000000-0005-0000-0000-000029180000}"/>
    <cellStyle name="20% - Accent4 3 3 2 4 3 3" xfId="6777" xr:uid="{00000000-0005-0000-0000-00002A180000}"/>
    <cellStyle name="20% - Accent4 3 3 2 4 4" xfId="6778" xr:uid="{00000000-0005-0000-0000-00002B180000}"/>
    <cellStyle name="20% - Accent4 3 3 2 4 5" xfId="6779" xr:uid="{00000000-0005-0000-0000-00002C180000}"/>
    <cellStyle name="20% - Accent4 3 3 2 4 6" xfId="6780" xr:uid="{00000000-0005-0000-0000-00002D180000}"/>
    <cellStyle name="20% - Accent4 3 3 2 4 7" xfId="6781" xr:uid="{00000000-0005-0000-0000-00002E180000}"/>
    <cellStyle name="20% - Accent4 3 3 2 5" xfId="6782" xr:uid="{00000000-0005-0000-0000-00002F180000}"/>
    <cellStyle name="20% - Accent4 3 3 2 5 2" xfId="6783" xr:uid="{00000000-0005-0000-0000-000030180000}"/>
    <cellStyle name="20% - Accent4 3 3 2 5 2 2" xfId="6784" xr:uid="{00000000-0005-0000-0000-000031180000}"/>
    <cellStyle name="20% - Accent4 3 3 2 5 2 3" xfId="6785" xr:uid="{00000000-0005-0000-0000-000032180000}"/>
    <cellStyle name="20% - Accent4 3 3 2 5 3" xfId="6786" xr:uid="{00000000-0005-0000-0000-000033180000}"/>
    <cellStyle name="20% - Accent4 3 3 2 5 4" xfId="6787" xr:uid="{00000000-0005-0000-0000-000034180000}"/>
    <cellStyle name="20% - Accent4 3 3 2 5 5" xfId="6788" xr:uid="{00000000-0005-0000-0000-000035180000}"/>
    <cellStyle name="20% - Accent4 3 3 2 5 6" xfId="6789" xr:uid="{00000000-0005-0000-0000-000036180000}"/>
    <cellStyle name="20% - Accent4 3 3 2 6" xfId="6790" xr:uid="{00000000-0005-0000-0000-000037180000}"/>
    <cellStyle name="20% - Accent4 3 3 2 6 2" xfId="6791" xr:uid="{00000000-0005-0000-0000-000038180000}"/>
    <cellStyle name="20% - Accent4 3 3 2 6 2 2" xfId="6792" xr:uid="{00000000-0005-0000-0000-000039180000}"/>
    <cellStyle name="20% - Accent4 3 3 2 6 2 3" xfId="6793" xr:uid="{00000000-0005-0000-0000-00003A180000}"/>
    <cellStyle name="20% - Accent4 3 3 2 6 3" xfId="6794" xr:uid="{00000000-0005-0000-0000-00003B180000}"/>
    <cellStyle name="20% - Accent4 3 3 2 6 4" xfId="6795" xr:uid="{00000000-0005-0000-0000-00003C180000}"/>
    <cellStyle name="20% - Accent4 3 3 2 6 5" xfId="6796" xr:uid="{00000000-0005-0000-0000-00003D180000}"/>
    <cellStyle name="20% - Accent4 3 3 2 6 6" xfId="6797" xr:uid="{00000000-0005-0000-0000-00003E180000}"/>
    <cellStyle name="20% - Accent4 3 3 2 7" xfId="6798" xr:uid="{00000000-0005-0000-0000-00003F180000}"/>
    <cellStyle name="20% - Accent4 3 3 2 7 2" xfId="6799" xr:uid="{00000000-0005-0000-0000-000040180000}"/>
    <cellStyle name="20% - Accent4 3 3 2 7 2 2" xfId="6800" xr:uid="{00000000-0005-0000-0000-000041180000}"/>
    <cellStyle name="20% - Accent4 3 3 2 7 2 3" xfId="6801" xr:uid="{00000000-0005-0000-0000-000042180000}"/>
    <cellStyle name="20% - Accent4 3 3 2 7 3" xfId="6802" xr:uid="{00000000-0005-0000-0000-000043180000}"/>
    <cellStyle name="20% - Accent4 3 3 2 7 4" xfId="6803" xr:uid="{00000000-0005-0000-0000-000044180000}"/>
    <cellStyle name="20% - Accent4 3 3 2 7 5" xfId="6804" xr:uid="{00000000-0005-0000-0000-000045180000}"/>
    <cellStyle name="20% - Accent4 3 3 2 7 6" xfId="6805" xr:uid="{00000000-0005-0000-0000-000046180000}"/>
    <cellStyle name="20% - Accent4 3 3 2 8" xfId="6806" xr:uid="{00000000-0005-0000-0000-000047180000}"/>
    <cellStyle name="20% - Accent4 3 3 2 8 2" xfId="6807" xr:uid="{00000000-0005-0000-0000-000048180000}"/>
    <cellStyle name="20% - Accent4 3 3 2 8 2 2" xfId="6808" xr:uid="{00000000-0005-0000-0000-000049180000}"/>
    <cellStyle name="20% - Accent4 3 3 2 8 2 3" xfId="6809" xr:uid="{00000000-0005-0000-0000-00004A180000}"/>
    <cellStyle name="20% - Accent4 3 3 2 8 3" xfId="6810" xr:uid="{00000000-0005-0000-0000-00004B180000}"/>
    <cellStyle name="20% - Accent4 3 3 2 8 4" xfId="6811" xr:uid="{00000000-0005-0000-0000-00004C180000}"/>
    <cellStyle name="20% - Accent4 3 3 2 8 5" xfId="6812" xr:uid="{00000000-0005-0000-0000-00004D180000}"/>
    <cellStyle name="20% - Accent4 3 3 2 8 6" xfId="6813" xr:uid="{00000000-0005-0000-0000-00004E180000}"/>
    <cellStyle name="20% - Accent4 3 3 2 9" xfId="6814" xr:uid="{00000000-0005-0000-0000-00004F180000}"/>
    <cellStyle name="20% - Accent4 3 3 2 9 2" xfId="6815" xr:uid="{00000000-0005-0000-0000-000050180000}"/>
    <cellStyle name="20% - Accent4 3 3 2 9 3" xfId="6816" xr:uid="{00000000-0005-0000-0000-000051180000}"/>
    <cellStyle name="20% - Accent4 3 3 3" xfId="6817" xr:uid="{00000000-0005-0000-0000-000052180000}"/>
    <cellStyle name="20% - Accent4 3 3 3 10" xfId="6818" xr:uid="{00000000-0005-0000-0000-000053180000}"/>
    <cellStyle name="20% - Accent4 3 3 3 2" xfId="6819" xr:uid="{00000000-0005-0000-0000-000054180000}"/>
    <cellStyle name="20% - Accent4 3 3 3 2 2" xfId="6820" xr:uid="{00000000-0005-0000-0000-000055180000}"/>
    <cellStyle name="20% - Accent4 3 3 3 2 2 2" xfId="6821" xr:uid="{00000000-0005-0000-0000-000056180000}"/>
    <cellStyle name="20% - Accent4 3 3 3 2 2 2 2" xfId="6822" xr:uid="{00000000-0005-0000-0000-000057180000}"/>
    <cellStyle name="20% - Accent4 3 3 3 2 2 2 3" xfId="6823" xr:uid="{00000000-0005-0000-0000-000058180000}"/>
    <cellStyle name="20% - Accent4 3 3 3 2 2 3" xfId="6824" xr:uid="{00000000-0005-0000-0000-000059180000}"/>
    <cellStyle name="20% - Accent4 3 3 3 2 2 4" xfId="6825" xr:uid="{00000000-0005-0000-0000-00005A180000}"/>
    <cellStyle name="20% - Accent4 3 3 3 2 2 5" xfId="6826" xr:uid="{00000000-0005-0000-0000-00005B180000}"/>
    <cellStyle name="20% - Accent4 3 3 3 2 2 6" xfId="6827" xr:uid="{00000000-0005-0000-0000-00005C180000}"/>
    <cellStyle name="20% - Accent4 3 3 3 2 3" xfId="6828" xr:uid="{00000000-0005-0000-0000-00005D180000}"/>
    <cellStyle name="20% - Accent4 3 3 3 2 3 2" xfId="6829" xr:uid="{00000000-0005-0000-0000-00005E180000}"/>
    <cellStyle name="20% - Accent4 3 3 3 2 3 2 2" xfId="6830" xr:uid="{00000000-0005-0000-0000-00005F180000}"/>
    <cellStyle name="20% - Accent4 3 3 3 2 3 2 3" xfId="6831" xr:uid="{00000000-0005-0000-0000-000060180000}"/>
    <cellStyle name="20% - Accent4 3 3 3 2 3 3" xfId="6832" xr:uid="{00000000-0005-0000-0000-000061180000}"/>
    <cellStyle name="20% - Accent4 3 3 3 2 3 4" xfId="6833" xr:uid="{00000000-0005-0000-0000-000062180000}"/>
    <cellStyle name="20% - Accent4 3 3 3 2 3 5" xfId="6834" xr:uid="{00000000-0005-0000-0000-000063180000}"/>
    <cellStyle name="20% - Accent4 3 3 3 2 3 6" xfId="6835" xr:uid="{00000000-0005-0000-0000-000064180000}"/>
    <cellStyle name="20% - Accent4 3 3 3 2 4" xfId="6836" xr:uid="{00000000-0005-0000-0000-000065180000}"/>
    <cellStyle name="20% - Accent4 3 3 3 2 4 2" xfId="6837" xr:uid="{00000000-0005-0000-0000-000066180000}"/>
    <cellStyle name="20% - Accent4 3 3 3 2 4 3" xfId="6838" xr:uid="{00000000-0005-0000-0000-000067180000}"/>
    <cellStyle name="20% - Accent4 3 3 3 2 5" xfId="6839" xr:uid="{00000000-0005-0000-0000-000068180000}"/>
    <cellStyle name="20% - Accent4 3 3 3 2 6" xfId="6840" xr:uid="{00000000-0005-0000-0000-000069180000}"/>
    <cellStyle name="20% - Accent4 3 3 3 2 7" xfId="6841" xr:uid="{00000000-0005-0000-0000-00006A180000}"/>
    <cellStyle name="20% - Accent4 3 3 3 2 8" xfId="6842" xr:uid="{00000000-0005-0000-0000-00006B180000}"/>
    <cellStyle name="20% - Accent4 3 3 3 3" xfId="6843" xr:uid="{00000000-0005-0000-0000-00006C180000}"/>
    <cellStyle name="20% - Accent4 3 3 3 3 2" xfId="6844" xr:uid="{00000000-0005-0000-0000-00006D180000}"/>
    <cellStyle name="20% - Accent4 3 3 3 3 2 2" xfId="6845" xr:uid="{00000000-0005-0000-0000-00006E180000}"/>
    <cellStyle name="20% - Accent4 3 3 3 3 2 2 2" xfId="6846" xr:uid="{00000000-0005-0000-0000-00006F180000}"/>
    <cellStyle name="20% - Accent4 3 3 3 3 2 2 3" xfId="6847" xr:uid="{00000000-0005-0000-0000-000070180000}"/>
    <cellStyle name="20% - Accent4 3 3 3 3 2 3" xfId="6848" xr:uid="{00000000-0005-0000-0000-000071180000}"/>
    <cellStyle name="20% - Accent4 3 3 3 3 2 4" xfId="6849" xr:uid="{00000000-0005-0000-0000-000072180000}"/>
    <cellStyle name="20% - Accent4 3 3 3 3 2 5" xfId="6850" xr:uid="{00000000-0005-0000-0000-000073180000}"/>
    <cellStyle name="20% - Accent4 3 3 3 3 2 6" xfId="6851" xr:uid="{00000000-0005-0000-0000-000074180000}"/>
    <cellStyle name="20% - Accent4 3 3 3 3 3" xfId="6852" xr:uid="{00000000-0005-0000-0000-000075180000}"/>
    <cellStyle name="20% - Accent4 3 3 3 3 3 2" xfId="6853" xr:uid="{00000000-0005-0000-0000-000076180000}"/>
    <cellStyle name="20% - Accent4 3 3 3 3 3 3" xfId="6854" xr:uid="{00000000-0005-0000-0000-000077180000}"/>
    <cellStyle name="20% - Accent4 3 3 3 3 4" xfId="6855" xr:uid="{00000000-0005-0000-0000-000078180000}"/>
    <cellStyle name="20% - Accent4 3 3 3 3 5" xfId="6856" xr:uid="{00000000-0005-0000-0000-000079180000}"/>
    <cellStyle name="20% - Accent4 3 3 3 3 6" xfId="6857" xr:uid="{00000000-0005-0000-0000-00007A180000}"/>
    <cellStyle name="20% - Accent4 3 3 3 3 7" xfId="6858" xr:uid="{00000000-0005-0000-0000-00007B180000}"/>
    <cellStyle name="20% - Accent4 3 3 3 4" xfId="6859" xr:uid="{00000000-0005-0000-0000-00007C180000}"/>
    <cellStyle name="20% - Accent4 3 3 3 4 2" xfId="6860" xr:uid="{00000000-0005-0000-0000-00007D180000}"/>
    <cellStyle name="20% - Accent4 3 3 3 4 2 2" xfId="6861" xr:uid="{00000000-0005-0000-0000-00007E180000}"/>
    <cellStyle name="20% - Accent4 3 3 3 4 2 3" xfId="6862" xr:uid="{00000000-0005-0000-0000-00007F180000}"/>
    <cellStyle name="20% - Accent4 3 3 3 4 3" xfId="6863" xr:uid="{00000000-0005-0000-0000-000080180000}"/>
    <cellStyle name="20% - Accent4 3 3 3 4 4" xfId="6864" xr:uid="{00000000-0005-0000-0000-000081180000}"/>
    <cellStyle name="20% - Accent4 3 3 3 4 5" xfId="6865" xr:uid="{00000000-0005-0000-0000-000082180000}"/>
    <cellStyle name="20% - Accent4 3 3 3 4 6" xfId="6866" xr:uid="{00000000-0005-0000-0000-000083180000}"/>
    <cellStyle name="20% - Accent4 3 3 3 5" xfId="6867" xr:uid="{00000000-0005-0000-0000-000084180000}"/>
    <cellStyle name="20% - Accent4 3 3 3 5 2" xfId="6868" xr:uid="{00000000-0005-0000-0000-000085180000}"/>
    <cellStyle name="20% - Accent4 3 3 3 5 2 2" xfId="6869" xr:uid="{00000000-0005-0000-0000-000086180000}"/>
    <cellStyle name="20% - Accent4 3 3 3 5 2 3" xfId="6870" xr:uid="{00000000-0005-0000-0000-000087180000}"/>
    <cellStyle name="20% - Accent4 3 3 3 5 3" xfId="6871" xr:uid="{00000000-0005-0000-0000-000088180000}"/>
    <cellStyle name="20% - Accent4 3 3 3 5 4" xfId="6872" xr:uid="{00000000-0005-0000-0000-000089180000}"/>
    <cellStyle name="20% - Accent4 3 3 3 5 5" xfId="6873" xr:uid="{00000000-0005-0000-0000-00008A180000}"/>
    <cellStyle name="20% - Accent4 3 3 3 5 6" xfId="6874" xr:uid="{00000000-0005-0000-0000-00008B180000}"/>
    <cellStyle name="20% - Accent4 3 3 3 6" xfId="6875" xr:uid="{00000000-0005-0000-0000-00008C180000}"/>
    <cellStyle name="20% - Accent4 3 3 3 6 2" xfId="6876" xr:uid="{00000000-0005-0000-0000-00008D180000}"/>
    <cellStyle name="20% - Accent4 3 3 3 6 3" xfId="6877" xr:uid="{00000000-0005-0000-0000-00008E180000}"/>
    <cellStyle name="20% - Accent4 3 3 3 7" xfId="6878" xr:uid="{00000000-0005-0000-0000-00008F180000}"/>
    <cellStyle name="20% - Accent4 3 3 3 8" xfId="6879" xr:uid="{00000000-0005-0000-0000-000090180000}"/>
    <cellStyle name="20% - Accent4 3 3 3 9" xfId="6880" xr:uid="{00000000-0005-0000-0000-000091180000}"/>
    <cellStyle name="20% - Accent4 3 3 4" xfId="6881" xr:uid="{00000000-0005-0000-0000-000092180000}"/>
    <cellStyle name="20% - Accent4 3 3 4 2" xfId="6882" xr:uid="{00000000-0005-0000-0000-000093180000}"/>
    <cellStyle name="20% - Accent4 3 3 4 2 2" xfId="6883" xr:uid="{00000000-0005-0000-0000-000094180000}"/>
    <cellStyle name="20% - Accent4 3 3 4 2 2 2" xfId="6884" xr:uid="{00000000-0005-0000-0000-000095180000}"/>
    <cellStyle name="20% - Accent4 3 3 4 2 2 2 2" xfId="6885" xr:uid="{00000000-0005-0000-0000-000096180000}"/>
    <cellStyle name="20% - Accent4 3 3 4 2 2 2 3" xfId="6886" xr:uid="{00000000-0005-0000-0000-000097180000}"/>
    <cellStyle name="20% - Accent4 3 3 4 2 2 3" xfId="6887" xr:uid="{00000000-0005-0000-0000-000098180000}"/>
    <cellStyle name="20% - Accent4 3 3 4 2 2 4" xfId="6888" xr:uid="{00000000-0005-0000-0000-000099180000}"/>
    <cellStyle name="20% - Accent4 3 3 4 2 2 5" xfId="6889" xr:uid="{00000000-0005-0000-0000-00009A180000}"/>
    <cellStyle name="20% - Accent4 3 3 4 2 2 6" xfId="6890" xr:uid="{00000000-0005-0000-0000-00009B180000}"/>
    <cellStyle name="20% - Accent4 3 3 4 2 3" xfId="6891" xr:uid="{00000000-0005-0000-0000-00009C180000}"/>
    <cellStyle name="20% - Accent4 3 3 4 2 3 2" xfId="6892" xr:uid="{00000000-0005-0000-0000-00009D180000}"/>
    <cellStyle name="20% - Accent4 3 3 4 2 3 3" xfId="6893" xr:uid="{00000000-0005-0000-0000-00009E180000}"/>
    <cellStyle name="20% - Accent4 3 3 4 2 4" xfId="6894" xr:uid="{00000000-0005-0000-0000-00009F180000}"/>
    <cellStyle name="20% - Accent4 3 3 4 2 5" xfId="6895" xr:uid="{00000000-0005-0000-0000-0000A0180000}"/>
    <cellStyle name="20% - Accent4 3 3 4 2 6" xfId="6896" xr:uid="{00000000-0005-0000-0000-0000A1180000}"/>
    <cellStyle name="20% - Accent4 3 3 4 2 7" xfId="6897" xr:uid="{00000000-0005-0000-0000-0000A2180000}"/>
    <cellStyle name="20% - Accent4 3 3 4 3" xfId="6898" xr:uid="{00000000-0005-0000-0000-0000A3180000}"/>
    <cellStyle name="20% - Accent4 3 3 4 3 2" xfId="6899" xr:uid="{00000000-0005-0000-0000-0000A4180000}"/>
    <cellStyle name="20% - Accent4 3 3 4 3 2 2" xfId="6900" xr:uid="{00000000-0005-0000-0000-0000A5180000}"/>
    <cellStyle name="20% - Accent4 3 3 4 3 2 3" xfId="6901" xr:uid="{00000000-0005-0000-0000-0000A6180000}"/>
    <cellStyle name="20% - Accent4 3 3 4 3 3" xfId="6902" xr:uid="{00000000-0005-0000-0000-0000A7180000}"/>
    <cellStyle name="20% - Accent4 3 3 4 3 4" xfId="6903" xr:uid="{00000000-0005-0000-0000-0000A8180000}"/>
    <cellStyle name="20% - Accent4 3 3 4 3 5" xfId="6904" xr:uid="{00000000-0005-0000-0000-0000A9180000}"/>
    <cellStyle name="20% - Accent4 3 3 4 3 6" xfId="6905" xr:uid="{00000000-0005-0000-0000-0000AA180000}"/>
    <cellStyle name="20% - Accent4 3 3 4 4" xfId="6906" xr:uid="{00000000-0005-0000-0000-0000AB180000}"/>
    <cellStyle name="20% - Accent4 3 3 4 4 2" xfId="6907" xr:uid="{00000000-0005-0000-0000-0000AC180000}"/>
    <cellStyle name="20% - Accent4 3 3 4 4 2 2" xfId="6908" xr:uid="{00000000-0005-0000-0000-0000AD180000}"/>
    <cellStyle name="20% - Accent4 3 3 4 4 2 3" xfId="6909" xr:uid="{00000000-0005-0000-0000-0000AE180000}"/>
    <cellStyle name="20% - Accent4 3 3 4 4 3" xfId="6910" xr:uid="{00000000-0005-0000-0000-0000AF180000}"/>
    <cellStyle name="20% - Accent4 3 3 4 4 4" xfId="6911" xr:uid="{00000000-0005-0000-0000-0000B0180000}"/>
    <cellStyle name="20% - Accent4 3 3 4 4 5" xfId="6912" xr:uid="{00000000-0005-0000-0000-0000B1180000}"/>
    <cellStyle name="20% - Accent4 3 3 4 4 6" xfId="6913" xr:uid="{00000000-0005-0000-0000-0000B2180000}"/>
    <cellStyle name="20% - Accent4 3 3 4 5" xfId="6914" xr:uid="{00000000-0005-0000-0000-0000B3180000}"/>
    <cellStyle name="20% - Accent4 3 3 4 5 2" xfId="6915" xr:uid="{00000000-0005-0000-0000-0000B4180000}"/>
    <cellStyle name="20% - Accent4 3 3 4 5 3" xfId="6916" xr:uid="{00000000-0005-0000-0000-0000B5180000}"/>
    <cellStyle name="20% - Accent4 3 3 4 6" xfId="6917" xr:uid="{00000000-0005-0000-0000-0000B6180000}"/>
    <cellStyle name="20% - Accent4 3 3 4 7" xfId="6918" xr:uid="{00000000-0005-0000-0000-0000B7180000}"/>
    <cellStyle name="20% - Accent4 3 3 4 8" xfId="6919" xr:uid="{00000000-0005-0000-0000-0000B8180000}"/>
    <cellStyle name="20% - Accent4 3 3 4 9" xfId="6920" xr:uid="{00000000-0005-0000-0000-0000B9180000}"/>
    <cellStyle name="20% - Accent4 3 3 5" xfId="6921" xr:uid="{00000000-0005-0000-0000-0000BA180000}"/>
    <cellStyle name="20% - Accent4 3 3 5 2" xfId="6922" xr:uid="{00000000-0005-0000-0000-0000BB180000}"/>
    <cellStyle name="20% - Accent4 3 3 5 2 2" xfId="6923" xr:uid="{00000000-0005-0000-0000-0000BC180000}"/>
    <cellStyle name="20% - Accent4 3 3 5 2 2 2" xfId="6924" xr:uid="{00000000-0005-0000-0000-0000BD180000}"/>
    <cellStyle name="20% - Accent4 3 3 5 2 2 3" xfId="6925" xr:uid="{00000000-0005-0000-0000-0000BE180000}"/>
    <cellStyle name="20% - Accent4 3 3 5 2 3" xfId="6926" xr:uid="{00000000-0005-0000-0000-0000BF180000}"/>
    <cellStyle name="20% - Accent4 3 3 5 2 4" xfId="6927" xr:uid="{00000000-0005-0000-0000-0000C0180000}"/>
    <cellStyle name="20% - Accent4 3 3 5 2 5" xfId="6928" xr:uid="{00000000-0005-0000-0000-0000C1180000}"/>
    <cellStyle name="20% - Accent4 3 3 5 2 6" xfId="6929" xr:uid="{00000000-0005-0000-0000-0000C2180000}"/>
    <cellStyle name="20% - Accent4 3 3 5 3" xfId="6930" xr:uid="{00000000-0005-0000-0000-0000C3180000}"/>
    <cellStyle name="20% - Accent4 3 3 5 3 2" xfId="6931" xr:uid="{00000000-0005-0000-0000-0000C4180000}"/>
    <cellStyle name="20% - Accent4 3 3 5 3 3" xfId="6932" xr:uid="{00000000-0005-0000-0000-0000C5180000}"/>
    <cellStyle name="20% - Accent4 3 3 5 4" xfId="6933" xr:uid="{00000000-0005-0000-0000-0000C6180000}"/>
    <cellStyle name="20% - Accent4 3 3 5 5" xfId="6934" xr:uid="{00000000-0005-0000-0000-0000C7180000}"/>
    <cellStyle name="20% - Accent4 3 3 5 6" xfId="6935" xr:uid="{00000000-0005-0000-0000-0000C8180000}"/>
    <cellStyle name="20% - Accent4 3 3 5 7" xfId="6936" xr:uid="{00000000-0005-0000-0000-0000C9180000}"/>
    <cellStyle name="20% - Accent4 3 3 6" xfId="6937" xr:uid="{00000000-0005-0000-0000-0000CA180000}"/>
    <cellStyle name="20% - Accent4 3 3 6 2" xfId="6938" xr:uid="{00000000-0005-0000-0000-0000CB180000}"/>
    <cellStyle name="20% - Accent4 3 3 6 2 2" xfId="6939" xr:uid="{00000000-0005-0000-0000-0000CC180000}"/>
    <cellStyle name="20% - Accent4 3 3 6 2 3" xfId="6940" xr:uid="{00000000-0005-0000-0000-0000CD180000}"/>
    <cellStyle name="20% - Accent4 3 3 6 3" xfId="6941" xr:uid="{00000000-0005-0000-0000-0000CE180000}"/>
    <cellStyle name="20% - Accent4 3 3 6 4" xfId="6942" xr:uid="{00000000-0005-0000-0000-0000CF180000}"/>
    <cellStyle name="20% - Accent4 3 3 6 5" xfId="6943" xr:uid="{00000000-0005-0000-0000-0000D0180000}"/>
    <cellStyle name="20% - Accent4 3 3 6 6" xfId="6944" xr:uid="{00000000-0005-0000-0000-0000D1180000}"/>
    <cellStyle name="20% - Accent4 3 3 7" xfId="6945" xr:uid="{00000000-0005-0000-0000-0000D2180000}"/>
    <cellStyle name="20% - Accent4 3 3 7 2" xfId="6946" xr:uid="{00000000-0005-0000-0000-0000D3180000}"/>
    <cellStyle name="20% - Accent4 3 3 7 2 2" xfId="6947" xr:uid="{00000000-0005-0000-0000-0000D4180000}"/>
    <cellStyle name="20% - Accent4 3 3 7 2 3" xfId="6948" xr:uid="{00000000-0005-0000-0000-0000D5180000}"/>
    <cellStyle name="20% - Accent4 3 3 7 3" xfId="6949" xr:uid="{00000000-0005-0000-0000-0000D6180000}"/>
    <cellStyle name="20% - Accent4 3 3 7 4" xfId="6950" xr:uid="{00000000-0005-0000-0000-0000D7180000}"/>
    <cellStyle name="20% - Accent4 3 3 7 5" xfId="6951" xr:uid="{00000000-0005-0000-0000-0000D8180000}"/>
    <cellStyle name="20% - Accent4 3 3 7 6" xfId="6952" xr:uid="{00000000-0005-0000-0000-0000D9180000}"/>
    <cellStyle name="20% - Accent4 3 3 8" xfId="6953" xr:uid="{00000000-0005-0000-0000-0000DA180000}"/>
    <cellStyle name="20% - Accent4 3 3 8 2" xfId="6954" xr:uid="{00000000-0005-0000-0000-0000DB180000}"/>
    <cellStyle name="20% - Accent4 3 3 8 2 2" xfId="6955" xr:uid="{00000000-0005-0000-0000-0000DC180000}"/>
    <cellStyle name="20% - Accent4 3 3 8 2 3" xfId="6956" xr:uid="{00000000-0005-0000-0000-0000DD180000}"/>
    <cellStyle name="20% - Accent4 3 3 8 3" xfId="6957" xr:uid="{00000000-0005-0000-0000-0000DE180000}"/>
    <cellStyle name="20% - Accent4 3 3 8 4" xfId="6958" xr:uid="{00000000-0005-0000-0000-0000DF180000}"/>
    <cellStyle name="20% - Accent4 3 3 8 5" xfId="6959" xr:uid="{00000000-0005-0000-0000-0000E0180000}"/>
    <cellStyle name="20% - Accent4 3 3 8 6" xfId="6960" xr:uid="{00000000-0005-0000-0000-0000E1180000}"/>
    <cellStyle name="20% - Accent4 3 3 9" xfId="6961" xr:uid="{00000000-0005-0000-0000-0000E2180000}"/>
    <cellStyle name="20% - Accent4 3 3 9 2" xfId="6962" xr:uid="{00000000-0005-0000-0000-0000E3180000}"/>
    <cellStyle name="20% - Accent4 3 3 9 2 2" xfId="6963" xr:uid="{00000000-0005-0000-0000-0000E4180000}"/>
    <cellStyle name="20% - Accent4 3 3 9 2 3" xfId="6964" xr:uid="{00000000-0005-0000-0000-0000E5180000}"/>
    <cellStyle name="20% - Accent4 3 3 9 3" xfId="6965" xr:uid="{00000000-0005-0000-0000-0000E6180000}"/>
    <cellStyle name="20% - Accent4 3 3 9 4" xfId="6966" xr:uid="{00000000-0005-0000-0000-0000E7180000}"/>
    <cellStyle name="20% - Accent4 3 3 9 5" xfId="6967" xr:uid="{00000000-0005-0000-0000-0000E8180000}"/>
    <cellStyle name="20% - Accent4 3 3 9 6" xfId="6968" xr:uid="{00000000-0005-0000-0000-0000E9180000}"/>
    <cellStyle name="20% - Accent4 3 4" xfId="6969" xr:uid="{00000000-0005-0000-0000-0000EA180000}"/>
    <cellStyle name="20% - Accent4 3 4 10" xfId="6970" xr:uid="{00000000-0005-0000-0000-0000EB180000}"/>
    <cellStyle name="20% - Accent4 3 4 11" xfId="6971" xr:uid="{00000000-0005-0000-0000-0000EC180000}"/>
    <cellStyle name="20% - Accent4 3 4 12" xfId="6972" xr:uid="{00000000-0005-0000-0000-0000ED180000}"/>
    <cellStyle name="20% - Accent4 3 4 13" xfId="6973" xr:uid="{00000000-0005-0000-0000-0000EE180000}"/>
    <cellStyle name="20% - Accent4 3 4 2" xfId="6974" xr:uid="{00000000-0005-0000-0000-0000EF180000}"/>
    <cellStyle name="20% - Accent4 3 4 2 10" xfId="6975" xr:uid="{00000000-0005-0000-0000-0000F0180000}"/>
    <cellStyle name="20% - Accent4 3 4 2 2" xfId="6976" xr:uid="{00000000-0005-0000-0000-0000F1180000}"/>
    <cellStyle name="20% - Accent4 3 4 2 2 2" xfId="6977" xr:uid="{00000000-0005-0000-0000-0000F2180000}"/>
    <cellStyle name="20% - Accent4 3 4 2 2 2 2" xfId="6978" xr:uid="{00000000-0005-0000-0000-0000F3180000}"/>
    <cellStyle name="20% - Accent4 3 4 2 2 2 2 2" xfId="6979" xr:uid="{00000000-0005-0000-0000-0000F4180000}"/>
    <cellStyle name="20% - Accent4 3 4 2 2 2 2 3" xfId="6980" xr:uid="{00000000-0005-0000-0000-0000F5180000}"/>
    <cellStyle name="20% - Accent4 3 4 2 2 2 3" xfId="6981" xr:uid="{00000000-0005-0000-0000-0000F6180000}"/>
    <cellStyle name="20% - Accent4 3 4 2 2 2 4" xfId="6982" xr:uid="{00000000-0005-0000-0000-0000F7180000}"/>
    <cellStyle name="20% - Accent4 3 4 2 2 2 5" xfId="6983" xr:uid="{00000000-0005-0000-0000-0000F8180000}"/>
    <cellStyle name="20% - Accent4 3 4 2 2 2 6" xfId="6984" xr:uid="{00000000-0005-0000-0000-0000F9180000}"/>
    <cellStyle name="20% - Accent4 3 4 2 2 3" xfId="6985" xr:uid="{00000000-0005-0000-0000-0000FA180000}"/>
    <cellStyle name="20% - Accent4 3 4 2 2 3 2" xfId="6986" xr:uid="{00000000-0005-0000-0000-0000FB180000}"/>
    <cellStyle name="20% - Accent4 3 4 2 2 3 2 2" xfId="6987" xr:uid="{00000000-0005-0000-0000-0000FC180000}"/>
    <cellStyle name="20% - Accent4 3 4 2 2 3 2 3" xfId="6988" xr:uid="{00000000-0005-0000-0000-0000FD180000}"/>
    <cellStyle name="20% - Accent4 3 4 2 2 3 3" xfId="6989" xr:uid="{00000000-0005-0000-0000-0000FE180000}"/>
    <cellStyle name="20% - Accent4 3 4 2 2 3 4" xfId="6990" xr:uid="{00000000-0005-0000-0000-0000FF180000}"/>
    <cellStyle name="20% - Accent4 3 4 2 2 3 5" xfId="6991" xr:uid="{00000000-0005-0000-0000-000000190000}"/>
    <cellStyle name="20% - Accent4 3 4 2 2 3 6" xfId="6992" xr:uid="{00000000-0005-0000-0000-000001190000}"/>
    <cellStyle name="20% - Accent4 3 4 2 2 4" xfId="6993" xr:uid="{00000000-0005-0000-0000-000002190000}"/>
    <cellStyle name="20% - Accent4 3 4 2 2 4 2" xfId="6994" xr:uid="{00000000-0005-0000-0000-000003190000}"/>
    <cellStyle name="20% - Accent4 3 4 2 2 4 3" xfId="6995" xr:uid="{00000000-0005-0000-0000-000004190000}"/>
    <cellStyle name="20% - Accent4 3 4 2 2 5" xfId="6996" xr:uid="{00000000-0005-0000-0000-000005190000}"/>
    <cellStyle name="20% - Accent4 3 4 2 2 6" xfId="6997" xr:uid="{00000000-0005-0000-0000-000006190000}"/>
    <cellStyle name="20% - Accent4 3 4 2 2 7" xfId="6998" xr:uid="{00000000-0005-0000-0000-000007190000}"/>
    <cellStyle name="20% - Accent4 3 4 2 2 8" xfId="6999" xr:uid="{00000000-0005-0000-0000-000008190000}"/>
    <cellStyle name="20% - Accent4 3 4 2 3" xfId="7000" xr:uid="{00000000-0005-0000-0000-000009190000}"/>
    <cellStyle name="20% - Accent4 3 4 2 3 2" xfId="7001" xr:uid="{00000000-0005-0000-0000-00000A190000}"/>
    <cellStyle name="20% - Accent4 3 4 2 3 2 2" xfId="7002" xr:uid="{00000000-0005-0000-0000-00000B190000}"/>
    <cellStyle name="20% - Accent4 3 4 2 3 2 2 2" xfId="7003" xr:uid="{00000000-0005-0000-0000-00000C190000}"/>
    <cellStyle name="20% - Accent4 3 4 2 3 2 2 3" xfId="7004" xr:uid="{00000000-0005-0000-0000-00000D190000}"/>
    <cellStyle name="20% - Accent4 3 4 2 3 2 3" xfId="7005" xr:uid="{00000000-0005-0000-0000-00000E190000}"/>
    <cellStyle name="20% - Accent4 3 4 2 3 2 4" xfId="7006" xr:uid="{00000000-0005-0000-0000-00000F190000}"/>
    <cellStyle name="20% - Accent4 3 4 2 3 2 5" xfId="7007" xr:uid="{00000000-0005-0000-0000-000010190000}"/>
    <cellStyle name="20% - Accent4 3 4 2 3 2 6" xfId="7008" xr:uid="{00000000-0005-0000-0000-000011190000}"/>
    <cellStyle name="20% - Accent4 3 4 2 3 3" xfId="7009" xr:uid="{00000000-0005-0000-0000-000012190000}"/>
    <cellStyle name="20% - Accent4 3 4 2 3 3 2" xfId="7010" xr:uid="{00000000-0005-0000-0000-000013190000}"/>
    <cellStyle name="20% - Accent4 3 4 2 3 3 3" xfId="7011" xr:uid="{00000000-0005-0000-0000-000014190000}"/>
    <cellStyle name="20% - Accent4 3 4 2 3 4" xfId="7012" xr:uid="{00000000-0005-0000-0000-000015190000}"/>
    <cellStyle name="20% - Accent4 3 4 2 3 5" xfId="7013" xr:uid="{00000000-0005-0000-0000-000016190000}"/>
    <cellStyle name="20% - Accent4 3 4 2 3 6" xfId="7014" xr:uid="{00000000-0005-0000-0000-000017190000}"/>
    <cellStyle name="20% - Accent4 3 4 2 3 7" xfId="7015" xr:uid="{00000000-0005-0000-0000-000018190000}"/>
    <cellStyle name="20% - Accent4 3 4 2 4" xfId="7016" xr:uid="{00000000-0005-0000-0000-000019190000}"/>
    <cellStyle name="20% - Accent4 3 4 2 4 2" xfId="7017" xr:uid="{00000000-0005-0000-0000-00001A190000}"/>
    <cellStyle name="20% - Accent4 3 4 2 4 2 2" xfId="7018" xr:uid="{00000000-0005-0000-0000-00001B190000}"/>
    <cellStyle name="20% - Accent4 3 4 2 4 2 3" xfId="7019" xr:uid="{00000000-0005-0000-0000-00001C190000}"/>
    <cellStyle name="20% - Accent4 3 4 2 4 3" xfId="7020" xr:uid="{00000000-0005-0000-0000-00001D190000}"/>
    <cellStyle name="20% - Accent4 3 4 2 4 4" xfId="7021" xr:uid="{00000000-0005-0000-0000-00001E190000}"/>
    <cellStyle name="20% - Accent4 3 4 2 4 5" xfId="7022" xr:uid="{00000000-0005-0000-0000-00001F190000}"/>
    <cellStyle name="20% - Accent4 3 4 2 4 6" xfId="7023" xr:uid="{00000000-0005-0000-0000-000020190000}"/>
    <cellStyle name="20% - Accent4 3 4 2 5" xfId="7024" xr:uid="{00000000-0005-0000-0000-000021190000}"/>
    <cellStyle name="20% - Accent4 3 4 2 5 2" xfId="7025" xr:uid="{00000000-0005-0000-0000-000022190000}"/>
    <cellStyle name="20% - Accent4 3 4 2 5 2 2" xfId="7026" xr:uid="{00000000-0005-0000-0000-000023190000}"/>
    <cellStyle name="20% - Accent4 3 4 2 5 2 3" xfId="7027" xr:uid="{00000000-0005-0000-0000-000024190000}"/>
    <cellStyle name="20% - Accent4 3 4 2 5 3" xfId="7028" xr:uid="{00000000-0005-0000-0000-000025190000}"/>
    <cellStyle name="20% - Accent4 3 4 2 5 4" xfId="7029" xr:uid="{00000000-0005-0000-0000-000026190000}"/>
    <cellStyle name="20% - Accent4 3 4 2 5 5" xfId="7030" xr:uid="{00000000-0005-0000-0000-000027190000}"/>
    <cellStyle name="20% - Accent4 3 4 2 5 6" xfId="7031" xr:uid="{00000000-0005-0000-0000-000028190000}"/>
    <cellStyle name="20% - Accent4 3 4 2 6" xfId="7032" xr:uid="{00000000-0005-0000-0000-000029190000}"/>
    <cellStyle name="20% - Accent4 3 4 2 6 2" xfId="7033" xr:uid="{00000000-0005-0000-0000-00002A190000}"/>
    <cellStyle name="20% - Accent4 3 4 2 6 3" xfId="7034" xr:uid="{00000000-0005-0000-0000-00002B190000}"/>
    <cellStyle name="20% - Accent4 3 4 2 7" xfId="7035" xr:uid="{00000000-0005-0000-0000-00002C190000}"/>
    <cellStyle name="20% - Accent4 3 4 2 8" xfId="7036" xr:uid="{00000000-0005-0000-0000-00002D190000}"/>
    <cellStyle name="20% - Accent4 3 4 2 9" xfId="7037" xr:uid="{00000000-0005-0000-0000-00002E190000}"/>
    <cellStyle name="20% - Accent4 3 4 3" xfId="7038" xr:uid="{00000000-0005-0000-0000-00002F190000}"/>
    <cellStyle name="20% - Accent4 3 4 3 2" xfId="7039" xr:uid="{00000000-0005-0000-0000-000030190000}"/>
    <cellStyle name="20% - Accent4 3 4 3 2 2" xfId="7040" xr:uid="{00000000-0005-0000-0000-000031190000}"/>
    <cellStyle name="20% - Accent4 3 4 3 2 2 2" xfId="7041" xr:uid="{00000000-0005-0000-0000-000032190000}"/>
    <cellStyle name="20% - Accent4 3 4 3 2 2 2 2" xfId="7042" xr:uid="{00000000-0005-0000-0000-000033190000}"/>
    <cellStyle name="20% - Accent4 3 4 3 2 2 2 3" xfId="7043" xr:uid="{00000000-0005-0000-0000-000034190000}"/>
    <cellStyle name="20% - Accent4 3 4 3 2 2 3" xfId="7044" xr:uid="{00000000-0005-0000-0000-000035190000}"/>
    <cellStyle name="20% - Accent4 3 4 3 2 2 4" xfId="7045" xr:uid="{00000000-0005-0000-0000-000036190000}"/>
    <cellStyle name="20% - Accent4 3 4 3 2 2 5" xfId="7046" xr:uid="{00000000-0005-0000-0000-000037190000}"/>
    <cellStyle name="20% - Accent4 3 4 3 2 2 6" xfId="7047" xr:uid="{00000000-0005-0000-0000-000038190000}"/>
    <cellStyle name="20% - Accent4 3 4 3 2 3" xfId="7048" xr:uid="{00000000-0005-0000-0000-000039190000}"/>
    <cellStyle name="20% - Accent4 3 4 3 2 3 2" xfId="7049" xr:uid="{00000000-0005-0000-0000-00003A190000}"/>
    <cellStyle name="20% - Accent4 3 4 3 2 3 3" xfId="7050" xr:uid="{00000000-0005-0000-0000-00003B190000}"/>
    <cellStyle name="20% - Accent4 3 4 3 2 4" xfId="7051" xr:uid="{00000000-0005-0000-0000-00003C190000}"/>
    <cellStyle name="20% - Accent4 3 4 3 2 5" xfId="7052" xr:uid="{00000000-0005-0000-0000-00003D190000}"/>
    <cellStyle name="20% - Accent4 3 4 3 2 6" xfId="7053" xr:uid="{00000000-0005-0000-0000-00003E190000}"/>
    <cellStyle name="20% - Accent4 3 4 3 2 7" xfId="7054" xr:uid="{00000000-0005-0000-0000-00003F190000}"/>
    <cellStyle name="20% - Accent4 3 4 3 3" xfId="7055" xr:uid="{00000000-0005-0000-0000-000040190000}"/>
    <cellStyle name="20% - Accent4 3 4 3 3 2" xfId="7056" xr:uid="{00000000-0005-0000-0000-000041190000}"/>
    <cellStyle name="20% - Accent4 3 4 3 3 2 2" xfId="7057" xr:uid="{00000000-0005-0000-0000-000042190000}"/>
    <cellStyle name="20% - Accent4 3 4 3 3 2 3" xfId="7058" xr:uid="{00000000-0005-0000-0000-000043190000}"/>
    <cellStyle name="20% - Accent4 3 4 3 3 3" xfId="7059" xr:uid="{00000000-0005-0000-0000-000044190000}"/>
    <cellStyle name="20% - Accent4 3 4 3 3 4" xfId="7060" xr:uid="{00000000-0005-0000-0000-000045190000}"/>
    <cellStyle name="20% - Accent4 3 4 3 3 5" xfId="7061" xr:uid="{00000000-0005-0000-0000-000046190000}"/>
    <cellStyle name="20% - Accent4 3 4 3 3 6" xfId="7062" xr:uid="{00000000-0005-0000-0000-000047190000}"/>
    <cellStyle name="20% - Accent4 3 4 3 4" xfId="7063" xr:uid="{00000000-0005-0000-0000-000048190000}"/>
    <cellStyle name="20% - Accent4 3 4 3 4 2" xfId="7064" xr:uid="{00000000-0005-0000-0000-000049190000}"/>
    <cellStyle name="20% - Accent4 3 4 3 4 2 2" xfId="7065" xr:uid="{00000000-0005-0000-0000-00004A190000}"/>
    <cellStyle name="20% - Accent4 3 4 3 4 2 3" xfId="7066" xr:uid="{00000000-0005-0000-0000-00004B190000}"/>
    <cellStyle name="20% - Accent4 3 4 3 4 3" xfId="7067" xr:uid="{00000000-0005-0000-0000-00004C190000}"/>
    <cellStyle name="20% - Accent4 3 4 3 4 4" xfId="7068" xr:uid="{00000000-0005-0000-0000-00004D190000}"/>
    <cellStyle name="20% - Accent4 3 4 3 4 5" xfId="7069" xr:uid="{00000000-0005-0000-0000-00004E190000}"/>
    <cellStyle name="20% - Accent4 3 4 3 4 6" xfId="7070" xr:uid="{00000000-0005-0000-0000-00004F190000}"/>
    <cellStyle name="20% - Accent4 3 4 3 5" xfId="7071" xr:uid="{00000000-0005-0000-0000-000050190000}"/>
    <cellStyle name="20% - Accent4 3 4 3 5 2" xfId="7072" xr:uid="{00000000-0005-0000-0000-000051190000}"/>
    <cellStyle name="20% - Accent4 3 4 3 5 3" xfId="7073" xr:uid="{00000000-0005-0000-0000-000052190000}"/>
    <cellStyle name="20% - Accent4 3 4 3 6" xfId="7074" xr:uid="{00000000-0005-0000-0000-000053190000}"/>
    <cellStyle name="20% - Accent4 3 4 3 7" xfId="7075" xr:uid="{00000000-0005-0000-0000-000054190000}"/>
    <cellStyle name="20% - Accent4 3 4 3 8" xfId="7076" xr:uid="{00000000-0005-0000-0000-000055190000}"/>
    <cellStyle name="20% - Accent4 3 4 3 9" xfId="7077" xr:uid="{00000000-0005-0000-0000-000056190000}"/>
    <cellStyle name="20% - Accent4 3 4 4" xfId="7078" xr:uid="{00000000-0005-0000-0000-000057190000}"/>
    <cellStyle name="20% - Accent4 3 4 4 2" xfId="7079" xr:uid="{00000000-0005-0000-0000-000058190000}"/>
    <cellStyle name="20% - Accent4 3 4 4 2 2" xfId="7080" xr:uid="{00000000-0005-0000-0000-000059190000}"/>
    <cellStyle name="20% - Accent4 3 4 4 2 2 2" xfId="7081" xr:uid="{00000000-0005-0000-0000-00005A190000}"/>
    <cellStyle name="20% - Accent4 3 4 4 2 2 3" xfId="7082" xr:uid="{00000000-0005-0000-0000-00005B190000}"/>
    <cellStyle name="20% - Accent4 3 4 4 2 3" xfId="7083" xr:uid="{00000000-0005-0000-0000-00005C190000}"/>
    <cellStyle name="20% - Accent4 3 4 4 2 4" xfId="7084" xr:uid="{00000000-0005-0000-0000-00005D190000}"/>
    <cellStyle name="20% - Accent4 3 4 4 2 5" xfId="7085" xr:uid="{00000000-0005-0000-0000-00005E190000}"/>
    <cellStyle name="20% - Accent4 3 4 4 2 6" xfId="7086" xr:uid="{00000000-0005-0000-0000-00005F190000}"/>
    <cellStyle name="20% - Accent4 3 4 4 3" xfId="7087" xr:uid="{00000000-0005-0000-0000-000060190000}"/>
    <cellStyle name="20% - Accent4 3 4 4 3 2" xfId="7088" xr:uid="{00000000-0005-0000-0000-000061190000}"/>
    <cellStyle name="20% - Accent4 3 4 4 3 3" xfId="7089" xr:uid="{00000000-0005-0000-0000-000062190000}"/>
    <cellStyle name="20% - Accent4 3 4 4 4" xfId="7090" xr:uid="{00000000-0005-0000-0000-000063190000}"/>
    <cellStyle name="20% - Accent4 3 4 4 5" xfId="7091" xr:uid="{00000000-0005-0000-0000-000064190000}"/>
    <cellStyle name="20% - Accent4 3 4 4 6" xfId="7092" xr:uid="{00000000-0005-0000-0000-000065190000}"/>
    <cellStyle name="20% - Accent4 3 4 4 7" xfId="7093" xr:uid="{00000000-0005-0000-0000-000066190000}"/>
    <cellStyle name="20% - Accent4 3 4 5" xfId="7094" xr:uid="{00000000-0005-0000-0000-000067190000}"/>
    <cellStyle name="20% - Accent4 3 4 5 2" xfId="7095" xr:uid="{00000000-0005-0000-0000-000068190000}"/>
    <cellStyle name="20% - Accent4 3 4 5 2 2" xfId="7096" xr:uid="{00000000-0005-0000-0000-000069190000}"/>
    <cellStyle name="20% - Accent4 3 4 5 2 3" xfId="7097" xr:uid="{00000000-0005-0000-0000-00006A190000}"/>
    <cellStyle name="20% - Accent4 3 4 5 3" xfId="7098" xr:uid="{00000000-0005-0000-0000-00006B190000}"/>
    <cellStyle name="20% - Accent4 3 4 5 4" xfId="7099" xr:uid="{00000000-0005-0000-0000-00006C190000}"/>
    <cellStyle name="20% - Accent4 3 4 5 5" xfId="7100" xr:uid="{00000000-0005-0000-0000-00006D190000}"/>
    <cellStyle name="20% - Accent4 3 4 5 6" xfId="7101" xr:uid="{00000000-0005-0000-0000-00006E190000}"/>
    <cellStyle name="20% - Accent4 3 4 6" xfId="7102" xr:uid="{00000000-0005-0000-0000-00006F190000}"/>
    <cellStyle name="20% - Accent4 3 4 6 2" xfId="7103" xr:uid="{00000000-0005-0000-0000-000070190000}"/>
    <cellStyle name="20% - Accent4 3 4 6 2 2" xfId="7104" xr:uid="{00000000-0005-0000-0000-000071190000}"/>
    <cellStyle name="20% - Accent4 3 4 6 2 3" xfId="7105" xr:uid="{00000000-0005-0000-0000-000072190000}"/>
    <cellStyle name="20% - Accent4 3 4 6 3" xfId="7106" xr:uid="{00000000-0005-0000-0000-000073190000}"/>
    <cellStyle name="20% - Accent4 3 4 6 4" xfId="7107" xr:uid="{00000000-0005-0000-0000-000074190000}"/>
    <cellStyle name="20% - Accent4 3 4 6 5" xfId="7108" xr:uid="{00000000-0005-0000-0000-000075190000}"/>
    <cellStyle name="20% - Accent4 3 4 6 6" xfId="7109" xr:uid="{00000000-0005-0000-0000-000076190000}"/>
    <cellStyle name="20% - Accent4 3 4 7" xfId="7110" xr:uid="{00000000-0005-0000-0000-000077190000}"/>
    <cellStyle name="20% - Accent4 3 4 7 2" xfId="7111" xr:uid="{00000000-0005-0000-0000-000078190000}"/>
    <cellStyle name="20% - Accent4 3 4 7 2 2" xfId="7112" xr:uid="{00000000-0005-0000-0000-000079190000}"/>
    <cellStyle name="20% - Accent4 3 4 7 2 3" xfId="7113" xr:uid="{00000000-0005-0000-0000-00007A190000}"/>
    <cellStyle name="20% - Accent4 3 4 7 3" xfId="7114" xr:uid="{00000000-0005-0000-0000-00007B190000}"/>
    <cellStyle name="20% - Accent4 3 4 7 4" xfId="7115" xr:uid="{00000000-0005-0000-0000-00007C190000}"/>
    <cellStyle name="20% - Accent4 3 4 7 5" xfId="7116" xr:uid="{00000000-0005-0000-0000-00007D190000}"/>
    <cellStyle name="20% - Accent4 3 4 7 6" xfId="7117" xr:uid="{00000000-0005-0000-0000-00007E190000}"/>
    <cellStyle name="20% - Accent4 3 4 8" xfId="7118" xr:uid="{00000000-0005-0000-0000-00007F190000}"/>
    <cellStyle name="20% - Accent4 3 4 8 2" xfId="7119" xr:uid="{00000000-0005-0000-0000-000080190000}"/>
    <cellStyle name="20% - Accent4 3 4 8 2 2" xfId="7120" xr:uid="{00000000-0005-0000-0000-000081190000}"/>
    <cellStyle name="20% - Accent4 3 4 8 2 3" xfId="7121" xr:uid="{00000000-0005-0000-0000-000082190000}"/>
    <cellStyle name="20% - Accent4 3 4 8 3" xfId="7122" xr:uid="{00000000-0005-0000-0000-000083190000}"/>
    <cellStyle name="20% - Accent4 3 4 8 4" xfId="7123" xr:uid="{00000000-0005-0000-0000-000084190000}"/>
    <cellStyle name="20% - Accent4 3 4 8 5" xfId="7124" xr:uid="{00000000-0005-0000-0000-000085190000}"/>
    <cellStyle name="20% - Accent4 3 4 8 6" xfId="7125" xr:uid="{00000000-0005-0000-0000-000086190000}"/>
    <cellStyle name="20% - Accent4 3 4 9" xfId="7126" xr:uid="{00000000-0005-0000-0000-000087190000}"/>
    <cellStyle name="20% - Accent4 3 4 9 2" xfId="7127" xr:uid="{00000000-0005-0000-0000-000088190000}"/>
    <cellStyle name="20% - Accent4 3 4 9 3" xfId="7128" xr:uid="{00000000-0005-0000-0000-000089190000}"/>
    <cellStyle name="20% - Accent4 3 5" xfId="7129" xr:uid="{00000000-0005-0000-0000-00008A190000}"/>
    <cellStyle name="20% - Accent4 3 5 10" xfId="7130" xr:uid="{00000000-0005-0000-0000-00008B190000}"/>
    <cellStyle name="20% - Accent4 3 5 2" xfId="7131" xr:uid="{00000000-0005-0000-0000-00008C190000}"/>
    <cellStyle name="20% - Accent4 3 5 2 2" xfId="7132" xr:uid="{00000000-0005-0000-0000-00008D190000}"/>
    <cellStyle name="20% - Accent4 3 5 2 2 2" xfId="7133" xr:uid="{00000000-0005-0000-0000-00008E190000}"/>
    <cellStyle name="20% - Accent4 3 5 2 2 2 2" xfId="7134" xr:uid="{00000000-0005-0000-0000-00008F190000}"/>
    <cellStyle name="20% - Accent4 3 5 2 2 2 3" xfId="7135" xr:uid="{00000000-0005-0000-0000-000090190000}"/>
    <cellStyle name="20% - Accent4 3 5 2 2 3" xfId="7136" xr:uid="{00000000-0005-0000-0000-000091190000}"/>
    <cellStyle name="20% - Accent4 3 5 2 2 4" xfId="7137" xr:uid="{00000000-0005-0000-0000-000092190000}"/>
    <cellStyle name="20% - Accent4 3 5 2 2 5" xfId="7138" xr:uid="{00000000-0005-0000-0000-000093190000}"/>
    <cellStyle name="20% - Accent4 3 5 2 2 6" xfId="7139" xr:uid="{00000000-0005-0000-0000-000094190000}"/>
    <cellStyle name="20% - Accent4 3 5 2 3" xfId="7140" xr:uid="{00000000-0005-0000-0000-000095190000}"/>
    <cellStyle name="20% - Accent4 3 5 2 3 2" xfId="7141" xr:uid="{00000000-0005-0000-0000-000096190000}"/>
    <cellStyle name="20% - Accent4 3 5 2 3 2 2" xfId="7142" xr:uid="{00000000-0005-0000-0000-000097190000}"/>
    <cellStyle name="20% - Accent4 3 5 2 3 2 3" xfId="7143" xr:uid="{00000000-0005-0000-0000-000098190000}"/>
    <cellStyle name="20% - Accent4 3 5 2 3 3" xfId="7144" xr:uid="{00000000-0005-0000-0000-000099190000}"/>
    <cellStyle name="20% - Accent4 3 5 2 3 4" xfId="7145" xr:uid="{00000000-0005-0000-0000-00009A190000}"/>
    <cellStyle name="20% - Accent4 3 5 2 3 5" xfId="7146" xr:uid="{00000000-0005-0000-0000-00009B190000}"/>
    <cellStyle name="20% - Accent4 3 5 2 3 6" xfId="7147" xr:uid="{00000000-0005-0000-0000-00009C190000}"/>
    <cellStyle name="20% - Accent4 3 5 2 4" xfId="7148" xr:uid="{00000000-0005-0000-0000-00009D190000}"/>
    <cellStyle name="20% - Accent4 3 5 2 4 2" xfId="7149" xr:uid="{00000000-0005-0000-0000-00009E190000}"/>
    <cellStyle name="20% - Accent4 3 5 2 4 3" xfId="7150" xr:uid="{00000000-0005-0000-0000-00009F190000}"/>
    <cellStyle name="20% - Accent4 3 5 2 5" xfId="7151" xr:uid="{00000000-0005-0000-0000-0000A0190000}"/>
    <cellStyle name="20% - Accent4 3 5 2 6" xfId="7152" xr:uid="{00000000-0005-0000-0000-0000A1190000}"/>
    <cellStyle name="20% - Accent4 3 5 2 7" xfId="7153" xr:uid="{00000000-0005-0000-0000-0000A2190000}"/>
    <cellStyle name="20% - Accent4 3 5 2 8" xfId="7154" xr:uid="{00000000-0005-0000-0000-0000A3190000}"/>
    <cellStyle name="20% - Accent4 3 5 3" xfId="7155" xr:uid="{00000000-0005-0000-0000-0000A4190000}"/>
    <cellStyle name="20% - Accent4 3 5 3 2" xfId="7156" xr:uid="{00000000-0005-0000-0000-0000A5190000}"/>
    <cellStyle name="20% - Accent4 3 5 3 2 2" xfId="7157" xr:uid="{00000000-0005-0000-0000-0000A6190000}"/>
    <cellStyle name="20% - Accent4 3 5 3 2 2 2" xfId="7158" xr:uid="{00000000-0005-0000-0000-0000A7190000}"/>
    <cellStyle name="20% - Accent4 3 5 3 2 2 3" xfId="7159" xr:uid="{00000000-0005-0000-0000-0000A8190000}"/>
    <cellStyle name="20% - Accent4 3 5 3 2 3" xfId="7160" xr:uid="{00000000-0005-0000-0000-0000A9190000}"/>
    <cellStyle name="20% - Accent4 3 5 3 2 4" xfId="7161" xr:uid="{00000000-0005-0000-0000-0000AA190000}"/>
    <cellStyle name="20% - Accent4 3 5 3 2 5" xfId="7162" xr:uid="{00000000-0005-0000-0000-0000AB190000}"/>
    <cellStyle name="20% - Accent4 3 5 3 2 6" xfId="7163" xr:uid="{00000000-0005-0000-0000-0000AC190000}"/>
    <cellStyle name="20% - Accent4 3 5 3 3" xfId="7164" xr:uid="{00000000-0005-0000-0000-0000AD190000}"/>
    <cellStyle name="20% - Accent4 3 5 3 3 2" xfId="7165" xr:uid="{00000000-0005-0000-0000-0000AE190000}"/>
    <cellStyle name="20% - Accent4 3 5 3 3 3" xfId="7166" xr:uid="{00000000-0005-0000-0000-0000AF190000}"/>
    <cellStyle name="20% - Accent4 3 5 3 4" xfId="7167" xr:uid="{00000000-0005-0000-0000-0000B0190000}"/>
    <cellStyle name="20% - Accent4 3 5 3 5" xfId="7168" xr:uid="{00000000-0005-0000-0000-0000B1190000}"/>
    <cellStyle name="20% - Accent4 3 5 3 6" xfId="7169" xr:uid="{00000000-0005-0000-0000-0000B2190000}"/>
    <cellStyle name="20% - Accent4 3 5 3 7" xfId="7170" xr:uid="{00000000-0005-0000-0000-0000B3190000}"/>
    <cellStyle name="20% - Accent4 3 5 4" xfId="7171" xr:uid="{00000000-0005-0000-0000-0000B4190000}"/>
    <cellStyle name="20% - Accent4 3 5 4 2" xfId="7172" xr:uid="{00000000-0005-0000-0000-0000B5190000}"/>
    <cellStyle name="20% - Accent4 3 5 4 2 2" xfId="7173" xr:uid="{00000000-0005-0000-0000-0000B6190000}"/>
    <cellStyle name="20% - Accent4 3 5 4 2 3" xfId="7174" xr:uid="{00000000-0005-0000-0000-0000B7190000}"/>
    <cellStyle name="20% - Accent4 3 5 4 3" xfId="7175" xr:uid="{00000000-0005-0000-0000-0000B8190000}"/>
    <cellStyle name="20% - Accent4 3 5 4 4" xfId="7176" xr:uid="{00000000-0005-0000-0000-0000B9190000}"/>
    <cellStyle name="20% - Accent4 3 5 4 5" xfId="7177" xr:uid="{00000000-0005-0000-0000-0000BA190000}"/>
    <cellStyle name="20% - Accent4 3 5 4 6" xfId="7178" xr:uid="{00000000-0005-0000-0000-0000BB190000}"/>
    <cellStyle name="20% - Accent4 3 5 5" xfId="7179" xr:uid="{00000000-0005-0000-0000-0000BC190000}"/>
    <cellStyle name="20% - Accent4 3 5 5 2" xfId="7180" xr:uid="{00000000-0005-0000-0000-0000BD190000}"/>
    <cellStyle name="20% - Accent4 3 5 5 2 2" xfId="7181" xr:uid="{00000000-0005-0000-0000-0000BE190000}"/>
    <cellStyle name="20% - Accent4 3 5 5 2 3" xfId="7182" xr:uid="{00000000-0005-0000-0000-0000BF190000}"/>
    <cellStyle name="20% - Accent4 3 5 5 3" xfId="7183" xr:uid="{00000000-0005-0000-0000-0000C0190000}"/>
    <cellStyle name="20% - Accent4 3 5 5 4" xfId="7184" xr:uid="{00000000-0005-0000-0000-0000C1190000}"/>
    <cellStyle name="20% - Accent4 3 5 5 5" xfId="7185" xr:uid="{00000000-0005-0000-0000-0000C2190000}"/>
    <cellStyle name="20% - Accent4 3 5 5 6" xfId="7186" xr:uid="{00000000-0005-0000-0000-0000C3190000}"/>
    <cellStyle name="20% - Accent4 3 5 6" xfId="7187" xr:uid="{00000000-0005-0000-0000-0000C4190000}"/>
    <cellStyle name="20% - Accent4 3 5 6 2" xfId="7188" xr:uid="{00000000-0005-0000-0000-0000C5190000}"/>
    <cellStyle name="20% - Accent4 3 5 6 3" xfId="7189" xr:uid="{00000000-0005-0000-0000-0000C6190000}"/>
    <cellStyle name="20% - Accent4 3 5 7" xfId="7190" xr:uid="{00000000-0005-0000-0000-0000C7190000}"/>
    <cellStyle name="20% - Accent4 3 5 8" xfId="7191" xr:uid="{00000000-0005-0000-0000-0000C8190000}"/>
    <cellStyle name="20% - Accent4 3 5 9" xfId="7192" xr:uid="{00000000-0005-0000-0000-0000C9190000}"/>
    <cellStyle name="20% - Accent4 3 6" xfId="7193" xr:uid="{00000000-0005-0000-0000-0000CA190000}"/>
    <cellStyle name="20% - Accent4 3 6 2" xfId="7194" xr:uid="{00000000-0005-0000-0000-0000CB190000}"/>
    <cellStyle name="20% - Accent4 3 6 2 2" xfId="7195" xr:uid="{00000000-0005-0000-0000-0000CC190000}"/>
    <cellStyle name="20% - Accent4 3 6 2 2 2" xfId="7196" xr:uid="{00000000-0005-0000-0000-0000CD190000}"/>
    <cellStyle name="20% - Accent4 3 6 2 2 2 2" xfId="7197" xr:uid="{00000000-0005-0000-0000-0000CE190000}"/>
    <cellStyle name="20% - Accent4 3 6 2 2 2 3" xfId="7198" xr:uid="{00000000-0005-0000-0000-0000CF190000}"/>
    <cellStyle name="20% - Accent4 3 6 2 2 3" xfId="7199" xr:uid="{00000000-0005-0000-0000-0000D0190000}"/>
    <cellStyle name="20% - Accent4 3 6 2 2 4" xfId="7200" xr:uid="{00000000-0005-0000-0000-0000D1190000}"/>
    <cellStyle name="20% - Accent4 3 6 2 2 5" xfId="7201" xr:uid="{00000000-0005-0000-0000-0000D2190000}"/>
    <cellStyle name="20% - Accent4 3 6 2 2 6" xfId="7202" xr:uid="{00000000-0005-0000-0000-0000D3190000}"/>
    <cellStyle name="20% - Accent4 3 6 2 3" xfId="7203" xr:uid="{00000000-0005-0000-0000-0000D4190000}"/>
    <cellStyle name="20% - Accent4 3 6 2 3 2" xfId="7204" xr:uid="{00000000-0005-0000-0000-0000D5190000}"/>
    <cellStyle name="20% - Accent4 3 6 2 3 3" xfId="7205" xr:uid="{00000000-0005-0000-0000-0000D6190000}"/>
    <cellStyle name="20% - Accent4 3 6 2 4" xfId="7206" xr:uid="{00000000-0005-0000-0000-0000D7190000}"/>
    <cellStyle name="20% - Accent4 3 6 2 5" xfId="7207" xr:uid="{00000000-0005-0000-0000-0000D8190000}"/>
    <cellStyle name="20% - Accent4 3 6 2 6" xfId="7208" xr:uid="{00000000-0005-0000-0000-0000D9190000}"/>
    <cellStyle name="20% - Accent4 3 6 2 7" xfId="7209" xr:uid="{00000000-0005-0000-0000-0000DA190000}"/>
    <cellStyle name="20% - Accent4 3 6 3" xfId="7210" xr:uid="{00000000-0005-0000-0000-0000DB190000}"/>
    <cellStyle name="20% - Accent4 3 6 3 2" xfId="7211" xr:uid="{00000000-0005-0000-0000-0000DC190000}"/>
    <cellStyle name="20% - Accent4 3 6 3 2 2" xfId="7212" xr:uid="{00000000-0005-0000-0000-0000DD190000}"/>
    <cellStyle name="20% - Accent4 3 6 3 2 3" xfId="7213" xr:uid="{00000000-0005-0000-0000-0000DE190000}"/>
    <cellStyle name="20% - Accent4 3 6 3 3" xfId="7214" xr:uid="{00000000-0005-0000-0000-0000DF190000}"/>
    <cellStyle name="20% - Accent4 3 6 3 4" xfId="7215" xr:uid="{00000000-0005-0000-0000-0000E0190000}"/>
    <cellStyle name="20% - Accent4 3 6 3 5" xfId="7216" xr:uid="{00000000-0005-0000-0000-0000E1190000}"/>
    <cellStyle name="20% - Accent4 3 6 3 6" xfId="7217" xr:uid="{00000000-0005-0000-0000-0000E2190000}"/>
    <cellStyle name="20% - Accent4 3 6 4" xfId="7218" xr:uid="{00000000-0005-0000-0000-0000E3190000}"/>
    <cellStyle name="20% - Accent4 3 6 4 2" xfId="7219" xr:uid="{00000000-0005-0000-0000-0000E4190000}"/>
    <cellStyle name="20% - Accent4 3 6 4 2 2" xfId="7220" xr:uid="{00000000-0005-0000-0000-0000E5190000}"/>
    <cellStyle name="20% - Accent4 3 6 4 2 3" xfId="7221" xr:uid="{00000000-0005-0000-0000-0000E6190000}"/>
    <cellStyle name="20% - Accent4 3 6 4 3" xfId="7222" xr:uid="{00000000-0005-0000-0000-0000E7190000}"/>
    <cellStyle name="20% - Accent4 3 6 4 4" xfId="7223" xr:uid="{00000000-0005-0000-0000-0000E8190000}"/>
    <cellStyle name="20% - Accent4 3 6 4 5" xfId="7224" xr:uid="{00000000-0005-0000-0000-0000E9190000}"/>
    <cellStyle name="20% - Accent4 3 6 4 6" xfId="7225" xr:uid="{00000000-0005-0000-0000-0000EA190000}"/>
    <cellStyle name="20% - Accent4 3 6 5" xfId="7226" xr:uid="{00000000-0005-0000-0000-0000EB190000}"/>
    <cellStyle name="20% - Accent4 3 6 5 2" xfId="7227" xr:uid="{00000000-0005-0000-0000-0000EC190000}"/>
    <cellStyle name="20% - Accent4 3 6 5 3" xfId="7228" xr:uid="{00000000-0005-0000-0000-0000ED190000}"/>
    <cellStyle name="20% - Accent4 3 6 6" xfId="7229" xr:uid="{00000000-0005-0000-0000-0000EE190000}"/>
    <cellStyle name="20% - Accent4 3 6 7" xfId="7230" xr:uid="{00000000-0005-0000-0000-0000EF190000}"/>
    <cellStyle name="20% - Accent4 3 6 8" xfId="7231" xr:uid="{00000000-0005-0000-0000-0000F0190000}"/>
    <cellStyle name="20% - Accent4 3 6 9" xfId="7232" xr:uid="{00000000-0005-0000-0000-0000F1190000}"/>
    <cellStyle name="20% - Accent4 3 7" xfId="7233" xr:uid="{00000000-0005-0000-0000-0000F2190000}"/>
    <cellStyle name="20% - Accent4 3 7 2" xfId="7234" xr:uid="{00000000-0005-0000-0000-0000F3190000}"/>
    <cellStyle name="20% - Accent4 3 7 2 2" xfId="7235" xr:uid="{00000000-0005-0000-0000-0000F4190000}"/>
    <cellStyle name="20% - Accent4 3 7 2 2 2" xfId="7236" xr:uid="{00000000-0005-0000-0000-0000F5190000}"/>
    <cellStyle name="20% - Accent4 3 7 2 2 3" xfId="7237" xr:uid="{00000000-0005-0000-0000-0000F6190000}"/>
    <cellStyle name="20% - Accent4 3 7 2 3" xfId="7238" xr:uid="{00000000-0005-0000-0000-0000F7190000}"/>
    <cellStyle name="20% - Accent4 3 7 2 4" xfId="7239" xr:uid="{00000000-0005-0000-0000-0000F8190000}"/>
    <cellStyle name="20% - Accent4 3 7 2 5" xfId="7240" xr:uid="{00000000-0005-0000-0000-0000F9190000}"/>
    <cellStyle name="20% - Accent4 3 7 2 6" xfId="7241" xr:uid="{00000000-0005-0000-0000-0000FA190000}"/>
    <cellStyle name="20% - Accent4 3 7 3" xfId="7242" xr:uid="{00000000-0005-0000-0000-0000FB190000}"/>
    <cellStyle name="20% - Accent4 3 7 3 2" xfId="7243" xr:uid="{00000000-0005-0000-0000-0000FC190000}"/>
    <cellStyle name="20% - Accent4 3 7 3 3" xfId="7244" xr:uid="{00000000-0005-0000-0000-0000FD190000}"/>
    <cellStyle name="20% - Accent4 3 7 4" xfId="7245" xr:uid="{00000000-0005-0000-0000-0000FE190000}"/>
    <cellStyle name="20% - Accent4 3 7 5" xfId="7246" xr:uid="{00000000-0005-0000-0000-0000FF190000}"/>
    <cellStyle name="20% - Accent4 3 7 6" xfId="7247" xr:uid="{00000000-0005-0000-0000-0000001A0000}"/>
    <cellStyle name="20% - Accent4 3 7 7" xfId="7248" xr:uid="{00000000-0005-0000-0000-0000011A0000}"/>
    <cellStyle name="20% - Accent4 3 8" xfId="7249" xr:uid="{00000000-0005-0000-0000-0000021A0000}"/>
    <cellStyle name="20% - Accent4 3 8 2" xfId="7250" xr:uid="{00000000-0005-0000-0000-0000031A0000}"/>
    <cellStyle name="20% - Accent4 3 8 2 2" xfId="7251" xr:uid="{00000000-0005-0000-0000-0000041A0000}"/>
    <cellStyle name="20% - Accent4 3 8 2 3" xfId="7252" xr:uid="{00000000-0005-0000-0000-0000051A0000}"/>
    <cellStyle name="20% - Accent4 3 8 3" xfId="7253" xr:uid="{00000000-0005-0000-0000-0000061A0000}"/>
    <cellStyle name="20% - Accent4 3 8 4" xfId="7254" xr:uid="{00000000-0005-0000-0000-0000071A0000}"/>
    <cellStyle name="20% - Accent4 3 8 5" xfId="7255" xr:uid="{00000000-0005-0000-0000-0000081A0000}"/>
    <cellStyle name="20% - Accent4 3 8 6" xfId="7256" xr:uid="{00000000-0005-0000-0000-0000091A0000}"/>
    <cellStyle name="20% - Accent4 3 9" xfId="7257" xr:uid="{00000000-0005-0000-0000-00000A1A0000}"/>
    <cellStyle name="20% - Accent4 3 9 2" xfId="7258" xr:uid="{00000000-0005-0000-0000-00000B1A0000}"/>
    <cellStyle name="20% - Accent4 3 9 2 2" xfId="7259" xr:uid="{00000000-0005-0000-0000-00000C1A0000}"/>
    <cellStyle name="20% - Accent4 3 9 2 3" xfId="7260" xr:uid="{00000000-0005-0000-0000-00000D1A0000}"/>
    <cellStyle name="20% - Accent4 3 9 3" xfId="7261" xr:uid="{00000000-0005-0000-0000-00000E1A0000}"/>
    <cellStyle name="20% - Accent4 3 9 4" xfId="7262" xr:uid="{00000000-0005-0000-0000-00000F1A0000}"/>
    <cellStyle name="20% - Accent4 3 9 5" xfId="7263" xr:uid="{00000000-0005-0000-0000-0000101A0000}"/>
    <cellStyle name="20% - Accent4 3 9 6" xfId="7264" xr:uid="{00000000-0005-0000-0000-0000111A0000}"/>
    <cellStyle name="20% - Accent4 4" xfId="7265" xr:uid="{00000000-0005-0000-0000-0000121A0000}"/>
    <cellStyle name="20% - Accent4 4 10" xfId="7266" xr:uid="{00000000-0005-0000-0000-0000131A0000}"/>
    <cellStyle name="20% - Accent4 4 10 2" xfId="7267" xr:uid="{00000000-0005-0000-0000-0000141A0000}"/>
    <cellStyle name="20% - Accent4 4 10 2 2" xfId="7268" xr:uid="{00000000-0005-0000-0000-0000151A0000}"/>
    <cellStyle name="20% - Accent4 4 10 2 3" xfId="7269" xr:uid="{00000000-0005-0000-0000-0000161A0000}"/>
    <cellStyle name="20% - Accent4 4 10 3" xfId="7270" xr:uid="{00000000-0005-0000-0000-0000171A0000}"/>
    <cellStyle name="20% - Accent4 4 10 4" xfId="7271" xr:uid="{00000000-0005-0000-0000-0000181A0000}"/>
    <cellStyle name="20% - Accent4 4 10 5" xfId="7272" xr:uid="{00000000-0005-0000-0000-0000191A0000}"/>
    <cellStyle name="20% - Accent4 4 10 6" xfId="7273" xr:uid="{00000000-0005-0000-0000-00001A1A0000}"/>
    <cellStyle name="20% - Accent4 4 11" xfId="7274" xr:uid="{00000000-0005-0000-0000-00001B1A0000}"/>
    <cellStyle name="20% - Accent4 4 11 2" xfId="7275" xr:uid="{00000000-0005-0000-0000-00001C1A0000}"/>
    <cellStyle name="20% - Accent4 4 11 3" xfId="7276" xr:uid="{00000000-0005-0000-0000-00001D1A0000}"/>
    <cellStyle name="20% - Accent4 4 12" xfId="7277" xr:uid="{00000000-0005-0000-0000-00001E1A0000}"/>
    <cellStyle name="20% - Accent4 4 13" xfId="7278" xr:uid="{00000000-0005-0000-0000-00001F1A0000}"/>
    <cellStyle name="20% - Accent4 4 14" xfId="7279" xr:uid="{00000000-0005-0000-0000-0000201A0000}"/>
    <cellStyle name="20% - Accent4 4 15" xfId="7280" xr:uid="{00000000-0005-0000-0000-0000211A0000}"/>
    <cellStyle name="20% - Accent4 4 2" xfId="7281" xr:uid="{00000000-0005-0000-0000-0000221A0000}"/>
    <cellStyle name="20% - Accent4 4 2 10" xfId="7282" xr:uid="{00000000-0005-0000-0000-0000231A0000}"/>
    <cellStyle name="20% - Accent4 4 2 10 2" xfId="7283" xr:uid="{00000000-0005-0000-0000-0000241A0000}"/>
    <cellStyle name="20% - Accent4 4 2 10 3" xfId="7284" xr:uid="{00000000-0005-0000-0000-0000251A0000}"/>
    <cellStyle name="20% - Accent4 4 2 11" xfId="7285" xr:uid="{00000000-0005-0000-0000-0000261A0000}"/>
    <cellStyle name="20% - Accent4 4 2 12" xfId="7286" xr:uid="{00000000-0005-0000-0000-0000271A0000}"/>
    <cellStyle name="20% - Accent4 4 2 13" xfId="7287" xr:uid="{00000000-0005-0000-0000-0000281A0000}"/>
    <cellStyle name="20% - Accent4 4 2 14" xfId="7288" xr:uid="{00000000-0005-0000-0000-0000291A0000}"/>
    <cellStyle name="20% - Accent4 4 2 2" xfId="7289" xr:uid="{00000000-0005-0000-0000-00002A1A0000}"/>
    <cellStyle name="20% - Accent4 4 2 2 10" xfId="7290" xr:uid="{00000000-0005-0000-0000-00002B1A0000}"/>
    <cellStyle name="20% - Accent4 4 2 2 11" xfId="7291" xr:uid="{00000000-0005-0000-0000-00002C1A0000}"/>
    <cellStyle name="20% - Accent4 4 2 2 12" xfId="7292" xr:uid="{00000000-0005-0000-0000-00002D1A0000}"/>
    <cellStyle name="20% - Accent4 4 2 2 13" xfId="7293" xr:uid="{00000000-0005-0000-0000-00002E1A0000}"/>
    <cellStyle name="20% - Accent4 4 2 2 2" xfId="7294" xr:uid="{00000000-0005-0000-0000-00002F1A0000}"/>
    <cellStyle name="20% - Accent4 4 2 2 2 10" xfId="7295" xr:uid="{00000000-0005-0000-0000-0000301A0000}"/>
    <cellStyle name="20% - Accent4 4 2 2 2 2" xfId="7296" xr:uid="{00000000-0005-0000-0000-0000311A0000}"/>
    <cellStyle name="20% - Accent4 4 2 2 2 2 2" xfId="7297" xr:uid="{00000000-0005-0000-0000-0000321A0000}"/>
    <cellStyle name="20% - Accent4 4 2 2 2 2 2 2" xfId="7298" xr:uid="{00000000-0005-0000-0000-0000331A0000}"/>
    <cellStyle name="20% - Accent4 4 2 2 2 2 2 2 2" xfId="7299" xr:uid="{00000000-0005-0000-0000-0000341A0000}"/>
    <cellStyle name="20% - Accent4 4 2 2 2 2 2 2 3" xfId="7300" xr:uid="{00000000-0005-0000-0000-0000351A0000}"/>
    <cellStyle name="20% - Accent4 4 2 2 2 2 2 3" xfId="7301" xr:uid="{00000000-0005-0000-0000-0000361A0000}"/>
    <cellStyle name="20% - Accent4 4 2 2 2 2 2 4" xfId="7302" xr:uid="{00000000-0005-0000-0000-0000371A0000}"/>
    <cellStyle name="20% - Accent4 4 2 2 2 2 2 5" xfId="7303" xr:uid="{00000000-0005-0000-0000-0000381A0000}"/>
    <cellStyle name="20% - Accent4 4 2 2 2 2 2 6" xfId="7304" xr:uid="{00000000-0005-0000-0000-0000391A0000}"/>
    <cellStyle name="20% - Accent4 4 2 2 2 2 3" xfId="7305" xr:uid="{00000000-0005-0000-0000-00003A1A0000}"/>
    <cellStyle name="20% - Accent4 4 2 2 2 2 3 2" xfId="7306" xr:uid="{00000000-0005-0000-0000-00003B1A0000}"/>
    <cellStyle name="20% - Accent4 4 2 2 2 2 3 2 2" xfId="7307" xr:uid="{00000000-0005-0000-0000-00003C1A0000}"/>
    <cellStyle name="20% - Accent4 4 2 2 2 2 3 2 3" xfId="7308" xr:uid="{00000000-0005-0000-0000-00003D1A0000}"/>
    <cellStyle name="20% - Accent4 4 2 2 2 2 3 3" xfId="7309" xr:uid="{00000000-0005-0000-0000-00003E1A0000}"/>
    <cellStyle name="20% - Accent4 4 2 2 2 2 3 4" xfId="7310" xr:uid="{00000000-0005-0000-0000-00003F1A0000}"/>
    <cellStyle name="20% - Accent4 4 2 2 2 2 3 5" xfId="7311" xr:uid="{00000000-0005-0000-0000-0000401A0000}"/>
    <cellStyle name="20% - Accent4 4 2 2 2 2 3 6" xfId="7312" xr:uid="{00000000-0005-0000-0000-0000411A0000}"/>
    <cellStyle name="20% - Accent4 4 2 2 2 2 4" xfId="7313" xr:uid="{00000000-0005-0000-0000-0000421A0000}"/>
    <cellStyle name="20% - Accent4 4 2 2 2 2 4 2" xfId="7314" xr:uid="{00000000-0005-0000-0000-0000431A0000}"/>
    <cellStyle name="20% - Accent4 4 2 2 2 2 4 3" xfId="7315" xr:uid="{00000000-0005-0000-0000-0000441A0000}"/>
    <cellStyle name="20% - Accent4 4 2 2 2 2 5" xfId="7316" xr:uid="{00000000-0005-0000-0000-0000451A0000}"/>
    <cellStyle name="20% - Accent4 4 2 2 2 2 6" xfId="7317" xr:uid="{00000000-0005-0000-0000-0000461A0000}"/>
    <cellStyle name="20% - Accent4 4 2 2 2 2 7" xfId="7318" xr:uid="{00000000-0005-0000-0000-0000471A0000}"/>
    <cellStyle name="20% - Accent4 4 2 2 2 2 8" xfId="7319" xr:uid="{00000000-0005-0000-0000-0000481A0000}"/>
    <cellStyle name="20% - Accent4 4 2 2 2 3" xfId="7320" xr:uid="{00000000-0005-0000-0000-0000491A0000}"/>
    <cellStyle name="20% - Accent4 4 2 2 2 3 2" xfId="7321" xr:uid="{00000000-0005-0000-0000-00004A1A0000}"/>
    <cellStyle name="20% - Accent4 4 2 2 2 3 2 2" xfId="7322" xr:uid="{00000000-0005-0000-0000-00004B1A0000}"/>
    <cellStyle name="20% - Accent4 4 2 2 2 3 2 2 2" xfId="7323" xr:uid="{00000000-0005-0000-0000-00004C1A0000}"/>
    <cellStyle name="20% - Accent4 4 2 2 2 3 2 2 3" xfId="7324" xr:uid="{00000000-0005-0000-0000-00004D1A0000}"/>
    <cellStyle name="20% - Accent4 4 2 2 2 3 2 3" xfId="7325" xr:uid="{00000000-0005-0000-0000-00004E1A0000}"/>
    <cellStyle name="20% - Accent4 4 2 2 2 3 2 4" xfId="7326" xr:uid="{00000000-0005-0000-0000-00004F1A0000}"/>
    <cellStyle name="20% - Accent4 4 2 2 2 3 2 5" xfId="7327" xr:uid="{00000000-0005-0000-0000-0000501A0000}"/>
    <cellStyle name="20% - Accent4 4 2 2 2 3 2 6" xfId="7328" xr:uid="{00000000-0005-0000-0000-0000511A0000}"/>
    <cellStyle name="20% - Accent4 4 2 2 2 3 3" xfId="7329" xr:uid="{00000000-0005-0000-0000-0000521A0000}"/>
    <cellStyle name="20% - Accent4 4 2 2 2 3 3 2" xfId="7330" xr:uid="{00000000-0005-0000-0000-0000531A0000}"/>
    <cellStyle name="20% - Accent4 4 2 2 2 3 3 3" xfId="7331" xr:uid="{00000000-0005-0000-0000-0000541A0000}"/>
    <cellStyle name="20% - Accent4 4 2 2 2 3 4" xfId="7332" xr:uid="{00000000-0005-0000-0000-0000551A0000}"/>
    <cellStyle name="20% - Accent4 4 2 2 2 3 5" xfId="7333" xr:uid="{00000000-0005-0000-0000-0000561A0000}"/>
    <cellStyle name="20% - Accent4 4 2 2 2 3 6" xfId="7334" xr:uid="{00000000-0005-0000-0000-0000571A0000}"/>
    <cellStyle name="20% - Accent4 4 2 2 2 3 7" xfId="7335" xr:uid="{00000000-0005-0000-0000-0000581A0000}"/>
    <cellStyle name="20% - Accent4 4 2 2 2 4" xfId="7336" xr:uid="{00000000-0005-0000-0000-0000591A0000}"/>
    <cellStyle name="20% - Accent4 4 2 2 2 4 2" xfId="7337" xr:uid="{00000000-0005-0000-0000-00005A1A0000}"/>
    <cellStyle name="20% - Accent4 4 2 2 2 4 2 2" xfId="7338" xr:uid="{00000000-0005-0000-0000-00005B1A0000}"/>
    <cellStyle name="20% - Accent4 4 2 2 2 4 2 3" xfId="7339" xr:uid="{00000000-0005-0000-0000-00005C1A0000}"/>
    <cellStyle name="20% - Accent4 4 2 2 2 4 3" xfId="7340" xr:uid="{00000000-0005-0000-0000-00005D1A0000}"/>
    <cellStyle name="20% - Accent4 4 2 2 2 4 4" xfId="7341" xr:uid="{00000000-0005-0000-0000-00005E1A0000}"/>
    <cellStyle name="20% - Accent4 4 2 2 2 4 5" xfId="7342" xr:uid="{00000000-0005-0000-0000-00005F1A0000}"/>
    <cellStyle name="20% - Accent4 4 2 2 2 4 6" xfId="7343" xr:uid="{00000000-0005-0000-0000-0000601A0000}"/>
    <cellStyle name="20% - Accent4 4 2 2 2 5" xfId="7344" xr:uid="{00000000-0005-0000-0000-0000611A0000}"/>
    <cellStyle name="20% - Accent4 4 2 2 2 5 2" xfId="7345" xr:uid="{00000000-0005-0000-0000-0000621A0000}"/>
    <cellStyle name="20% - Accent4 4 2 2 2 5 2 2" xfId="7346" xr:uid="{00000000-0005-0000-0000-0000631A0000}"/>
    <cellStyle name="20% - Accent4 4 2 2 2 5 2 3" xfId="7347" xr:uid="{00000000-0005-0000-0000-0000641A0000}"/>
    <cellStyle name="20% - Accent4 4 2 2 2 5 3" xfId="7348" xr:uid="{00000000-0005-0000-0000-0000651A0000}"/>
    <cellStyle name="20% - Accent4 4 2 2 2 5 4" xfId="7349" xr:uid="{00000000-0005-0000-0000-0000661A0000}"/>
    <cellStyle name="20% - Accent4 4 2 2 2 5 5" xfId="7350" xr:uid="{00000000-0005-0000-0000-0000671A0000}"/>
    <cellStyle name="20% - Accent4 4 2 2 2 5 6" xfId="7351" xr:uid="{00000000-0005-0000-0000-0000681A0000}"/>
    <cellStyle name="20% - Accent4 4 2 2 2 6" xfId="7352" xr:uid="{00000000-0005-0000-0000-0000691A0000}"/>
    <cellStyle name="20% - Accent4 4 2 2 2 6 2" xfId="7353" xr:uid="{00000000-0005-0000-0000-00006A1A0000}"/>
    <cellStyle name="20% - Accent4 4 2 2 2 6 3" xfId="7354" xr:uid="{00000000-0005-0000-0000-00006B1A0000}"/>
    <cellStyle name="20% - Accent4 4 2 2 2 7" xfId="7355" xr:uid="{00000000-0005-0000-0000-00006C1A0000}"/>
    <cellStyle name="20% - Accent4 4 2 2 2 8" xfId="7356" xr:uid="{00000000-0005-0000-0000-00006D1A0000}"/>
    <cellStyle name="20% - Accent4 4 2 2 2 9" xfId="7357" xr:uid="{00000000-0005-0000-0000-00006E1A0000}"/>
    <cellStyle name="20% - Accent4 4 2 2 3" xfId="7358" xr:uid="{00000000-0005-0000-0000-00006F1A0000}"/>
    <cellStyle name="20% - Accent4 4 2 2 3 2" xfId="7359" xr:uid="{00000000-0005-0000-0000-0000701A0000}"/>
    <cellStyle name="20% - Accent4 4 2 2 3 2 2" xfId="7360" xr:uid="{00000000-0005-0000-0000-0000711A0000}"/>
    <cellStyle name="20% - Accent4 4 2 2 3 2 2 2" xfId="7361" xr:uid="{00000000-0005-0000-0000-0000721A0000}"/>
    <cellStyle name="20% - Accent4 4 2 2 3 2 2 2 2" xfId="7362" xr:uid="{00000000-0005-0000-0000-0000731A0000}"/>
    <cellStyle name="20% - Accent4 4 2 2 3 2 2 2 3" xfId="7363" xr:uid="{00000000-0005-0000-0000-0000741A0000}"/>
    <cellStyle name="20% - Accent4 4 2 2 3 2 2 3" xfId="7364" xr:uid="{00000000-0005-0000-0000-0000751A0000}"/>
    <cellStyle name="20% - Accent4 4 2 2 3 2 2 4" xfId="7365" xr:uid="{00000000-0005-0000-0000-0000761A0000}"/>
    <cellStyle name="20% - Accent4 4 2 2 3 2 2 5" xfId="7366" xr:uid="{00000000-0005-0000-0000-0000771A0000}"/>
    <cellStyle name="20% - Accent4 4 2 2 3 2 2 6" xfId="7367" xr:uid="{00000000-0005-0000-0000-0000781A0000}"/>
    <cellStyle name="20% - Accent4 4 2 2 3 2 3" xfId="7368" xr:uid="{00000000-0005-0000-0000-0000791A0000}"/>
    <cellStyle name="20% - Accent4 4 2 2 3 2 3 2" xfId="7369" xr:uid="{00000000-0005-0000-0000-00007A1A0000}"/>
    <cellStyle name="20% - Accent4 4 2 2 3 2 3 3" xfId="7370" xr:uid="{00000000-0005-0000-0000-00007B1A0000}"/>
    <cellStyle name="20% - Accent4 4 2 2 3 2 4" xfId="7371" xr:uid="{00000000-0005-0000-0000-00007C1A0000}"/>
    <cellStyle name="20% - Accent4 4 2 2 3 2 5" xfId="7372" xr:uid="{00000000-0005-0000-0000-00007D1A0000}"/>
    <cellStyle name="20% - Accent4 4 2 2 3 2 6" xfId="7373" xr:uid="{00000000-0005-0000-0000-00007E1A0000}"/>
    <cellStyle name="20% - Accent4 4 2 2 3 2 7" xfId="7374" xr:uid="{00000000-0005-0000-0000-00007F1A0000}"/>
    <cellStyle name="20% - Accent4 4 2 2 3 3" xfId="7375" xr:uid="{00000000-0005-0000-0000-0000801A0000}"/>
    <cellStyle name="20% - Accent4 4 2 2 3 3 2" xfId="7376" xr:uid="{00000000-0005-0000-0000-0000811A0000}"/>
    <cellStyle name="20% - Accent4 4 2 2 3 3 2 2" xfId="7377" xr:uid="{00000000-0005-0000-0000-0000821A0000}"/>
    <cellStyle name="20% - Accent4 4 2 2 3 3 2 3" xfId="7378" xr:uid="{00000000-0005-0000-0000-0000831A0000}"/>
    <cellStyle name="20% - Accent4 4 2 2 3 3 3" xfId="7379" xr:uid="{00000000-0005-0000-0000-0000841A0000}"/>
    <cellStyle name="20% - Accent4 4 2 2 3 3 4" xfId="7380" xr:uid="{00000000-0005-0000-0000-0000851A0000}"/>
    <cellStyle name="20% - Accent4 4 2 2 3 3 5" xfId="7381" xr:uid="{00000000-0005-0000-0000-0000861A0000}"/>
    <cellStyle name="20% - Accent4 4 2 2 3 3 6" xfId="7382" xr:uid="{00000000-0005-0000-0000-0000871A0000}"/>
    <cellStyle name="20% - Accent4 4 2 2 3 4" xfId="7383" xr:uid="{00000000-0005-0000-0000-0000881A0000}"/>
    <cellStyle name="20% - Accent4 4 2 2 3 4 2" xfId="7384" xr:uid="{00000000-0005-0000-0000-0000891A0000}"/>
    <cellStyle name="20% - Accent4 4 2 2 3 4 2 2" xfId="7385" xr:uid="{00000000-0005-0000-0000-00008A1A0000}"/>
    <cellStyle name="20% - Accent4 4 2 2 3 4 2 3" xfId="7386" xr:uid="{00000000-0005-0000-0000-00008B1A0000}"/>
    <cellStyle name="20% - Accent4 4 2 2 3 4 3" xfId="7387" xr:uid="{00000000-0005-0000-0000-00008C1A0000}"/>
    <cellStyle name="20% - Accent4 4 2 2 3 4 4" xfId="7388" xr:uid="{00000000-0005-0000-0000-00008D1A0000}"/>
    <cellStyle name="20% - Accent4 4 2 2 3 4 5" xfId="7389" xr:uid="{00000000-0005-0000-0000-00008E1A0000}"/>
    <cellStyle name="20% - Accent4 4 2 2 3 4 6" xfId="7390" xr:uid="{00000000-0005-0000-0000-00008F1A0000}"/>
    <cellStyle name="20% - Accent4 4 2 2 3 5" xfId="7391" xr:uid="{00000000-0005-0000-0000-0000901A0000}"/>
    <cellStyle name="20% - Accent4 4 2 2 3 5 2" xfId="7392" xr:uid="{00000000-0005-0000-0000-0000911A0000}"/>
    <cellStyle name="20% - Accent4 4 2 2 3 5 3" xfId="7393" xr:uid="{00000000-0005-0000-0000-0000921A0000}"/>
    <cellStyle name="20% - Accent4 4 2 2 3 6" xfId="7394" xr:uid="{00000000-0005-0000-0000-0000931A0000}"/>
    <cellStyle name="20% - Accent4 4 2 2 3 7" xfId="7395" xr:uid="{00000000-0005-0000-0000-0000941A0000}"/>
    <cellStyle name="20% - Accent4 4 2 2 3 8" xfId="7396" xr:uid="{00000000-0005-0000-0000-0000951A0000}"/>
    <cellStyle name="20% - Accent4 4 2 2 3 9" xfId="7397" xr:uid="{00000000-0005-0000-0000-0000961A0000}"/>
    <cellStyle name="20% - Accent4 4 2 2 4" xfId="7398" xr:uid="{00000000-0005-0000-0000-0000971A0000}"/>
    <cellStyle name="20% - Accent4 4 2 2 4 2" xfId="7399" xr:uid="{00000000-0005-0000-0000-0000981A0000}"/>
    <cellStyle name="20% - Accent4 4 2 2 4 2 2" xfId="7400" xr:uid="{00000000-0005-0000-0000-0000991A0000}"/>
    <cellStyle name="20% - Accent4 4 2 2 4 2 2 2" xfId="7401" xr:uid="{00000000-0005-0000-0000-00009A1A0000}"/>
    <cellStyle name="20% - Accent4 4 2 2 4 2 2 3" xfId="7402" xr:uid="{00000000-0005-0000-0000-00009B1A0000}"/>
    <cellStyle name="20% - Accent4 4 2 2 4 2 3" xfId="7403" xr:uid="{00000000-0005-0000-0000-00009C1A0000}"/>
    <cellStyle name="20% - Accent4 4 2 2 4 2 4" xfId="7404" xr:uid="{00000000-0005-0000-0000-00009D1A0000}"/>
    <cellStyle name="20% - Accent4 4 2 2 4 2 5" xfId="7405" xr:uid="{00000000-0005-0000-0000-00009E1A0000}"/>
    <cellStyle name="20% - Accent4 4 2 2 4 2 6" xfId="7406" xr:uid="{00000000-0005-0000-0000-00009F1A0000}"/>
    <cellStyle name="20% - Accent4 4 2 2 4 3" xfId="7407" xr:uid="{00000000-0005-0000-0000-0000A01A0000}"/>
    <cellStyle name="20% - Accent4 4 2 2 4 3 2" xfId="7408" xr:uid="{00000000-0005-0000-0000-0000A11A0000}"/>
    <cellStyle name="20% - Accent4 4 2 2 4 3 3" xfId="7409" xr:uid="{00000000-0005-0000-0000-0000A21A0000}"/>
    <cellStyle name="20% - Accent4 4 2 2 4 4" xfId="7410" xr:uid="{00000000-0005-0000-0000-0000A31A0000}"/>
    <cellStyle name="20% - Accent4 4 2 2 4 5" xfId="7411" xr:uid="{00000000-0005-0000-0000-0000A41A0000}"/>
    <cellStyle name="20% - Accent4 4 2 2 4 6" xfId="7412" xr:uid="{00000000-0005-0000-0000-0000A51A0000}"/>
    <cellStyle name="20% - Accent4 4 2 2 4 7" xfId="7413" xr:uid="{00000000-0005-0000-0000-0000A61A0000}"/>
    <cellStyle name="20% - Accent4 4 2 2 5" xfId="7414" xr:uid="{00000000-0005-0000-0000-0000A71A0000}"/>
    <cellStyle name="20% - Accent4 4 2 2 5 2" xfId="7415" xr:uid="{00000000-0005-0000-0000-0000A81A0000}"/>
    <cellStyle name="20% - Accent4 4 2 2 5 2 2" xfId="7416" xr:uid="{00000000-0005-0000-0000-0000A91A0000}"/>
    <cellStyle name="20% - Accent4 4 2 2 5 2 3" xfId="7417" xr:uid="{00000000-0005-0000-0000-0000AA1A0000}"/>
    <cellStyle name="20% - Accent4 4 2 2 5 3" xfId="7418" xr:uid="{00000000-0005-0000-0000-0000AB1A0000}"/>
    <cellStyle name="20% - Accent4 4 2 2 5 4" xfId="7419" xr:uid="{00000000-0005-0000-0000-0000AC1A0000}"/>
    <cellStyle name="20% - Accent4 4 2 2 5 5" xfId="7420" xr:uid="{00000000-0005-0000-0000-0000AD1A0000}"/>
    <cellStyle name="20% - Accent4 4 2 2 5 6" xfId="7421" xr:uid="{00000000-0005-0000-0000-0000AE1A0000}"/>
    <cellStyle name="20% - Accent4 4 2 2 6" xfId="7422" xr:uid="{00000000-0005-0000-0000-0000AF1A0000}"/>
    <cellStyle name="20% - Accent4 4 2 2 6 2" xfId="7423" xr:uid="{00000000-0005-0000-0000-0000B01A0000}"/>
    <cellStyle name="20% - Accent4 4 2 2 6 2 2" xfId="7424" xr:uid="{00000000-0005-0000-0000-0000B11A0000}"/>
    <cellStyle name="20% - Accent4 4 2 2 6 2 3" xfId="7425" xr:uid="{00000000-0005-0000-0000-0000B21A0000}"/>
    <cellStyle name="20% - Accent4 4 2 2 6 3" xfId="7426" xr:uid="{00000000-0005-0000-0000-0000B31A0000}"/>
    <cellStyle name="20% - Accent4 4 2 2 6 4" xfId="7427" xr:uid="{00000000-0005-0000-0000-0000B41A0000}"/>
    <cellStyle name="20% - Accent4 4 2 2 6 5" xfId="7428" xr:uid="{00000000-0005-0000-0000-0000B51A0000}"/>
    <cellStyle name="20% - Accent4 4 2 2 6 6" xfId="7429" xr:uid="{00000000-0005-0000-0000-0000B61A0000}"/>
    <cellStyle name="20% - Accent4 4 2 2 7" xfId="7430" xr:uid="{00000000-0005-0000-0000-0000B71A0000}"/>
    <cellStyle name="20% - Accent4 4 2 2 7 2" xfId="7431" xr:uid="{00000000-0005-0000-0000-0000B81A0000}"/>
    <cellStyle name="20% - Accent4 4 2 2 7 2 2" xfId="7432" xr:uid="{00000000-0005-0000-0000-0000B91A0000}"/>
    <cellStyle name="20% - Accent4 4 2 2 7 2 3" xfId="7433" xr:uid="{00000000-0005-0000-0000-0000BA1A0000}"/>
    <cellStyle name="20% - Accent4 4 2 2 7 3" xfId="7434" xr:uid="{00000000-0005-0000-0000-0000BB1A0000}"/>
    <cellStyle name="20% - Accent4 4 2 2 7 4" xfId="7435" xr:uid="{00000000-0005-0000-0000-0000BC1A0000}"/>
    <cellStyle name="20% - Accent4 4 2 2 7 5" xfId="7436" xr:uid="{00000000-0005-0000-0000-0000BD1A0000}"/>
    <cellStyle name="20% - Accent4 4 2 2 7 6" xfId="7437" xr:uid="{00000000-0005-0000-0000-0000BE1A0000}"/>
    <cellStyle name="20% - Accent4 4 2 2 8" xfId="7438" xr:uid="{00000000-0005-0000-0000-0000BF1A0000}"/>
    <cellStyle name="20% - Accent4 4 2 2 8 2" xfId="7439" xr:uid="{00000000-0005-0000-0000-0000C01A0000}"/>
    <cellStyle name="20% - Accent4 4 2 2 8 2 2" xfId="7440" xr:uid="{00000000-0005-0000-0000-0000C11A0000}"/>
    <cellStyle name="20% - Accent4 4 2 2 8 2 3" xfId="7441" xr:uid="{00000000-0005-0000-0000-0000C21A0000}"/>
    <cellStyle name="20% - Accent4 4 2 2 8 3" xfId="7442" xr:uid="{00000000-0005-0000-0000-0000C31A0000}"/>
    <cellStyle name="20% - Accent4 4 2 2 8 4" xfId="7443" xr:uid="{00000000-0005-0000-0000-0000C41A0000}"/>
    <cellStyle name="20% - Accent4 4 2 2 8 5" xfId="7444" xr:uid="{00000000-0005-0000-0000-0000C51A0000}"/>
    <cellStyle name="20% - Accent4 4 2 2 8 6" xfId="7445" xr:uid="{00000000-0005-0000-0000-0000C61A0000}"/>
    <cellStyle name="20% - Accent4 4 2 2 9" xfId="7446" xr:uid="{00000000-0005-0000-0000-0000C71A0000}"/>
    <cellStyle name="20% - Accent4 4 2 2 9 2" xfId="7447" xr:uid="{00000000-0005-0000-0000-0000C81A0000}"/>
    <cellStyle name="20% - Accent4 4 2 2 9 3" xfId="7448" xr:uid="{00000000-0005-0000-0000-0000C91A0000}"/>
    <cellStyle name="20% - Accent4 4 2 3" xfId="7449" xr:uid="{00000000-0005-0000-0000-0000CA1A0000}"/>
    <cellStyle name="20% - Accent4 4 2 3 10" xfId="7450" xr:uid="{00000000-0005-0000-0000-0000CB1A0000}"/>
    <cellStyle name="20% - Accent4 4 2 3 2" xfId="7451" xr:uid="{00000000-0005-0000-0000-0000CC1A0000}"/>
    <cellStyle name="20% - Accent4 4 2 3 2 2" xfId="7452" xr:uid="{00000000-0005-0000-0000-0000CD1A0000}"/>
    <cellStyle name="20% - Accent4 4 2 3 2 2 2" xfId="7453" xr:uid="{00000000-0005-0000-0000-0000CE1A0000}"/>
    <cellStyle name="20% - Accent4 4 2 3 2 2 2 2" xfId="7454" xr:uid="{00000000-0005-0000-0000-0000CF1A0000}"/>
    <cellStyle name="20% - Accent4 4 2 3 2 2 2 3" xfId="7455" xr:uid="{00000000-0005-0000-0000-0000D01A0000}"/>
    <cellStyle name="20% - Accent4 4 2 3 2 2 3" xfId="7456" xr:uid="{00000000-0005-0000-0000-0000D11A0000}"/>
    <cellStyle name="20% - Accent4 4 2 3 2 2 4" xfId="7457" xr:uid="{00000000-0005-0000-0000-0000D21A0000}"/>
    <cellStyle name="20% - Accent4 4 2 3 2 2 5" xfId="7458" xr:uid="{00000000-0005-0000-0000-0000D31A0000}"/>
    <cellStyle name="20% - Accent4 4 2 3 2 2 6" xfId="7459" xr:uid="{00000000-0005-0000-0000-0000D41A0000}"/>
    <cellStyle name="20% - Accent4 4 2 3 2 3" xfId="7460" xr:uid="{00000000-0005-0000-0000-0000D51A0000}"/>
    <cellStyle name="20% - Accent4 4 2 3 2 3 2" xfId="7461" xr:uid="{00000000-0005-0000-0000-0000D61A0000}"/>
    <cellStyle name="20% - Accent4 4 2 3 2 3 2 2" xfId="7462" xr:uid="{00000000-0005-0000-0000-0000D71A0000}"/>
    <cellStyle name="20% - Accent4 4 2 3 2 3 2 3" xfId="7463" xr:uid="{00000000-0005-0000-0000-0000D81A0000}"/>
    <cellStyle name="20% - Accent4 4 2 3 2 3 3" xfId="7464" xr:uid="{00000000-0005-0000-0000-0000D91A0000}"/>
    <cellStyle name="20% - Accent4 4 2 3 2 3 4" xfId="7465" xr:uid="{00000000-0005-0000-0000-0000DA1A0000}"/>
    <cellStyle name="20% - Accent4 4 2 3 2 3 5" xfId="7466" xr:uid="{00000000-0005-0000-0000-0000DB1A0000}"/>
    <cellStyle name="20% - Accent4 4 2 3 2 3 6" xfId="7467" xr:uid="{00000000-0005-0000-0000-0000DC1A0000}"/>
    <cellStyle name="20% - Accent4 4 2 3 2 4" xfId="7468" xr:uid="{00000000-0005-0000-0000-0000DD1A0000}"/>
    <cellStyle name="20% - Accent4 4 2 3 2 4 2" xfId="7469" xr:uid="{00000000-0005-0000-0000-0000DE1A0000}"/>
    <cellStyle name="20% - Accent4 4 2 3 2 4 3" xfId="7470" xr:uid="{00000000-0005-0000-0000-0000DF1A0000}"/>
    <cellStyle name="20% - Accent4 4 2 3 2 5" xfId="7471" xr:uid="{00000000-0005-0000-0000-0000E01A0000}"/>
    <cellStyle name="20% - Accent4 4 2 3 2 6" xfId="7472" xr:uid="{00000000-0005-0000-0000-0000E11A0000}"/>
    <cellStyle name="20% - Accent4 4 2 3 2 7" xfId="7473" xr:uid="{00000000-0005-0000-0000-0000E21A0000}"/>
    <cellStyle name="20% - Accent4 4 2 3 2 8" xfId="7474" xr:uid="{00000000-0005-0000-0000-0000E31A0000}"/>
    <cellStyle name="20% - Accent4 4 2 3 3" xfId="7475" xr:uid="{00000000-0005-0000-0000-0000E41A0000}"/>
    <cellStyle name="20% - Accent4 4 2 3 3 2" xfId="7476" xr:uid="{00000000-0005-0000-0000-0000E51A0000}"/>
    <cellStyle name="20% - Accent4 4 2 3 3 2 2" xfId="7477" xr:uid="{00000000-0005-0000-0000-0000E61A0000}"/>
    <cellStyle name="20% - Accent4 4 2 3 3 2 2 2" xfId="7478" xr:uid="{00000000-0005-0000-0000-0000E71A0000}"/>
    <cellStyle name="20% - Accent4 4 2 3 3 2 2 3" xfId="7479" xr:uid="{00000000-0005-0000-0000-0000E81A0000}"/>
    <cellStyle name="20% - Accent4 4 2 3 3 2 3" xfId="7480" xr:uid="{00000000-0005-0000-0000-0000E91A0000}"/>
    <cellStyle name="20% - Accent4 4 2 3 3 2 4" xfId="7481" xr:uid="{00000000-0005-0000-0000-0000EA1A0000}"/>
    <cellStyle name="20% - Accent4 4 2 3 3 2 5" xfId="7482" xr:uid="{00000000-0005-0000-0000-0000EB1A0000}"/>
    <cellStyle name="20% - Accent4 4 2 3 3 2 6" xfId="7483" xr:uid="{00000000-0005-0000-0000-0000EC1A0000}"/>
    <cellStyle name="20% - Accent4 4 2 3 3 3" xfId="7484" xr:uid="{00000000-0005-0000-0000-0000ED1A0000}"/>
    <cellStyle name="20% - Accent4 4 2 3 3 3 2" xfId="7485" xr:uid="{00000000-0005-0000-0000-0000EE1A0000}"/>
    <cellStyle name="20% - Accent4 4 2 3 3 3 3" xfId="7486" xr:uid="{00000000-0005-0000-0000-0000EF1A0000}"/>
    <cellStyle name="20% - Accent4 4 2 3 3 4" xfId="7487" xr:uid="{00000000-0005-0000-0000-0000F01A0000}"/>
    <cellStyle name="20% - Accent4 4 2 3 3 5" xfId="7488" xr:uid="{00000000-0005-0000-0000-0000F11A0000}"/>
    <cellStyle name="20% - Accent4 4 2 3 3 6" xfId="7489" xr:uid="{00000000-0005-0000-0000-0000F21A0000}"/>
    <cellStyle name="20% - Accent4 4 2 3 3 7" xfId="7490" xr:uid="{00000000-0005-0000-0000-0000F31A0000}"/>
    <cellStyle name="20% - Accent4 4 2 3 4" xfId="7491" xr:uid="{00000000-0005-0000-0000-0000F41A0000}"/>
    <cellStyle name="20% - Accent4 4 2 3 4 2" xfId="7492" xr:uid="{00000000-0005-0000-0000-0000F51A0000}"/>
    <cellStyle name="20% - Accent4 4 2 3 4 2 2" xfId="7493" xr:uid="{00000000-0005-0000-0000-0000F61A0000}"/>
    <cellStyle name="20% - Accent4 4 2 3 4 2 3" xfId="7494" xr:uid="{00000000-0005-0000-0000-0000F71A0000}"/>
    <cellStyle name="20% - Accent4 4 2 3 4 3" xfId="7495" xr:uid="{00000000-0005-0000-0000-0000F81A0000}"/>
    <cellStyle name="20% - Accent4 4 2 3 4 4" xfId="7496" xr:uid="{00000000-0005-0000-0000-0000F91A0000}"/>
    <cellStyle name="20% - Accent4 4 2 3 4 5" xfId="7497" xr:uid="{00000000-0005-0000-0000-0000FA1A0000}"/>
    <cellStyle name="20% - Accent4 4 2 3 4 6" xfId="7498" xr:uid="{00000000-0005-0000-0000-0000FB1A0000}"/>
    <cellStyle name="20% - Accent4 4 2 3 5" xfId="7499" xr:uid="{00000000-0005-0000-0000-0000FC1A0000}"/>
    <cellStyle name="20% - Accent4 4 2 3 5 2" xfId="7500" xr:uid="{00000000-0005-0000-0000-0000FD1A0000}"/>
    <cellStyle name="20% - Accent4 4 2 3 5 2 2" xfId="7501" xr:uid="{00000000-0005-0000-0000-0000FE1A0000}"/>
    <cellStyle name="20% - Accent4 4 2 3 5 2 3" xfId="7502" xr:uid="{00000000-0005-0000-0000-0000FF1A0000}"/>
    <cellStyle name="20% - Accent4 4 2 3 5 3" xfId="7503" xr:uid="{00000000-0005-0000-0000-0000001B0000}"/>
    <cellStyle name="20% - Accent4 4 2 3 5 4" xfId="7504" xr:uid="{00000000-0005-0000-0000-0000011B0000}"/>
    <cellStyle name="20% - Accent4 4 2 3 5 5" xfId="7505" xr:uid="{00000000-0005-0000-0000-0000021B0000}"/>
    <cellStyle name="20% - Accent4 4 2 3 5 6" xfId="7506" xr:uid="{00000000-0005-0000-0000-0000031B0000}"/>
    <cellStyle name="20% - Accent4 4 2 3 6" xfId="7507" xr:uid="{00000000-0005-0000-0000-0000041B0000}"/>
    <cellStyle name="20% - Accent4 4 2 3 6 2" xfId="7508" xr:uid="{00000000-0005-0000-0000-0000051B0000}"/>
    <cellStyle name="20% - Accent4 4 2 3 6 3" xfId="7509" xr:uid="{00000000-0005-0000-0000-0000061B0000}"/>
    <cellStyle name="20% - Accent4 4 2 3 7" xfId="7510" xr:uid="{00000000-0005-0000-0000-0000071B0000}"/>
    <cellStyle name="20% - Accent4 4 2 3 8" xfId="7511" xr:uid="{00000000-0005-0000-0000-0000081B0000}"/>
    <cellStyle name="20% - Accent4 4 2 3 9" xfId="7512" xr:uid="{00000000-0005-0000-0000-0000091B0000}"/>
    <cellStyle name="20% - Accent4 4 2 4" xfId="7513" xr:uid="{00000000-0005-0000-0000-00000A1B0000}"/>
    <cellStyle name="20% - Accent4 4 2 4 2" xfId="7514" xr:uid="{00000000-0005-0000-0000-00000B1B0000}"/>
    <cellStyle name="20% - Accent4 4 2 4 2 2" xfId="7515" xr:uid="{00000000-0005-0000-0000-00000C1B0000}"/>
    <cellStyle name="20% - Accent4 4 2 4 2 2 2" xfId="7516" xr:uid="{00000000-0005-0000-0000-00000D1B0000}"/>
    <cellStyle name="20% - Accent4 4 2 4 2 2 2 2" xfId="7517" xr:uid="{00000000-0005-0000-0000-00000E1B0000}"/>
    <cellStyle name="20% - Accent4 4 2 4 2 2 2 3" xfId="7518" xr:uid="{00000000-0005-0000-0000-00000F1B0000}"/>
    <cellStyle name="20% - Accent4 4 2 4 2 2 3" xfId="7519" xr:uid="{00000000-0005-0000-0000-0000101B0000}"/>
    <cellStyle name="20% - Accent4 4 2 4 2 2 4" xfId="7520" xr:uid="{00000000-0005-0000-0000-0000111B0000}"/>
    <cellStyle name="20% - Accent4 4 2 4 2 2 5" xfId="7521" xr:uid="{00000000-0005-0000-0000-0000121B0000}"/>
    <cellStyle name="20% - Accent4 4 2 4 2 2 6" xfId="7522" xr:uid="{00000000-0005-0000-0000-0000131B0000}"/>
    <cellStyle name="20% - Accent4 4 2 4 2 3" xfId="7523" xr:uid="{00000000-0005-0000-0000-0000141B0000}"/>
    <cellStyle name="20% - Accent4 4 2 4 2 3 2" xfId="7524" xr:uid="{00000000-0005-0000-0000-0000151B0000}"/>
    <cellStyle name="20% - Accent4 4 2 4 2 3 3" xfId="7525" xr:uid="{00000000-0005-0000-0000-0000161B0000}"/>
    <cellStyle name="20% - Accent4 4 2 4 2 4" xfId="7526" xr:uid="{00000000-0005-0000-0000-0000171B0000}"/>
    <cellStyle name="20% - Accent4 4 2 4 2 5" xfId="7527" xr:uid="{00000000-0005-0000-0000-0000181B0000}"/>
    <cellStyle name="20% - Accent4 4 2 4 2 6" xfId="7528" xr:uid="{00000000-0005-0000-0000-0000191B0000}"/>
    <cellStyle name="20% - Accent4 4 2 4 2 7" xfId="7529" xr:uid="{00000000-0005-0000-0000-00001A1B0000}"/>
    <cellStyle name="20% - Accent4 4 2 4 3" xfId="7530" xr:uid="{00000000-0005-0000-0000-00001B1B0000}"/>
    <cellStyle name="20% - Accent4 4 2 4 3 2" xfId="7531" xr:uid="{00000000-0005-0000-0000-00001C1B0000}"/>
    <cellStyle name="20% - Accent4 4 2 4 3 2 2" xfId="7532" xr:uid="{00000000-0005-0000-0000-00001D1B0000}"/>
    <cellStyle name="20% - Accent4 4 2 4 3 2 3" xfId="7533" xr:uid="{00000000-0005-0000-0000-00001E1B0000}"/>
    <cellStyle name="20% - Accent4 4 2 4 3 3" xfId="7534" xr:uid="{00000000-0005-0000-0000-00001F1B0000}"/>
    <cellStyle name="20% - Accent4 4 2 4 3 4" xfId="7535" xr:uid="{00000000-0005-0000-0000-0000201B0000}"/>
    <cellStyle name="20% - Accent4 4 2 4 3 5" xfId="7536" xr:uid="{00000000-0005-0000-0000-0000211B0000}"/>
    <cellStyle name="20% - Accent4 4 2 4 3 6" xfId="7537" xr:uid="{00000000-0005-0000-0000-0000221B0000}"/>
    <cellStyle name="20% - Accent4 4 2 4 4" xfId="7538" xr:uid="{00000000-0005-0000-0000-0000231B0000}"/>
    <cellStyle name="20% - Accent4 4 2 4 4 2" xfId="7539" xr:uid="{00000000-0005-0000-0000-0000241B0000}"/>
    <cellStyle name="20% - Accent4 4 2 4 4 2 2" xfId="7540" xr:uid="{00000000-0005-0000-0000-0000251B0000}"/>
    <cellStyle name="20% - Accent4 4 2 4 4 2 3" xfId="7541" xr:uid="{00000000-0005-0000-0000-0000261B0000}"/>
    <cellStyle name="20% - Accent4 4 2 4 4 3" xfId="7542" xr:uid="{00000000-0005-0000-0000-0000271B0000}"/>
    <cellStyle name="20% - Accent4 4 2 4 4 4" xfId="7543" xr:uid="{00000000-0005-0000-0000-0000281B0000}"/>
    <cellStyle name="20% - Accent4 4 2 4 4 5" xfId="7544" xr:uid="{00000000-0005-0000-0000-0000291B0000}"/>
    <cellStyle name="20% - Accent4 4 2 4 4 6" xfId="7545" xr:uid="{00000000-0005-0000-0000-00002A1B0000}"/>
    <cellStyle name="20% - Accent4 4 2 4 5" xfId="7546" xr:uid="{00000000-0005-0000-0000-00002B1B0000}"/>
    <cellStyle name="20% - Accent4 4 2 4 5 2" xfId="7547" xr:uid="{00000000-0005-0000-0000-00002C1B0000}"/>
    <cellStyle name="20% - Accent4 4 2 4 5 3" xfId="7548" xr:uid="{00000000-0005-0000-0000-00002D1B0000}"/>
    <cellStyle name="20% - Accent4 4 2 4 6" xfId="7549" xr:uid="{00000000-0005-0000-0000-00002E1B0000}"/>
    <cellStyle name="20% - Accent4 4 2 4 7" xfId="7550" xr:uid="{00000000-0005-0000-0000-00002F1B0000}"/>
    <cellStyle name="20% - Accent4 4 2 4 8" xfId="7551" xr:uid="{00000000-0005-0000-0000-0000301B0000}"/>
    <cellStyle name="20% - Accent4 4 2 4 9" xfId="7552" xr:uid="{00000000-0005-0000-0000-0000311B0000}"/>
    <cellStyle name="20% - Accent4 4 2 5" xfId="7553" xr:uid="{00000000-0005-0000-0000-0000321B0000}"/>
    <cellStyle name="20% - Accent4 4 2 5 2" xfId="7554" xr:uid="{00000000-0005-0000-0000-0000331B0000}"/>
    <cellStyle name="20% - Accent4 4 2 5 2 2" xfId="7555" xr:uid="{00000000-0005-0000-0000-0000341B0000}"/>
    <cellStyle name="20% - Accent4 4 2 5 2 2 2" xfId="7556" xr:uid="{00000000-0005-0000-0000-0000351B0000}"/>
    <cellStyle name="20% - Accent4 4 2 5 2 2 3" xfId="7557" xr:uid="{00000000-0005-0000-0000-0000361B0000}"/>
    <cellStyle name="20% - Accent4 4 2 5 2 3" xfId="7558" xr:uid="{00000000-0005-0000-0000-0000371B0000}"/>
    <cellStyle name="20% - Accent4 4 2 5 2 4" xfId="7559" xr:uid="{00000000-0005-0000-0000-0000381B0000}"/>
    <cellStyle name="20% - Accent4 4 2 5 2 5" xfId="7560" xr:uid="{00000000-0005-0000-0000-0000391B0000}"/>
    <cellStyle name="20% - Accent4 4 2 5 2 6" xfId="7561" xr:uid="{00000000-0005-0000-0000-00003A1B0000}"/>
    <cellStyle name="20% - Accent4 4 2 5 3" xfId="7562" xr:uid="{00000000-0005-0000-0000-00003B1B0000}"/>
    <cellStyle name="20% - Accent4 4 2 5 3 2" xfId="7563" xr:uid="{00000000-0005-0000-0000-00003C1B0000}"/>
    <cellStyle name="20% - Accent4 4 2 5 3 3" xfId="7564" xr:uid="{00000000-0005-0000-0000-00003D1B0000}"/>
    <cellStyle name="20% - Accent4 4 2 5 4" xfId="7565" xr:uid="{00000000-0005-0000-0000-00003E1B0000}"/>
    <cellStyle name="20% - Accent4 4 2 5 5" xfId="7566" xr:uid="{00000000-0005-0000-0000-00003F1B0000}"/>
    <cellStyle name="20% - Accent4 4 2 5 6" xfId="7567" xr:uid="{00000000-0005-0000-0000-0000401B0000}"/>
    <cellStyle name="20% - Accent4 4 2 5 7" xfId="7568" xr:uid="{00000000-0005-0000-0000-0000411B0000}"/>
    <cellStyle name="20% - Accent4 4 2 6" xfId="7569" xr:uid="{00000000-0005-0000-0000-0000421B0000}"/>
    <cellStyle name="20% - Accent4 4 2 6 2" xfId="7570" xr:uid="{00000000-0005-0000-0000-0000431B0000}"/>
    <cellStyle name="20% - Accent4 4 2 6 2 2" xfId="7571" xr:uid="{00000000-0005-0000-0000-0000441B0000}"/>
    <cellStyle name="20% - Accent4 4 2 6 2 3" xfId="7572" xr:uid="{00000000-0005-0000-0000-0000451B0000}"/>
    <cellStyle name="20% - Accent4 4 2 6 3" xfId="7573" xr:uid="{00000000-0005-0000-0000-0000461B0000}"/>
    <cellStyle name="20% - Accent4 4 2 6 4" xfId="7574" xr:uid="{00000000-0005-0000-0000-0000471B0000}"/>
    <cellStyle name="20% - Accent4 4 2 6 5" xfId="7575" xr:uid="{00000000-0005-0000-0000-0000481B0000}"/>
    <cellStyle name="20% - Accent4 4 2 6 6" xfId="7576" xr:uid="{00000000-0005-0000-0000-0000491B0000}"/>
    <cellStyle name="20% - Accent4 4 2 7" xfId="7577" xr:uid="{00000000-0005-0000-0000-00004A1B0000}"/>
    <cellStyle name="20% - Accent4 4 2 7 2" xfId="7578" xr:uid="{00000000-0005-0000-0000-00004B1B0000}"/>
    <cellStyle name="20% - Accent4 4 2 7 2 2" xfId="7579" xr:uid="{00000000-0005-0000-0000-00004C1B0000}"/>
    <cellStyle name="20% - Accent4 4 2 7 2 3" xfId="7580" xr:uid="{00000000-0005-0000-0000-00004D1B0000}"/>
    <cellStyle name="20% - Accent4 4 2 7 3" xfId="7581" xr:uid="{00000000-0005-0000-0000-00004E1B0000}"/>
    <cellStyle name="20% - Accent4 4 2 7 4" xfId="7582" xr:uid="{00000000-0005-0000-0000-00004F1B0000}"/>
    <cellStyle name="20% - Accent4 4 2 7 5" xfId="7583" xr:uid="{00000000-0005-0000-0000-0000501B0000}"/>
    <cellStyle name="20% - Accent4 4 2 7 6" xfId="7584" xr:uid="{00000000-0005-0000-0000-0000511B0000}"/>
    <cellStyle name="20% - Accent4 4 2 8" xfId="7585" xr:uid="{00000000-0005-0000-0000-0000521B0000}"/>
    <cellStyle name="20% - Accent4 4 2 8 2" xfId="7586" xr:uid="{00000000-0005-0000-0000-0000531B0000}"/>
    <cellStyle name="20% - Accent4 4 2 8 2 2" xfId="7587" xr:uid="{00000000-0005-0000-0000-0000541B0000}"/>
    <cellStyle name="20% - Accent4 4 2 8 2 3" xfId="7588" xr:uid="{00000000-0005-0000-0000-0000551B0000}"/>
    <cellStyle name="20% - Accent4 4 2 8 3" xfId="7589" xr:uid="{00000000-0005-0000-0000-0000561B0000}"/>
    <cellStyle name="20% - Accent4 4 2 8 4" xfId="7590" xr:uid="{00000000-0005-0000-0000-0000571B0000}"/>
    <cellStyle name="20% - Accent4 4 2 8 5" xfId="7591" xr:uid="{00000000-0005-0000-0000-0000581B0000}"/>
    <cellStyle name="20% - Accent4 4 2 8 6" xfId="7592" xr:uid="{00000000-0005-0000-0000-0000591B0000}"/>
    <cellStyle name="20% - Accent4 4 2 9" xfId="7593" xr:uid="{00000000-0005-0000-0000-00005A1B0000}"/>
    <cellStyle name="20% - Accent4 4 2 9 2" xfId="7594" xr:uid="{00000000-0005-0000-0000-00005B1B0000}"/>
    <cellStyle name="20% - Accent4 4 2 9 2 2" xfId="7595" xr:uid="{00000000-0005-0000-0000-00005C1B0000}"/>
    <cellStyle name="20% - Accent4 4 2 9 2 3" xfId="7596" xr:uid="{00000000-0005-0000-0000-00005D1B0000}"/>
    <cellStyle name="20% - Accent4 4 2 9 3" xfId="7597" xr:uid="{00000000-0005-0000-0000-00005E1B0000}"/>
    <cellStyle name="20% - Accent4 4 2 9 4" xfId="7598" xr:uid="{00000000-0005-0000-0000-00005F1B0000}"/>
    <cellStyle name="20% - Accent4 4 2 9 5" xfId="7599" xr:uid="{00000000-0005-0000-0000-0000601B0000}"/>
    <cellStyle name="20% - Accent4 4 2 9 6" xfId="7600" xr:uid="{00000000-0005-0000-0000-0000611B0000}"/>
    <cellStyle name="20% - Accent4 4 3" xfId="7601" xr:uid="{00000000-0005-0000-0000-0000621B0000}"/>
    <cellStyle name="20% - Accent4 4 3 10" xfId="7602" xr:uid="{00000000-0005-0000-0000-0000631B0000}"/>
    <cellStyle name="20% - Accent4 4 3 11" xfId="7603" xr:uid="{00000000-0005-0000-0000-0000641B0000}"/>
    <cellStyle name="20% - Accent4 4 3 12" xfId="7604" xr:uid="{00000000-0005-0000-0000-0000651B0000}"/>
    <cellStyle name="20% - Accent4 4 3 13" xfId="7605" xr:uid="{00000000-0005-0000-0000-0000661B0000}"/>
    <cellStyle name="20% - Accent4 4 3 2" xfId="7606" xr:uid="{00000000-0005-0000-0000-0000671B0000}"/>
    <cellStyle name="20% - Accent4 4 3 2 10" xfId="7607" xr:uid="{00000000-0005-0000-0000-0000681B0000}"/>
    <cellStyle name="20% - Accent4 4 3 2 2" xfId="7608" xr:uid="{00000000-0005-0000-0000-0000691B0000}"/>
    <cellStyle name="20% - Accent4 4 3 2 2 2" xfId="7609" xr:uid="{00000000-0005-0000-0000-00006A1B0000}"/>
    <cellStyle name="20% - Accent4 4 3 2 2 2 2" xfId="7610" xr:uid="{00000000-0005-0000-0000-00006B1B0000}"/>
    <cellStyle name="20% - Accent4 4 3 2 2 2 2 2" xfId="7611" xr:uid="{00000000-0005-0000-0000-00006C1B0000}"/>
    <cellStyle name="20% - Accent4 4 3 2 2 2 2 3" xfId="7612" xr:uid="{00000000-0005-0000-0000-00006D1B0000}"/>
    <cellStyle name="20% - Accent4 4 3 2 2 2 3" xfId="7613" xr:uid="{00000000-0005-0000-0000-00006E1B0000}"/>
    <cellStyle name="20% - Accent4 4 3 2 2 2 4" xfId="7614" xr:uid="{00000000-0005-0000-0000-00006F1B0000}"/>
    <cellStyle name="20% - Accent4 4 3 2 2 2 5" xfId="7615" xr:uid="{00000000-0005-0000-0000-0000701B0000}"/>
    <cellStyle name="20% - Accent4 4 3 2 2 2 6" xfId="7616" xr:uid="{00000000-0005-0000-0000-0000711B0000}"/>
    <cellStyle name="20% - Accent4 4 3 2 2 3" xfId="7617" xr:uid="{00000000-0005-0000-0000-0000721B0000}"/>
    <cellStyle name="20% - Accent4 4 3 2 2 3 2" xfId="7618" xr:uid="{00000000-0005-0000-0000-0000731B0000}"/>
    <cellStyle name="20% - Accent4 4 3 2 2 3 2 2" xfId="7619" xr:uid="{00000000-0005-0000-0000-0000741B0000}"/>
    <cellStyle name="20% - Accent4 4 3 2 2 3 2 3" xfId="7620" xr:uid="{00000000-0005-0000-0000-0000751B0000}"/>
    <cellStyle name="20% - Accent4 4 3 2 2 3 3" xfId="7621" xr:uid="{00000000-0005-0000-0000-0000761B0000}"/>
    <cellStyle name="20% - Accent4 4 3 2 2 3 4" xfId="7622" xr:uid="{00000000-0005-0000-0000-0000771B0000}"/>
    <cellStyle name="20% - Accent4 4 3 2 2 3 5" xfId="7623" xr:uid="{00000000-0005-0000-0000-0000781B0000}"/>
    <cellStyle name="20% - Accent4 4 3 2 2 3 6" xfId="7624" xr:uid="{00000000-0005-0000-0000-0000791B0000}"/>
    <cellStyle name="20% - Accent4 4 3 2 2 4" xfId="7625" xr:uid="{00000000-0005-0000-0000-00007A1B0000}"/>
    <cellStyle name="20% - Accent4 4 3 2 2 4 2" xfId="7626" xr:uid="{00000000-0005-0000-0000-00007B1B0000}"/>
    <cellStyle name="20% - Accent4 4 3 2 2 4 3" xfId="7627" xr:uid="{00000000-0005-0000-0000-00007C1B0000}"/>
    <cellStyle name="20% - Accent4 4 3 2 2 5" xfId="7628" xr:uid="{00000000-0005-0000-0000-00007D1B0000}"/>
    <cellStyle name="20% - Accent4 4 3 2 2 6" xfId="7629" xr:uid="{00000000-0005-0000-0000-00007E1B0000}"/>
    <cellStyle name="20% - Accent4 4 3 2 2 7" xfId="7630" xr:uid="{00000000-0005-0000-0000-00007F1B0000}"/>
    <cellStyle name="20% - Accent4 4 3 2 2 8" xfId="7631" xr:uid="{00000000-0005-0000-0000-0000801B0000}"/>
    <cellStyle name="20% - Accent4 4 3 2 3" xfId="7632" xr:uid="{00000000-0005-0000-0000-0000811B0000}"/>
    <cellStyle name="20% - Accent4 4 3 2 3 2" xfId="7633" xr:uid="{00000000-0005-0000-0000-0000821B0000}"/>
    <cellStyle name="20% - Accent4 4 3 2 3 2 2" xfId="7634" xr:uid="{00000000-0005-0000-0000-0000831B0000}"/>
    <cellStyle name="20% - Accent4 4 3 2 3 2 2 2" xfId="7635" xr:uid="{00000000-0005-0000-0000-0000841B0000}"/>
    <cellStyle name="20% - Accent4 4 3 2 3 2 2 3" xfId="7636" xr:uid="{00000000-0005-0000-0000-0000851B0000}"/>
    <cellStyle name="20% - Accent4 4 3 2 3 2 3" xfId="7637" xr:uid="{00000000-0005-0000-0000-0000861B0000}"/>
    <cellStyle name="20% - Accent4 4 3 2 3 2 4" xfId="7638" xr:uid="{00000000-0005-0000-0000-0000871B0000}"/>
    <cellStyle name="20% - Accent4 4 3 2 3 2 5" xfId="7639" xr:uid="{00000000-0005-0000-0000-0000881B0000}"/>
    <cellStyle name="20% - Accent4 4 3 2 3 2 6" xfId="7640" xr:uid="{00000000-0005-0000-0000-0000891B0000}"/>
    <cellStyle name="20% - Accent4 4 3 2 3 3" xfId="7641" xr:uid="{00000000-0005-0000-0000-00008A1B0000}"/>
    <cellStyle name="20% - Accent4 4 3 2 3 3 2" xfId="7642" xr:uid="{00000000-0005-0000-0000-00008B1B0000}"/>
    <cellStyle name="20% - Accent4 4 3 2 3 3 3" xfId="7643" xr:uid="{00000000-0005-0000-0000-00008C1B0000}"/>
    <cellStyle name="20% - Accent4 4 3 2 3 4" xfId="7644" xr:uid="{00000000-0005-0000-0000-00008D1B0000}"/>
    <cellStyle name="20% - Accent4 4 3 2 3 5" xfId="7645" xr:uid="{00000000-0005-0000-0000-00008E1B0000}"/>
    <cellStyle name="20% - Accent4 4 3 2 3 6" xfId="7646" xr:uid="{00000000-0005-0000-0000-00008F1B0000}"/>
    <cellStyle name="20% - Accent4 4 3 2 3 7" xfId="7647" xr:uid="{00000000-0005-0000-0000-0000901B0000}"/>
    <cellStyle name="20% - Accent4 4 3 2 4" xfId="7648" xr:uid="{00000000-0005-0000-0000-0000911B0000}"/>
    <cellStyle name="20% - Accent4 4 3 2 4 2" xfId="7649" xr:uid="{00000000-0005-0000-0000-0000921B0000}"/>
    <cellStyle name="20% - Accent4 4 3 2 4 2 2" xfId="7650" xr:uid="{00000000-0005-0000-0000-0000931B0000}"/>
    <cellStyle name="20% - Accent4 4 3 2 4 2 3" xfId="7651" xr:uid="{00000000-0005-0000-0000-0000941B0000}"/>
    <cellStyle name="20% - Accent4 4 3 2 4 3" xfId="7652" xr:uid="{00000000-0005-0000-0000-0000951B0000}"/>
    <cellStyle name="20% - Accent4 4 3 2 4 4" xfId="7653" xr:uid="{00000000-0005-0000-0000-0000961B0000}"/>
    <cellStyle name="20% - Accent4 4 3 2 4 5" xfId="7654" xr:uid="{00000000-0005-0000-0000-0000971B0000}"/>
    <cellStyle name="20% - Accent4 4 3 2 4 6" xfId="7655" xr:uid="{00000000-0005-0000-0000-0000981B0000}"/>
    <cellStyle name="20% - Accent4 4 3 2 5" xfId="7656" xr:uid="{00000000-0005-0000-0000-0000991B0000}"/>
    <cellStyle name="20% - Accent4 4 3 2 5 2" xfId="7657" xr:uid="{00000000-0005-0000-0000-00009A1B0000}"/>
    <cellStyle name="20% - Accent4 4 3 2 5 2 2" xfId="7658" xr:uid="{00000000-0005-0000-0000-00009B1B0000}"/>
    <cellStyle name="20% - Accent4 4 3 2 5 2 3" xfId="7659" xr:uid="{00000000-0005-0000-0000-00009C1B0000}"/>
    <cellStyle name="20% - Accent4 4 3 2 5 3" xfId="7660" xr:uid="{00000000-0005-0000-0000-00009D1B0000}"/>
    <cellStyle name="20% - Accent4 4 3 2 5 4" xfId="7661" xr:uid="{00000000-0005-0000-0000-00009E1B0000}"/>
    <cellStyle name="20% - Accent4 4 3 2 5 5" xfId="7662" xr:uid="{00000000-0005-0000-0000-00009F1B0000}"/>
    <cellStyle name="20% - Accent4 4 3 2 5 6" xfId="7663" xr:uid="{00000000-0005-0000-0000-0000A01B0000}"/>
    <cellStyle name="20% - Accent4 4 3 2 6" xfId="7664" xr:uid="{00000000-0005-0000-0000-0000A11B0000}"/>
    <cellStyle name="20% - Accent4 4 3 2 6 2" xfId="7665" xr:uid="{00000000-0005-0000-0000-0000A21B0000}"/>
    <cellStyle name="20% - Accent4 4 3 2 6 3" xfId="7666" xr:uid="{00000000-0005-0000-0000-0000A31B0000}"/>
    <cellStyle name="20% - Accent4 4 3 2 7" xfId="7667" xr:uid="{00000000-0005-0000-0000-0000A41B0000}"/>
    <cellStyle name="20% - Accent4 4 3 2 8" xfId="7668" xr:uid="{00000000-0005-0000-0000-0000A51B0000}"/>
    <cellStyle name="20% - Accent4 4 3 2 9" xfId="7669" xr:uid="{00000000-0005-0000-0000-0000A61B0000}"/>
    <cellStyle name="20% - Accent4 4 3 3" xfId="7670" xr:uid="{00000000-0005-0000-0000-0000A71B0000}"/>
    <cellStyle name="20% - Accent4 4 3 3 2" xfId="7671" xr:uid="{00000000-0005-0000-0000-0000A81B0000}"/>
    <cellStyle name="20% - Accent4 4 3 3 2 2" xfId="7672" xr:uid="{00000000-0005-0000-0000-0000A91B0000}"/>
    <cellStyle name="20% - Accent4 4 3 3 2 2 2" xfId="7673" xr:uid="{00000000-0005-0000-0000-0000AA1B0000}"/>
    <cellStyle name="20% - Accent4 4 3 3 2 2 2 2" xfId="7674" xr:uid="{00000000-0005-0000-0000-0000AB1B0000}"/>
    <cellStyle name="20% - Accent4 4 3 3 2 2 2 3" xfId="7675" xr:uid="{00000000-0005-0000-0000-0000AC1B0000}"/>
    <cellStyle name="20% - Accent4 4 3 3 2 2 3" xfId="7676" xr:uid="{00000000-0005-0000-0000-0000AD1B0000}"/>
    <cellStyle name="20% - Accent4 4 3 3 2 2 4" xfId="7677" xr:uid="{00000000-0005-0000-0000-0000AE1B0000}"/>
    <cellStyle name="20% - Accent4 4 3 3 2 2 5" xfId="7678" xr:uid="{00000000-0005-0000-0000-0000AF1B0000}"/>
    <cellStyle name="20% - Accent4 4 3 3 2 2 6" xfId="7679" xr:uid="{00000000-0005-0000-0000-0000B01B0000}"/>
    <cellStyle name="20% - Accent4 4 3 3 2 3" xfId="7680" xr:uid="{00000000-0005-0000-0000-0000B11B0000}"/>
    <cellStyle name="20% - Accent4 4 3 3 2 3 2" xfId="7681" xr:uid="{00000000-0005-0000-0000-0000B21B0000}"/>
    <cellStyle name="20% - Accent4 4 3 3 2 3 3" xfId="7682" xr:uid="{00000000-0005-0000-0000-0000B31B0000}"/>
    <cellStyle name="20% - Accent4 4 3 3 2 4" xfId="7683" xr:uid="{00000000-0005-0000-0000-0000B41B0000}"/>
    <cellStyle name="20% - Accent4 4 3 3 2 5" xfId="7684" xr:uid="{00000000-0005-0000-0000-0000B51B0000}"/>
    <cellStyle name="20% - Accent4 4 3 3 2 6" xfId="7685" xr:uid="{00000000-0005-0000-0000-0000B61B0000}"/>
    <cellStyle name="20% - Accent4 4 3 3 2 7" xfId="7686" xr:uid="{00000000-0005-0000-0000-0000B71B0000}"/>
    <cellStyle name="20% - Accent4 4 3 3 3" xfId="7687" xr:uid="{00000000-0005-0000-0000-0000B81B0000}"/>
    <cellStyle name="20% - Accent4 4 3 3 3 2" xfId="7688" xr:uid="{00000000-0005-0000-0000-0000B91B0000}"/>
    <cellStyle name="20% - Accent4 4 3 3 3 2 2" xfId="7689" xr:uid="{00000000-0005-0000-0000-0000BA1B0000}"/>
    <cellStyle name="20% - Accent4 4 3 3 3 2 3" xfId="7690" xr:uid="{00000000-0005-0000-0000-0000BB1B0000}"/>
    <cellStyle name="20% - Accent4 4 3 3 3 3" xfId="7691" xr:uid="{00000000-0005-0000-0000-0000BC1B0000}"/>
    <cellStyle name="20% - Accent4 4 3 3 3 4" xfId="7692" xr:uid="{00000000-0005-0000-0000-0000BD1B0000}"/>
    <cellStyle name="20% - Accent4 4 3 3 3 5" xfId="7693" xr:uid="{00000000-0005-0000-0000-0000BE1B0000}"/>
    <cellStyle name="20% - Accent4 4 3 3 3 6" xfId="7694" xr:uid="{00000000-0005-0000-0000-0000BF1B0000}"/>
    <cellStyle name="20% - Accent4 4 3 3 4" xfId="7695" xr:uid="{00000000-0005-0000-0000-0000C01B0000}"/>
    <cellStyle name="20% - Accent4 4 3 3 4 2" xfId="7696" xr:uid="{00000000-0005-0000-0000-0000C11B0000}"/>
    <cellStyle name="20% - Accent4 4 3 3 4 2 2" xfId="7697" xr:uid="{00000000-0005-0000-0000-0000C21B0000}"/>
    <cellStyle name="20% - Accent4 4 3 3 4 2 3" xfId="7698" xr:uid="{00000000-0005-0000-0000-0000C31B0000}"/>
    <cellStyle name="20% - Accent4 4 3 3 4 3" xfId="7699" xr:uid="{00000000-0005-0000-0000-0000C41B0000}"/>
    <cellStyle name="20% - Accent4 4 3 3 4 4" xfId="7700" xr:uid="{00000000-0005-0000-0000-0000C51B0000}"/>
    <cellStyle name="20% - Accent4 4 3 3 4 5" xfId="7701" xr:uid="{00000000-0005-0000-0000-0000C61B0000}"/>
    <cellStyle name="20% - Accent4 4 3 3 4 6" xfId="7702" xr:uid="{00000000-0005-0000-0000-0000C71B0000}"/>
    <cellStyle name="20% - Accent4 4 3 3 5" xfId="7703" xr:uid="{00000000-0005-0000-0000-0000C81B0000}"/>
    <cellStyle name="20% - Accent4 4 3 3 5 2" xfId="7704" xr:uid="{00000000-0005-0000-0000-0000C91B0000}"/>
    <cellStyle name="20% - Accent4 4 3 3 5 3" xfId="7705" xr:uid="{00000000-0005-0000-0000-0000CA1B0000}"/>
    <cellStyle name="20% - Accent4 4 3 3 6" xfId="7706" xr:uid="{00000000-0005-0000-0000-0000CB1B0000}"/>
    <cellStyle name="20% - Accent4 4 3 3 7" xfId="7707" xr:uid="{00000000-0005-0000-0000-0000CC1B0000}"/>
    <cellStyle name="20% - Accent4 4 3 3 8" xfId="7708" xr:uid="{00000000-0005-0000-0000-0000CD1B0000}"/>
    <cellStyle name="20% - Accent4 4 3 3 9" xfId="7709" xr:uid="{00000000-0005-0000-0000-0000CE1B0000}"/>
    <cellStyle name="20% - Accent4 4 3 4" xfId="7710" xr:uid="{00000000-0005-0000-0000-0000CF1B0000}"/>
    <cellStyle name="20% - Accent4 4 3 4 2" xfId="7711" xr:uid="{00000000-0005-0000-0000-0000D01B0000}"/>
    <cellStyle name="20% - Accent4 4 3 4 2 2" xfId="7712" xr:uid="{00000000-0005-0000-0000-0000D11B0000}"/>
    <cellStyle name="20% - Accent4 4 3 4 2 2 2" xfId="7713" xr:uid="{00000000-0005-0000-0000-0000D21B0000}"/>
    <cellStyle name="20% - Accent4 4 3 4 2 2 3" xfId="7714" xr:uid="{00000000-0005-0000-0000-0000D31B0000}"/>
    <cellStyle name="20% - Accent4 4 3 4 2 3" xfId="7715" xr:uid="{00000000-0005-0000-0000-0000D41B0000}"/>
    <cellStyle name="20% - Accent4 4 3 4 2 4" xfId="7716" xr:uid="{00000000-0005-0000-0000-0000D51B0000}"/>
    <cellStyle name="20% - Accent4 4 3 4 2 5" xfId="7717" xr:uid="{00000000-0005-0000-0000-0000D61B0000}"/>
    <cellStyle name="20% - Accent4 4 3 4 2 6" xfId="7718" xr:uid="{00000000-0005-0000-0000-0000D71B0000}"/>
    <cellStyle name="20% - Accent4 4 3 4 3" xfId="7719" xr:uid="{00000000-0005-0000-0000-0000D81B0000}"/>
    <cellStyle name="20% - Accent4 4 3 4 3 2" xfId="7720" xr:uid="{00000000-0005-0000-0000-0000D91B0000}"/>
    <cellStyle name="20% - Accent4 4 3 4 3 3" xfId="7721" xr:uid="{00000000-0005-0000-0000-0000DA1B0000}"/>
    <cellStyle name="20% - Accent4 4 3 4 4" xfId="7722" xr:uid="{00000000-0005-0000-0000-0000DB1B0000}"/>
    <cellStyle name="20% - Accent4 4 3 4 5" xfId="7723" xr:uid="{00000000-0005-0000-0000-0000DC1B0000}"/>
    <cellStyle name="20% - Accent4 4 3 4 6" xfId="7724" xr:uid="{00000000-0005-0000-0000-0000DD1B0000}"/>
    <cellStyle name="20% - Accent4 4 3 4 7" xfId="7725" xr:uid="{00000000-0005-0000-0000-0000DE1B0000}"/>
    <cellStyle name="20% - Accent4 4 3 5" xfId="7726" xr:uid="{00000000-0005-0000-0000-0000DF1B0000}"/>
    <cellStyle name="20% - Accent4 4 3 5 2" xfId="7727" xr:uid="{00000000-0005-0000-0000-0000E01B0000}"/>
    <cellStyle name="20% - Accent4 4 3 5 2 2" xfId="7728" xr:uid="{00000000-0005-0000-0000-0000E11B0000}"/>
    <cellStyle name="20% - Accent4 4 3 5 2 3" xfId="7729" xr:uid="{00000000-0005-0000-0000-0000E21B0000}"/>
    <cellStyle name="20% - Accent4 4 3 5 3" xfId="7730" xr:uid="{00000000-0005-0000-0000-0000E31B0000}"/>
    <cellStyle name="20% - Accent4 4 3 5 4" xfId="7731" xr:uid="{00000000-0005-0000-0000-0000E41B0000}"/>
    <cellStyle name="20% - Accent4 4 3 5 5" xfId="7732" xr:uid="{00000000-0005-0000-0000-0000E51B0000}"/>
    <cellStyle name="20% - Accent4 4 3 5 6" xfId="7733" xr:uid="{00000000-0005-0000-0000-0000E61B0000}"/>
    <cellStyle name="20% - Accent4 4 3 6" xfId="7734" xr:uid="{00000000-0005-0000-0000-0000E71B0000}"/>
    <cellStyle name="20% - Accent4 4 3 6 2" xfId="7735" xr:uid="{00000000-0005-0000-0000-0000E81B0000}"/>
    <cellStyle name="20% - Accent4 4 3 6 2 2" xfId="7736" xr:uid="{00000000-0005-0000-0000-0000E91B0000}"/>
    <cellStyle name="20% - Accent4 4 3 6 2 3" xfId="7737" xr:uid="{00000000-0005-0000-0000-0000EA1B0000}"/>
    <cellStyle name="20% - Accent4 4 3 6 3" xfId="7738" xr:uid="{00000000-0005-0000-0000-0000EB1B0000}"/>
    <cellStyle name="20% - Accent4 4 3 6 4" xfId="7739" xr:uid="{00000000-0005-0000-0000-0000EC1B0000}"/>
    <cellStyle name="20% - Accent4 4 3 6 5" xfId="7740" xr:uid="{00000000-0005-0000-0000-0000ED1B0000}"/>
    <cellStyle name="20% - Accent4 4 3 6 6" xfId="7741" xr:uid="{00000000-0005-0000-0000-0000EE1B0000}"/>
    <cellStyle name="20% - Accent4 4 3 7" xfId="7742" xr:uid="{00000000-0005-0000-0000-0000EF1B0000}"/>
    <cellStyle name="20% - Accent4 4 3 7 2" xfId="7743" xr:uid="{00000000-0005-0000-0000-0000F01B0000}"/>
    <cellStyle name="20% - Accent4 4 3 7 2 2" xfId="7744" xr:uid="{00000000-0005-0000-0000-0000F11B0000}"/>
    <cellStyle name="20% - Accent4 4 3 7 2 3" xfId="7745" xr:uid="{00000000-0005-0000-0000-0000F21B0000}"/>
    <cellStyle name="20% - Accent4 4 3 7 3" xfId="7746" xr:uid="{00000000-0005-0000-0000-0000F31B0000}"/>
    <cellStyle name="20% - Accent4 4 3 7 4" xfId="7747" xr:uid="{00000000-0005-0000-0000-0000F41B0000}"/>
    <cellStyle name="20% - Accent4 4 3 7 5" xfId="7748" xr:uid="{00000000-0005-0000-0000-0000F51B0000}"/>
    <cellStyle name="20% - Accent4 4 3 7 6" xfId="7749" xr:uid="{00000000-0005-0000-0000-0000F61B0000}"/>
    <cellStyle name="20% - Accent4 4 3 8" xfId="7750" xr:uid="{00000000-0005-0000-0000-0000F71B0000}"/>
    <cellStyle name="20% - Accent4 4 3 8 2" xfId="7751" xr:uid="{00000000-0005-0000-0000-0000F81B0000}"/>
    <cellStyle name="20% - Accent4 4 3 8 2 2" xfId="7752" xr:uid="{00000000-0005-0000-0000-0000F91B0000}"/>
    <cellStyle name="20% - Accent4 4 3 8 2 3" xfId="7753" xr:uid="{00000000-0005-0000-0000-0000FA1B0000}"/>
    <cellStyle name="20% - Accent4 4 3 8 3" xfId="7754" xr:uid="{00000000-0005-0000-0000-0000FB1B0000}"/>
    <cellStyle name="20% - Accent4 4 3 8 4" xfId="7755" xr:uid="{00000000-0005-0000-0000-0000FC1B0000}"/>
    <cellStyle name="20% - Accent4 4 3 8 5" xfId="7756" xr:uid="{00000000-0005-0000-0000-0000FD1B0000}"/>
    <cellStyle name="20% - Accent4 4 3 8 6" xfId="7757" xr:uid="{00000000-0005-0000-0000-0000FE1B0000}"/>
    <cellStyle name="20% - Accent4 4 3 9" xfId="7758" xr:uid="{00000000-0005-0000-0000-0000FF1B0000}"/>
    <cellStyle name="20% - Accent4 4 3 9 2" xfId="7759" xr:uid="{00000000-0005-0000-0000-0000001C0000}"/>
    <cellStyle name="20% - Accent4 4 3 9 3" xfId="7760" xr:uid="{00000000-0005-0000-0000-0000011C0000}"/>
    <cellStyle name="20% - Accent4 4 4" xfId="7761" xr:uid="{00000000-0005-0000-0000-0000021C0000}"/>
    <cellStyle name="20% - Accent4 4 4 10" xfId="7762" xr:uid="{00000000-0005-0000-0000-0000031C0000}"/>
    <cellStyle name="20% - Accent4 4 4 2" xfId="7763" xr:uid="{00000000-0005-0000-0000-0000041C0000}"/>
    <cellStyle name="20% - Accent4 4 4 2 2" xfId="7764" xr:uid="{00000000-0005-0000-0000-0000051C0000}"/>
    <cellStyle name="20% - Accent4 4 4 2 2 2" xfId="7765" xr:uid="{00000000-0005-0000-0000-0000061C0000}"/>
    <cellStyle name="20% - Accent4 4 4 2 2 2 2" xfId="7766" xr:uid="{00000000-0005-0000-0000-0000071C0000}"/>
    <cellStyle name="20% - Accent4 4 4 2 2 2 3" xfId="7767" xr:uid="{00000000-0005-0000-0000-0000081C0000}"/>
    <cellStyle name="20% - Accent4 4 4 2 2 3" xfId="7768" xr:uid="{00000000-0005-0000-0000-0000091C0000}"/>
    <cellStyle name="20% - Accent4 4 4 2 2 4" xfId="7769" xr:uid="{00000000-0005-0000-0000-00000A1C0000}"/>
    <cellStyle name="20% - Accent4 4 4 2 2 5" xfId="7770" xr:uid="{00000000-0005-0000-0000-00000B1C0000}"/>
    <cellStyle name="20% - Accent4 4 4 2 2 6" xfId="7771" xr:uid="{00000000-0005-0000-0000-00000C1C0000}"/>
    <cellStyle name="20% - Accent4 4 4 2 3" xfId="7772" xr:uid="{00000000-0005-0000-0000-00000D1C0000}"/>
    <cellStyle name="20% - Accent4 4 4 2 3 2" xfId="7773" xr:uid="{00000000-0005-0000-0000-00000E1C0000}"/>
    <cellStyle name="20% - Accent4 4 4 2 3 2 2" xfId="7774" xr:uid="{00000000-0005-0000-0000-00000F1C0000}"/>
    <cellStyle name="20% - Accent4 4 4 2 3 2 3" xfId="7775" xr:uid="{00000000-0005-0000-0000-0000101C0000}"/>
    <cellStyle name="20% - Accent4 4 4 2 3 3" xfId="7776" xr:uid="{00000000-0005-0000-0000-0000111C0000}"/>
    <cellStyle name="20% - Accent4 4 4 2 3 4" xfId="7777" xr:uid="{00000000-0005-0000-0000-0000121C0000}"/>
    <cellStyle name="20% - Accent4 4 4 2 3 5" xfId="7778" xr:uid="{00000000-0005-0000-0000-0000131C0000}"/>
    <cellStyle name="20% - Accent4 4 4 2 3 6" xfId="7779" xr:uid="{00000000-0005-0000-0000-0000141C0000}"/>
    <cellStyle name="20% - Accent4 4 4 2 4" xfId="7780" xr:uid="{00000000-0005-0000-0000-0000151C0000}"/>
    <cellStyle name="20% - Accent4 4 4 2 4 2" xfId="7781" xr:uid="{00000000-0005-0000-0000-0000161C0000}"/>
    <cellStyle name="20% - Accent4 4 4 2 4 3" xfId="7782" xr:uid="{00000000-0005-0000-0000-0000171C0000}"/>
    <cellStyle name="20% - Accent4 4 4 2 5" xfId="7783" xr:uid="{00000000-0005-0000-0000-0000181C0000}"/>
    <cellStyle name="20% - Accent4 4 4 2 6" xfId="7784" xr:uid="{00000000-0005-0000-0000-0000191C0000}"/>
    <cellStyle name="20% - Accent4 4 4 2 7" xfId="7785" xr:uid="{00000000-0005-0000-0000-00001A1C0000}"/>
    <cellStyle name="20% - Accent4 4 4 2 8" xfId="7786" xr:uid="{00000000-0005-0000-0000-00001B1C0000}"/>
    <cellStyle name="20% - Accent4 4 4 3" xfId="7787" xr:uid="{00000000-0005-0000-0000-00001C1C0000}"/>
    <cellStyle name="20% - Accent4 4 4 3 2" xfId="7788" xr:uid="{00000000-0005-0000-0000-00001D1C0000}"/>
    <cellStyle name="20% - Accent4 4 4 3 2 2" xfId="7789" xr:uid="{00000000-0005-0000-0000-00001E1C0000}"/>
    <cellStyle name="20% - Accent4 4 4 3 2 2 2" xfId="7790" xr:uid="{00000000-0005-0000-0000-00001F1C0000}"/>
    <cellStyle name="20% - Accent4 4 4 3 2 2 3" xfId="7791" xr:uid="{00000000-0005-0000-0000-0000201C0000}"/>
    <cellStyle name="20% - Accent4 4 4 3 2 3" xfId="7792" xr:uid="{00000000-0005-0000-0000-0000211C0000}"/>
    <cellStyle name="20% - Accent4 4 4 3 2 4" xfId="7793" xr:uid="{00000000-0005-0000-0000-0000221C0000}"/>
    <cellStyle name="20% - Accent4 4 4 3 2 5" xfId="7794" xr:uid="{00000000-0005-0000-0000-0000231C0000}"/>
    <cellStyle name="20% - Accent4 4 4 3 2 6" xfId="7795" xr:uid="{00000000-0005-0000-0000-0000241C0000}"/>
    <cellStyle name="20% - Accent4 4 4 3 3" xfId="7796" xr:uid="{00000000-0005-0000-0000-0000251C0000}"/>
    <cellStyle name="20% - Accent4 4 4 3 3 2" xfId="7797" xr:uid="{00000000-0005-0000-0000-0000261C0000}"/>
    <cellStyle name="20% - Accent4 4 4 3 3 3" xfId="7798" xr:uid="{00000000-0005-0000-0000-0000271C0000}"/>
    <cellStyle name="20% - Accent4 4 4 3 4" xfId="7799" xr:uid="{00000000-0005-0000-0000-0000281C0000}"/>
    <cellStyle name="20% - Accent4 4 4 3 5" xfId="7800" xr:uid="{00000000-0005-0000-0000-0000291C0000}"/>
    <cellStyle name="20% - Accent4 4 4 3 6" xfId="7801" xr:uid="{00000000-0005-0000-0000-00002A1C0000}"/>
    <cellStyle name="20% - Accent4 4 4 3 7" xfId="7802" xr:uid="{00000000-0005-0000-0000-00002B1C0000}"/>
    <cellStyle name="20% - Accent4 4 4 4" xfId="7803" xr:uid="{00000000-0005-0000-0000-00002C1C0000}"/>
    <cellStyle name="20% - Accent4 4 4 4 2" xfId="7804" xr:uid="{00000000-0005-0000-0000-00002D1C0000}"/>
    <cellStyle name="20% - Accent4 4 4 4 2 2" xfId="7805" xr:uid="{00000000-0005-0000-0000-00002E1C0000}"/>
    <cellStyle name="20% - Accent4 4 4 4 2 3" xfId="7806" xr:uid="{00000000-0005-0000-0000-00002F1C0000}"/>
    <cellStyle name="20% - Accent4 4 4 4 3" xfId="7807" xr:uid="{00000000-0005-0000-0000-0000301C0000}"/>
    <cellStyle name="20% - Accent4 4 4 4 4" xfId="7808" xr:uid="{00000000-0005-0000-0000-0000311C0000}"/>
    <cellStyle name="20% - Accent4 4 4 4 5" xfId="7809" xr:uid="{00000000-0005-0000-0000-0000321C0000}"/>
    <cellStyle name="20% - Accent4 4 4 4 6" xfId="7810" xr:uid="{00000000-0005-0000-0000-0000331C0000}"/>
    <cellStyle name="20% - Accent4 4 4 5" xfId="7811" xr:uid="{00000000-0005-0000-0000-0000341C0000}"/>
    <cellStyle name="20% - Accent4 4 4 5 2" xfId="7812" xr:uid="{00000000-0005-0000-0000-0000351C0000}"/>
    <cellStyle name="20% - Accent4 4 4 5 2 2" xfId="7813" xr:uid="{00000000-0005-0000-0000-0000361C0000}"/>
    <cellStyle name="20% - Accent4 4 4 5 2 3" xfId="7814" xr:uid="{00000000-0005-0000-0000-0000371C0000}"/>
    <cellStyle name="20% - Accent4 4 4 5 3" xfId="7815" xr:uid="{00000000-0005-0000-0000-0000381C0000}"/>
    <cellStyle name="20% - Accent4 4 4 5 4" xfId="7816" xr:uid="{00000000-0005-0000-0000-0000391C0000}"/>
    <cellStyle name="20% - Accent4 4 4 5 5" xfId="7817" xr:uid="{00000000-0005-0000-0000-00003A1C0000}"/>
    <cellStyle name="20% - Accent4 4 4 5 6" xfId="7818" xr:uid="{00000000-0005-0000-0000-00003B1C0000}"/>
    <cellStyle name="20% - Accent4 4 4 6" xfId="7819" xr:uid="{00000000-0005-0000-0000-00003C1C0000}"/>
    <cellStyle name="20% - Accent4 4 4 6 2" xfId="7820" xr:uid="{00000000-0005-0000-0000-00003D1C0000}"/>
    <cellStyle name="20% - Accent4 4 4 6 3" xfId="7821" xr:uid="{00000000-0005-0000-0000-00003E1C0000}"/>
    <cellStyle name="20% - Accent4 4 4 7" xfId="7822" xr:uid="{00000000-0005-0000-0000-00003F1C0000}"/>
    <cellStyle name="20% - Accent4 4 4 8" xfId="7823" xr:uid="{00000000-0005-0000-0000-0000401C0000}"/>
    <cellStyle name="20% - Accent4 4 4 9" xfId="7824" xr:uid="{00000000-0005-0000-0000-0000411C0000}"/>
    <cellStyle name="20% - Accent4 4 5" xfId="7825" xr:uid="{00000000-0005-0000-0000-0000421C0000}"/>
    <cellStyle name="20% - Accent4 4 5 2" xfId="7826" xr:uid="{00000000-0005-0000-0000-0000431C0000}"/>
    <cellStyle name="20% - Accent4 4 5 2 2" xfId="7827" xr:uid="{00000000-0005-0000-0000-0000441C0000}"/>
    <cellStyle name="20% - Accent4 4 5 2 2 2" xfId="7828" xr:uid="{00000000-0005-0000-0000-0000451C0000}"/>
    <cellStyle name="20% - Accent4 4 5 2 2 2 2" xfId="7829" xr:uid="{00000000-0005-0000-0000-0000461C0000}"/>
    <cellStyle name="20% - Accent4 4 5 2 2 2 3" xfId="7830" xr:uid="{00000000-0005-0000-0000-0000471C0000}"/>
    <cellStyle name="20% - Accent4 4 5 2 2 3" xfId="7831" xr:uid="{00000000-0005-0000-0000-0000481C0000}"/>
    <cellStyle name="20% - Accent4 4 5 2 2 4" xfId="7832" xr:uid="{00000000-0005-0000-0000-0000491C0000}"/>
    <cellStyle name="20% - Accent4 4 5 2 2 5" xfId="7833" xr:uid="{00000000-0005-0000-0000-00004A1C0000}"/>
    <cellStyle name="20% - Accent4 4 5 2 2 6" xfId="7834" xr:uid="{00000000-0005-0000-0000-00004B1C0000}"/>
    <cellStyle name="20% - Accent4 4 5 2 3" xfId="7835" xr:uid="{00000000-0005-0000-0000-00004C1C0000}"/>
    <cellStyle name="20% - Accent4 4 5 2 3 2" xfId="7836" xr:uid="{00000000-0005-0000-0000-00004D1C0000}"/>
    <cellStyle name="20% - Accent4 4 5 2 3 3" xfId="7837" xr:uid="{00000000-0005-0000-0000-00004E1C0000}"/>
    <cellStyle name="20% - Accent4 4 5 2 4" xfId="7838" xr:uid="{00000000-0005-0000-0000-00004F1C0000}"/>
    <cellStyle name="20% - Accent4 4 5 2 5" xfId="7839" xr:uid="{00000000-0005-0000-0000-0000501C0000}"/>
    <cellStyle name="20% - Accent4 4 5 2 6" xfId="7840" xr:uid="{00000000-0005-0000-0000-0000511C0000}"/>
    <cellStyle name="20% - Accent4 4 5 2 7" xfId="7841" xr:uid="{00000000-0005-0000-0000-0000521C0000}"/>
    <cellStyle name="20% - Accent4 4 5 3" xfId="7842" xr:uid="{00000000-0005-0000-0000-0000531C0000}"/>
    <cellStyle name="20% - Accent4 4 5 3 2" xfId="7843" xr:uid="{00000000-0005-0000-0000-0000541C0000}"/>
    <cellStyle name="20% - Accent4 4 5 3 2 2" xfId="7844" xr:uid="{00000000-0005-0000-0000-0000551C0000}"/>
    <cellStyle name="20% - Accent4 4 5 3 2 3" xfId="7845" xr:uid="{00000000-0005-0000-0000-0000561C0000}"/>
    <cellStyle name="20% - Accent4 4 5 3 3" xfId="7846" xr:uid="{00000000-0005-0000-0000-0000571C0000}"/>
    <cellStyle name="20% - Accent4 4 5 3 4" xfId="7847" xr:uid="{00000000-0005-0000-0000-0000581C0000}"/>
    <cellStyle name="20% - Accent4 4 5 3 5" xfId="7848" xr:uid="{00000000-0005-0000-0000-0000591C0000}"/>
    <cellStyle name="20% - Accent4 4 5 3 6" xfId="7849" xr:uid="{00000000-0005-0000-0000-00005A1C0000}"/>
    <cellStyle name="20% - Accent4 4 5 4" xfId="7850" xr:uid="{00000000-0005-0000-0000-00005B1C0000}"/>
    <cellStyle name="20% - Accent4 4 5 4 2" xfId="7851" xr:uid="{00000000-0005-0000-0000-00005C1C0000}"/>
    <cellStyle name="20% - Accent4 4 5 4 2 2" xfId="7852" xr:uid="{00000000-0005-0000-0000-00005D1C0000}"/>
    <cellStyle name="20% - Accent4 4 5 4 2 3" xfId="7853" xr:uid="{00000000-0005-0000-0000-00005E1C0000}"/>
    <cellStyle name="20% - Accent4 4 5 4 3" xfId="7854" xr:uid="{00000000-0005-0000-0000-00005F1C0000}"/>
    <cellStyle name="20% - Accent4 4 5 4 4" xfId="7855" xr:uid="{00000000-0005-0000-0000-0000601C0000}"/>
    <cellStyle name="20% - Accent4 4 5 4 5" xfId="7856" xr:uid="{00000000-0005-0000-0000-0000611C0000}"/>
    <cellStyle name="20% - Accent4 4 5 4 6" xfId="7857" xr:uid="{00000000-0005-0000-0000-0000621C0000}"/>
    <cellStyle name="20% - Accent4 4 5 5" xfId="7858" xr:uid="{00000000-0005-0000-0000-0000631C0000}"/>
    <cellStyle name="20% - Accent4 4 5 5 2" xfId="7859" xr:uid="{00000000-0005-0000-0000-0000641C0000}"/>
    <cellStyle name="20% - Accent4 4 5 5 3" xfId="7860" xr:uid="{00000000-0005-0000-0000-0000651C0000}"/>
    <cellStyle name="20% - Accent4 4 5 6" xfId="7861" xr:uid="{00000000-0005-0000-0000-0000661C0000}"/>
    <cellStyle name="20% - Accent4 4 5 7" xfId="7862" xr:uid="{00000000-0005-0000-0000-0000671C0000}"/>
    <cellStyle name="20% - Accent4 4 5 8" xfId="7863" xr:uid="{00000000-0005-0000-0000-0000681C0000}"/>
    <cellStyle name="20% - Accent4 4 5 9" xfId="7864" xr:uid="{00000000-0005-0000-0000-0000691C0000}"/>
    <cellStyle name="20% - Accent4 4 6" xfId="7865" xr:uid="{00000000-0005-0000-0000-00006A1C0000}"/>
    <cellStyle name="20% - Accent4 4 6 2" xfId="7866" xr:uid="{00000000-0005-0000-0000-00006B1C0000}"/>
    <cellStyle name="20% - Accent4 4 6 2 2" xfId="7867" xr:uid="{00000000-0005-0000-0000-00006C1C0000}"/>
    <cellStyle name="20% - Accent4 4 6 2 2 2" xfId="7868" xr:uid="{00000000-0005-0000-0000-00006D1C0000}"/>
    <cellStyle name="20% - Accent4 4 6 2 2 3" xfId="7869" xr:uid="{00000000-0005-0000-0000-00006E1C0000}"/>
    <cellStyle name="20% - Accent4 4 6 2 3" xfId="7870" xr:uid="{00000000-0005-0000-0000-00006F1C0000}"/>
    <cellStyle name="20% - Accent4 4 6 2 4" xfId="7871" xr:uid="{00000000-0005-0000-0000-0000701C0000}"/>
    <cellStyle name="20% - Accent4 4 6 2 5" xfId="7872" xr:uid="{00000000-0005-0000-0000-0000711C0000}"/>
    <cellStyle name="20% - Accent4 4 6 2 6" xfId="7873" xr:uid="{00000000-0005-0000-0000-0000721C0000}"/>
    <cellStyle name="20% - Accent4 4 6 3" xfId="7874" xr:uid="{00000000-0005-0000-0000-0000731C0000}"/>
    <cellStyle name="20% - Accent4 4 6 3 2" xfId="7875" xr:uid="{00000000-0005-0000-0000-0000741C0000}"/>
    <cellStyle name="20% - Accent4 4 6 3 3" xfId="7876" xr:uid="{00000000-0005-0000-0000-0000751C0000}"/>
    <cellStyle name="20% - Accent4 4 6 4" xfId="7877" xr:uid="{00000000-0005-0000-0000-0000761C0000}"/>
    <cellStyle name="20% - Accent4 4 6 5" xfId="7878" xr:uid="{00000000-0005-0000-0000-0000771C0000}"/>
    <cellStyle name="20% - Accent4 4 6 6" xfId="7879" xr:uid="{00000000-0005-0000-0000-0000781C0000}"/>
    <cellStyle name="20% - Accent4 4 6 7" xfId="7880" xr:uid="{00000000-0005-0000-0000-0000791C0000}"/>
    <cellStyle name="20% - Accent4 4 7" xfId="7881" xr:uid="{00000000-0005-0000-0000-00007A1C0000}"/>
    <cellStyle name="20% - Accent4 4 7 2" xfId="7882" xr:uid="{00000000-0005-0000-0000-00007B1C0000}"/>
    <cellStyle name="20% - Accent4 4 7 2 2" xfId="7883" xr:uid="{00000000-0005-0000-0000-00007C1C0000}"/>
    <cellStyle name="20% - Accent4 4 7 2 3" xfId="7884" xr:uid="{00000000-0005-0000-0000-00007D1C0000}"/>
    <cellStyle name="20% - Accent4 4 7 3" xfId="7885" xr:uid="{00000000-0005-0000-0000-00007E1C0000}"/>
    <cellStyle name="20% - Accent4 4 7 4" xfId="7886" xr:uid="{00000000-0005-0000-0000-00007F1C0000}"/>
    <cellStyle name="20% - Accent4 4 7 5" xfId="7887" xr:uid="{00000000-0005-0000-0000-0000801C0000}"/>
    <cellStyle name="20% - Accent4 4 7 6" xfId="7888" xr:uid="{00000000-0005-0000-0000-0000811C0000}"/>
    <cellStyle name="20% - Accent4 4 8" xfId="7889" xr:uid="{00000000-0005-0000-0000-0000821C0000}"/>
    <cellStyle name="20% - Accent4 4 8 2" xfId="7890" xr:uid="{00000000-0005-0000-0000-0000831C0000}"/>
    <cellStyle name="20% - Accent4 4 8 2 2" xfId="7891" xr:uid="{00000000-0005-0000-0000-0000841C0000}"/>
    <cellStyle name="20% - Accent4 4 8 2 3" xfId="7892" xr:uid="{00000000-0005-0000-0000-0000851C0000}"/>
    <cellStyle name="20% - Accent4 4 8 3" xfId="7893" xr:uid="{00000000-0005-0000-0000-0000861C0000}"/>
    <cellStyle name="20% - Accent4 4 8 4" xfId="7894" xr:uid="{00000000-0005-0000-0000-0000871C0000}"/>
    <cellStyle name="20% - Accent4 4 8 5" xfId="7895" xr:uid="{00000000-0005-0000-0000-0000881C0000}"/>
    <cellStyle name="20% - Accent4 4 8 6" xfId="7896" xr:uid="{00000000-0005-0000-0000-0000891C0000}"/>
    <cellStyle name="20% - Accent4 4 9" xfId="7897" xr:uid="{00000000-0005-0000-0000-00008A1C0000}"/>
    <cellStyle name="20% - Accent4 4 9 2" xfId="7898" xr:uid="{00000000-0005-0000-0000-00008B1C0000}"/>
    <cellStyle name="20% - Accent4 4 9 2 2" xfId="7899" xr:uid="{00000000-0005-0000-0000-00008C1C0000}"/>
    <cellStyle name="20% - Accent4 4 9 2 3" xfId="7900" xr:uid="{00000000-0005-0000-0000-00008D1C0000}"/>
    <cellStyle name="20% - Accent4 4 9 3" xfId="7901" xr:uid="{00000000-0005-0000-0000-00008E1C0000}"/>
    <cellStyle name="20% - Accent4 4 9 4" xfId="7902" xr:uid="{00000000-0005-0000-0000-00008F1C0000}"/>
    <cellStyle name="20% - Accent4 4 9 5" xfId="7903" xr:uid="{00000000-0005-0000-0000-0000901C0000}"/>
    <cellStyle name="20% - Accent4 4 9 6" xfId="7904" xr:uid="{00000000-0005-0000-0000-0000911C0000}"/>
    <cellStyle name="20% - Accent4 5" xfId="7905" xr:uid="{00000000-0005-0000-0000-0000921C0000}"/>
    <cellStyle name="20% - Accent4 5 10" xfId="7906" xr:uid="{00000000-0005-0000-0000-0000931C0000}"/>
    <cellStyle name="20% - Accent4 5 11" xfId="7907" xr:uid="{00000000-0005-0000-0000-0000941C0000}"/>
    <cellStyle name="20% - Accent4 5 12" xfId="7908" xr:uid="{00000000-0005-0000-0000-0000951C0000}"/>
    <cellStyle name="20% - Accent4 5 13" xfId="7909" xr:uid="{00000000-0005-0000-0000-0000961C0000}"/>
    <cellStyle name="20% - Accent4 5 2" xfId="7910" xr:uid="{00000000-0005-0000-0000-0000971C0000}"/>
    <cellStyle name="20% - Accent4 5 2 10" xfId="7911" xr:uid="{00000000-0005-0000-0000-0000981C0000}"/>
    <cellStyle name="20% - Accent4 5 2 2" xfId="7912" xr:uid="{00000000-0005-0000-0000-0000991C0000}"/>
    <cellStyle name="20% - Accent4 5 2 2 2" xfId="7913" xr:uid="{00000000-0005-0000-0000-00009A1C0000}"/>
    <cellStyle name="20% - Accent4 5 2 2 2 2" xfId="7914" xr:uid="{00000000-0005-0000-0000-00009B1C0000}"/>
    <cellStyle name="20% - Accent4 5 2 2 2 2 2" xfId="7915" xr:uid="{00000000-0005-0000-0000-00009C1C0000}"/>
    <cellStyle name="20% - Accent4 5 2 2 2 2 3" xfId="7916" xr:uid="{00000000-0005-0000-0000-00009D1C0000}"/>
    <cellStyle name="20% - Accent4 5 2 2 2 3" xfId="7917" xr:uid="{00000000-0005-0000-0000-00009E1C0000}"/>
    <cellStyle name="20% - Accent4 5 2 2 2 4" xfId="7918" xr:uid="{00000000-0005-0000-0000-00009F1C0000}"/>
    <cellStyle name="20% - Accent4 5 2 2 2 5" xfId="7919" xr:uid="{00000000-0005-0000-0000-0000A01C0000}"/>
    <cellStyle name="20% - Accent4 5 2 2 2 6" xfId="7920" xr:uid="{00000000-0005-0000-0000-0000A11C0000}"/>
    <cellStyle name="20% - Accent4 5 2 2 3" xfId="7921" xr:uid="{00000000-0005-0000-0000-0000A21C0000}"/>
    <cellStyle name="20% - Accent4 5 2 2 3 2" xfId="7922" xr:uid="{00000000-0005-0000-0000-0000A31C0000}"/>
    <cellStyle name="20% - Accent4 5 2 2 3 2 2" xfId="7923" xr:uid="{00000000-0005-0000-0000-0000A41C0000}"/>
    <cellStyle name="20% - Accent4 5 2 2 3 2 3" xfId="7924" xr:uid="{00000000-0005-0000-0000-0000A51C0000}"/>
    <cellStyle name="20% - Accent4 5 2 2 3 3" xfId="7925" xr:uid="{00000000-0005-0000-0000-0000A61C0000}"/>
    <cellStyle name="20% - Accent4 5 2 2 3 4" xfId="7926" xr:uid="{00000000-0005-0000-0000-0000A71C0000}"/>
    <cellStyle name="20% - Accent4 5 2 2 3 5" xfId="7927" xr:uid="{00000000-0005-0000-0000-0000A81C0000}"/>
    <cellStyle name="20% - Accent4 5 2 2 3 6" xfId="7928" xr:uid="{00000000-0005-0000-0000-0000A91C0000}"/>
    <cellStyle name="20% - Accent4 5 2 2 4" xfId="7929" xr:uid="{00000000-0005-0000-0000-0000AA1C0000}"/>
    <cellStyle name="20% - Accent4 5 2 2 4 2" xfId="7930" xr:uid="{00000000-0005-0000-0000-0000AB1C0000}"/>
    <cellStyle name="20% - Accent4 5 2 2 4 3" xfId="7931" xr:uid="{00000000-0005-0000-0000-0000AC1C0000}"/>
    <cellStyle name="20% - Accent4 5 2 2 5" xfId="7932" xr:uid="{00000000-0005-0000-0000-0000AD1C0000}"/>
    <cellStyle name="20% - Accent4 5 2 2 6" xfId="7933" xr:uid="{00000000-0005-0000-0000-0000AE1C0000}"/>
    <cellStyle name="20% - Accent4 5 2 2 7" xfId="7934" xr:uid="{00000000-0005-0000-0000-0000AF1C0000}"/>
    <cellStyle name="20% - Accent4 5 2 2 8" xfId="7935" xr:uid="{00000000-0005-0000-0000-0000B01C0000}"/>
    <cellStyle name="20% - Accent4 5 2 3" xfId="7936" xr:uid="{00000000-0005-0000-0000-0000B11C0000}"/>
    <cellStyle name="20% - Accent4 5 2 3 2" xfId="7937" xr:uid="{00000000-0005-0000-0000-0000B21C0000}"/>
    <cellStyle name="20% - Accent4 5 2 3 2 2" xfId="7938" xr:uid="{00000000-0005-0000-0000-0000B31C0000}"/>
    <cellStyle name="20% - Accent4 5 2 3 2 2 2" xfId="7939" xr:uid="{00000000-0005-0000-0000-0000B41C0000}"/>
    <cellStyle name="20% - Accent4 5 2 3 2 2 3" xfId="7940" xr:uid="{00000000-0005-0000-0000-0000B51C0000}"/>
    <cellStyle name="20% - Accent4 5 2 3 2 3" xfId="7941" xr:uid="{00000000-0005-0000-0000-0000B61C0000}"/>
    <cellStyle name="20% - Accent4 5 2 3 2 4" xfId="7942" xr:uid="{00000000-0005-0000-0000-0000B71C0000}"/>
    <cellStyle name="20% - Accent4 5 2 3 2 5" xfId="7943" xr:uid="{00000000-0005-0000-0000-0000B81C0000}"/>
    <cellStyle name="20% - Accent4 5 2 3 2 6" xfId="7944" xr:uid="{00000000-0005-0000-0000-0000B91C0000}"/>
    <cellStyle name="20% - Accent4 5 2 3 3" xfId="7945" xr:uid="{00000000-0005-0000-0000-0000BA1C0000}"/>
    <cellStyle name="20% - Accent4 5 2 3 3 2" xfId="7946" xr:uid="{00000000-0005-0000-0000-0000BB1C0000}"/>
    <cellStyle name="20% - Accent4 5 2 3 3 3" xfId="7947" xr:uid="{00000000-0005-0000-0000-0000BC1C0000}"/>
    <cellStyle name="20% - Accent4 5 2 3 4" xfId="7948" xr:uid="{00000000-0005-0000-0000-0000BD1C0000}"/>
    <cellStyle name="20% - Accent4 5 2 3 5" xfId="7949" xr:uid="{00000000-0005-0000-0000-0000BE1C0000}"/>
    <cellStyle name="20% - Accent4 5 2 3 6" xfId="7950" xr:uid="{00000000-0005-0000-0000-0000BF1C0000}"/>
    <cellStyle name="20% - Accent4 5 2 3 7" xfId="7951" xr:uid="{00000000-0005-0000-0000-0000C01C0000}"/>
    <cellStyle name="20% - Accent4 5 2 4" xfId="7952" xr:uid="{00000000-0005-0000-0000-0000C11C0000}"/>
    <cellStyle name="20% - Accent4 5 2 4 2" xfId="7953" xr:uid="{00000000-0005-0000-0000-0000C21C0000}"/>
    <cellStyle name="20% - Accent4 5 2 4 2 2" xfId="7954" xr:uid="{00000000-0005-0000-0000-0000C31C0000}"/>
    <cellStyle name="20% - Accent4 5 2 4 2 3" xfId="7955" xr:uid="{00000000-0005-0000-0000-0000C41C0000}"/>
    <cellStyle name="20% - Accent4 5 2 4 3" xfId="7956" xr:uid="{00000000-0005-0000-0000-0000C51C0000}"/>
    <cellStyle name="20% - Accent4 5 2 4 4" xfId="7957" xr:uid="{00000000-0005-0000-0000-0000C61C0000}"/>
    <cellStyle name="20% - Accent4 5 2 4 5" xfId="7958" xr:uid="{00000000-0005-0000-0000-0000C71C0000}"/>
    <cellStyle name="20% - Accent4 5 2 4 6" xfId="7959" xr:uid="{00000000-0005-0000-0000-0000C81C0000}"/>
    <cellStyle name="20% - Accent4 5 2 5" xfId="7960" xr:uid="{00000000-0005-0000-0000-0000C91C0000}"/>
    <cellStyle name="20% - Accent4 5 2 5 2" xfId="7961" xr:uid="{00000000-0005-0000-0000-0000CA1C0000}"/>
    <cellStyle name="20% - Accent4 5 2 5 2 2" xfId="7962" xr:uid="{00000000-0005-0000-0000-0000CB1C0000}"/>
    <cellStyle name="20% - Accent4 5 2 5 2 3" xfId="7963" xr:uid="{00000000-0005-0000-0000-0000CC1C0000}"/>
    <cellStyle name="20% - Accent4 5 2 5 3" xfId="7964" xr:uid="{00000000-0005-0000-0000-0000CD1C0000}"/>
    <cellStyle name="20% - Accent4 5 2 5 4" xfId="7965" xr:uid="{00000000-0005-0000-0000-0000CE1C0000}"/>
    <cellStyle name="20% - Accent4 5 2 5 5" xfId="7966" xr:uid="{00000000-0005-0000-0000-0000CF1C0000}"/>
    <cellStyle name="20% - Accent4 5 2 5 6" xfId="7967" xr:uid="{00000000-0005-0000-0000-0000D01C0000}"/>
    <cellStyle name="20% - Accent4 5 2 6" xfId="7968" xr:uid="{00000000-0005-0000-0000-0000D11C0000}"/>
    <cellStyle name="20% - Accent4 5 2 6 2" xfId="7969" xr:uid="{00000000-0005-0000-0000-0000D21C0000}"/>
    <cellStyle name="20% - Accent4 5 2 6 3" xfId="7970" xr:uid="{00000000-0005-0000-0000-0000D31C0000}"/>
    <cellStyle name="20% - Accent4 5 2 7" xfId="7971" xr:uid="{00000000-0005-0000-0000-0000D41C0000}"/>
    <cellStyle name="20% - Accent4 5 2 8" xfId="7972" xr:uid="{00000000-0005-0000-0000-0000D51C0000}"/>
    <cellStyle name="20% - Accent4 5 2 9" xfId="7973" xr:uid="{00000000-0005-0000-0000-0000D61C0000}"/>
    <cellStyle name="20% - Accent4 5 3" xfId="7974" xr:uid="{00000000-0005-0000-0000-0000D71C0000}"/>
    <cellStyle name="20% - Accent4 5 3 2" xfId="7975" xr:uid="{00000000-0005-0000-0000-0000D81C0000}"/>
    <cellStyle name="20% - Accent4 5 3 2 2" xfId="7976" xr:uid="{00000000-0005-0000-0000-0000D91C0000}"/>
    <cellStyle name="20% - Accent4 5 3 2 2 2" xfId="7977" xr:uid="{00000000-0005-0000-0000-0000DA1C0000}"/>
    <cellStyle name="20% - Accent4 5 3 2 2 2 2" xfId="7978" xr:uid="{00000000-0005-0000-0000-0000DB1C0000}"/>
    <cellStyle name="20% - Accent4 5 3 2 2 2 3" xfId="7979" xr:uid="{00000000-0005-0000-0000-0000DC1C0000}"/>
    <cellStyle name="20% - Accent4 5 3 2 2 3" xfId="7980" xr:uid="{00000000-0005-0000-0000-0000DD1C0000}"/>
    <cellStyle name="20% - Accent4 5 3 2 2 4" xfId="7981" xr:uid="{00000000-0005-0000-0000-0000DE1C0000}"/>
    <cellStyle name="20% - Accent4 5 3 2 2 5" xfId="7982" xr:uid="{00000000-0005-0000-0000-0000DF1C0000}"/>
    <cellStyle name="20% - Accent4 5 3 2 2 6" xfId="7983" xr:uid="{00000000-0005-0000-0000-0000E01C0000}"/>
    <cellStyle name="20% - Accent4 5 3 2 3" xfId="7984" xr:uid="{00000000-0005-0000-0000-0000E11C0000}"/>
    <cellStyle name="20% - Accent4 5 3 2 3 2" xfId="7985" xr:uid="{00000000-0005-0000-0000-0000E21C0000}"/>
    <cellStyle name="20% - Accent4 5 3 2 3 3" xfId="7986" xr:uid="{00000000-0005-0000-0000-0000E31C0000}"/>
    <cellStyle name="20% - Accent4 5 3 2 4" xfId="7987" xr:uid="{00000000-0005-0000-0000-0000E41C0000}"/>
    <cellStyle name="20% - Accent4 5 3 2 5" xfId="7988" xr:uid="{00000000-0005-0000-0000-0000E51C0000}"/>
    <cellStyle name="20% - Accent4 5 3 2 6" xfId="7989" xr:uid="{00000000-0005-0000-0000-0000E61C0000}"/>
    <cellStyle name="20% - Accent4 5 3 2 7" xfId="7990" xr:uid="{00000000-0005-0000-0000-0000E71C0000}"/>
    <cellStyle name="20% - Accent4 5 3 3" xfId="7991" xr:uid="{00000000-0005-0000-0000-0000E81C0000}"/>
    <cellStyle name="20% - Accent4 5 3 3 2" xfId="7992" xr:uid="{00000000-0005-0000-0000-0000E91C0000}"/>
    <cellStyle name="20% - Accent4 5 3 3 2 2" xfId="7993" xr:uid="{00000000-0005-0000-0000-0000EA1C0000}"/>
    <cellStyle name="20% - Accent4 5 3 3 2 3" xfId="7994" xr:uid="{00000000-0005-0000-0000-0000EB1C0000}"/>
    <cellStyle name="20% - Accent4 5 3 3 3" xfId="7995" xr:uid="{00000000-0005-0000-0000-0000EC1C0000}"/>
    <cellStyle name="20% - Accent4 5 3 3 4" xfId="7996" xr:uid="{00000000-0005-0000-0000-0000ED1C0000}"/>
    <cellStyle name="20% - Accent4 5 3 3 5" xfId="7997" xr:uid="{00000000-0005-0000-0000-0000EE1C0000}"/>
    <cellStyle name="20% - Accent4 5 3 3 6" xfId="7998" xr:uid="{00000000-0005-0000-0000-0000EF1C0000}"/>
    <cellStyle name="20% - Accent4 5 3 4" xfId="7999" xr:uid="{00000000-0005-0000-0000-0000F01C0000}"/>
    <cellStyle name="20% - Accent4 5 3 4 2" xfId="8000" xr:uid="{00000000-0005-0000-0000-0000F11C0000}"/>
    <cellStyle name="20% - Accent4 5 3 4 2 2" xfId="8001" xr:uid="{00000000-0005-0000-0000-0000F21C0000}"/>
    <cellStyle name="20% - Accent4 5 3 4 2 3" xfId="8002" xr:uid="{00000000-0005-0000-0000-0000F31C0000}"/>
    <cellStyle name="20% - Accent4 5 3 4 3" xfId="8003" xr:uid="{00000000-0005-0000-0000-0000F41C0000}"/>
    <cellStyle name="20% - Accent4 5 3 4 4" xfId="8004" xr:uid="{00000000-0005-0000-0000-0000F51C0000}"/>
    <cellStyle name="20% - Accent4 5 3 4 5" xfId="8005" xr:uid="{00000000-0005-0000-0000-0000F61C0000}"/>
    <cellStyle name="20% - Accent4 5 3 4 6" xfId="8006" xr:uid="{00000000-0005-0000-0000-0000F71C0000}"/>
    <cellStyle name="20% - Accent4 5 3 5" xfId="8007" xr:uid="{00000000-0005-0000-0000-0000F81C0000}"/>
    <cellStyle name="20% - Accent4 5 3 5 2" xfId="8008" xr:uid="{00000000-0005-0000-0000-0000F91C0000}"/>
    <cellStyle name="20% - Accent4 5 3 5 3" xfId="8009" xr:uid="{00000000-0005-0000-0000-0000FA1C0000}"/>
    <cellStyle name="20% - Accent4 5 3 6" xfId="8010" xr:uid="{00000000-0005-0000-0000-0000FB1C0000}"/>
    <cellStyle name="20% - Accent4 5 3 7" xfId="8011" xr:uid="{00000000-0005-0000-0000-0000FC1C0000}"/>
    <cellStyle name="20% - Accent4 5 3 8" xfId="8012" xr:uid="{00000000-0005-0000-0000-0000FD1C0000}"/>
    <cellStyle name="20% - Accent4 5 3 9" xfId="8013" xr:uid="{00000000-0005-0000-0000-0000FE1C0000}"/>
    <cellStyle name="20% - Accent4 5 4" xfId="8014" xr:uid="{00000000-0005-0000-0000-0000FF1C0000}"/>
    <cellStyle name="20% - Accent4 5 4 2" xfId="8015" xr:uid="{00000000-0005-0000-0000-0000001D0000}"/>
    <cellStyle name="20% - Accent4 5 4 2 2" xfId="8016" xr:uid="{00000000-0005-0000-0000-0000011D0000}"/>
    <cellStyle name="20% - Accent4 5 4 2 2 2" xfId="8017" xr:uid="{00000000-0005-0000-0000-0000021D0000}"/>
    <cellStyle name="20% - Accent4 5 4 2 2 3" xfId="8018" xr:uid="{00000000-0005-0000-0000-0000031D0000}"/>
    <cellStyle name="20% - Accent4 5 4 2 3" xfId="8019" xr:uid="{00000000-0005-0000-0000-0000041D0000}"/>
    <cellStyle name="20% - Accent4 5 4 2 4" xfId="8020" xr:uid="{00000000-0005-0000-0000-0000051D0000}"/>
    <cellStyle name="20% - Accent4 5 4 2 5" xfId="8021" xr:uid="{00000000-0005-0000-0000-0000061D0000}"/>
    <cellStyle name="20% - Accent4 5 4 2 6" xfId="8022" xr:uid="{00000000-0005-0000-0000-0000071D0000}"/>
    <cellStyle name="20% - Accent4 5 4 3" xfId="8023" xr:uid="{00000000-0005-0000-0000-0000081D0000}"/>
    <cellStyle name="20% - Accent4 5 4 3 2" xfId="8024" xr:uid="{00000000-0005-0000-0000-0000091D0000}"/>
    <cellStyle name="20% - Accent4 5 4 3 3" xfId="8025" xr:uid="{00000000-0005-0000-0000-00000A1D0000}"/>
    <cellStyle name="20% - Accent4 5 4 4" xfId="8026" xr:uid="{00000000-0005-0000-0000-00000B1D0000}"/>
    <cellStyle name="20% - Accent4 5 4 5" xfId="8027" xr:uid="{00000000-0005-0000-0000-00000C1D0000}"/>
    <cellStyle name="20% - Accent4 5 4 6" xfId="8028" xr:uid="{00000000-0005-0000-0000-00000D1D0000}"/>
    <cellStyle name="20% - Accent4 5 4 7" xfId="8029" xr:uid="{00000000-0005-0000-0000-00000E1D0000}"/>
    <cellStyle name="20% - Accent4 5 5" xfId="8030" xr:uid="{00000000-0005-0000-0000-00000F1D0000}"/>
    <cellStyle name="20% - Accent4 5 5 2" xfId="8031" xr:uid="{00000000-0005-0000-0000-0000101D0000}"/>
    <cellStyle name="20% - Accent4 5 5 2 2" xfId="8032" xr:uid="{00000000-0005-0000-0000-0000111D0000}"/>
    <cellStyle name="20% - Accent4 5 5 2 3" xfId="8033" xr:uid="{00000000-0005-0000-0000-0000121D0000}"/>
    <cellStyle name="20% - Accent4 5 5 3" xfId="8034" xr:uid="{00000000-0005-0000-0000-0000131D0000}"/>
    <cellStyle name="20% - Accent4 5 5 4" xfId="8035" xr:uid="{00000000-0005-0000-0000-0000141D0000}"/>
    <cellStyle name="20% - Accent4 5 5 5" xfId="8036" xr:uid="{00000000-0005-0000-0000-0000151D0000}"/>
    <cellStyle name="20% - Accent4 5 5 6" xfId="8037" xr:uid="{00000000-0005-0000-0000-0000161D0000}"/>
    <cellStyle name="20% - Accent4 5 6" xfId="8038" xr:uid="{00000000-0005-0000-0000-0000171D0000}"/>
    <cellStyle name="20% - Accent4 5 6 2" xfId="8039" xr:uid="{00000000-0005-0000-0000-0000181D0000}"/>
    <cellStyle name="20% - Accent4 5 6 2 2" xfId="8040" xr:uid="{00000000-0005-0000-0000-0000191D0000}"/>
    <cellStyle name="20% - Accent4 5 6 2 3" xfId="8041" xr:uid="{00000000-0005-0000-0000-00001A1D0000}"/>
    <cellStyle name="20% - Accent4 5 6 3" xfId="8042" xr:uid="{00000000-0005-0000-0000-00001B1D0000}"/>
    <cellStyle name="20% - Accent4 5 6 4" xfId="8043" xr:uid="{00000000-0005-0000-0000-00001C1D0000}"/>
    <cellStyle name="20% - Accent4 5 6 5" xfId="8044" xr:uid="{00000000-0005-0000-0000-00001D1D0000}"/>
    <cellStyle name="20% - Accent4 5 6 6" xfId="8045" xr:uid="{00000000-0005-0000-0000-00001E1D0000}"/>
    <cellStyle name="20% - Accent4 5 7" xfId="8046" xr:uid="{00000000-0005-0000-0000-00001F1D0000}"/>
    <cellStyle name="20% - Accent4 5 7 2" xfId="8047" xr:uid="{00000000-0005-0000-0000-0000201D0000}"/>
    <cellStyle name="20% - Accent4 5 7 2 2" xfId="8048" xr:uid="{00000000-0005-0000-0000-0000211D0000}"/>
    <cellStyle name="20% - Accent4 5 7 2 3" xfId="8049" xr:uid="{00000000-0005-0000-0000-0000221D0000}"/>
    <cellStyle name="20% - Accent4 5 7 3" xfId="8050" xr:uid="{00000000-0005-0000-0000-0000231D0000}"/>
    <cellStyle name="20% - Accent4 5 7 4" xfId="8051" xr:uid="{00000000-0005-0000-0000-0000241D0000}"/>
    <cellStyle name="20% - Accent4 5 7 5" xfId="8052" xr:uid="{00000000-0005-0000-0000-0000251D0000}"/>
    <cellStyle name="20% - Accent4 5 7 6" xfId="8053" xr:uid="{00000000-0005-0000-0000-0000261D0000}"/>
    <cellStyle name="20% - Accent4 5 8" xfId="8054" xr:uid="{00000000-0005-0000-0000-0000271D0000}"/>
    <cellStyle name="20% - Accent4 5 8 2" xfId="8055" xr:uid="{00000000-0005-0000-0000-0000281D0000}"/>
    <cellStyle name="20% - Accent4 5 8 2 2" xfId="8056" xr:uid="{00000000-0005-0000-0000-0000291D0000}"/>
    <cellStyle name="20% - Accent4 5 8 2 3" xfId="8057" xr:uid="{00000000-0005-0000-0000-00002A1D0000}"/>
    <cellStyle name="20% - Accent4 5 8 3" xfId="8058" xr:uid="{00000000-0005-0000-0000-00002B1D0000}"/>
    <cellStyle name="20% - Accent4 5 8 4" xfId="8059" xr:uid="{00000000-0005-0000-0000-00002C1D0000}"/>
    <cellStyle name="20% - Accent4 5 8 5" xfId="8060" xr:uid="{00000000-0005-0000-0000-00002D1D0000}"/>
    <cellStyle name="20% - Accent4 5 8 6" xfId="8061" xr:uid="{00000000-0005-0000-0000-00002E1D0000}"/>
    <cellStyle name="20% - Accent4 5 9" xfId="8062" xr:uid="{00000000-0005-0000-0000-00002F1D0000}"/>
    <cellStyle name="20% - Accent4 5 9 2" xfId="8063" xr:uid="{00000000-0005-0000-0000-0000301D0000}"/>
    <cellStyle name="20% - Accent4 5 9 3" xfId="8064" xr:uid="{00000000-0005-0000-0000-0000311D0000}"/>
    <cellStyle name="20% - Accent4 6" xfId="8065" xr:uid="{00000000-0005-0000-0000-0000321D0000}"/>
    <cellStyle name="20% - Accent4 6 10" xfId="8066" xr:uid="{00000000-0005-0000-0000-0000331D0000}"/>
    <cellStyle name="20% - Accent4 6 11" xfId="8067" xr:uid="{00000000-0005-0000-0000-0000341D0000}"/>
    <cellStyle name="20% - Accent4 6 2" xfId="8068" xr:uid="{00000000-0005-0000-0000-0000351D0000}"/>
    <cellStyle name="20% - Accent4 6 2 2" xfId="8069" xr:uid="{00000000-0005-0000-0000-0000361D0000}"/>
    <cellStyle name="20% - Accent4 6 2 2 2" xfId="8070" xr:uid="{00000000-0005-0000-0000-0000371D0000}"/>
    <cellStyle name="20% - Accent4 6 2 2 2 2" xfId="8071" xr:uid="{00000000-0005-0000-0000-0000381D0000}"/>
    <cellStyle name="20% - Accent4 6 2 2 2 3" xfId="8072" xr:uid="{00000000-0005-0000-0000-0000391D0000}"/>
    <cellStyle name="20% - Accent4 6 2 2 3" xfId="8073" xr:uid="{00000000-0005-0000-0000-00003A1D0000}"/>
    <cellStyle name="20% - Accent4 6 2 2 4" xfId="8074" xr:uid="{00000000-0005-0000-0000-00003B1D0000}"/>
    <cellStyle name="20% - Accent4 6 2 2 5" xfId="8075" xr:uid="{00000000-0005-0000-0000-00003C1D0000}"/>
    <cellStyle name="20% - Accent4 6 2 2 6" xfId="8076" xr:uid="{00000000-0005-0000-0000-00003D1D0000}"/>
    <cellStyle name="20% - Accent4 6 2 3" xfId="8077" xr:uid="{00000000-0005-0000-0000-00003E1D0000}"/>
    <cellStyle name="20% - Accent4 6 2 3 2" xfId="8078" xr:uid="{00000000-0005-0000-0000-00003F1D0000}"/>
    <cellStyle name="20% - Accent4 6 2 3 2 2" xfId="8079" xr:uid="{00000000-0005-0000-0000-0000401D0000}"/>
    <cellStyle name="20% - Accent4 6 2 3 2 3" xfId="8080" xr:uid="{00000000-0005-0000-0000-0000411D0000}"/>
    <cellStyle name="20% - Accent4 6 2 3 3" xfId="8081" xr:uid="{00000000-0005-0000-0000-0000421D0000}"/>
    <cellStyle name="20% - Accent4 6 2 3 4" xfId="8082" xr:uid="{00000000-0005-0000-0000-0000431D0000}"/>
    <cellStyle name="20% - Accent4 6 2 3 5" xfId="8083" xr:uid="{00000000-0005-0000-0000-0000441D0000}"/>
    <cellStyle name="20% - Accent4 6 2 3 6" xfId="8084" xr:uid="{00000000-0005-0000-0000-0000451D0000}"/>
    <cellStyle name="20% - Accent4 6 2 4" xfId="8085" xr:uid="{00000000-0005-0000-0000-0000461D0000}"/>
    <cellStyle name="20% - Accent4 6 2 4 2" xfId="8086" xr:uid="{00000000-0005-0000-0000-0000471D0000}"/>
    <cellStyle name="20% - Accent4 6 2 4 3" xfId="8087" xr:uid="{00000000-0005-0000-0000-0000481D0000}"/>
    <cellStyle name="20% - Accent4 6 2 5" xfId="8088" xr:uid="{00000000-0005-0000-0000-0000491D0000}"/>
    <cellStyle name="20% - Accent4 6 2 6" xfId="8089" xr:uid="{00000000-0005-0000-0000-00004A1D0000}"/>
    <cellStyle name="20% - Accent4 6 2 7" xfId="8090" xr:uid="{00000000-0005-0000-0000-00004B1D0000}"/>
    <cellStyle name="20% - Accent4 6 2 8" xfId="8091" xr:uid="{00000000-0005-0000-0000-00004C1D0000}"/>
    <cellStyle name="20% - Accent4 6 3" xfId="8092" xr:uid="{00000000-0005-0000-0000-00004D1D0000}"/>
    <cellStyle name="20% - Accent4 6 3 2" xfId="8093" xr:uid="{00000000-0005-0000-0000-00004E1D0000}"/>
    <cellStyle name="20% - Accent4 6 3 2 2" xfId="8094" xr:uid="{00000000-0005-0000-0000-00004F1D0000}"/>
    <cellStyle name="20% - Accent4 6 3 2 2 2" xfId="8095" xr:uid="{00000000-0005-0000-0000-0000501D0000}"/>
    <cellStyle name="20% - Accent4 6 3 2 2 3" xfId="8096" xr:uid="{00000000-0005-0000-0000-0000511D0000}"/>
    <cellStyle name="20% - Accent4 6 3 2 3" xfId="8097" xr:uid="{00000000-0005-0000-0000-0000521D0000}"/>
    <cellStyle name="20% - Accent4 6 3 2 4" xfId="8098" xr:uid="{00000000-0005-0000-0000-0000531D0000}"/>
    <cellStyle name="20% - Accent4 6 3 2 5" xfId="8099" xr:uid="{00000000-0005-0000-0000-0000541D0000}"/>
    <cellStyle name="20% - Accent4 6 3 2 6" xfId="8100" xr:uid="{00000000-0005-0000-0000-0000551D0000}"/>
    <cellStyle name="20% - Accent4 6 3 3" xfId="8101" xr:uid="{00000000-0005-0000-0000-0000561D0000}"/>
    <cellStyle name="20% - Accent4 6 3 3 2" xfId="8102" xr:uid="{00000000-0005-0000-0000-0000571D0000}"/>
    <cellStyle name="20% - Accent4 6 3 3 3" xfId="8103" xr:uid="{00000000-0005-0000-0000-0000581D0000}"/>
    <cellStyle name="20% - Accent4 6 3 4" xfId="8104" xr:uid="{00000000-0005-0000-0000-0000591D0000}"/>
    <cellStyle name="20% - Accent4 6 3 5" xfId="8105" xr:uid="{00000000-0005-0000-0000-00005A1D0000}"/>
    <cellStyle name="20% - Accent4 6 3 6" xfId="8106" xr:uid="{00000000-0005-0000-0000-00005B1D0000}"/>
    <cellStyle name="20% - Accent4 6 3 7" xfId="8107" xr:uid="{00000000-0005-0000-0000-00005C1D0000}"/>
    <cellStyle name="20% - Accent4 6 4" xfId="8108" xr:uid="{00000000-0005-0000-0000-00005D1D0000}"/>
    <cellStyle name="20% - Accent4 6 4 2" xfId="8109" xr:uid="{00000000-0005-0000-0000-00005E1D0000}"/>
    <cellStyle name="20% - Accent4 6 4 2 2" xfId="8110" xr:uid="{00000000-0005-0000-0000-00005F1D0000}"/>
    <cellStyle name="20% - Accent4 6 4 2 3" xfId="8111" xr:uid="{00000000-0005-0000-0000-0000601D0000}"/>
    <cellStyle name="20% - Accent4 6 4 3" xfId="8112" xr:uid="{00000000-0005-0000-0000-0000611D0000}"/>
    <cellStyle name="20% - Accent4 6 4 4" xfId="8113" xr:uid="{00000000-0005-0000-0000-0000621D0000}"/>
    <cellStyle name="20% - Accent4 6 4 5" xfId="8114" xr:uid="{00000000-0005-0000-0000-0000631D0000}"/>
    <cellStyle name="20% - Accent4 6 4 6" xfId="8115" xr:uid="{00000000-0005-0000-0000-0000641D0000}"/>
    <cellStyle name="20% - Accent4 6 5" xfId="8116" xr:uid="{00000000-0005-0000-0000-0000651D0000}"/>
    <cellStyle name="20% - Accent4 6 5 2" xfId="8117" xr:uid="{00000000-0005-0000-0000-0000661D0000}"/>
    <cellStyle name="20% - Accent4 6 5 2 2" xfId="8118" xr:uid="{00000000-0005-0000-0000-0000671D0000}"/>
    <cellStyle name="20% - Accent4 6 5 2 3" xfId="8119" xr:uid="{00000000-0005-0000-0000-0000681D0000}"/>
    <cellStyle name="20% - Accent4 6 5 3" xfId="8120" xr:uid="{00000000-0005-0000-0000-0000691D0000}"/>
    <cellStyle name="20% - Accent4 6 5 4" xfId="8121" xr:uid="{00000000-0005-0000-0000-00006A1D0000}"/>
    <cellStyle name="20% - Accent4 6 5 5" xfId="8122" xr:uid="{00000000-0005-0000-0000-00006B1D0000}"/>
    <cellStyle name="20% - Accent4 6 5 6" xfId="8123" xr:uid="{00000000-0005-0000-0000-00006C1D0000}"/>
    <cellStyle name="20% - Accent4 6 6" xfId="8124" xr:uid="{00000000-0005-0000-0000-00006D1D0000}"/>
    <cellStyle name="20% - Accent4 6 6 2" xfId="8125" xr:uid="{00000000-0005-0000-0000-00006E1D0000}"/>
    <cellStyle name="20% - Accent4 6 6 2 2" xfId="8126" xr:uid="{00000000-0005-0000-0000-00006F1D0000}"/>
    <cellStyle name="20% - Accent4 6 6 2 3" xfId="8127" xr:uid="{00000000-0005-0000-0000-0000701D0000}"/>
    <cellStyle name="20% - Accent4 6 6 3" xfId="8128" xr:uid="{00000000-0005-0000-0000-0000711D0000}"/>
    <cellStyle name="20% - Accent4 6 6 4" xfId="8129" xr:uid="{00000000-0005-0000-0000-0000721D0000}"/>
    <cellStyle name="20% - Accent4 6 6 5" xfId="8130" xr:uid="{00000000-0005-0000-0000-0000731D0000}"/>
    <cellStyle name="20% - Accent4 6 6 6" xfId="8131" xr:uid="{00000000-0005-0000-0000-0000741D0000}"/>
    <cellStyle name="20% - Accent4 6 7" xfId="8132" xr:uid="{00000000-0005-0000-0000-0000751D0000}"/>
    <cellStyle name="20% - Accent4 6 7 2" xfId="8133" xr:uid="{00000000-0005-0000-0000-0000761D0000}"/>
    <cellStyle name="20% - Accent4 6 7 3" xfId="8134" xr:uid="{00000000-0005-0000-0000-0000771D0000}"/>
    <cellStyle name="20% - Accent4 6 8" xfId="8135" xr:uid="{00000000-0005-0000-0000-0000781D0000}"/>
    <cellStyle name="20% - Accent4 6 9" xfId="8136" xr:uid="{00000000-0005-0000-0000-0000791D0000}"/>
    <cellStyle name="20% - Accent4 7" xfId="8137" xr:uid="{00000000-0005-0000-0000-00007A1D0000}"/>
    <cellStyle name="20% - Accent4 7 2" xfId="8138" xr:uid="{00000000-0005-0000-0000-00007B1D0000}"/>
    <cellStyle name="20% - Accent4 7 2 2" xfId="8139" xr:uid="{00000000-0005-0000-0000-00007C1D0000}"/>
    <cellStyle name="20% - Accent4 7 2 3" xfId="8140" xr:uid="{00000000-0005-0000-0000-00007D1D0000}"/>
    <cellStyle name="20% - Accent4 7 3" xfId="8141" xr:uid="{00000000-0005-0000-0000-00007E1D0000}"/>
    <cellStyle name="20% - Accent4 7 4" xfId="8142" xr:uid="{00000000-0005-0000-0000-00007F1D0000}"/>
    <cellStyle name="20% - Accent4 7 5" xfId="8143" xr:uid="{00000000-0005-0000-0000-0000801D0000}"/>
    <cellStyle name="20% - Accent4 7 6" xfId="8144" xr:uid="{00000000-0005-0000-0000-0000811D0000}"/>
    <cellStyle name="20% - Accent4 8" xfId="8145" xr:uid="{00000000-0005-0000-0000-0000821D0000}"/>
    <cellStyle name="20% - Accent4 8 2" xfId="8146" xr:uid="{00000000-0005-0000-0000-0000831D0000}"/>
    <cellStyle name="20% - Accent4 8 2 2" xfId="8147" xr:uid="{00000000-0005-0000-0000-0000841D0000}"/>
    <cellStyle name="20% - Accent4 8 2 3" xfId="8148" xr:uid="{00000000-0005-0000-0000-0000851D0000}"/>
    <cellStyle name="20% - Accent4 8 3" xfId="8149" xr:uid="{00000000-0005-0000-0000-0000861D0000}"/>
    <cellStyle name="20% - Accent4 8 4" xfId="8150" xr:uid="{00000000-0005-0000-0000-0000871D0000}"/>
    <cellStyle name="20% - Accent4 8 5" xfId="8151" xr:uid="{00000000-0005-0000-0000-0000881D0000}"/>
    <cellStyle name="20% - Accent4 8 6" xfId="8152" xr:uid="{00000000-0005-0000-0000-0000891D0000}"/>
    <cellStyle name="20% - Accent4 9" xfId="8153" xr:uid="{00000000-0005-0000-0000-00008A1D0000}"/>
    <cellStyle name="20% - Accent4 9 2" xfId="8154" xr:uid="{00000000-0005-0000-0000-00008B1D0000}"/>
    <cellStyle name="20% - Accent4 9 2 2" xfId="8155" xr:uid="{00000000-0005-0000-0000-00008C1D0000}"/>
    <cellStyle name="20% - Accent4 9 2 3" xfId="8156" xr:uid="{00000000-0005-0000-0000-00008D1D0000}"/>
    <cellStyle name="20% - Accent4 9 3" xfId="8157" xr:uid="{00000000-0005-0000-0000-00008E1D0000}"/>
    <cellStyle name="20% - Accent4 9 4" xfId="8158" xr:uid="{00000000-0005-0000-0000-00008F1D0000}"/>
    <cellStyle name="20% - Accent4 9 5" xfId="8159" xr:uid="{00000000-0005-0000-0000-0000901D0000}"/>
    <cellStyle name="20% - Accent4 9 6" xfId="8160" xr:uid="{00000000-0005-0000-0000-0000911D0000}"/>
    <cellStyle name="20% - Accent5" xfId="37" builtinId="46" customBuiltin="1"/>
    <cellStyle name="20% - Accent5 10" xfId="8161" xr:uid="{00000000-0005-0000-0000-0000931D0000}"/>
    <cellStyle name="20% - Accent5 10 2" xfId="8162" xr:uid="{00000000-0005-0000-0000-0000941D0000}"/>
    <cellStyle name="20% - Accent5 10 2 2" xfId="8163" xr:uid="{00000000-0005-0000-0000-0000951D0000}"/>
    <cellStyle name="20% - Accent5 10 2 3" xfId="8164" xr:uid="{00000000-0005-0000-0000-0000961D0000}"/>
    <cellStyle name="20% - Accent5 10 3" xfId="8165" xr:uid="{00000000-0005-0000-0000-0000971D0000}"/>
    <cellStyle name="20% - Accent5 10 4" xfId="8166" xr:uid="{00000000-0005-0000-0000-0000981D0000}"/>
    <cellStyle name="20% - Accent5 10 5" xfId="8167" xr:uid="{00000000-0005-0000-0000-0000991D0000}"/>
    <cellStyle name="20% - Accent5 10 6" xfId="8168" xr:uid="{00000000-0005-0000-0000-00009A1D0000}"/>
    <cellStyle name="20% - Accent5 11" xfId="8169" xr:uid="{00000000-0005-0000-0000-00009B1D0000}"/>
    <cellStyle name="20% - Accent5 11 2" xfId="8170" xr:uid="{00000000-0005-0000-0000-00009C1D0000}"/>
    <cellStyle name="20% - Accent5 11 2 2" xfId="8171" xr:uid="{00000000-0005-0000-0000-00009D1D0000}"/>
    <cellStyle name="20% - Accent5 11 2 3" xfId="8172" xr:uid="{00000000-0005-0000-0000-00009E1D0000}"/>
    <cellStyle name="20% - Accent5 11 3" xfId="8173" xr:uid="{00000000-0005-0000-0000-00009F1D0000}"/>
    <cellStyle name="20% - Accent5 11 4" xfId="8174" xr:uid="{00000000-0005-0000-0000-0000A01D0000}"/>
    <cellStyle name="20% - Accent5 11 5" xfId="8175" xr:uid="{00000000-0005-0000-0000-0000A11D0000}"/>
    <cellStyle name="20% - Accent5 11 6" xfId="8176" xr:uid="{00000000-0005-0000-0000-0000A21D0000}"/>
    <cellStyle name="20% - Accent5 12" xfId="8177" xr:uid="{00000000-0005-0000-0000-0000A31D0000}"/>
    <cellStyle name="20% - Accent5 12 2" xfId="8178" xr:uid="{00000000-0005-0000-0000-0000A41D0000}"/>
    <cellStyle name="20% - Accent5 12 2 2" xfId="8179" xr:uid="{00000000-0005-0000-0000-0000A51D0000}"/>
    <cellStyle name="20% - Accent5 12 2 3" xfId="8180" xr:uid="{00000000-0005-0000-0000-0000A61D0000}"/>
    <cellStyle name="20% - Accent5 12 3" xfId="8181" xr:uid="{00000000-0005-0000-0000-0000A71D0000}"/>
    <cellStyle name="20% - Accent5 12 4" xfId="8182" xr:uid="{00000000-0005-0000-0000-0000A81D0000}"/>
    <cellStyle name="20% - Accent5 12 5" xfId="8183" xr:uid="{00000000-0005-0000-0000-0000A91D0000}"/>
    <cellStyle name="20% - Accent5 12 6" xfId="8184" xr:uid="{00000000-0005-0000-0000-0000AA1D0000}"/>
    <cellStyle name="20% - Accent5 13" xfId="8185" xr:uid="{00000000-0005-0000-0000-0000AB1D0000}"/>
    <cellStyle name="20% - Accent5 13 2" xfId="8186" xr:uid="{00000000-0005-0000-0000-0000AC1D0000}"/>
    <cellStyle name="20% - Accent5 13 3" xfId="8187" xr:uid="{00000000-0005-0000-0000-0000AD1D0000}"/>
    <cellStyle name="20% - Accent5 14" xfId="8188" xr:uid="{00000000-0005-0000-0000-0000AE1D0000}"/>
    <cellStyle name="20% - Accent5 15" xfId="8189" xr:uid="{00000000-0005-0000-0000-0000AF1D0000}"/>
    <cellStyle name="20% - Accent5 16" xfId="8190" xr:uid="{00000000-0005-0000-0000-0000B01D0000}"/>
    <cellStyle name="20% - Accent5 17" xfId="8191" xr:uid="{00000000-0005-0000-0000-0000B11D0000}"/>
    <cellStyle name="20% - Accent5 18" xfId="8192" xr:uid="{00000000-0005-0000-0000-0000B21D0000}"/>
    <cellStyle name="20% - Accent5 2" xfId="56" xr:uid="{00000000-0005-0000-0000-0000B31D0000}"/>
    <cellStyle name="20% - Accent5 2 2" xfId="291" xr:uid="{00000000-0005-0000-0000-0000B41D0000}"/>
    <cellStyle name="20% - Accent5 2 3" xfId="292" xr:uid="{00000000-0005-0000-0000-0000B51D0000}"/>
    <cellStyle name="20% - Accent5 3" xfId="293" xr:uid="{00000000-0005-0000-0000-0000B61D0000}"/>
    <cellStyle name="20% - Accent5 3 10" xfId="8193" xr:uid="{00000000-0005-0000-0000-0000B71D0000}"/>
    <cellStyle name="20% - Accent5 3 10 2" xfId="8194" xr:uid="{00000000-0005-0000-0000-0000B81D0000}"/>
    <cellStyle name="20% - Accent5 3 10 2 2" xfId="8195" xr:uid="{00000000-0005-0000-0000-0000B91D0000}"/>
    <cellStyle name="20% - Accent5 3 10 2 3" xfId="8196" xr:uid="{00000000-0005-0000-0000-0000BA1D0000}"/>
    <cellStyle name="20% - Accent5 3 10 3" xfId="8197" xr:uid="{00000000-0005-0000-0000-0000BB1D0000}"/>
    <cellStyle name="20% - Accent5 3 10 4" xfId="8198" xr:uid="{00000000-0005-0000-0000-0000BC1D0000}"/>
    <cellStyle name="20% - Accent5 3 10 5" xfId="8199" xr:uid="{00000000-0005-0000-0000-0000BD1D0000}"/>
    <cellStyle name="20% - Accent5 3 10 6" xfId="8200" xr:uid="{00000000-0005-0000-0000-0000BE1D0000}"/>
    <cellStyle name="20% - Accent5 3 11" xfId="8201" xr:uid="{00000000-0005-0000-0000-0000BF1D0000}"/>
    <cellStyle name="20% - Accent5 3 11 2" xfId="8202" xr:uid="{00000000-0005-0000-0000-0000C01D0000}"/>
    <cellStyle name="20% - Accent5 3 11 2 2" xfId="8203" xr:uid="{00000000-0005-0000-0000-0000C11D0000}"/>
    <cellStyle name="20% - Accent5 3 11 2 3" xfId="8204" xr:uid="{00000000-0005-0000-0000-0000C21D0000}"/>
    <cellStyle name="20% - Accent5 3 11 3" xfId="8205" xr:uid="{00000000-0005-0000-0000-0000C31D0000}"/>
    <cellStyle name="20% - Accent5 3 11 4" xfId="8206" xr:uid="{00000000-0005-0000-0000-0000C41D0000}"/>
    <cellStyle name="20% - Accent5 3 11 5" xfId="8207" xr:uid="{00000000-0005-0000-0000-0000C51D0000}"/>
    <cellStyle name="20% - Accent5 3 11 6" xfId="8208" xr:uid="{00000000-0005-0000-0000-0000C61D0000}"/>
    <cellStyle name="20% - Accent5 3 12" xfId="8209" xr:uid="{00000000-0005-0000-0000-0000C71D0000}"/>
    <cellStyle name="20% - Accent5 3 12 2" xfId="8210" xr:uid="{00000000-0005-0000-0000-0000C81D0000}"/>
    <cellStyle name="20% - Accent5 3 12 3" xfId="8211" xr:uid="{00000000-0005-0000-0000-0000C91D0000}"/>
    <cellStyle name="20% - Accent5 3 13" xfId="8212" xr:uid="{00000000-0005-0000-0000-0000CA1D0000}"/>
    <cellStyle name="20% - Accent5 3 14" xfId="8213" xr:uid="{00000000-0005-0000-0000-0000CB1D0000}"/>
    <cellStyle name="20% - Accent5 3 15" xfId="8214" xr:uid="{00000000-0005-0000-0000-0000CC1D0000}"/>
    <cellStyle name="20% - Accent5 3 16" xfId="8215" xr:uid="{00000000-0005-0000-0000-0000CD1D0000}"/>
    <cellStyle name="20% - Accent5 3 2" xfId="8216" xr:uid="{00000000-0005-0000-0000-0000CE1D0000}"/>
    <cellStyle name="20% - Accent5 3 2 10" xfId="8217" xr:uid="{00000000-0005-0000-0000-0000CF1D0000}"/>
    <cellStyle name="20% - Accent5 3 2 10 2" xfId="8218" xr:uid="{00000000-0005-0000-0000-0000D01D0000}"/>
    <cellStyle name="20% - Accent5 3 2 10 3" xfId="8219" xr:uid="{00000000-0005-0000-0000-0000D11D0000}"/>
    <cellStyle name="20% - Accent5 3 2 11" xfId="8220" xr:uid="{00000000-0005-0000-0000-0000D21D0000}"/>
    <cellStyle name="20% - Accent5 3 2 12" xfId="8221" xr:uid="{00000000-0005-0000-0000-0000D31D0000}"/>
    <cellStyle name="20% - Accent5 3 2 13" xfId="8222" xr:uid="{00000000-0005-0000-0000-0000D41D0000}"/>
    <cellStyle name="20% - Accent5 3 2 14" xfId="8223" xr:uid="{00000000-0005-0000-0000-0000D51D0000}"/>
    <cellStyle name="20% - Accent5 3 2 2" xfId="8224" xr:uid="{00000000-0005-0000-0000-0000D61D0000}"/>
    <cellStyle name="20% - Accent5 3 2 2 10" xfId="8225" xr:uid="{00000000-0005-0000-0000-0000D71D0000}"/>
    <cellStyle name="20% - Accent5 3 2 2 11" xfId="8226" xr:uid="{00000000-0005-0000-0000-0000D81D0000}"/>
    <cellStyle name="20% - Accent5 3 2 2 12" xfId="8227" xr:uid="{00000000-0005-0000-0000-0000D91D0000}"/>
    <cellStyle name="20% - Accent5 3 2 2 13" xfId="8228" xr:uid="{00000000-0005-0000-0000-0000DA1D0000}"/>
    <cellStyle name="20% - Accent5 3 2 2 2" xfId="8229" xr:uid="{00000000-0005-0000-0000-0000DB1D0000}"/>
    <cellStyle name="20% - Accent5 3 2 2 2 10" xfId="8230" xr:uid="{00000000-0005-0000-0000-0000DC1D0000}"/>
    <cellStyle name="20% - Accent5 3 2 2 2 2" xfId="8231" xr:uid="{00000000-0005-0000-0000-0000DD1D0000}"/>
    <cellStyle name="20% - Accent5 3 2 2 2 2 2" xfId="8232" xr:uid="{00000000-0005-0000-0000-0000DE1D0000}"/>
    <cellStyle name="20% - Accent5 3 2 2 2 2 2 2" xfId="8233" xr:uid="{00000000-0005-0000-0000-0000DF1D0000}"/>
    <cellStyle name="20% - Accent5 3 2 2 2 2 2 2 2" xfId="8234" xr:uid="{00000000-0005-0000-0000-0000E01D0000}"/>
    <cellStyle name="20% - Accent5 3 2 2 2 2 2 2 3" xfId="8235" xr:uid="{00000000-0005-0000-0000-0000E11D0000}"/>
    <cellStyle name="20% - Accent5 3 2 2 2 2 2 3" xfId="8236" xr:uid="{00000000-0005-0000-0000-0000E21D0000}"/>
    <cellStyle name="20% - Accent5 3 2 2 2 2 2 4" xfId="8237" xr:uid="{00000000-0005-0000-0000-0000E31D0000}"/>
    <cellStyle name="20% - Accent5 3 2 2 2 2 2 5" xfId="8238" xr:uid="{00000000-0005-0000-0000-0000E41D0000}"/>
    <cellStyle name="20% - Accent5 3 2 2 2 2 2 6" xfId="8239" xr:uid="{00000000-0005-0000-0000-0000E51D0000}"/>
    <cellStyle name="20% - Accent5 3 2 2 2 2 3" xfId="8240" xr:uid="{00000000-0005-0000-0000-0000E61D0000}"/>
    <cellStyle name="20% - Accent5 3 2 2 2 2 3 2" xfId="8241" xr:uid="{00000000-0005-0000-0000-0000E71D0000}"/>
    <cellStyle name="20% - Accent5 3 2 2 2 2 3 2 2" xfId="8242" xr:uid="{00000000-0005-0000-0000-0000E81D0000}"/>
    <cellStyle name="20% - Accent5 3 2 2 2 2 3 2 3" xfId="8243" xr:uid="{00000000-0005-0000-0000-0000E91D0000}"/>
    <cellStyle name="20% - Accent5 3 2 2 2 2 3 3" xfId="8244" xr:uid="{00000000-0005-0000-0000-0000EA1D0000}"/>
    <cellStyle name="20% - Accent5 3 2 2 2 2 3 4" xfId="8245" xr:uid="{00000000-0005-0000-0000-0000EB1D0000}"/>
    <cellStyle name="20% - Accent5 3 2 2 2 2 3 5" xfId="8246" xr:uid="{00000000-0005-0000-0000-0000EC1D0000}"/>
    <cellStyle name="20% - Accent5 3 2 2 2 2 3 6" xfId="8247" xr:uid="{00000000-0005-0000-0000-0000ED1D0000}"/>
    <cellStyle name="20% - Accent5 3 2 2 2 2 4" xfId="8248" xr:uid="{00000000-0005-0000-0000-0000EE1D0000}"/>
    <cellStyle name="20% - Accent5 3 2 2 2 2 4 2" xfId="8249" xr:uid="{00000000-0005-0000-0000-0000EF1D0000}"/>
    <cellStyle name="20% - Accent5 3 2 2 2 2 4 3" xfId="8250" xr:uid="{00000000-0005-0000-0000-0000F01D0000}"/>
    <cellStyle name="20% - Accent5 3 2 2 2 2 5" xfId="8251" xr:uid="{00000000-0005-0000-0000-0000F11D0000}"/>
    <cellStyle name="20% - Accent5 3 2 2 2 2 6" xfId="8252" xr:uid="{00000000-0005-0000-0000-0000F21D0000}"/>
    <cellStyle name="20% - Accent5 3 2 2 2 2 7" xfId="8253" xr:uid="{00000000-0005-0000-0000-0000F31D0000}"/>
    <cellStyle name="20% - Accent5 3 2 2 2 2 8" xfId="8254" xr:uid="{00000000-0005-0000-0000-0000F41D0000}"/>
    <cellStyle name="20% - Accent5 3 2 2 2 3" xfId="8255" xr:uid="{00000000-0005-0000-0000-0000F51D0000}"/>
    <cellStyle name="20% - Accent5 3 2 2 2 3 2" xfId="8256" xr:uid="{00000000-0005-0000-0000-0000F61D0000}"/>
    <cellStyle name="20% - Accent5 3 2 2 2 3 2 2" xfId="8257" xr:uid="{00000000-0005-0000-0000-0000F71D0000}"/>
    <cellStyle name="20% - Accent5 3 2 2 2 3 2 2 2" xfId="8258" xr:uid="{00000000-0005-0000-0000-0000F81D0000}"/>
    <cellStyle name="20% - Accent5 3 2 2 2 3 2 2 3" xfId="8259" xr:uid="{00000000-0005-0000-0000-0000F91D0000}"/>
    <cellStyle name="20% - Accent5 3 2 2 2 3 2 3" xfId="8260" xr:uid="{00000000-0005-0000-0000-0000FA1D0000}"/>
    <cellStyle name="20% - Accent5 3 2 2 2 3 2 4" xfId="8261" xr:uid="{00000000-0005-0000-0000-0000FB1D0000}"/>
    <cellStyle name="20% - Accent5 3 2 2 2 3 2 5" xfId="8262" xr:uid="{00000000-0005-0000-0000-0000FC1D0000}"/>
    <cellStyle name="20% - Accent5 3 2 2 2 3 2 6" xfId="8263" xr:uid="{00000000-0005-0000-0000-0000FD1D0000}"/>
    <cellStyle name="20% - Accent5 3 2 2 2 3 3" xfId="8264" xr:uid="{00000000-0005-0000-0000-0000FE1D0000}"/>
    <cellStyle name="20% - Accent5 3 2 2 2 3 3 2" xfId="8265" xr:uid="{00000000-0005-0000-0000-0000FF1D0000}"/>
    <cellStyle name="20% - Accent5 3 2 2 2 3 3 3" xfId="8266" xr:uid="{00000000-0005-0000-0000-0000001E0000}"/>
    <cellStyle name="20% - Accent5 3 2 2 2 3 4" xfId="8267" xr:uid="{00000000-0005-0000-0000-0000011E0000}"/>
    <cellStyle name="20% - Accent5 3 2 2 2 3 5" xfId="8268" xr:uid="{00000000-0005-0000-0000-0000021E0000}"/>
    <cellStyle name="20% - Accent5 3 2 2 2 3 6" xfId="8269" xr:uid="{00000000-0005-0000-0000-0000031E0000}"/>
    <cellStyle name="20% - Accent5 3 2 2 2 3 7" xfId="8270" xr:uid="{00000000-0005-0000-0000-0000041E0000}"/>
    <cellStyle name="20% - Accent5 3 2 2 2 4" xfId="8271" xr:uid="{00000000-0005-0000-0000-0000051E0000}"/>
    <cellStyle name="20% - Accent5 3 2 2 2 4 2" xfId="8272" xr:uid="{00000000-0005-0000-0000-0000061E0000}"/>
    <cellStyle name="20% - Accent5 3 2 2 2 4 2 2" xfId="8273" xr:uid="{00000000-0005-0000-0000-0000071E0000}"/>
    <cellStyle name="20% - Accent5 3 2 2 2 4 2 3" xfId="8274" xr:uid="{00000000-0005-0000-0000-0000081E0000}"/>
    <cellStyle name="20% - Accent5 3 2 2 2 4 3" xfId="8275" xr:uid="{00000000-0005-0000-0000-0000091E0000}"/>
    <cellStyle name="20% - Accent5 3 2 2 2 4 4" xfId="8276" xr:uid="{00000000-0005-0000-0000-00000A1E0000}"/>
    <cellStyle name="20% - Accent5 3 2 2 2 4 5" xfId="8277" xr:uid="{00000000-0005-0000-0000-00000B1E0000}"/>
    <cellStyle name="20% - Accent5 3 2 2 2 4 6" xfId="8278" xr:uid="{00000000-0005-0000-0000-00000C1E0000}"/>
    <cellStyle name="20% - Accent5 3 2 2 2 5" xfId="8279" xr:uid="{00000000-0005-0000-0000-00000D1E0000}"/>
    <cellStyle name="20% - Accent5 3 2 2 2 5 2" xfId="8280" xr:uid="{00000000-0005-0000-0000-00000E1E0000}"/>
    <cellStyle name="20% - Accent5 3 2 2 2 5 2 2" xfId="8281" xr:uid="{00000000-0005-0000-0000-00000F1E0000}"/>
    <cellStyle name="20% - Accent5 3 2 2 2 5 2 3" xfId="8282" xr:uid="{00000000-0005-0000-0000-0000101E0000}"/>
    <cellStyle name="20% - Accent5 3 2 2 2 5 3" xfId="8283" xr:uid="{00000000-0005-0000-0000-0000111E0000}"/>
    <cellStyle name="20% - Accent5 3 2 2 2 5 4" xfId="8284" xr:uid="{00000000-0005-0000-0000-0000121E0000}"/>
    <cellStyle name="20% - Accent5 3 2 2 2 5 5" xfId="8285" xr:uid="{00000000-0005-0000-0000-0000131E0000}"/>
    <cellStyle name="20% - Accent5 3 2 2 2 5 6" xfId="8286" xr:uid="{00000000-0005-0000-0000-0000141E0000}"/>
    <cellStyle name="20% - Accent5 3 2 2 2 6" xfId="8287" xr:uid="{00000000-0005-0000-0000-0000151E0000}"/>
    <cellStyle name="20% - Accent5 3 2 2 2 6 2" xfId="8288" xr:uid="{00000000-0005-0000-0000-0000161E0000}"/>
    <cellStyle name="20% - Accent5 3 2 2 2 6 3" xfId="8289" xr:uid="{00000000-0005-0000-0000-0000171E0000}"/>
    <cellStyle name="20% - Accent5 3 2 2 2 7" xfId="8290" xr:uid="{00000000-0005-0000-0000-0000181E0000}"/>
    <cellStyle name="20% - Accent5 3 2 2 2 8" xfId="8291" xr:uid="{00000000-0005-0000-0000-0000191E0000}"/>
    <cellStyle name="20% - Accent5 3 2 2 2 9" xfId="8292" xr:uid="{00000000-0005-0000-0000-00001A1E0000}"/>
    <cellStyle name="20% - Accent5 3 2 2 3" xfId="8293" xr:uid="{00000000-0005-0000-0000-00001B1E0000}"/>
    <cellStyle name="20% - Accent5 3 2 2 3 2" xfId="8294" xr:uid="{00000000-0005-0000-0000-00001C1E0000}"/>
    <cellStyle name="20% - Accent5 3 2 2 3 2 2" xfId="8295" xr:uid="{00000000-0005-0000-0000-00001D1E0000}"/>
    <cellStyle name="20% - Accent5 3 2 2 3 2 2 2" xfId="8296" xr:uid="{00000000-0005-0000-0000-00001E1E0000}"/>
    <cellStyle name="20% - Accent5 3 2 2 3 2 2 2 2" xfId="8297" xr:uid="{00000000-0005-0000-0000-00001F1E0000}"/>
    <cellStyle name="20% - Accent5 3 2 2 3 2 2 2 3" xfId="8298" xr:uid="{00000000-0005-0000-0000-0000201E0000}"/>
    <cellStyle name="20% - Accent5 3 2 2 3 2 2 3" xfId="8299" xr:uid="{00000000-0005-0000-0000-0000211E0000}"/>
    <cellStyle name="20% - Accent5 3 2 2 3 2 2 4" xfId="8300" xr:uid="{00000000-0005-0000-0000-0000221E0000}"/>
    <cellStyle name="20% - Accent5 3 2 2 3 2 2 5" xfId="8301" xr:uid="{00000000-0005-0000-0000-0000231E0000}"/>
    <cellStyle name="20% - Accent5 3 2 2 3 2 2 6" xfId="8302" xr:uid="{00000000-0005-0000-0000-0000241E0000}"/>
    <cellStyle name="20% - Accent5 3 2 2 3 2 3" xfId="8303" xr:uid="{00000000-0005-0000-0000-0000251E0000}"/>
    <cellStyle name="20% - Accent5 3 2 2 3 2 3 2" xfId="8304" xr:uid="{00000000-0005-0000-0000-0000261E0000}"/>
    <cellStyle name="20% - Accent5 3 2 2 3 2 3 3" xfId="8305" xr:uid="{00000000-0005-0000-0000-0000271E0000}"/>
    <cellStyle name="20% - Accent5 3 2 2 3 2 4" xfId="8306" xr:uid="{00000000-0005-0000-0000-0000281E0000}"/>
    <cellStyle name="20% - Accent5 3 2 2 3 2 5" xfId="8307" xr:uid="{00000000-0005-0000-0000-0000291E0000}"/>
    <cellStyle name="20% - Accent5 3 2 2 3 2 6" xfId="8308" xr:uid="{00000000-0005-0000-0000-00002A1E0000}"/>
    <cellStyle name="20% - Accent5 3 2 2 3 2 7" xfId="8309" xr:uid="{00000000-0005-0000-0000-00002B1E0000}"/>
    <cellStyle name="20% - Accent5 3 2 2 3 3" xfId="8310" xr:uid="{00000000-0005-0000-0000-00002C1E0000}"/>
    <cellStyle name="20% - Accent5 3 2 2 3 3 2" xfId="8311" xr:uid="{00000000-0005-0000-0000-00002D1E0000}"/>
    <cellStyle name="20% - Accent5 3 2 2 3 3 2 2" xfId="8312" xr:uid="{00000000-0005-0000-0000-00002E1E0000}"/>
    <cellStyle name="20% - Accent5 3 2 2 3 3 2 3" xfId="8313" xr:uid="{00000000-0005-0000-0000-00002F1E0000}"/>
    <cellStyle name="20% - Accent5 3 2 2 3 3 3" xfId="8314" xr:uid="{00000000-0005-0000-0000-0000301E0000}"/>
    <cellStyle name="20% - Accent5 3 2 2 3 3 4" xfId="8315" xr:uid="{00000000-0005-0000-0000-0000311E0000}"/>
    <cellStyle name="20% - Accent5 3 2 2 3 3 5" xfId="8316" xr:uid="{00000000-0005-0000-0000-0000321E0000}"/>
    <cellStyle name="20% - Accent5 3 2 2 3 3 6" xfId="8317" xr:uid="{00000000-0005-0000-0000-0000331E0000}"/>
    <cellStyle name="20% - Accent5 3 2 2 3 4" xfId="8318" xr:uid="{00000000-0005-0000-0000-0000341E0000}"/>
    <cellStyle name="20% - Accent5 3 2 2 3 4 2" xfId="8319" xr:uid="{00000000-0005-0000-0000-0000351E0000}"/>
    <cellStyle name="20% - Accent5 3 2 2 3 4 2 2" xfId="8320" xr:uid="{00000000-0005-0000-0000-0000361E0000}"/>
    <cellStyle name="20% - Accent5 3 2 2 3 4 2 3" xfId="8321" xr:uid="{00000000-0005-0000-0000-0000371E0000}"/>
    <cellStyle name="20% - Accent5 3 2 2 3 4 3" xfId="8322" xr:uid="{00000000-0005-0000-0000-0000381E0000}"/>
    <cellStyle name="20% - Accent5 3 2 2 3 4 4" xfId="8323" xr:uid="{00000000-0005-0000-0000-0000391E0000}"/>
    <cellStyle name="20% - Accent5 3 2 2 3 4 5" xfId="8324" xr:uid="{00000000-0005-0000-0000-00003A1E0000}"/>
    <cellStyle name="20% - Accent5 3 2 2 3 4 6" xfId="8325" xr:uid="{00000000-0005-0000-0000-00003B1E0000}"/>
    <cellStyle name="20% - Accent5 3 2 2 3 5" xfId="8326" xr:uid="{00000000-0005-0000-0000-00003C1E0000}"/>
    <cellStyle name="20% - Accent5 3 2 2 3 5 2" xfId="8327" xr:uid="{00000000-0005-0000-0000-00003D1E0000}"/>
    <cellStyle name="20% - Accent5 3 2 2 3 5 3" xfId="8328" xr:uid="{00000000-0005-0000-0000-00003E1E0000}"/>
    <cellStyle name="20% - Accent5 3 2 2 3 6" xfId="8329" xr:uid="{00000000-0005-0000-0000-00003F1E0000}"/>
    <cellStyle name="20% - Accent5 3 2 2 3 7" xfId="8330" xr:uid="{00000000-0005-0000-0000-0000401E0000}"/>
    <cellStyle name="20% - Accent5 3 2 2 3 8" xfId="8331" xr:uid="{00000000-0005-0000-0000-0000411E0000}"/>
    <cellStyle name="20% - Accent5 3 2 2 3 9" xfId="8332" xr:uid="{00000000-0005-0000-0000-0000421E0000}"/>
    <cellStyle name="20% - Accent5 3 2 2 4" xfId="8333" xr:uid="{00000000-0005-0000-0000-0000431E0000}"/>
    <cellStyle name="20% - Accent5 3 2 2 4 2" xfId="8334" xr:uid="{00000000-0005-0000-0000-0000441E0000}"/>
    <cellStyle name="20% - Accent5 3 2 2 4 2 2" xfId="8335" xr:uid="{00000000-0005-0000-0000-0000451E0000}"/>
    <cellStyle name="20% - Accent5 3 2 2 4 2 2 2" xfId="8336" xr:uid="{00000000-0005-0000-0000-0000461E0000}"/>
    <cellStyle name="20% - Accent5 3 2 2 4 2 2 3" xfId="8337" xr:uid="{00000000-0005-0000-0000-0000471E0000}"/>
    <cellStyle name="20% - Accent5 3 2 2 4 2 3" xfId="8338" xr:uid="{00000000-0005-0000-0000-0000481E0000}"/>
    <cellStyle name="20% - Accent5 3 2 2 4 2 4" xfId="8339" xr:uid="{00000000-0005-0000-0000-0000491E0000}"/>
    <cellStyle name="20% - Accent5 3 2 2 4 2 5" xfId="8340" xr:uid="{00000000-0005-0000-0000-00004A1E0000}"/>
    <cellStyle name="20% - Accent5 3 2 2 4 2 6" xfId="8341" xr:uid="{00000000-0005-0000-0000-00004B1E0000}"/>
    <cellStyle name="20% - Accent5 3 2 2 4 3" xfId="8342" xr:uid="{00000000-0005-0000-0000-00004C1E0000}"/>
    <cellStyle name="20% - Accent5 3 2 2 4 3 2" xfId="8343" xr:uid="{00000000-0005-0000-0000-00004D1E0000}"/>
    <cellStyle name="20% - Accent5 3 2 2 4 3 3" xfId="8344" xr:uid="{00000000-0005-0000-0000-00004E1E0000}"/>
    <cellStyle name="20% - Accent5 3 2 2 4 4" xfId="8345" xr:uid="{00000000-0005-0000-0000-00004F1E0000}"/>
    <cellStyle name="20% - Accent5 3 2 2 4 5" xfId="8346" xr:uid="{00000000-0005-0000-0000-0000501E0000}"/>
    <cellStyle name="20% - Accent5 3 2 2 4 6" xfId="8347" xr:uid="{00000000-0005-0000-0000-0000511E0000}"/>
    <cellStyle name="20% - Accent5 3 2 2 4 7" xfId="8348" xr:uid="{00000000-0005-0000-0000-0000521E0000}"/>
    <cellStyle name="20% - Accent5 3 2 2 5" xfId="8349" xr:uid="{00000000-0005-0000-0000-0000531E0000}"/>
    <cellStyle name="20% - Accent5 3 2 2 5 2" xfId="8350" xr:uid="{00000000-0005-0000-0000-0000541E0000}"/>
    <cellStyle name="20% - Accent5 3 2 2 5 2 2" xfId="8351" xr:uid="{00000000-0005-0000-0000-0000551E0000}"/>
    <cellStyle name="20% - Accent5 3 2 2 5 2 3" xfId="8352" xr:uid="{00000000-0005-0000-0000-0000561E0000}"/>
    <cellStyle name="20% - Accent5 3 2 2 5 3" xfId="8353" xr:uid="{00000000-0005-0000-0000-0000571E0000}"/>
    <cellStyle name="20% - Accent5 3 2 2 5 4" xfId="8354" xr:uid="{00000000-0005-0000-0000-0000581E0000}"/>
    <cellStyle name="20% - Accent5 3 2 2 5 5" xfId="8355" xr:uid="{00000000-0005-0000-0000-0000591E0000}"/>
    <cellStyle name="20% - Accent5 3 2 2 5 6" xfId="8356" xr:uid="{00000000-0005-0000-0000-00005A1E0000}"/>
    <cellStyle name="20% - Accent5 3 2 2 6" xfId="8357" xr:uid="{00000000-0005-0000-0000-00005B1E0000}"/>
    <cellStyle name="20% - Accent5 3 2 2 6 2" xfId="8358" xr:uid="{00000000-0005-0000-0000-00005C1E0000}"/>
    <cellStyle name="20% - Accent5 3 2 2 6 2 2" xfId="8359" xr:uid="{00000000-0005-0000-0000-00005D1E0000}"/>
    <cellStyle name="20% - Accent5 3 2 2 6 2 3" xfId="8360" xr:uid="{00000000-0005-0000-0000-00005E1E0000}"/>
    <cellStyle name="20% - Accent5 3 2 2 6 3" xfId="8361" xr:uid="{00000000-0005-0000-0000-00005F1E0000}"/>
    <cellStyle name="20% - Accent5 3 2 2 6 4" xfId="8362" xr:uid="{00000000-0005-0000-0000-0000601E0000}"/>
    <cellStyle name="20% - Accent5 3 2 2 6 5" xfId="8363" xr:uid="{00000000-0005-0000-0000-0000611E0000}"/>
    <cellStyle name="20% - Accent5 3 2 2 6 6" xfId="8364" xr:uid="{00000000-0005-0000-0000-0000621E0000}"/>
    <cellStyle name="20% - Accent5 3 2 2 7" xfId="8365" xr:uid="{00000000-0005-0000-0000-0000631E0000}"/>
    <cellStyle name="20% - Accent5 3 2 2 7 2" xfId="8366" xr:uid="{00000000-0005-0000-0000-0000641E0000}"/>
    <cellStyle name="20% - Accent5 3 2 2 7 2 2" xfId="8367" xr:uid="{00000000-0005-0000-0000-0000651E0000}"/>
    <cellStyle name="20% - Accent5 3 2 2 7 2 3" xfId="8368" xr:uid="{00000000-0005-0000-0000-0000661E0000}"/>
    <cellStyle name="20% - Accent5 3 2 2 7 3" xfId="8369" xr:uid="{00000000-0005-0000-0000-0000671E0000}"/>
    <cellStyle name="20% - Accent5 3 2 2 7 4" xfId="8370" xr:uid="{00000000-0005-0000-0000-0000681E0000}"/>
    <cellStyle name="20% - Accent5 3 2 2 7 5" xfId="8371" xr:uid="{00000000-0005-0000-0000-0000691E0000}"/>
    <cellStyle name="20% - Accent5 3 2 2 7 6" xfId="8372" xr:uid="{00000000-0005-0000-0000-00006A1E0000}"/>
    <cellStyle name="20% - Accent5 3 2 2 8" xfId="8373" xr:uid="{00000000-0005-0000-0000-00006B1E0000}"/>
    <cellStyle name="20% - Accent5 3 2 2 8 2" xfId="8374" xr:uid="{00000000-0005-0000-0000-00006C1E0000}"/>
    <cellStyle name="20% - Accent5 3 2 2 8 2 2" xfId="8375" xr:uid="{00000000-0005-0000-0000-00006D1E0000}"/>
    <cellStyle name="20% - Accent5 3 2 2 8 2 3" xfId="8376" xr:uid="{00000000-0005-0000-0000-00006E1E0000}"/>
    <cellStyle name="20% - Accent5 3 2 2 8 3" xfId="8377" xr:uid="{00000000-0005-0000-0000-00006F1E0000}"/>
    <cellStyle name="20% - Accent5 3 2 2 8 4" xfId="8378" xr:uid="{00000000-0005-0000-0000-0000701E0000}"/>
    <cellStyle name="20% - Accent5 3 2 2 8 5" xfId="8379" xr:uid="{00000000-0005-0000-0000-0000711E0000}"/>
    <cellStyle name="20% - Accent5 3 2 2 8 6" xfId="8380" xr:uid="{00000000-0005-0000-0000-0000721E0000}"/>
    <cellStyle name="20% - Accent5 3 2 2 9" xfId="8381" xr:uid="{00000000-0005-0000-0000-0000731E0000}"/>
    <cellStyle name="20% - Accent5 3 2 2 9 2" xfId="8382" xr:uid="{00000000-0005-0000-0000-0000741E0000}"/>
    <cellStyle name="20% - Accent5 3 2 2 9 3" xfId="8383" xr:uid="{00000000-0005-0000-0000-0000751E0000}"/>
    <cellStyle name="20% - Accent5 3 2 3" xfId="8384" xr:uid="{00000000-0005-0000-0000-0000761E0000}"/>
    <cellStyle name="20% - Accent5 3 2 3 10" xfId="8385" xr:uid="{00000000-0005-0000-0000-0000771E0000}"/>
    <cellStyle name="20% - Accent5 3 2 3 2" xfId="8386" xr:uid="{00000000-0005-0000-0000-0000781E0000}"/>
    <cellStyle name="20% - Accent5 3 2 3 2 2" xfId="8387" xr:uid="{00000000-0005-0000-0000-0000791E0000}"/>
    <cellStyle name="20% - Accent5 3 2 3 2 2 2" xfId="8388" xr:uid="{00000000-0005-0000-0000-00007A1E0000}"/>
    <cellStyle name="20% - Accent5 3 2 3 2 2 2 2" xfId="8389" xr:uid="{00000000-0005-0000-0000-00007B1E0000}"/>
    <cellStyle name="20% - Accent5 3 2 3 2 2 2 3" xfId="8390" xr:uid="{00000000-0005-0000-0000-00007C1E0000}"/>
    <cellStyle name="20% - Accent5 3 2 3 2 2 3" xfId="8391" xr:uid="{00000000-0005-0000-0000-00007D1E0000}"/>
    <cellStyle name="20% - Accent5 3 2 3 2 2 4" xfId="8392" xr:uid="{00000000-0005-0000-0000-00007E1E0000}"/>
    <cellStyle name="20% - Accent5 3 2 3 2 2 5" xfId="8393" xr:uid="{00000000-0005-0000-0000-00007F1E0000}"/>
    <cellStyle name="20% - Accent5 3 2 3 2 2 6" xfId="8394" xr:uid="{00000000-0005-0000-0000-0000801E0000}"/>
    <cellStyle name="20% - Accent5 3 2 3 2 3" xfId="8395" xr:uid="{00000000-0005-0000-0000-0000811E0000}"/>
    <cellStyle name="20% - Accent5 3 2 3 2 3 2" xfId="8396" xr:uid="{00000000-0005-0000-0000-0000821E0000}"/>
    <cellStyle name="20% - Accent5 3 2 3 2 3 2 2" xfId="8397" xr:uid="{00000000-0005-0000-0000-0000831E0000}"/>
    <cellStyle name="20% - Accent5 3 2 3 2 3 2 3" xfId="8398" xr:uid="{00000000-0005-0000-0000-0000841E0000}"/>
    <cellStyle name="20% - Accent5 3 2 3 2 3 3" xfId="8399" xr:uid="{00000000-0005-0000-0000-0000851E0000}"/>
    <cellStyle name="20% - Accent5 3 2 3 2 3 4" xfId="8400" xr:uid="{00000000-0005-0000-0000-0000861E0000}"/>
    <cellStyle name="20% - Accent5 3 2 3 2 3 5" xfId="8401" xr:uid="{00000000-0005-0000-0000-0000871E0000}"/>
    <cellStyle name="20% - Accent5 3 2 3 2 3 6" xfId="8402" xr:uid="{00000000-0005-0000-0000-0000881E0000}"/>
    <cellStyle name="20% - Accent5 3 2 3 2 4" xfId="8403" xr:uid="{00000000-0005-0000-0000-0000891E0000}"/>
    <cellStyle name="20% - Accent5 3 2 3 2 4 2" xfId="8404" xr:uid="{00000000-0005-0000-0000-00008A1E0000}"/>
    <cellStyle name="20% - Accent5 3 2 3 2 4 3" xfId="8405" xr:uid="{00000000-0005-0000-0000-00008B1E0000}"/>
    <cellStyle name="20% - Accent5 3 2 3 2 5" xfId="8406" xr:uid="{00000000-0005-0000-0000-00008C1E0000}"/>
    <cellStyle name="20% - Accent5 3 2 3 2 6" xfId="8407" xr:uid="{00000000-0005-0000-0000-00008D1E0000}"/>
    <cellStyle name="20% - Accent5 3 2 3 2 7" xfId="8408" xr:uid="{00000000-0005-0000-0000-00008E1E0000}"/>
    <cellStyle name="20% - Accent5 3 2 3 2 8" xfId="8409" xr:uid="{00000000-0005-0000-0000-00008F1E0000}"/>
    <cellStyle name="20% - Accent5 3 2 3 3" xfId="8410" xr:uid="{00000000-0005-0000-0000-0000901E0000}"/>
    <cellStyle name="20% - Accent5 3 2 3 3 2" xfId="8411" xr:uid="{00000000-0005-0000-0000-0000911E0000}"/>
    <cellStyle name="20% - Accent5 3 2 3 3 2 2" xfId="8412" xr:uid="{00000000-0005-0000-0000-0000921E0000}"/>
    <cellStyle name="20% - Accent5 3 2 3 3 2 2 2" xfId="8413" xr:uid="{00000000-0005-0000-0000-0000931E0000}"/>
    <cellStyle name="20% - Accent5 3 2 3 3 2 2 3" xfId="8414" xr:uid="{00000000-0005-0000-0000-0000941E0000}"/>
    <cellStyle name="20% - Accent5 3 2 3 3 2 3" xfId="8415" xr:uid="{00000000-0005-0000-0000-0000951E0000}"/>
    <cellStyle name="20% - Accent5 3 2 3 3 2 4" xfId="8416" xr:uid="{00000000-0005-0000-0000-0000961E0000}"/>
    <cellStyle name="20% - Accent5 3 2 3 3 2 5" xfId="8417" xr:uid="{00000000-0005-0000-0000-0000971E0000}"/>
    <cellStyle name="20% - Accent5 3 2 3 3 2 6" xfId="8418" xr:uid="{00000000-0005-0000-0000-0000981E0000}"/>
    <cellStyle name="20% - Accent5 3 2 3 3 3" xfId="8419" xr:uid="{00000000-0005-0000-0000-0000991E0000}"/>
    <cellStyle name="20% - Accent5 3 2 3 3 3 2" xfId="8420" xr:uid="{00000000-0005-0000-0000-00009A1E0000}"/>
    <cellStyle name="20% - Accent5 3 2 3 3 3 3" xfId="8421" xr:uid="{00000000-0005-0000-0000-00009B1E0000}"/>
    <cellStyle name="20% - Accent5 3 2 3 3 4" xfId="8422" xr:uid="{00000000-0005-0000-0000-00009C1E0000}"/>
    <cellStyle name="20% - Accent5 3 2 3 3 5" xfId="8423" xr:uid="{00000000-0005-0000-0000-00009D1E0000}"/>
    <cellStyle name="20% - Accent5 3 2 3 3 6" xfId="8424" xr:uid="{00000000-0005-0000-0000-00009E1E0000}"/>
    <cellStyle name="20% - Accent5 3 2 3 3 7" xfId="8425" xr:uid="{00000000-0005-0000-0000-00009F1E0000}"/>
    <cellStyle name="20% - Accent5 3 2 3 4" xfId="8426" xr:uid="{00000000-0005-0000-0000-0000A01E0000}"/>
    <cellStyle name="20% - Accent5 3 2 3 4 2" xfId="8427" xr:uid="{00000000-0005-0000-0000-0000A11E0000}"/>
    <cellStyle name="20% - Accent5 3 2 3 4 2 2" xfId="8428" xr:uid="{00000000-0005-0000-0000-0000A21E0000}"/>
    <cellStyle name="20% - Accent5 3 2 3 4 2 3" xfId="8429" xr:uid="{00000000-0005-0000-0000-0000A31E0000}"/>
    <cellStyle name="20% - Accent5 3 2 3 4 3" xfId="8430" xr:uid="{00000000-0005-0000-0000-0000A41E0000}"/>
    <cellStyle name="20% - Accent5 3 2 3 4 4" xfId="8431" xr:uid="{00000000-0005-0000-0000-0000A51E0000}"/>
    <cellStyle name="20% - Accent5 3 2 3 4 5" xfId="8432" xr:uid="{00000000-0005-0000-0000-0000A61E0000}"/>
    <cellStyle name="20% - Accent5 3 2 3 4 6" xfId="8433" xr:uid="{00000000-0005-0000-0000-0000A71E0000}"/>
    <cellStyle name="20% - Accent5 3 2 3 5" xfId="8434" xr:uid="{00000000-0005-0000-0000-0000A81E0000}"/>
    <cellStyle name="20% - Accent5 3 2 3 5 2" xfId="8435" xr:uid="{00000000-0005-0000-0000-0000A91E0000}"/>
    <cellStyle name="20% - Accent5 3 2 3 5 2 2" xfId="8436" xr:uid="{00000000-0005-0000-0000-0000AA1E0000}"/>
    <cellStyle name="20% - Accent5 3 2 3 5 2 3" xfId="8437" xr:uid="{00000000-0005-0000-0000-0000AB1E0000}"/>
    <cellStyle name="20% - Accent5 3 2 3 5 3" xfId="8438" xr:uid="{00000000-0005-0000-0000-0000AC1E0000}"/>
    <cellStyle name="20% - Accent5 3 2 3 5 4" xfId="8439" xr:uid="{00000000-0005-0000-0000-0000AD1E0000}"/>
    <cellStyle name="20% - Accent5 3 2 3 5 5" xfId="8440" xr:uid="{00000000-0005-0000-0000-0000AE1E0000}"/>
    <cellStyle name="20% - Accent5 3 2 3 5 6" xfId="8441" xr:uid="{00000000-0005-0000-0000-0000AF1E0000}"/>
    <cellStyle name="20% - Accent5 3 2 3 6" xfId="8442" xr:uid="{00000000-0005-0000-0000-0000B01E0000}"/>
    <cellStyle name="20% - Accent5 3 2 3 6 2" xfId="8443" xr:uid="{00000000-0005-0000-0000-0000B11E0000}"/>
    <cellStyle name="20% - Accent5 3 2 3 6 3" xfId="8444" xr:uid="{00000000-0005-0000-0000-0000B21E0000}"/>
    <cellStyle name="20% - Accent5 3 2 3 7" xfId="8445" xr:uid="{00000000-0005-0000-0000-0000B31E0000}"/>
    <cellStyle name="20% - Accent5 3 2 3 8" xfId="8446" xr:uid="{00000000-0005-0000-0000-0000B41E0000}"/>
    <cellStyle name="20% - Accent5 3 2 3 9" xfId="8447" xr:uid="{00000000-0005-0000-0000-0000B51E0000}"/>
    <cellStyle name="20% - Accent5 3 2 4" xfId="8448" xr:uid="{00000000-0005-0000-0000-0000B61E0000}"/>
    <cellStyle name="20% - Accent5 3 2 4 2" xfId="8449" xr:uid="{00000000-0005-0000-0000-0000B71E0000}"/>
    <cellStyle name="20% - Accent5 3 2 4 2 2" xfId="8450" xr:uid="{00000000-0005-0000-0000-0000B81E0000}"/>
    <cellStyle name="20% - Accent5 3 2 4 2 2 2" xfId="8451" xr:uid="{00000000-0005-0000-0000-0000B91E0000}"/>
    <cellStyle name="20% - Accent5 3 2 4 2 2 2 2" xfId="8452" xr:uid="{00000000-0005-0000-0000-0000BA1E0000}"/>
    <cellStyle name="20% - Accent5 3 2 4 2 2 2 3" xfId="8453" xr:uid="{00000000-0005-0000-0000-0000BB1E0000}"/>
    <cellStyle name="20% - Accent5 3 2 4 2 2 3" xfId="8454" xr:uid="{00000000-0005-0000-0000-0000BC1E0000}"/>
    <cellStyle name="20% - Accent5 3 2 4 2 2 4" xfId="8455" xr:uid="{00000000-0005-0000-0000-0000BD1E0000}"/>
    <cellStyle name="20% - Accent5 3 2 4 2 2 5" xfId="8456" xr:uid="{00000000-0005-0000-0000-0000BE1E0000}"/>
    <cellStyle name="20% - Accent5 3 2 4 2 2 6" xfId="8457" xr:uid="{00000000-0005-0000-0000-0000BF1E0000}"/>
    <cellStyle name="20% - Accent5 3 2 4 2 3" xfId="8458" xr:uid="{00000000-0005-0000-0000-0000C01E0000}"/>
    <cellStyle name="20% - Accent5 3 2 4 2 3 2" xfId="8459" xr:uid="{00000000-0005-0000-0000-0000C11E0000}"/>
    <cellStyle name="20% - Accent5 3 2 4 2 3 3" xfId="8460" xr:uid="{00000000-0005-0000-0000-0000C21E0000}"/>
    <cellStyle name="20% - Accent5 3 2 4 2 4" xfId="8461" xr:uid="{00000000-0005-0000-0000-0000C31E0000}"/>
    <cellStyle name="20% - Accent5 3 2 4 2 5" xfId="8462" xr:uid="{00000000-0005-0000-0000-0000C41E0000}"/>
    <cellStyle name="20% - Accent5 3 2 4 2 6" xfId="8463" xr:uid="{00000000-0005-0000-0000-0000C51E0000}"/>
    <cellStyle name="20% - Accent5 3 2 4 2 7" xfId="8464" xr:uid="{00000000-0005-0000-0000-0000C61E0000}"/>
    <cellStyle name="20% - Accent5 3 2 4 3" xfId="8465" xr:uid="{00000000-0005-0000-0000-0000C71E0000}"/>
    <cellStyle name="20% - Accent5 3 2 4 3 2" xfId="8466" xr:uid="{00000000-0005-0000-0000-0000C81E0000}"/>
    <cellStyle name="20% - Accent5 3 2 4 3 2 2" xfId="8467" xr:uid="{00000000-0005-0000-0000-0000C91E0000}"/>
    <cellStyle name="20% - Accent5 3 2 4 3 2 3" xfId="8468" xr:uid="{00000000-0005-0000-0000-0000CA1E0000}"/>
    <cellStyle name="20% - Accent5 3 2 4 3 3" xfId="8469" xr:uid="{00000000-0005-0000-0000-0000CB1E0000}"/>
    <cellStyle name="20% - Accent5 3 2 4 3 4" xfId="8470" xr:uid="{00000000-0005-0000-0000-0000CC1E0000}"/>
    <cellStyle name="20% - Accent5 3 2 4 3 5" xfId="8471" xr:uid="{00000000-0005-0000-0000-0000CD1E0000}"/>
    <cellStyle name="20% - Accent5 3 2 4 3 6" xfId="8472" xr:uid="{00000000-0005-0000-0000-0000CE1E0000}"/>
    <cellStyle name="20% - Accent5 3 2 4 4" xfId="8473" xr:uid="{00000000-0005-0000-0000-0000CF1E0000}"/>
    <cellStyle name="20% - Accent5 3 2 4 4 2" xfId="8474" xr:uid="{00000000-0005-0000-0000-0000D01E0000}"/>
    <cellStyle name="20% - Accent5 3 2 4 4 2 2" xfId="8475" xr:uid="{00000000-0005-0000-0000-0000D11E0000}"/>
    <cellStyle name="20% - Accent5 3 2 4 4 2 3" xfId="8476" xr:uid="{00000000-0005-0000-0000-0000D21E0000}"/>
    <cellStyle name="20% - Accent5 3 2 4 4 3" xfId="8477" xr:uid="{00000000-0005-0000-0000-0000D31E0000}"/>
    <cellStyle name="20% - Accent5 3 2 4 4 4" xfId="8478" xr:uid="{00000000-0005-0000-0000-0000D41E0000}"/>
    <cellStyle name="20% - Accent5 3 2 4 4 5" xfId="8479" xr:uid="{00000000-0005-0000-0000-0000D51E0000}"/>
    <cellStyle name="20% - Accent5 3 2 4 4 6" xfId="8480" xr:uid="{00000000-0005-0000-0000-0000D61E0000}"/>
    <cellStyle name="20% - Accent5 3 2 4 5" xfId="8481" xr:uid="{00000000-0005-0000-0000-0000D71E0000}"/>
    <cellStyle name="20% - Accent5 3 2 4 5 2" xfId="8482" xr:uid="{00000000-0005-0000-0000-0000D81E0000}"/>
    <cellStyle name="20% - Accent5 3 2 4 5 3" xfId="8483" xr:uid="{00000000-0005-0000-0000-0000D91E0000}"/>
    <cellStyle name="20% - Accent5 3 2 4 6" xfId="8484" xr:uid="{00000000-0005-0000-0000-0000DA1E0000}"/>
    <cellStyle name="20% - Accent5 3 2 4 7" xfId="8485" xr:uid="{00000000-0005-0000-0000-0000DB1E0000}"/>
    <cellStyle name="20% - Accent5 3 2 4 8" xfId="8486" xr:uid="{00000000-0005-0000-0000-0000DC1E0000}"/>
    <cellStyle name="20% - Accent5 3 2 4 9" xfId="8487" xr:uid="{00000000-0005-0000-0000-0000DD1E0000}"/>
    <cellStyle name="20% - Accent5 3 2 5" xfId="8488" xr:uid="{00000000-0005-0000-0000-0000DE1E0000}"/>
    <cellStyle name="20% - Accent5 3 2 5 2" xfId="8489" xr:uid="{00000000-0005-0000-0000-0000DF1E0000}"/>
    <cellStyle name="20% - Accent5 3 2 5 2 2" xfId="8490" xr:uid="{00000000-0005-0000-0000-0000E01E0000}"/>
    <cellStyle name="20% - Accent5 3 2 5 2 2 2" xfId="8491" xr:uid="{00000000-0005-0000-0000-0000E11E0000}"/>
    <cellStyle name="20% - Accent5 3 2 5 2 2 3" xfId="8492" xr:uid="{00000000-0005-0000-0000-0000E21E0000}"/>
    <cellStyle name="20% - Accent5 3 2 5 2 3" xfId="8493" xr:uid="{00000000-0005-0000-0000-0000E31E0000}"/>
    <cellStyle name="20% - Accent5 3 2 5 2 4" xfId="8494" xr:uid="{00000000-0005-0000-0000-0000E41E0000}"/>
    <cellStyle name="20% - Accent5 3 2 5 2 5" xfId="8495" xr:uid="{00000000-0005-0000-0000-0000E51E0000}"/>
    <cellStyle name="20% - Accent5 3 2 5 2 6" xfId="8496" xr:uid="{00000000-0005-0000-0000-0000E61E0000}"/>
    <cellStyle name="20% - Accent5 3 2 5 3" xfId="8497" xr:uid="{00000000-0005-0000-0000-0000E71E0000}"/>
    <cellStyle name="20% - Accent5 3 2 5 3 2" xfId="8498" xr:uid="{00000000-0005-0000-0000-0000E81E0000}"/>
    <cellStyle name="20% - Accent5 3 2 5 3 3" xfId="8499" xr:uid="{00000000-0005-0000-0000-0000E91E0000}"/>
    <cellStyle name="20% - Accent5 3 2 5 4" xfId="8500" xr:uid="{00000000-0005-0000-0000-0000EA1E0000}"/>
    <cellStyle name="20% - Accent5 3 2 5 5" xfId="8501" xr:uid="{00000000-0005-0000-0000-0000EB1E0000}"/>
    <cellStyle name="20% - Accent5 3 2 5 6" xfId="8502" xr:uid="{00000000-0005-0000-0000-0000EC1E0000}"/>
    <cellStyle name="20% - Accent5 3 2 5 7" xfId="8503" xr:uid="{00000000-0005-0000-0000-0000ED1E0000}"/>
    <cellStyle name="20% - Accent5 3 2 6" xfId="8504" xr:uid="{00000000-0005-0000-0000-0000EE1E0000}"/>
    <cellStyle name="20% - Accent5 3 2 6 2" xfId="8505" xr:uid="{00000000-0005-0000-0000-0000EF1E0000}"/>
    <cellStyle name="20% - Accent5 3 2 6 2 2" xfId="8506" xr:uid="{00000000-0005-0000-0000-0000F01E0000}"/>
    <cellStyle name="20% - Accent5 3 2 6 2 3" xfId="8507" xr:uid="{00000000-0005-0000-0000-0000F11E0000}"/>
    <cellStyle name="20% - Accent5 3 2 6 3" xfId="8508" xr:uid="{00000000-0005-0000-0000-0000F21E0000}"/>
    <cellStyle name="20% - Accent5 3 2 6 4" xfId="8509" xr:uid="{00000000-0005-0000-0000-0000F31E0000}"/>
    <cellStyle name="20% - Accent5 3 2 6 5" xfId="8510" xr:uid="{00000000-0005-0000-0000-0000F41E0000}"/>
    <cellStyle name="20% - Accent5 3 2 6 6" xfId="8511" xr:uid="{00000000-0005-0000-0000-0000F51E0000}"/>
    <cellStyle name="20% - Accent5 3 2 7" xfId="8512" xr:uid="{00000000-0005-0000-0000-0000F61E0000}"/>
    <cellStyle name="20% - Accent5 3 2 7 2" xfId="8513" xr:uid="{00000000-0005-0000-0000-0000F71E0000}"/>
    <cellStyle name="20% - Accent5 3 2 7 2 2" xfId="8514" xr:uid="{00000000-0005-0000-0000-0000F81E0000}"/>
    <cellStyle name="20% - Accent5 3 2 7 2 3" xfId="8515" xr:uid="{00000000-0005-0000-0000-0000F91E0000}"/>
    <cellStyle name="20% - Accent5 3 2 7 3" xfId="8516" xr:uid="{00000000-0005-0000-0000-0000FA1E0000}"/>
    <cellStyle name="20% - Accent5 3 2 7 4" xfId="8517" xr:uid="{00000000-0005-0000-0000-0000FB1E0000}"/>
    <cellStyle name="20% - Accent5 3 2 7 5" xfId="8518" xr:uid="{00000000-0005-0000-0000-0000FC1E0000}"/>
    <cellStyle name="20% - Accent5 3 2 7 6" xfId="8519" xr:uid="{00000000-0005-0000-0000-0000FD1E0000}"/>
    <cellStyle name="20% - Accent5 3 2 8" xfId="8520" xr:uid="{00000000-0005-0000-0000-0000FE1E0000}"/>
    <cellStyle name="20% - Accent5 3 2 8 2" xfId="8521" xr:uid="{00000000-0005-0000-0000-0000FF1E0000}"/>
    <cellStyle name="20% - Accent5 3 2 8 2 2" xfId="8522" xr:uid="{00000000-0005-0000-0000-0000001F0000}"/>
    <cellStyle name="20% - Accent5 3 2 8 2 3" xfId="8523" xr:uid="{00000000-0005-0000-0000-0000011F0000}"/>
    <cellStyle name="20% - Accent5 3 2 8 3" xfId="8524" xr:uid="{00000000-0005-0000-0000-0000021F0000}"/>
    <cellStyle name="20% - Accent5 3 2 8 4" xfId="8525" xr:uid="{00000000-0005-0000-0000-0000031F0000}"/>
    <cellStyle name="20% - Accent5 3 2 8 5" xfId="8526" xr:uid="{00000000-0005-0000-0000-0000041F0000}"/>
    <cellStyle name="20% - Accent5 3 2 8 6" xfId="8527" xr:uid="{00000000-0005-0000-0000-0000051F0000}"/>
    <cellStyle name="20% - Accent5 3 2 9" xfId="8528" xr:uid="{00000000-0005-0000-0000-0000061F0000}"/>
    <cellStyle name="20% - Accent5 3 2 9 2" xfId="8529" xr:uid="{00000000-0005-0000-0000-0000071F0000}"/>
    <cellStyle name="20% - Accent5 3 2 9 2 2" xfId="8530" xr:uid="{00000000-0005-0000-0000-0000081F0000}"/>
    <cellStyle name="20% - Accent5 3 2 9 2 3" xfId="8531" xr:uid="{00000000-0005-0000-0000-0000091F0000}"/>
    <cellStyle name="20% - Accent5 3 2 9 3" xfId="8532" xr:uid="{00000000-0005-0000-0000-00000A1F0000}"/>
    <cellStyle name="20% - Accent5 3 2 9 4" xfId="8533" xr:uid="{00000000-0005-0000-0000-00000B1F0000}"/>
    <cellStyle name="20% - Accent5 3 2 9 5" xfId="8534" xr:uid="{00000000-0005-0000-0000-00000C1F0000}"/>
    <cellStyle name="20% - Accent5 3 2 9 6" xfId="8535" xr:uid="{00000000-0005-0000-0000-00000D1F0000}"/>
    <cellStyle name="20% - Accent5 3 3" xfId="8536" xr:uid="{00000000-0005-0000-0000-00000E1F0000}"/>
    <cellStyle name="20% - Accent5 3 3 10" xfId="8537" xr:uid="{00000000-0005-0000-0000-00000F1F0000}"/>
    <cellStyle name="20% - Accent5 3 3 10 2" xfId="8538" xr:uid="{00000000-0005-0000-0000-0000101F0000}"/>
    <cellStyle name="20% - Accent5 3 3 10 3" xfId="8539" xr:uid="{00000000-0005-0000-0000-0000111F0000}"/>
    <cellStyle name="20% - Accent5 3 3 11" xfId="8540" xr:uid="{00000000-0005-0000-0000-0000121F0000}"/>
    <cellStyle name="20% - Accent5 3 3 12" xfId="8541" xr:uid="{00000000-0005-0000-0000-0000131F0000}"/>
    <cellStyle name="20% - Accent5 3 3 13" xfId="8542" xr:uid="{00000000-0005-0000-0000-0000141F0000}"/>
    <cellStyle name="20% - Accent5 3 3 14" xfId="8543" xr:uid="{00000000-0005-0000-0000-0000151F0000}"/>
    <cellStyle name="20% - Accent5 3 3 2" xfId="8544" xr:uid="{00000000-0005-0000-0000-0000161F0000}"/>
    <cellStyle name="20% - Accent5 3 3 2 10" xfId="8545" xr:uid="{00000000-0005-0000-0000-0000171F0000}"/>
    <cellStyle name="20% - Accent5 3 3 2 11" xfId="8546" xr:uid="{00000000-0005-0000-0000-0000181F0000}"/>
    <cellStyle name="20% - Accent5 3 3 2 12" xfId="8547" xr:uid="{00000000-0005-0000-0000-0000191F0000}"/>
    <cellStyle name="20% - Accent5 3 3 2 13" xfId="8548" xr:uid="{00000000-0005-0000-0000-00001A1F0000}"/>
    <cellStyle name="20% - Accent5 3 3 2 2" xfId="8549" xr:uid="{00000000-0005-0000-0000-00001B1F0000}"/>
    <cellStyle name="20% - Accent5 3 3 2 2 10" xfId="8550" xr:uid="{00000000-0005-0000-0000-00001C1F0000}"/>
    <cellStyle name="20% - Accent5 3 3 2 2 2" xfId="8551" xr:uid="{00000000-0005-0000-0000-00001D1F0000}"/>
    <cellStyle name="20% - Accent5 3 3 2 2 2 2" xfId="8552" xr:uid="{00000000-0005-0000-0000-00001E1F0000}"/>
    <cellStyle name="20% - Accent5 3 3 2 2 2 2 2" xfId="8553" xr:uid="{00000000-0005-0000-0000-00001F1F0000}"/>
    <cellStyle name="20% - Accent5 3 3 2 2 2 2 2 2" xfId="8554" xr:uid="{00000000-0005-0000-0000-0000201F0000}"/>
    <cellStyle name="20% - Accent5 3 3 2 2 2 2 2 3" xfId="8555" xr:uid="{00000000-0005-0000-0000-0000211F0000}"/>
    <cellStyle name="20% - Accent5 3 3 2 2 2 2 3" xfId="8556" xr:uid="{00000000-0005-0000-0000-0000221F0000}"/>
    <cellStyle name="20% - Accent5 3 3 2 2 2 2 4" xfId="8557" xr:uid="{00000000-0005-0000-0000-0000231F0000}"/>
    <cellStyle name="20% - Accent5 3 3 2 2 2 2 5" xfId="8558" xr:uid="{00000000-0005-0000-0000-0000241F0000}"/>
    <cellStyle name="20% - Accent5 3 3 2 2 2 2 6" xfId="8559" xr:uid="{00000000-0005-0000-0000-0000251F0000}"/>
    <cellStyle name="20% - Accent5 3 3 2 2 2 3" xfId="8560" xr:uid="{00000000-0005-0000-0000-0000261F0000}"/>
    <cellStyle name="20% - Accent5 3 3 2 2 2 3 2" xfId="8561" xr:uid="{00000000-0005-0000-0000-0000271F0000}"/>
    <cellStyle name="20% - Accent5 3 3 2 2 2 3 2 2" xfId="8562" xr:uid="{00000000-0005-0000-0000-0000281F0000}"/>
    <cellStyle name="20% - Accent5 3 3 2 2 2 3 2 3" xfId="8563" xr:uid="{00000000-0005-0000-0000-0000291F0000}"/>
    <cellStyle name="20% - Accent5 3 3 2 2 2 3 3" xfId="8564" xr:uid="{00000000-0005-0000-0000-00002A1F0000}"/>
    <cellStyle name="20% - Accent5 3 3 2 2 2 3 4" xfId="8565" xr:uid="{00000000-0005-0000-0000-00002B1F0000}"/>
    <cellStyle name="20% - Accent5 3 3 2 2 2 3 5" xfId="8566" xr:uid="{00000000-0005-0000-0000-00002C1F0000}"/>
    <cellStyle name="20% - Accent5 3 3 2 2 2 3 6" xfId="8567" xr:uid="{00000000-0005-0000-0000-00002D1F0000}"/>
    <cellStyle name="20% - Accent5 3 3 2 2 2 4" xfId="8568" xr:uid="{00000000-0005-0000-0000-00002E1F0000}"/>
    <cellStyle name="20% - Accent5 3 3 2 2 2 4 2" xfId="8569" xr:uid="{00000000-0005-0000-0000-00002F1F0000}"/>
    <cellStyle name="20% - Accent5 3 3 2 2 2 4 3" xfId="8570" xr:uid="{00000000-0005-0000-0000-0000301F0000}"/>
    <cellStyle name="20% - Accent5 3 3 2 2 2 5" xfId="8571" xr:uid="{00000000-0005-0000-0000-0000311F0000}"/>
    <cellStyle name="20% - Accent5 3 3 2 2 2 6" xfId="8572" xr:uid="{00000000-0005-0000-0000-0000321F0000}"/>
    <cellStyle name="20% - Accent5 3 3 2 2 2 7" xfId="8573" xr:uid="{00000000-0005-0000-0000-0000331F0000}"/>
    <cellStyle name="20% - Accent5 3 3 2 2 2 8" xfId="8574" xr:uid="{00000000-0005-0000-0000-0000341F0000}"/>
    <cellStyle name="20% - Accent5 3 3 2 2 3" xfId="8575" xr:uid="{00000000-0005-0000-0000-0000351F0000}"/>
    <cellStyle name="20% - Accent5 3 3 2 2 3 2" xfId="8576" xr:uid="{00000000-0005-0000-0000-0000361F0000}"/>
    <cellStyle name="20% - Accent5 3 3 2 2 3 2 2" xfId="8577" xr:uid="{00000000-0005-0000-0000-0000371F0000}"/>
    <cellStyle name="20% - Accent5 3 3 2 2 3 2 2 2" xfId="8578" xr:uid="{00000000-0005-0000-0000-0000381F0000}"/>
    <cellStyle name="20% - Accent5 3 3 2 2 3 2 2 3" xfId="8579" xr:uid="{00000000-0005-0000-0000-0000391F0000}"/>
    <cellStyle name="20% - Accent5 3 3 2 2 3 2 3" xfId="8580" xr:uid="{00000000-0005-0000-0000-00003A1F0000}"/>
    <cellStyle name="20% - Accent5 3 3 2 2 3 2 4" xfId="8581" xr:uid="{00000000-0005-0000-0000-00003B1F0000}"/>
    <cellStyle name="20% - Accent5 3 3 2 2 3 2 5" xfId="8582" xr:uid="{00000000-0005-0000-0000-00003C1F0000}"/>
    <cellStyle name="20% - Accent5 3 3 2 2 3 2 6" xfId="8583" xr:uid="{00000000-0005-0000-0000-00003D1F0000}"/>
    <cellStyle name="20% - Accent5 3 3 2 2 3 3" xfId="8584" xr:uid="{00000000-0005-0000-0000-00003E1F0000}"/>
    <cellStyle name="20% - Accent5 3 3 2 2 3 3 2" xfId="8585" xr:uid="{00000000-0005-0000-0000-00003F1F0000}"/>
    <cellStyle name="20% - Accent5 3 3 2 2 3 3 3" xfId="8586" xr:uid="{00000000-0005-0000-0000-0000401F0000}"/>
    <cellStyle name="20% - Accent5 3 3 2 2 3 4" xfId="8587" xr:uid="{00000000-0005-0000-0000-0000411F0000}"/>
    <cellStyle name="20% - Accent5 3 3 2 2 3 5" xfId="8588" xr:uid="{00000000-0005-0000-0000-0000421F0000}"/>
    <cellStyle name="20% - Accent5 3 3 2 2 3 6" xfId="8589" xr:uid="{00000000-0005-0000-0000-0000431F0000}"/>
    <cellStyle name="20% - Accent5 3 3 2 2 3 7" xfId="8590" xr:uid="{00000000-0005-0000-0000-0000441F0000}"/>
    <cellStyle name="20% - Accent5 3 3 2 2 4" xfId="8591" xr:uid="{00000000-0005-0000-0000-0000451F0000}"/>
    <cellStyle name="20% - Accent5 3 3 2 2 4 2" xfId="8592" xr:uid="{00000000-0005-0000-0000-0000461F0000}"/>
    <cellStyle name="20% - Accent5 3 3 2 2 4 2 2" xfId="8593" xr:uid="{00000000-0005-0000-0000-0000471F0000}"/>
    <cellStyle name="20% - Accent5 3 3 2 2 4 2 3" xfId="8594" xr:uid="{00000000-0005-0000-0000-0000481F0000}"/>
    <cellStyle name="20% - Accent5 3 3 2 2 4 3" xfId="8595" xr:uid="{00000000-0005-0000-0000-0000491F0000}"/>
    <cellStyle name="20% - Accent5 3 3 2 2 4 4" xfId="8596" xr:uid="{00000000-0005-0000-0000-00004A1F0000}"/>
    <cellStyle name="20% - Accent5 3 3 2 2 4 5" xfId="8597" xr:uid="{00000000-0005-0000-0000-00004B1F0000}"/>
    <cellStyle name="20% - Accent5 3 3 2 2 4 6" xfId="8598" xr:uid="{00000000-0005-0000-0000-00004C1F0000}"/>
    <cellStyle name="20% - Accent5 3 3 2 2 5" xfId="8599" xr:uid="{00000000-0005-0000-0000-00004D1F0000}"/>
    <cellStyle name="20% - Accent5 3 3 2 2 5 2" xfId="8600" xr:uid="{00000000-0005-0000-0000-00004E1F0000}"/>
    <cellStyle name="20% - Accent5 3 3 2 2 5 2 2" xfId="8601" xr:uid="{00000000-0005-0000-0000-00004F1F0000}"/>
    <cellStyle name="20% - Accent5 3 3 2 2 5 2 3" xfId="8602" xr:uid="{00000000-0005-0000-0000-0000501F0000}"/>
    <cellStyle name="20% - Accent5 3 3 2 2 5 3" xfId="8603" xr:uid="{00000000-0005-0000-0000-0000511F0000}"/>
    <cellStyle name="20% - Accent5 3 3 2 2 5 4" xfId="8604" xr:uid="{00000000-0005-0000-0000-0000521F0000}"/>
    <cellStyle name="20% - Accent5 3 3 2 2 5 5" xfId="8605" xr:uid="{00000000-0005-0000-0000-0000531F0000}"/>
    <cellStyle name="20% - Accent5 3 3 2 2 5 6" xfId="8606" xr:uid="{00000000-0005-0000-0000-0000541F0000}"/>
    <cellStyle name="20% - Accent5 3 3 2 2 6" xfId="8607" xr:uid="{00000000-0005-0000-0000-0000551F0000}"/>
    <cellStyle name="20% - Accent5 3 3 2 2 6 2" xfId="8608" xr:uid="{00000000-0005-0000-0000-0000561F0000}"/>
    <cellStyle name="20% - Accent5 3 3 2 2 6 3" xfId="8609" xr:uid="{00000000-0005-0000-0000-0000571F0000}"/>
    <cellStyle name="20% - Accent5 3 3 2 2 7" xfId="8610" xr:uid="{00000000-0005-0000-0000-0000581F0000}"/>
    <cellStyle name="20% - Accent5 3 3 2 2 8" xfId="8611" xr:uid="{00000000-0005-0000-0000-0000591F0000}"/>
    <cellStyle name="20% - Accent5 3 3 2 2 9" xfId="8612" xr:uid="{00000000-0005-0000-0000-00005A1F0000}"/>
    <cellStyle name="20% - Accent5 3 3 2 3" xfId="8613" xr:uid="{00000000-0005-0000-0000-00005B1F0000}"/>
    <cellStyle name="20% - Accent5 3 3 2 3 2" xfId="8614" xr:uid="{00000000-0005-0000-0000-00005C1F0000}"/>
    <cellStyle name="20% - Accent5 3 3 2 3 2 2" xfId="8615" xr:uid="{00000000-0005-0000-0000-00005D1F0000}"/>
    <cellStyle name="20% - Accent5 3 3 2 3 2 2 2" xfId="8616" xr:uid="{00000000-0005-0000-0000-00005E1F0000}"/>
    <cellStyle name="20% - Accent5 3 3 2 3 2 2 2 2" xfId="8617" xr:uid="{00000000-0005-0000-0000-00005F1F0000}"/>
    <cellStyle name="20% - Accent5 3 3 2 3 2 2 2 3" xfId="8618" xr:uid="{00000000-0005-0000-0000-0000601F0000}"/>
    <cellStyle name="20% - Accent5 3 3 2 3 2 2 3" xfId="8619" xr:uid="{00000000-0005-0000-0000-0000611F0000}"/>
    <cellStyle name="20% - Accent5 3 3 2 3 2 2 4" xfId="8620" xr:uid="{00000000-0005-0000-0000-0000621F0000}"/>
    <cellStyle name="20% - Accent5 3 3 2 3 2 2 5" xfId="8621" xr:uid="{00000000-0005-0000-0000-0000631F0000}"/>
    <cellStyle name="20% - Accent5 3 3 2 3 2 2 6" xfId="8622" xr:uid="{00000000-0005-0000-0000-0000641F0000}"/>
    <cellStyle name="20% - Accent5 3 3 2 3 2 3" xfId="8623" xr:uid="{00000000-0005-0000-0000-0000651F0000}"/>
    <cellStyle name="20% - Accent5 3 3 2 3 2 3 2" xfId="8624" xr:uid="{00000000-0005-0000-0000-0000661F0000}"/>
    <cellStyle name="20% - Accent5 3 3 2 3 2 3 3" xfId="8625" xr:uid="{00000000-0005-0000-0000-0000671F0000}"/>
    <cellStyle name="20% - Accent5 3 3 2 3 2 4" xfId="8626" xr:uid="{00000000-0005-0000-0000-0000681F0000}"/>
    <cellStyle name="20% - Accent5 3 3 2 3 2 5" xfId="8627" xr:uid="{00000000-0005-0000-0000-0000691F0000}"/>
    <cellStyle name="20% - Accent5 3 3 2 3 2 6" xfId="8628" xr:uid="{00000000-0005-0000-0000-00006A1F0000}"/>
    <cellStyle name="20% - Accent5 3 3 2 3 2 7" xfId="8629" xr:uid="{00000000-0005-0000-0000-00006B1F0000}"/>
    <cellStyle name="20% - Accent5 3 3 2 3 3" xfId="8630" xr:uid="{00000000-0005-0000-0000-00006C1F0000}"/>
    <cellStyle name="20% - Accent5 3 3 2 3 3 2" xfId="8631" xr:uid="{00000000-0005-0000-0000-00006D1F0000}"/>
    <cellStyle name="20% - Accent5 3 3 2 3 3 2 2" xfId="8632" xr:uid="{00000000-0005-0000-0000-00006E1F0000}"/>
    <cellStyle name="20% - Accent5 3 3 2 3 3 2 3" xfId="8633" xr:uid="{00000000-0005-0000-0000-00006F1F0000}"/>
    <cellStyle name="20% - Accent5 3 3 2 3 3 3" xfId="8634" xr:uid="{00000000-0005-0000-0000-0000701F0000}"/>
    <cellStyle name="20% - Accent5 3 3 2 3 3 4" xfId="8635" xr:uid="{00000000-0005-0000-0000-0000711F0000}"/>
    <cellStyle name="20% - Accent5 3 3 2 3 3 5" xfId="8636" xr:uid="{00000000-0005-0000-0000-0000721F0000}"/>
    <cellStyle name="20% - Accent5 3 3 2 3 3 6" xfId="8637" xr:uid="{00000000-0005-0000-0000-0000731F0000}"/>
    <cellStyle name="20% - Accent5 3 3 2 3 4" xfId="8638" xr:uid="{00000000-0005-0000-0000-0000741F0000}"/>
    <cellStyle name="20% - Accent5 3 3 2 3 4 2" xfId="8639" xr:uid="{00000000-0005-0000-0000-0000751F0000}"/>
    <cellStyle name="20% - Accent5 3 3 2 3 4 2 2" xfId="8640" xr:uid="{00000000-0005-0000-0000-0000761F0000}"/>
    <cellStyle name="20% - Accent5 3 3 2 3 4 2 3" xfId="8641" xr:uid="{00000000-0005-0000-0000-0000771F0000}"/>
    <cellStyle name="20% - Accent5 3 3 2 3 4 3" xfId="8642" xr:uid="{00000000-0005-0000-0000-0000781F0000}"/>
    <cellStyle name="20% - Accent5 3 3 2 3 4 4" xfId="8643" xr:uid="{00000000-0005-0000-0000-0000791F0000}"/>
    <cellStyle name="20% - Accent5 3 3 2 3 4 5" xfId="8644" xr:uid="{00000000-0005-0000-0000-00007A1F0000}"/>
    <cellStyle name="20% - Accent5 3 3 2 3 4 6" xfId="8645" xr:uid="{00000000-0005-0000-0000-00007B1F0000}"/>
    <cellStyle name="20% - Accent5 3 3 2 3 5" xfId="8646" xr:uid="{00000000-0005-0000-0000-00007C1F0000}"/>
    <cellStyle name="20% - Accent5 3 3 2 3 5 2" xfId="8647" xr:uid="{00000000-0005-0000-0000-00007D1F0000}"/>
    <cellStyle name="20% - Accent5 3 3 2 3 5 3" xfId="8648" xr:uid="{00000000-0005-0000-0000-00007E1F0000}"/>
    <cellStyle name="20% - Accent5 3 3 2 3 6" xfId="8649" xr:uid="{00000000-0005-0000-0000-00007F1F0000}"/>
    <cellStyle name="20% - Accent5 3 3 2 3 7" xfId="8650" xr:uid="{00000000-0005-0000-0000-0000801F0000}"/>
    <cellStyle name="20% - Accent5 3 3 2 3 8" xfId="8651" xr:uid="{00000000-0005-0000-0000-0000811F0000}"/>
    <cellStyle name="20% - Accent5 3 3 2 3 9" xfId="8652" xr:uid="{00000000-0005-0000-0000-0000821F0000}"/>
    <cellStyle name="20% - Accent5 3 3 2 4" xfId="8653" xr:uid="{00000000-0005-0000-0000-0000831F0000}"/>
    <cellStyle name="20% - Accent5 3 3 2 4 2" xfId="8654" xr:uid="{00000000-0005-0000-0000-0000841F0000}"/>
    <cellStyle name="20% - Accent5 3 3 2 4 2 2" xfId="8655" xr:uid="{00000000-0005-0000-0000-0000851F0000}"/>
    <cellStyle name="20% - Accent5 3 3 2 4 2 2 2" xfId="8656" xr:uid="{00000000-0005-0000-0000-0000861F0000}"/>
    <cellStyle name="20% - Accent5 3 3 2 4 2 2 3" xfId="8657" xr:uid="{00000000-0005-0000-0000-0000871F0000}"/>
    <cellStyle name="20% - Accent5 3 3 2 4 2 3" xfId="8658" xr:uid="{00000000-0005-0000-0000-0000881F0000}"/>
    <cellStyle name="20% - Accent5 3 3 2 4 2 4" xfId="8659" xr:uid="{00000000-0005-0000-0000-0000891F0000}"/>
    <cellStyle name="20% - Accent5 3 3 2 4 2 5" xfId="8660" xr:uid="{00000000-0005-0000-0000-00008A1F0000}"/>
    <cellStyle name="20% - Accent5 3 3 2 4 2 6" xfId="8661" xr:uid="{00000000-0005-0000-0000-00008B1F0000}"/>
    <cellStyle name="20% - Accent5 3 3 2 4 3" xfId="8662" xr:uid="{00000000-0005-0000-0000-00008C1F0000}"/>
    <cellStyle name="20% - Accent5 3 3 2 4 3 2" xfId="8663" xr:uid="{00000000-0005-0000-0000-00008D1F0000}"/>
    <cellStyle name="20% - Accent5 3 3 2 4 3 3" xfId="8664" xr:uid="{00000000-0005-0000-0000-00008E1F0000}"/>
    <cellStyle name="20% - Accent5 3 3 2 4 4" xfId="8665" xr:uid="{00000000-0005-0000-0000-00008F1F0000}"/>
    <cellStyle name="20% - Accent5 3 3 2 4 5" xfId="8666" xr:uid="{00000000-0005-0000-0000-0000901F0000}"/>
    <cellStyle name="20% - Accent5 3 3 2 4 6" xfId="8667" xr:uid="{00000000-0005-0000-0000-0000911F0000}"/>
    <cellStyle name="20% - Accent5 3 3 2 4 7" xfId="8668" xr:uid="{00000000-0005-0000-0000-0000921F0000}"/>
    <cellStyle name="20% - Accent5 3 3 2 5" xfId="8669" xr:uid="{00000000-0005-0000-0000-0000931F0000}"/>
    <cellStyle name="20% - Accent5 3 3 2 5 2" xfId="8670" xr:uid="{00000000-0005-0000-0000-0000941F0000}"/>
    <cellStyle name="20% - Accent5 3 3 2 5 2 2" xfId="8671" xr:uid="{00000000-0005-0000-0000-0000951F0000}"/>
    <cellStyle name="20% - Accent5 3 3 2 5 2 3" xfId="8672" xr:uid="{00000000-0005-0000-0000-0000961F0000}"/>
    <cellStyle name="20% - Accent5 3 3 2 5 3" xfId="8673" xr:uid="{00000000-0005-0000-0000-0000971F0000}"/>
    <cellStyle name="20% - Accent5 3 3 2 5 4" xfId="8674" xr:uid="{00000000-0005-0000-0000-0000981F0000}"/>
    <cellStyle name="20% - Accent5 3 3 2 5 5" xfId="8675" xr:uid="{00000000-0005-0000-0000-0000991F0000}"/>
    <cellStyle name="20% - Accent5 3 3 2 5 6" xfId="8676" xr:uid="{00000000-0005-0000-0000-00009A1F0000}"/>
    <cellStyle name="20% - Accent5 3 3 2 6" xfId="8677" xr:uid="{00000000-0005-0000-0000-00009B1F0000}"/>
    <cellStyle name="20% - Accent5 3 3 2 6 2" xfId="8678" xr:uid="{00000000-0005-0000-0000-00009C1F0000}"/>
    <cellStyle name="20% - Accent5 3 3 2 6 2 2" xfId="8679" xr:uid="{00000000-0005-0000-0000-00009D1F0000}"/>
    <cellStyle name="20% - Accent5 3 3 2 6 2 3" xfId="8680" xr:uid="{00000000-0005-0000-0000-00009E1F0000}"/>
    <cellStyle name="20% - Accent5 3 3 2 6 3" xfId="8681" xr:uid="{00000000-0005-0000-0000-00009F1F0000}"/>
    <cellStyle name="20% - Accent5 3 3 2 6 4" xfId="8682" xr:uid="{00000000-0005-0000-0000-0000A01F0000}"/>
    <cellStyle name="20% - Accent5 3 3 2 6 5" xfId="8683" xr:uid="{00000000-0005-0000-0000-0000A11F0000}"/>
    <cellStyle name="20% - Accent5 3 3 2 6 6" xfId="8684" xr:uid="{00000000-0005-0000-0000-0000A21F0000}"/>
    <cellStyle name="20% - Accent5 3 3 2 7" xfId="8685" xr:uid="{00000000-0005-0000-0000-0000A31F0000}"/>
    <cellStyle name="20% - Accent5 3 3 2 7 2" xfId="8686" xr:uid="{00000000-0005-0000-0000-0000A41F0000}"/>
    <cellStyle name="20% - Accent5 3 3 2 7 2 2" xfId="8687" xr:uid="{00000000-0005-0000-0000-0000A51F0000}"/>
    <cellStyle name="20% - Accent5 3 3 2 7 2 3" xfId="8688" xr:uid="{00000000-0005-0000-0000-0000A61F0000}"/>
    <cellStyle name="20% - Accent5 3 3 2 7 3" xfId="8689" xr:uid="{00000000-0005-0000-0000-0000A71F0000}"/>
    <cellStyle name="20% - Accent5 3 3 2 7 4" xfId="8690" xr:uid="{00000000-0005-0000-0000-0000A81F0000}"/>
    <cellStyle name="20% - Accent5 3 3 2 7 5" xfId="8691" xr:uid="{00000000-0005-0000-0000-0000A91F0000}"/>
    <cellStyle name="20% - Accent5 3 3 2 7 6" xfId="8692" xr:uid="{00000000-0005-0000-0000-0000AA1F0000}"/>
    <cellStyle name="20% - Accent5 3 3 2 8" xfId="8693" xr:uid="{00000000-0005-0000-0000-0000AB1F0000}"/>
    <cellStyle name="20% - Accent5 3 3 2 8 2" xfId="8694" xr:uid="{00000000-0005-0000-0000-0000AC1F0000}"/>
    <cellStyle name="20% - Accent5 3 3 2 8 2 2" xfId="8695" xr:uid="{00000000-0005-0000-0000-0000AD1F0000}"/>
    <cellStyle name="20% - Accent5 3 3 2 8 2 3" xfId="8696" xr:uid="{00000000-0005-0000-0000-0000AE1F0000}"/>
    <cellStyle name="20% - Accent5 3 3 2 8 3" xfId="8697" xr:uid="{00000000-0005-0000-0000-0000AF1F0000}"/>
    <cellStyle name="20% - Accent5 3 3 2 8 4" xfId="8698" xr:uid="{00000000-0005-0000-0000-0000B01F0000}"/>
    <cellStyle name="20% - Accent5 3 3 2 8 5" xfId="8699" xr:uid="{00000000-0005-0000-0000-0000B11F0000}"/>
    <cellStyle name="20% - Accent5 3 3 2 8 6" xfId="8700" xr:uid="{00000000-0005-0000-0000-0000B21F0000}"/>
    <cellStyle name="20% - Accent5 3 3 2 9" xfId="8701" xr:uid="{00000000-0005-0000-0000-0000B31F0000}"/>
    <cellStyle name="20% - Accent5 3 3 2 9 2" xfId="8702" xr:uid="{00000000-0005-0000-0000-0000B41F0000}"/>
    <cellStyle name="20% - Accent5 3 3 2 9 3" xfId="8703" xr:uid="{00000000-0005-0000-0000-0000B51F0000}"/>
    <cellStyle name="20% - Accent5 3 3 3" xfId="8704" xr:uid="{00000000-0005-0000-0000-0000B61F0000}"/>
    <cellStyle name="20% - Accent5 3 3 3 10" xfId="8705" xr:uid="{00000000-0005-0000-0000-0000B71F0000}"/>
    <cellStyle name="20% - Accent5 3 3 3 2" xfId="8706" xr:uid="{00000000-0005-0000-0000-0000B81F0000}"/>
    <cellStyle name="20% - Accent5 3 3 3 2 2" xfId="8707" xr:uid="{00000000-0005-0000-0000-0000B91F0000}"/>
    <cellStyle name="20% - Accent5 3 3 3 2 2 2" xfId="8708" xr:uid="{00000000-0005-0000-0000-0000BA1F0000}"/>
    <cellStyle name="20% - Accent5 3 3 3 2 2 2 2" xfId="8709" xr:uid="{00000000-0005-0000-0000-0000BB1F0000}"/>
    <cellStyle name="20% - Accent5 3 3 3 2 2 2 3" xfId="8710" xr:uid="{00000000-0005-0000-0000-0000BC1F0000}"/>
    <cellStyle name="20% - Accent5 3 3 3 2 2 3" xfId="8711" xr:uid="{00000000-0005-0000-0000-0000BD1F0000}"/>
    <cellStyle name="20% - Accent5 3 3 3 2 2 4" xfId="8712" xr:uid="{00000000-0005-0000-0000-0000BE1F0000}"/>
    <cellStyle name="20% - Accent5 3 3 3 2 2 5" xfId="8713" xr:uid="{00000000-0005-0000-0000-0000BF1F0000}"/>
    <cellStyle name="20% - Accent5 3 3 3 2 2 6" xfId="8714" xr:uid="{00000000-0005-0000-0000-0000C01F0000}"/>
    <cellStyle name="20% - Accent5 3 3 3 2 3" xfId="8715" xr:uid="{00000000-0005-0000-0000-0000C11F0000}"/>
    <cellStyle name="20% - Accent5 3 3 3 2 3 2" xfId="8716" xr:uid="{00000000-0005-0000-0000-0000C21F0000}"/>
    <cellStyle name="20% - Accent5 3 3 3 2 3 2 2" xfId="8717" xr:uid="{00000000-0005-0000-0000-0000C31F0000}"/>
    <cellStyle name="20% - Accent5 3 3 3 2 3 2 3" xfId="8718" xr:uid="{00000000-0005-0000-0000-0000C41F0000}"/>
    <cellStyle name="20% - Accent5 3 3 3 2 3 3" xfId="8719" xr:uid="{00000000-0005-0000-0000-0000C51F0000}"/>
    <cellStyle name="20% - Accent5 3 3 3 2 3 4" xfId="8720" xr:uid="{00000000-0005-0000-0000-0000C61F0000}"/>
    <cellStyle name="20% - Accent5 3 3 3 2 3 5" xfId="8721" xr:uid="{00000000-0005-0000-0000-0000C71F0000}"/>
    <cellStyle name="20% - Accent5 3 3 3 2 3 6" xfId="8722" xr:uid="{00000000-0005-0000-0000-0000C81F0000}"/>
    <cellStyle name="20% - Accent5 3 3 3 2 4" xfId="8723" xr:uid="{00000000-0005-0000-0000-0000C91F0000}"/>
    <cellStyle name="20% - Accent5 3 3 3 2 4 2" xfId="8724" xr:uid="{00000000-0005-0000-0000-0000CA1F0000}"/>
    <cellStyle name="20% - Accent5 3 3 3 2 4 3" xfId="8725" xr:uid="{00000000-0005-0000-0000-0000CB1F0000}"/>
    <cellStyle name="20% - Accent5 3 3 3 2 5" xfId="8726" xr:uid="{00000000-0005-0000-0000-0000CC1F0000}"/>
    <cellStyle name="20% - Accent5 3 3 3 2 6" xfId="8727" xr:uid="{00000000-0005-0000-0000-0000CD1F0000}"/>
    <cellStyle name="20% - Accent5 3 3 3 2 7" xfId="8728" xr:uid="{00000000-0005-0000-0000-0000CE1F0000}"/>
    <cellStyle name="20% - Accent5 3 3 3 2 8" xfId="8729" xr:uid="{00000000-0005-0000-0000-0000CF1F0000}"/>
    <cellStyle name="20% - Accent5 3 3 3 3" xfId="8730" xr:uid="{00000000-0005-0000-0000-0000D01F0000}"/>
    <cellStyle name="20% - Accent5 3 3 3 3 2" xfId="8731" xr:uid="{00000000-0005-0000-0000-0000D11F0000}"/>
    <cellStyle name="20% - Accent5 3 3 3 3 2 2" xfId="8732" xr:uid="{00000000-0005-0000-0000-0000D21F0000}"/>
    <cellStyle name="20% - Accent5 3 3 3 3 2 2 2" xfId="8733" xr:uid="{00000000-0005-0000-0000-0000D31F0000}"/>
    <cellStyle name="20% - Accent5 3 3 3 3 2 2 3" xfId="8734" xr:uid="{00000000-0005-0000-0000-0000D41F0000}"/>
    <cellStyle name="20% - Accent5 3 3 3 3 2 3" xfId="8735" xr:uid="{00000000-0005-0000-0000-0000D51F0000}"/>
    <cellStyle name="20% - Accent5 3 3 3 3 2 4" xfId="8736" xr:uid="{00000000-0005-0000-0000-0000D61F0000}"/>
    <cellStyle name="20% - Accent5 3 3 3 3 2 5" xfId="8737" xr:uid="{00000000-0005-0000-0000-0000D71F0000}"/>
    <cellStyle name="20% - Accent5 3 3 3 3 2 6" xfId="8738" xr:uid="{00000000-0005-0000-0000-0000D81F0000}"/>
    <cellStyle name="20% - Accent5 3 3 3 3 3" xfId="8739" xr:uid="{00000000-0005-0000-0000-0000D91F0000}"/>
    <cellStyle name="20% - Accent5 3 3 3 3 3 2" xfId="8740" xr:uid="{00000000-0005-0000-0000-0000DA1F0000}"/>
    <cellStyle name="20% - Accent5 3 3 3 3 3 3" xfId="8741" xr:uid="{00000000-0005-0000-0000-0000DB1F0000}"/>
    <cellStyle name="20% - Accent5 3 3 3 3 4" xfId="8742" xr:uid="{00000000-0005-0000-0000-0000DC1F0000}"/>
    <cellStyle name="20% - Accent5 3 3 3 3 5" xfId="8743" xr:uid="{00000000-0005-0000-0000-0000DD1F0000}"/>
    <cellStyle name="20% - Accent5 3 3 3 3 6" xfId="8744" xr:uid="{00000000-0005-0000-0000-0000DE1F0000}"/>
    <cellStyle name="20% - Accent5 3 3 3 3 7" xfId="8745" xr:uid="{00000000-0005-0000-0000-0000DF1F0000}"/>
    <cellStyle name="20% - Accent5 3 3 3 4" xfId="8746" xr:uid="{00000000-0005-0000-0000-0000E01F0000}"/>
    <cellStyle name="20% - Accent5 3 3 3 4 2" xfId="8747" xr:uid="{00000000-0005-0000-0000-0000E11F0000}"/>
    <cellStyle name="20% - Accent5 3 3 3 4 2 2" xfId="8748" xr:uid="{00000000-0005-0000-0000-0000E21F0000}"/>
    <cellStyle name="20% - Accent5 3 3 3 4 2 3" xfId="8749" xr:uid="{00000000-0005-0000-0000-0000E31F0000}"/>
    <cellStyle name="20% - Accent5 3 3 3 4 3" xfId="8750" xr:uid="{00000000-0005-0000-0000-0000E41F0000}"/>
    <cellStyle name="20% - Accent5 3 3 3 4 4" xfId="8751" xr:uid="{00000000-0005-0000-0000-0000E51F0000}"/>
    <cellStyle name="20% - Accent5 3 3 3 4 5" xfId="8752" xr:uid="{00000000-0005-0000-0000-0000E61F0000}"/>
    <cellStyle name="20% - Accent5 3 3 3 4 6" xfId="8753" xr:uid="{00000000-0005-0000-0000-0000E71F0000}"/>
    <cellStyle name="20% - Accent5 3 3 3 5" xfId="8754" xr:uid="{00000000-0005-0000-0000-0000E81F0000}"/>
    <cellStyle name="20% - Accent5 3 3 3 5 2" xfId="8755" xr:uid="{00000000-0005-0000-0000-0000E91F0000}"/>
    <cellStyle name="20% - Accent5 3 3 3 5 2 2" xfId="8756" xr:uid="{00000000-0005-0000-0000-0000EA1F0000}"/>
    <cellStyle name="20% - Accent5 3 3 3 5 2 3" xfId="8757" xr:uid="{00000000-0005-0000-0000-0000EB1F0000}"/>
    <cellStyle name="20% - Accent5 3 3 3 5 3" xfId="8758" xr:uid="{00000000-0005-0000-0000-0000EC1F0000}"/>
    <cellStyle name="20% - Accent5 3 3 3 5 4" xfId="8759" xr:uid="{00000000-0005-0000-0000-0000ED1F0000}"/>
    <cellStyle name="20% - Accent5 3 3 3 5 5" xfId="8760" xr:uid="{00000000-0005-0000-0000-0000EE1F0000}"/>
    <cellStyle name="20% - Accent5 3 3 3 5 6" xfId="8761" xr:uid="{00000000-0005-0000-0000-0000EF1F0000}"/>
    <cellStyle name="20% - Accent5 3 3 3 6" xfId="8762" xr:uid="{00000000-0005-0000-0000-0000F01F0000}"/>
    <cellStyle name="20% - Accent5 3 3 3 6 2" xfId="8763" xr:uid="{00000000-0005-0000-0000-0000F11F0000}"/>
    <cellStyle name="20% - Accent5 3 3 3 6 3" xfId="8764" xr:uid="{00000000-0005-0000-0000-0000F21F0000}"/>
    <cellStyle name="20% - Accent5 3 3 3 7" xfId="8765" xr:uid="{00000000-0005-0000-0000-0000F31F0000}"/>
    <cellStyle name="20% - Accent5 3 3 3 8" xfId="8766" xr:uid="{00000000-0005-0000-0000-0000F41F0000}"/>
    <cellStyle name="20% - Accent5 3 3 3 9" xfId="8767" xr:uid="{00000000-0005-0000-0000-0000F51F0000}"/>
    <cellStyle name="20% - Accent5 3 3 4" xfId="8768" xr:uid="{00000000-0005-0000-0000-0000F61F0000}"/>
    <cellStyle name="20% - Accent5 3 3 4 2" xfId="8769" xr:uid="{00000000-0005-0000-0000-0000F71F0000}"/>
    <cellStyle name="20% - Accent5 3 3 4 2 2" xfId="8770" xr:uid="{00000000-0005-0000-0000-0000F81F0000}"/>
    <cellStyle name="20% - Accent5 3 3 4 2 2 2" xfId="8771" xr:uid="{00000000-0005-0000-0000-0000F91F0000}"/>
    <cellStyle name="20% - Accent5 3 3 4 2 2 2 2" xfId="8772" xr:uid="{00000000-0005-0000-0000-0000FA1F0000}"/>
    <cellStyle name="20% - Accent5 3 3 4 2 2 2 3" xfId="8773" xr:uid="{00000000-0005-0000-0000-0000FB1F0000}"/>
    <cellStyle name="20% - Accent5 3 3 4 2 2 3" xfId="8774" xr:uid="{00000000-0005-0000-0000-0000FC1F0000}"/>
    <cellStyle name="20% - Accent5 3 3 4 2 2 4" xfId="8775" xr:uid="{00000000-0005-0000-0000-0000FD1F0000}"/>
    <cellStyle name="20% - Accent5 3 3 4 2 2 5" xfId="8776" xr:uid="{00000000-0005-0000-0000-0000FE1F0000}"/>
    <cellStyle name="20% - Accent5 3 3 4 2 2 6" xfId="8777" xr:uid="{00000000-0005-0000-0000-0000FF1F0000}"/>
    <cellStyle name="20% - Accent5 3 3 4 2 3" xfId="8778" xr:uid="{00000000-0005-0000-0000-000000200000}"/>
    <cellStyle name="20% - Accent5 3 3 4 2 3 2" xfId="8779" xr:uid="{00000000-0005-0000-0000-000001200000}"/>
    <cellStyle name="20% - Accent5 3 3 4 2 3 3" xfId="8780" xr:uid="{00000000-0005-0000-0000-000002200000}"/>
    <cellStyle name="20% - Accent5 3 3 4 2 4" xfId="8781" xr:uid="{00000000-0005-0000-0000-000003200000}"/>
    <cellStyle name="20% - Accent5 3 3 4 2 5" xfId="8782" xr:uid="{00000000-0005-0000-0000-000004200000}"/>
    <cellStyle name="20% - Accent5 3 3 4 2 6" xfId="8783" xr:uid="{00000000-0005-0000-0000-000005200000}"/>
    <cellStyle name="20% - Accent5 3 3 4 2 7" xfId="8784" xr:uid="{00000000-0005-0000-0000-000006200000}"/>
    <cellStyle name="20% - Accent5 3 3 4 3" xfId="8785" xr:uid="{00000000-0005-0000-0000-000007200000}"/>
    <cellStyle name="20% - Accent5 3 3 4 3 2" xfId="8786" xr:uid="{00000000-0005-0000-0000-000008200000}"/>
    <cellStyle name="20% - Accent5 3 3 4 3 2 2" xfId="8787" xr:uid="{00000000-0005-0000-0000-000009200000}"/>
    <cellStyle name="20% - Accent5 3 3 4 3 2 3" xfId="8788" xr:uid="{00000000-0005-0000-0000-00000A200000}"/>
    <cellStyle name="20% - Accent5 3 3 4 3 3" xfId="8789" xr:uid="{00000000-0005-0000-0000-00000B200000}"/>
    <cellStyle name="20% - Accent5 3 3 4 3 4" xfId="8790" xr:uid="{00000000-0005-0000-0000-00000C200000}"/>
    <cellStyle name="20% - Accent5 3 3 4 3 5" xfId="8791" xr:uid="{00000000-0005-0000-0000-00000D200000}"/>
    <cellStyle name="20% - Accent5 3 3 4 3 6" xfId="8792" xr:uid="{00000000-0005-0000-0000-00000E200000}"/>
    <cellStyle name="20% - Accent5 3 3 4 4" xfId="8793" xr:uid="{00000000-0005-0000-0000-00000F200000}"/>
    <cellStyle name="20% - Accent5 3 3 4 4 2" xfId="8794" xr:uid="{00000000-0005-0000-0000-000010200000}"/>
    <cellStyle name="20% - Accent5 3 3 4 4 2 2" xfId="8795" xr:uid="{00000000-0005-0000-0000-000011200000}"/>
    <cellStyle name="20% - Accent5 3 3 4 4 2 3" xfId="8796" xr:uid="{00000000-0005-0000-0000-000012200000}"/>
    <cellStyle name="20% - Accent5 3 3 4 4 3" xfId="8797" xr:uid="{00000000-0005-0000-0000-000013200000}"/>
    <cellStyle name="20% - Accent5 3 3 4 4 4" xfId="8798" xr:uid="{00000000-0005-0000-0000-000014200000}"/>
    <cellStyle name="20% - Accent5 3 3 4 4 5" xfId="8799" xr:uid="{00000000-0005-0000-0000-000015200000}"/>
    <cellStyle name="20% - Accent5 3 3 4 4 6" xfId="8800" xr:uid="{00000000-0005-0000-0000-000016200000}"/>
    <cellStyle name="20% - Accent5 3 3 4 5" xfId="8801" xr:uid="{00000000-0005-0000-0000-000017200000}"/>
    <cellStyle name="20% - Accent5 3 3 4 5 2" xfId="8802" xr:uid="{00000000-0005-0000-0000-000018200000}"/>
    <cellStyle name="20% - Accent5 3 3 4 5 3" xfId="8803" xr:uid="{00000000-0005-0000-0000-000019200000}"/>
    <cellStyle name="20% - Accent5 3 3 4 6" xfId="8804" xr:uid="{00000000-0005-0000-0000-00001A200000}"/>
    <cellStyle name="20% - Accent5 3 3 4 7" xfId="8805" xr:uid="{00000000-0005-0000-0000-00001B200000}"/>
    <cellStyle name="20% - Accent5 3 3 4 8" xfId="8806" xr:uid="{00000000-0005-0000-0000-00001C200000}"/>
    <cellStyle name="20% - Accent5 3 3 4 9" xfId="8807" xr:uid="{00000000-0005-0000-0000-00001D200000}"/>
    <cellStyle name="20% - Accent5 3 3 5" xfId="8808" xr:uid="{00000000-0005-0000-0000-00001E200000}"/>
    <cellStyle name="20% - Accent5 3 3 5 2" xfId="8809" xr:uid="{00000000-0005-0000-0000-00001F200000}"/>
    <cellStyle name="20% - Accent5 3 3 5 2 2" xfId="8810" xr:uid="{00000000-0005-0000-0000-000020200000}"/>
    <cellStyle name="20% - Accent5 3 3 5 2 2 2" xfId="8811" xr:uid="{00000000-0005-0000-0000-000021200000}"/>
    <cellStyle name="20% - Accent5 3 3 5 2 2 3" xfId="8812" xr:uid="{00000000-0005-0000-0000-000022200000}"/>
    <cellStyle name="20% - Accent5 3 3 5 2 3" xfId="8813" xr:uid="{00000000-0005-0000-0000-000023200000}"/>
    <cellStyle name="20% - Accent5 3 3 5 2 4" xfId="8814" xr:uid="{00000000-0005-0000-0000-000024200000}"/>
    <cellStyle name="20% - Accent5 3 3 5 2 5" xfId="8815" xr:uid="{00000000-0005-0000-0000-000025200000}"/>
    <cellStyle name="20% - Accent5 3 3 5 2 6" xfId="8816" xr:uid="{00000000-0005-0000-0000-000026200000}"/>
    <cellStyle name="20% - Accent5 3 3 5 3" xfId="8817" xr:uid="{00000000-0005-0000-0000-000027200000}"/>
    <cellStyle name="20% - Accent5 3 3 5 3 2" xfId="8818" xr:uid="{00000000-0005-0000-0000-000028200000}"/>
    <cellStyle name="20% - Accent5 3 3 5 3 3" xfId="8819" xr:uid="{00000000-0005-0000-0000-000029200000}"/>
    <cellStyle name="20% - Accent5 3 3 5 4" xfId="8820" xr:uid="{00000000-0005-0000-0000-00002A200000}"/>
    <cellStyle name="20% - Accent5 3 3 5 5" xfId="8821" xr:uid="{00000000-0005-0000-0000-00002B200000}"/>
    <cellStyle name="20% - Accent5 3 3 5 6" xfId="8822" xr:uid="{00000000-0005-0000-0000-00002C200000}"/>
    <cellStyle name="20% - Accent5 3 3 5 7" xfId="8823" xr:uid="{00000000-0005-0000-0000-00002D200000}"/>
    <cellStyle name="20% - Accent5 3 3 6" xfId="8824" xr:uid="{00000000-0005-0000-0000-00002E200000}"/>
    <cellStyle name="20% - Accent5 3 3 6 2" xfId="8825" xr:uid="{00000000-0005-0000-0000-00002F200000}"/>
    <cellStyle name="20% - Accent5 3 3 6 2 2" xfId="8826" xr:uid="{00000000-0005-0000-0000-000030200000}"/>
    <cellStyle name="20% - Accent5 3 3 6 2 3" xfId="8827" xr:uid="{00000000-0005-0000-0000-000031200000}"/>
    <cellStyle name="20% - Accent5 3 3 6 3" xfId="8828" xr:uid="{00000000-0005-0000-0000-000032200000}"/>
    <cellStyle name="20% - Accent5 3 3 6 4" xfId="8829" xr:uid="{00000000-0005-0000-0000-000033200000}"/>
    <cellStyle name="20% - Accent5 3 3 6 5" xfId="8830" xr:uid="{00000000-0005-0000-0000-000034200000}"/>
    <cellStyle name="20% - Accent5 3 3 6 6" xfId="8831" xr:uid="{00000000-0005-0000-0000-000035200000}"/>
    <cellStyle name="20% - Accent5 3 3 7" xfId="8832" xr:uid="{00000000-0005-0000-0000-000036200000}"/>
    <cellStyle name="20% - Accent5 3 3 7 2" xfId="8833" xr:uid="{00000000-0005-0000-0000-000037200000}"/>
    <cellStyle name="20% - Accent5 3 3 7 2 2" xfId="8834" xr:uid="{00000000-0005-0000-0000-000038200000}"/>
    <cellStyle name="20% - Accent5 3 3 7 2 3" xfId="8835" xr:uid="{00000000-0005-0000-0000-000039200000}"/>
    <cellStyle name="20% - Accent5 3 3 7 3" xfId="8836" xr:uid="{00000000-0005-0000-0000-00003A200000}"/>
    <cellStyle name="20% - Accent5 3 3 7 4" xfId="8837" xr:uid="{00000000-0005-0000-0000-00003B200000}"/>
    <cellStyle name="20% - Accent5 3 3 7 5" xfId="8838" xr:uid="{00000000-0005-0000-0000-00003C200000}"/>
    <cellStyle name="20% - Accent5 3 3 7 6" xfId="8839" xr:uid="{00000000-0005-0000-0000-00003D200000}"/>
    <cellStyle name="20% - Accent5 3 3 8" xfId="8840" xr:uid="{00000000-0005-0000-0000-00003E200000}"/>
    <cellStyle name="20% - Accent5 3 3 8 2" xfId="8841" xr:uid="{00000000-0005-0000-0000-00003F200000}"/>
    <cellStyle name="20% - Accent5 3 3 8 2 2" xfId="8842" xr:uid="{00000000-0005-0000-0000-000040200000}"/>
    <cellStyle name="20% - Accent5 3 3 8 2 3" xfId="8843" xr:uid="{00000000-0005-0000-0000-000041200000}"/>
    <cellStyle name="20% - Accent5 3 3 8 3" xfId="8844" xr:uid="{00000000-0005-0000-0000-000042200000}"/>
    <cellStyle name="20% - Accent5 3 3 8 4" xfId="8845" xr:uid="{00000000-0005-0000-0000-000043200000}"/>
    <cellStyle name="20% - Accent5 3 3 8 5" xfId="8846" xr:uid="{00000000-0005-0000-0000-000044200000}"/>
    <cellStyle name="20% - Accent5 3 3 8 6" xfId="8847" xr:uid="{00000000-0005-0000-0000-000045200000}"/>
    <cellStyle name="20% - Accent5 3 3 9" xfId="8848" xr:uid="{00000000-0005-0000-0000-000046200000}"/>
    <cellStyle name="20% - Accent5 3 3 9 2" xfId="8849" xr:uid="{00000000-0005-0000-0000-000047200000}"/>
    <cellStyle name="20% - Accent5 3 3 9 2 2" xfId="8850" xr:uid="{00000000-0005-0000-0000-000048200000}"/>
    <cellStyle name="20% - Accent5 3 3 9 2 3" xfId="8851" xr:uid="{00000000-0005-0000-0000-000049200000}"/>
    <cellStyle name="20% - Accent5 3 3 9 3" xfId="8852" xr:uid="{00000000-0005-0000-0000-00004A200000}"/>
    <cellStyle name="20% - Accent5 3 3 9 4" xfId="8853" xr:uid="{00000000-0005-0000-0000-00004B200000}"/>
    <cellStyle name="20% - Accent5 3 3 9 5" xfId="8854" xr:uid="{00000000-0005-0000-0000-00004C200000}"/>
    <cellStyle name="20% - Accent5 3 3 9 6" xfId="8855" xr:uid="{00000000-0005-0000-0000-00004D200000}"/>
    <cellStyle name="20% - Accent5 3 4" xfId="8856" xr:uid="{00000000-0005-0000-0000-00004E200000}"/>
    <cellStyle name="20% - Accent5 3 4 10" xfId="8857" xr:uid="{00000000-0005-0000-0000-00004F200000}"/>
    <cellStyle name="20% - Accent5 3 4 11" xfId="8858" xr:uid="{00000000-0005-0000-0000-000050200000}"/>
    <cellStyle name="20% - Accent5 3 4 12" xfId="8859" xr:uid="{00000000-0005-0000-0000-000051200000}"/>
    <cellStyle name="20% - Accent5 3 4 13" xfId="8860" xr:uid="{00000000-0005-0000-0000-000052200000}"/>
    <cellStyle name="20% - Accent5 3 4 2" xfId="8861" xr:uid="{00000000-0005-0000-0000-000053200000}"/>
    <cellStyle name="20% - Accent5 3 4 2 10" xfId="8862" xr:uid="{00000000-0005-0000-0000-000054200000}"/>
    <cellStyle name="20% - Accent5 3 4 2 2" xfId="8863" xr:uid="{00000000-0005-0000-0000-000055200000}"/>
    <cellStyle name="20% - Accent5 3 4 2 2 2" xfId="8864" xr:uid="{00000000-0005-0000-0000-000056200000}"/>
    <cellStyle name="20% - Accent5 3 4 2 2 2 2" xfId="8865" xr:uid="{00000000-0005-0000-0000-000057200000}"/>
    <cellStyle name="20% - Accent5 3 4 2 2 2 2 2" xfId="8866" xr:uid="{00000000-0005-0000-0000-000058200000}"/>
    <cellStyle name="20% - Accent5 3 4 2 2 2 2 3" xfId="8867" xr:uid="{00000000-0005-0000-0000-000059200000}"/>
    <cellStyle name="20% - Accent5 3 4 2 2 2 3" xfId="8868" xr:uid="{00000000-0005-0000-0000-00005A200000}"/>
    <cellStyle name="20% - Accent5 3 4 2 2 2 4" xfId="8869" xr:uid="{00000000-0005-0000-0000-00005B200000}"/>
    <cellStyle name="20% - Accent5 3 4 2 2 2 5" xfId="8870" xr:uid="{00000000-0005-0000-0000-00005C200000}"/>
    <cellStyle name="20% - Accent5 3 4 2 2 2 6" xfId="8871" xr:uid="{00000000-0005-0000-0000-00005D200000}"/>
    <cellStyle name="20% - Accent5 3 4 2 2 3" xfId="8872" xr:uid="{00000000-0005-0000-0000-00005E200000}"/>
    <cellStyle name="20% - Accent5 3 4 2 2 3 2" xfId="8873" xr:uid="{00000000-0005-0000-0000-00005F200000}"/>
    <cellStyle name="20% - Accent5 3 4 2 2 3 2 2" xfId="8874" xr:uid="{00000000-0005-0000-0000-000060200000}"/>
    <cellStyle name="20% - Accent5 3 4 2 2 3 2 3" xfId="8875" xr:uid="{00000000-0005-0000-0000-000061200000}"/>
    <cellStyle name="20% - Accent5 3 4 2 2 3 3" xfId="8876" xr:uid="{00000000-0005-0000-0000-000062200000}"/>
    <cellStyle name="20% - Accent5 3 4 2 2 3 4" xfId="8877" xr:uid="{00000000-0005-0000-0000-000063200000}"/>
    <cellStyle name="20% - Accent5 3 4 2 2 3 5" xfId="8878" xr:uid="{00000000-0005-0000-0000-000064200000}"/>
    <cellStyle name="20% - Accent5 3 4 2 2 3 6" xfId="8879" xr:uid="{00000000-0005-0000-0000-000065200000}"/>
    <cellStyle name="20% - Accent5 3 4 2 2 4" xfId="8880" xr:uid="{00000000-0005-0000-0000-000066200000}"/>
    <cellStyle name="20% - Accent5 3 4 2 2 4 2" xfId="8881" xr:uid="{00000000-0005-0000-0000-000067200000}"/>
    <cellStyle name="20% - Accent5 3 4 2 2 4 3" xfId="8882" xr:uid="{00000000-0005-0000-0000-000068200000}"/>
    <cellStyle name="20% - Accent5 3 4 2 2 5" xfId="8883" xr:uid="{00000000-0005-0000-0000-000069200000}"/>
    <cellStyle name="20% - Accent5 3 4 2 2 6" xfId="8884" xr:uid="{00000000-0005-0000-0000-00006A200000}"/>
    <cellStyle name="20% - Accent5 3 4 2 2 7" xfId="8885" xr:uid="{00000000-0005-0000-0000-00006B200000}"/>
    <cellStyle name="20% - Accent5 3 4 2 2 8" xfId="8886" xr:uid="{00000000-0005-0000-0000-00006C200000}"/>
    <cellStyle name="20% - Accent5 3 4 2 3" xfId="8887" xr:uid="{00000000-0005-0000-0000-00006D200000}"/>
    <cellStyle name="20% - Accent5 3 4 2 3 2" xfId="8888" xr:uid="{00000000-0005-0000-0000-00006E200000}"/>
    <cellStyle name="20% - Accent5 3 4 2 3 2 2" xfId="8889" xr:uid="{00000000-0005-0000-0000-00006F200000}"/>
    <cellStyle name="20% - Accent5 3 4 2 3 2 2 2" xfId="8890" xr:uid="{00000000-0005-0000-0000-000070200000}"/>
    <cellStyle name="20% - Accent5 3 4 2 3 2 2 3" xfId="8891" xr:uid="{00000000-0005-0000-0000-000071200000}"/>
    <cellStyle name="20% - Accent5 3 4 2 3 2 3" xfId="8892" xr:uid="{00000000-0005-0000-0000-000072200000}"/>
    <cellStyle name="20% - Accent5 3 4 2 3 2 4" xfId="8893" xr:uid="{00000000-0005-0000-0000-000073200000}"/>
    <cellStyle name="20% - Accent5 3 4 2 3 2 5" xfId="8894" xr:uid="{00000000-0005-0000-0000-000074200000}"/>
    <cellStyle name="20% - Accent5 3 4 2 3 2 6" xfId="8895" xr:uid="{00000000-0005-0000-0000-000075200000}"/>
    <cellStyle name="20% - Accent5 3 4 2 3 3" xfId="8896" xr:uid="{00000000-0005-0000-0000-000076200000}"/>
    <cellStyle name="20% - Accent5 3 4 2 3 3 2" xfId="8897" xr:uid="{00000000-0005-0000-0000-000077200000}"/>
    <cellStyle name="20% - Accent5 3 4 2 3 3 3" xfId="8898" xr:uid="{00000000-0005-0000-0000-000078200000}"/>
    <cellStyle name="20% - Accent5 3 4 2 3 4" xfId="8899" xr:uid="{00000000-0005-0000-0000-000079200000}"/>
    <cellStyle name="20% - Accent5 3 4 2 3 5" xfId="8900" xr:uid="{00000000-0005-0000-0000-00007A200000}"/>
    <cellStyle name="20% - Accent5 3 4 2 3 6" xfId="8901" xr:uid="{00000000-0005-0000-0000-00007B200000}"/>
    <cellStyle name="20% - Accent5 3 4 2 3 7" xfId="8902" xr:uid="{00000000-0005-0000-0000-00007C200000}"/>
    <cellStyle name="20% - Accent5 3 4 2 4" xfId="8903" xr:uid="{00000000-0005-0000-0000-00007D200000}"/>
    <cellStyle name="20% - Accent5 3 4 2 4 2" xfId="8904" xr:uid="{00000000-0005-0000-0000-00007E200000}"/>
    <cellStyle name="20% - Accent5 3 4 2 4 2 2" xfId="8905" xr:uid="{00000000-0005-0000-0000-00007F200000}"/>
    <cellStyle name="20% - Accent5 3 4 2 4 2 3" xfId="8906" xr:uid="{00000000-0005-0000-0000-000080200000}"/>
    <cellStyle name="20% - Accent5 3 4 2 4 3" xfId="8907" xr:uid="{00000000-0005-0000-0000-000081200000}"/>
    <cellStyle name="20% - Accent5 3 4 2 4 4" xfId="8908" xr:uid="{00000000-0005-0000-0000-000082200000}"/>
    <cellStyle name="20% - Accent5 3 4 2 4 5" xfId="8909" xr:uid="{00000000-0005-0000-0000-000083200000}"/>
    <cellStyle name="20% - Accent5 3 4 2 4 6" xfId="8910" xr:uid="{00000000-0005-0000-0000-000084200000}"/>
    <cellStyle name="20% - Accent5 3 4 2 5" xfId="8911" xr:uid="{00000000-0005-0000-0000-000085200000}"/>
    <cellStyle name="20% - Accent5 3 4 2 5 2" xfId="8912" xr:uid="{00000000-0005-0000-0000-000086200000}"/>
    <cellStyle name="20% - Accent5 3 4 2 5 2 2" xfId="8913" xr:uid="{00000000-0005-0000-0000-000087200000}"/>
    <cellStyle name="20% - Accent5 3 4 2 5 2 3" xfId="8914" xr:uid="{00000000-0005-0000-0000-000088200000}"/>
    <cellStyle name="20% - Accent5 3 4 2 5 3" xfId="8915" xr:uid="{00000000-0005-0000-0000-000089200000}"/>
    <cellStyle name="20% - Accent5 3 4 2 5 4" xfId="8916" xr:uid="{00000000-0005-0000-0000-00008A200000}"/>
    <cellStyle name="20% - Accent5 3 4 2 5 5" xfId="8917" xr:uid="{00000000-0005-0000-0000-00008B200000}"/>
    <cellStyle name="20% - Accent5 3 4 2 5 6" xfId="8918" xr:uid="{00000000-0005-0000-0000-00008C200000}"/>
    <cellStyle name="20% - Accent5 3 4 2 6" xfId="8919" xr:uid="{00000000-0005-0000-0000-00008D200000}"/>
    <cellStyle name="20% - Accent5 3 4 2 6 2" xfId="8920" xr:uid="{00000000-0005-0000-0000-00008E200000}"/>
    <cellStyle name="20% - Accent5 3 4 2 6 3" xfId="8921" xr:uid="{00000000-0005-0000-0000-00008F200000}"/>
    <cellStyle name="20% - Accent5 3 4 2 7" xfId="8922" xr:uid="{00000000-0005-0000-0000-000090200000}"/>
    <cellStyle name="20% - Accent5 3 4 2 8" xfId="8923" xr:uid="{00000000-0005-0000-0000-000091200000}"/>
    <cellStyle name="20% - Accent5 3 4 2 9" xfId="8924" xr:uid="{00000000-0005-0000-0000-000092200000}"/>
    <cellStyle name="20% - Accent5 3 4 3" xfId="8925" xr:uid="{00000000-0005-0000-0000-000093200000}"/>
    <cellStyle name="20% - Accent5 3 4 3 2" xfId="8926" xr:uid="{00000000-0005-0000-0000-000094200000}"/>
    <cellStyle name="20% - Accent5 3 4 3 2 2" xfId="8927" xr:uid="{00000000-0005-0000-0000-000095200000}"/>
    <cellStyle name="20% - Accent5 3 4 3 2 2 2" xfId="8928" xr:uid="{00000000-0005-0000-0000-000096200000}"/>
    <cellStyle name="20% - Accent5 3 4 3 2 2 2 2" xfId="8929" xr:uid="{00000000-0005-0000-0000-000097200000}"/>
    <cellStyle name="20% - Accent5 3 4 3 2 2 2 3" xfId="8930" xr:uid="{00000000-0005-0000-0000-000098200000}"/>
    <cellStyle name="20% - Accent5 3 4 3 2 2 3" xfId="8931" xr:uid="{00000000-0005-0000-0000-000099200000}"/>
    <cellStyle name="20% - Accent5 3 4 3 2 2 4" xfId="8932" xr:uid="{00000000-0005-0000-0000-00009A200000}"/>
    <cellStyle name="20% - Accent5 3 4 3 2 2 5" xfId="8933" xr:uid="{00000000-0005-0000-0000-00009B200000}"/>
    <cellStyle name="20% - Accent5 3 4 3 2 2 6" xfId="8934" xr:uid="{00000000-0005-0000-0000-00009C200000}"/>
    <cellStyle name="20% - Accent5 3 4 3 2 3" xfId="8935" xr:uid="{00000000-0005-0000-0000-00009D200000}"/>
    <cellStyle name="20% - Accent5 3 4 3 2 3 2" xfId="8936" xr:uid="{00000000-0005-0000-0000-00009E200000}"/>
    <cellStyle name="20% - Accent5 3 4 3 2 3 3" xfId="8937" xr:uid="{00000000-0005-0000-0000-00009F200000}"/>
    <cellStyle name="20% - Accent5 3 4 3 2 4" xfId="8938" xr:uid="{00000000-0005-0000-0000-0000A0200000}"/>
    <cellStyle name="20% - Accent5 3 4 3 2 5" xfId="8939" xr:uid="{00000000-0005-0000-0000-0000A1200000}"/>
    <cellStyle name="20% - Accent5 3 4 3 2 6" xfId="8940" xr:uid="{00000000-0005-0000-0000-0000A2200000}"/>
    <cellStyle name="20% - Accent5 3 4 3 2 7" xfId="8941" xr:uid="{00000000-0005-0000-0000-0000A3200000}"/>
    <cellStyle name="20% - Accent5 3 4 3 3" xfId="8942" xr:uid="{00000000-0005-0000-0000-0000A4200000}"/>
    <cellStyle name="20% - Accent5 3 4 3 3 2" xfId="8943" xr:uid="{00000000-0005-0000-0000-0000A5200000}"/>
    <cellStyle name="20% - Accent5 3 4 3 3 2 2" xfId="8944" xr:uid="{00000000-0005-0000-0000-0000A6200000}"/>
    <cellStyle name="20% - Accent5 3 4 3 3 2 3" xfId="8945" xr:uid="{00000000-0005-0000-0000-0000A7200000}"/>
    <cellStyle name="20% - Accent5 3 4 3 3 3" xfId="8946" xr:uid="{00000000-0005-0000-0000-0000A8200000}"/>
    <cellStyle name="20% - Accent5 3 4 3 3 4" xfId="8947" xr:uid="{00000000-0005-0000-0000-0000A9200000}"/>
    <cellStyle name="20% - Accent5 3 4 3 3 5" xfId="8948" xr:uid="{00000000-0005-0000-0000-0000AA200000}"/>
    <cellStyle name="20% - Accent5 3 4 3 3 6" xfId="8949" xr:uid="{00000000-0005-0000-0000-0000AB200000}"/>
    <cellStyle name="20% - Accent5 3 4 3 4" xfId="8950" xr:uid="{00000000-0005-0000-0000-0000AC200000}"/>
    <cellStyle name="20% - Accent5 3 4 3 4 2" xfId="8951" xr:uid="{00000000-0005-0000-0000-0000AD200000}"/>
    <cellStyle name="20% - Accent5 3 4 3 4 2 2" xfId="8952" xr:uid="{00000000-0005-0000-0000-0000AE200000}"/>
    <cellStyle name="20% - Accent5 3 4 3 4 2 3" xfId="8953" xr:uid="{00000000-0005-0000-0000-0000AF200000}"/>
    <cellStyle name="20% - Accent5 3 4 3 4 3" xfId="8954" xr:uid="{00000000-0005-0000-0000-0000B0200000}"/>
    <cellStyle name="20% - Accent5 3 4 3 4 4" xfId="8955" xr:uid="{00000000-0005-0000-0000-0000B1200000}"/>
    <cellStyle name="20% - Accent5 3 4 3 4 5" xfId="8956" xr:uid="{00000000-0005-0000-0000-0000B2200000}"/>
    <cellStyle name="20% - Accent5 3 4 3 4 6" xfId="8957" xr:uid="{00000000-0005-0000-0000-0000B3200000}"/>
    <cellStyle name="20% - Accent5 3 4 3 5" xfId="8958" xr:uid="{00000000-0005-0000-0000-0000B4200000}"/>
    <cellStyle name="20% - Accent5 3 4 3 5 2" xfId="8959" xr:uid="{00000000-0005-0000-0000-0000B5200000}"/>
    <cellStyle name="20% - Accent5 3 4 3 5 3" xfId="8960" xr:uid="{00000000-0005-0000-0000-0000B6200000}"/>
    <cellStyle name="20% - Accent5 3 4 3 6" xfId="8961" xr:uid="{00000000-0005-0000-0000-0000B7200000}"/>
    <cellStyle name="20% - Accent5 3 4 3 7" xfId="8962" xr:uid="{00000000-0005-0000-0000-0000B8200000}"/>
    <cellStyle name="20% - Accent5 3 4 3 8" xfId="8963" xr:uid="{00000000-0005-0000-0000-0000B9200000}"/>
    <cellStyle name="20% - Accent5 3 4 3 9" xfId="8964" xr:uid="{00000000-0005-0000-0000-0000BA200000}"/>
    <cellStyle name="20% - Accent5 3 4 4" xfId="8965" xr:uid="{00000000-0005-0000-0000-0000BB200000}"/>
    <cellStyle name="20% - Accent5 3 4 4 2" xfId="8966" xr:uid="{00000000-0005-0000-0000-0000BC200000}"/>
    <cellStyle name="20% - Accent5 3 4 4 2 2" xfId="8967" xr:uid="{00000000-0005-0000-0000-0000BD200000}"/>
    <cellStyle name="20% - Accent5 3 4 4 2 2 2" xfId="8968" xr:uid="{00000000-0005-0000-0000-0000BE200000}"/>
    <cellStyle name="20% - Accent5 3 4 4 2 2 3" xfId="8969" xr:uid="{00000000-0005-0000-0000-0000BF200000}"/>
    <cellStyle name="20% - Accent5 3 4 4 2 3" xfId="8970" xr:uid="{00000000-0005-0000-0000-0000C0200000}"/>
    <cellStyle name="20% - Accent5 3 4 4 2 4" xfId="8971" xr:uid="{00000000-0005-0000-0000-0000C1200000}"/>
    <cellStyle name="20% - Accent5 3 4 4 2 5" xfId="8972" xr:uid="{00000000-0005-0000-0000-0000C2200000}"/>
    <cellStyle name="20% - Accent5 3 4 4 2 6" xfId="8973" xr:uid="{00000000-0005-0000-0000-0000C3200000}"/>
    <cellStyle name="20% - Accent5 3 4 4 3" xfId="8974" xr:uid="{00000000-0005-0000-0000-0000C4200000}"/>
    <cellStyle name="20% - Accent5 3 4 4 3 2" xfId="8975" xr:uid="{00000000-0005-0000-0000-0000C5200000}"/>
    <cellStyle name="20% - Accent5 3 4 4 3 3" xfId="8976" xr:uid="{00000000-0005-0000-0000-0000C6200000}"/>
    <cellStyle name="20% - Accent5 3 4 4 4" xfId="8977" xr:uid="{00000000-0005-0000-0000-0000C7200000}"/>
    <cellStyle name="20% - Accent5 3 4 4 5" xfId="8978" xr:uid="{00000000-0005-0000-0000-0000C8200000}"/>
    <cellStyle name="20% - Accent5 3 4 4 6" xfId="8979" xr:uid="{00000000-0005-0000-0000-0000C9200000}"/>
    <cellStyle name="20% - Accent5 3 4 4 7" xfId="8980" xr:uid="{00000000-0005-0000-0000-0000CA200000}"/>
    <cellStyle name="20% - Accent5 3 4 5" xfId="8981" xr:uid="{00000000-0005-0000-0000-0000CB200000}"/>
    <cellStyle name="20% - Accent5 3 4 5 2" xfId="8982" xr:uid="{00000000-0005-0000-0000-0000CC200000}"/>
    <cellStyle name="20% - Accent5 3 4 5 2 2" xfId="8983" xr:uid="{00000000-0005-0000-0000-0000CD200000}"/>
    <cellStyle name="20% - Accent5 3 4 5 2 3" xfId="8984" xr:uid="{00000000-0005-0000-0000-0000CE200000}"/>
    <cellStyle name="20% - Accent5 3 4 5 3" xfId="8985" xr:uid="{00000000-0005-0000-0000-0000CF200000}"/>
    <cellStyle name="20% - Accent5 3 4 5 4" xfId="8986" xr:uid="{00000000-0005-0000-0000-0000D0200000}"/>
    <cellStyle name="20% - Accent5 3 4 5 5" xfId="8987" xr:uid="{00000000-0005-0000-0000-0000D1200000}"/>
    <cellStyle name="20% - Accent5 3 4 5 6" xfId="8988" xr:uid="{00000000-0005-0000-0000-0000D2200000}"/>
    <cellStyle name="20% - Accent5 3 4 6" xfId="8989" xr:uid="{00000000-0005-0000-0000-0000D3200000}"/>
    <cellStyle name="20% - Accent5 3 4 6 2" xfId="8990" xr:uid="{00000000-0005-0000-0000-0000D4200000}"/>
    <cellStyle name="20% - Accent5 3 4 6 2 2" xfId="8991" xr:uid="{00000000-0005-0000-0000-0000D5200000}"/>
    <cellStyle name="20% - Accent5 3 4 6 2 3" xfId="8992" xr:uid="{00000000-0005-0000-0000-0000D6200000}"/>
    <cellStyle name="20% - Accent5 3 4 6 3" xfId="8993" xr:uid="{00000000-0005-0000-0000-0000D7200000}"/>
    <cellStyle name="20% - Accent5 3 4 6 4" xfId="8994" xr:uid="{00000000-0005-0000-0000-0000D8200000}"/>
    <cellStyle name="20% - Accent5 3 4 6 5" xfId="8995" xr:uid="{00000000-0005-0000-0000-0000D9200000}"/>
    <cellStyle name="20% - Accent5 3 4 6 6" xfId="8996" xr:uid="{00000000-0005-0000-0000-0000DA200000}"/>
    <cellStyle name="20% - Accent5 3 4 7" xfId="8997" xr:uid="{00000000-0005-0000-0000-0000DB200000}"/>
    <cellStyle name="20% - Accent5 3 4 7 2" xfId="8998" xr:uid="{00000000-0005-0000-0000-0000DC200000}"/>
    <cellStyle name="20% - Accent5 3 4 7 2 2" xfId="8999" xr:uid="{00000000-0005-0000-0000-0000DD200000}"/>
    <cellStyle name="20% - Accent5 3 4 7 2 3" xfId="9000" xr:uid="{00000000-0005-0000-0000-0000DE200000}"/>
    <cellStyle name="20% - Accent5 3 4 7 3" xfId="9001" xr:uid="{00000000-0005-0000-0000-0000DF200000}"/>
    <cellStyle name="20% - Accent5 3 4 7 4" xfId="9002" xr:uid="{00000000-0005-0000-0000-0000E0200000}"/>
    <cellStyle name="20% - Accent5 3 4 7 5" xfId="9003" xr:uid="{00000000-0005-0000-0000-0000E1200000}"/>
    <cellStyle name="20% - Accent5 3 4 7 6" xfId="9004" xr:uid="{00000000-0005-0000-0000-0000E2200000}"/>
    <cellStyle name="20% - Accent5 3 4 8" xfId="9005" xr:uid="{00000000-0005-0000-0000-0000E3200000}"/>
    <cellStyle name="20% - Accent5 3 4 8 2" xfId="9006" xr:uid="{00000000-0005-0000-0000-0000E4200000}"/>
    <cellStyle name="20% - Accent5 3 4 8 2 2" xfId="9007" xr:uid="{00000000-0005-0000-0000-0000E5200000}"/>
    <cellStyle name="20% - Accent5 3 4 8 2 3" xfId="9008" xr:uid="{00000000-0005-0000-0000-0000E6200000}"/>
    <cellStyle name="20% - Accent5 3 4 8 3" xfId="9009" xr:uid="{00000000-0005-0000-0000-0000E7200000}"/>
    <cellStyle name="20% - Accent5 3 4 8 4" xfId="9010" xr:uid="{00000000-0005-0000-0000-0000E8200000}"/>
    <cellStyle name="20% - Accent5 3 4 8 5" xfId="9011" xr:uid="{00000000-0005-0000-0000-0000E9200000}"/>
    <cellStyle name="20% - Accent5 3 4 8 6" xfId="9012" xr:uid="{00000000-0005-0000-0000-0000EA200000}"/>
    <cellStyle name="20% - Accent5 3 4 9" xfId="9013" xr:uid="{00000000-0005-0000-0000-0000EB200000}"/>
    <cellStyle name="20% - Accent5 3 4 9 2" xfId="9014" xr:uid="{00000000-0005-0000-0000-0000EC200000}"/>
    <cellStyle name="20% - Accent5 3 4 9 3" xfId="9015" xr:uid="{00000000-0005-0000-0000-0000ED200000}"/>
    <cellStyle name="20% - Accent5 3 5" xfId="9016" xr:uid="{00000000-0005-0000-0000-0000EE200000}"/>
    <cellStyle name="20% - Accent5 3 5 10" xfId="9017" xr:uid="{00000000-0005-0000-0000-0000EF200000}"/>
    <cellStyle name="20% - Accent5 3 5 2" xfId="9018" xr:uid="{00000000-0005-0000-0000-0000F0200000}"/>
    <cellStyle name="20% - Accent5 3 5 2 2" xfId="9019" xr:uid="{00000000-0005-0000-0000-0000F1200000}"/>
    <cellStyle name="20% - Accent5 3 5 2 2 2" xfId="9020" xr:uid="{00000000-0005-0000-0000-0000F2200000}"/>
    <cellStyle name="20% - Accent5 3 5 2 2 2 2" xfId="9021" xr:uid="{00000000-0005-0000-0000-0000F3200000}"/>
    <cellStyle name="20% - Accent5 3 5 2 2 2 3" xfId="9022" xr:uid="{00000000-0005-0000-0000-0000F4200000}"/>
    <cellStyle name="20% - Accent5 3 5 2 2 3" xfId="9023" xr:uid="{00000000-0005-0000-0000-0000F5200000}"/>
    <cellStyle name="20% - Accent5 3 5 2 2 4" xfId="9024" xr:uid="{00000000-0005-0000-0000-0000F6200000}"/>
    <cellStyle name="20% - Accent5 3 5 2 2 5" xfId="9025" xr:uid="{00000000-0005-0000-0000-0000F7200000}"/>
    <cellStyle name="20% - Accent5 3 5 2 2 6" xfId="9026" xr:uid="{00000000-0005-0000-0000-0000F8200000}"/>
    <cellStyle name="20% - Accent5 3 5 2 3" xfId="9027" xr:uid="{00000000-0005-0000-0000-0000F9200000}"/>
    <cellStyle name="20% - Accent5 3 5 2 3 2" xfId="9028" xr:uid="{00000000-0005-0000-0000-0000FA200000}"/>
    <cellStyle name="20% - Accent5 3 5 2 3 2 2" xfId="9029" xr:uid="{00000000-0005-0000-0000-0000FB200000}"/>
    <cellStyle name="20% - Accent5 3 5 2 3 2 3" xfId="9030" xr:uid="{00000000-0005-0000-0000-0000FC200000}"/>
    <cellStyle name="20% - Accent5 3 5 2 3 3" xfId="9031" xr:uid="{00000000-0005-0000-0000-0000FD200000}"/>
    <cellStyle name="20% - Accent5 3 5 2 3 4" xfId="9032" xr:uid="{00000000-0005-0000-0000-0000FE200000}"/>
    <cellStyle name="20% - Accent5 3 5 2 3 5" xfId="9033" xr:uid="{00000000-0005-0000-0000-0000FF200000}"/>
    <cellStyle name="20% - Accent5 3 5 2 3 6" xfId="9034" xr:uid="{00000000-0005-0000-0000-000000210000}"/>
    <cellStyle name="20% - Accent5 3 5 2 4" xfId="9035" xr:uid="{00000000-0005-0000-0000-000001210000}"/>
    <cellStyle name="20% - Accent5 3 5 2 4 2" xfId="9036" xr:uid="{00000000-0005-0000-0000-000002210000}"/>
    <cellStyle name="20% - Accent5 3 5 2 4 3" xfId="9037" xr:uid="{00000000-0005-0000-0000-000003210000}"/>
    <cellStyle name="20% - Accent5 3 5 2 5" xfId="9038" xr:uid="{00000000-0005-0000-0000-000004210000}"/>
    <cellStyle name="20% - Accent5 3 5 2 6" xfId="9039" xr:uid="{00000000-0005-0000-0000-000005210000}"/>
    <cellStyle name="20% - Accent5 3 5 2 7" xfId="9040" xr:uid="{00000000-0005-0000-0000-000006210000}"/>
    <cellStyle name="20% - Accent5 3 5 2 8" xfId="9041" xr:uid="{00000000-0005-0000-0000-000007210000}"/>
    <cellStyle name="20% - Accent5 3 5 3" xfId="9042" xr:uid="{00000000-0005-0000-0000-000008210000}"/>
    <cellStyle name="20% - Accent5 3 5 3 2" xfId="9043" xr:uid="{00000000-0005-0000-0000-000009210000}"/>
    <cellStyle name="20% - Accent5 3 5 3 2 2" xfId="9044" xr:uid="{00000000-0005-0000-0000-00000A210000}"/>
    <cellStyle name="20% - Accent5 3 5 3 2 2 2" xfId="9045" xr:uid="{00000000-0005-0000-0000-00000B210000}"/>
    <cellStyle name="20% - Accent5 3 5 3 2 2 3" xfId="9046" xr:uid="{00000000-0005-0000-0000-00000C210000}"/>
    <cellStyle name="20% - Accent5 3 5 3 2 3" xfId="9047" xr:uid="{00000000-0005-0000-0000-00000D210000}"/>
    <cellStyle name="20% - Accent5 3 5 3 2 4" xfId="9048" xr:uid="{00000000-0005-0000-0000-00000E210000}"/>
    <cellStyle name="20% - Accent5 3 5 3 2 5" xfId="9049" xr:uid="{00000000-0005-0000-0000-00000F210000}"/>
    <cellStyle name="20% - Accent5 3 5 3 2 6" xfId="9050" xr:uid="{00000000-0005-0000-0000-000010210000}"/>
    <cellStyle name="20% - Accent5 3 5 3 3" xfId="9051" xr:uid="{00000000-0005-0000-0000-000011210000}"/>
    <cellStyle name="20% - Accent5 3 5 3 3 2" xfId="9052" xr:uid="{00000000-0005-0000-0000-000012210000}"/>
    <cellStyle name="20% - Accent5 3 5 3 3 3" xfId="9053" xr:uid="{00000000-0005-0000-0000-000013210000}"/>
    <cellStyle name="20% - Accent5 3 5 3 4" xfId="9054" xr:uid="{00000000-0005-0000-0000-000014210000}"/>
    <cellStyle name="20% - Accent5 3 5 3 5" xfId="9055" xr:uid="{00000000-0005-0000-0000-000015210000}"/>
    <cellStyle name="20% - Accent5 3 5 3 6" xfId="9056" xr:uid="{00000000-0005-0000-0000-000016210000}"/>
    <cellStyle name="20% - Accent5 3 5 3 7" xfId="9057" xr:uid="{00000000-0005-0000-0000-000017210000}"/>
    <cellStyle name="20% - Accent5 3 5 4" xfId="9058" xr:uid="{00000000-0005-0000-0000-000018210000}"/>
    <cellStyle name="20% - Accent5 3 5 4 2" xfId="9059" xr:uid="{00000000-0005-0000-0000-000019210000}"/>
    <cellStyle name="20% - Accent5 3 5 4 2 2" xfId="9060" xr:uid="{00000000-0005-0000-0000-00001A210000}"/>
    <cellStyle name="20% - Accent5 3 5 4 2 3" xfId="9061" xr:uid="{00000000-0005-0000-0000-00001B210000}"/>
    <cellStyle name="20% - Accent5 3 5 4 3" xfId="9062" xr:uid="{00000000-0005-0000-0000-00001C210000}"/>
    <cellStyle name="20% - Accent5 3 5 4 4" xfId="9063" xr:uid="{00000000-0005-0000-0000-00001D210000}"/>
    <cellStyle name="20% - Accent5 3 5 4 5" xfId="9064" xr:uid="{00000000-0005-0000-0000-00001E210000}"/>
    <cellStyle name="20% - Accent5 3 5 4 6" xfId="9065" xr:uid="{00000000-0005-0000-0000-00001F210000}"/>
    <cellStyle name="20% - Accent5 3 5 5" xfId="9066" xr:uid="{00000000-0005-0000-0000-000020210000}"/>
    <cellStyle name="20% - Accent5 3 5 5 2" xfId="9067" xr:uid="{00000000-0005-0000-0000-000021210000}"/>
    <cellStyle name="20% - Accent5 3 5 5 2 2" xfId="9068" xr:uid="{00000000-0005-0000-0000-000022210000}"/>
    <cellStyle name="20% - Accent5 3 5 5 2 3" xfId="9069" xr:uid="{00000000-0005-0000-0000-000023210000}"/>
    <cellStyle name="20% - Accent5 3 5 5 3" xfId="9070" xr:uid="{00000000-0005-0000-0000-000024210000}"/>
    <cellStyle name="20% - Accent5 3 5 5 4" xfId="9071" xr:uid="{00000000-0005-0000-0000-000025210000}"/>
    <cellStyle name="20% - Accent5 3 5 5 5" xfId="9072" xr:uid="{00000000-0005-0000-0000-000026210000}"/>
    <cellStyle name="20% - Accent5 3 5 5 6" xfId="9073" xr:uid="{00000000-0005-0000-0000-000027210000}"/>
    <cellStyle name="20% - Accent5 3 5 6" xfId="9074" xr:uid="{00000000-0005-0000-0000-000028210000}"/>
    <cellStyle name="20% - Accent5 3 5 6 2" xfId="9075" xr:uid="{00000000-0005-0000-0000-000029210000}"/>
    <cellStyle name="20% - Accent5 3 5 6 3" xfId="9076" xr:uid="{00000000-0005-0000-0000-00002A210000}"/>
    <cellStyle name="20% - Accent5 3 5 7" xfId="9077" xr:uid="{00000000-0005-0000-0000-00002B210000}"/>
    <cellStyle name="20% - Accent5 3 5 8" xfId="9078" xr:uid="{00000000-0005-0000-0000-00002C210000}"/>
    <cellStyle name="20% - Accent5 3 5 9" xfId="9079" xr:uid="{00000000-0005-0000-0000-00002D210000}"/>
    <cellStyle name="20% - Accent5 3 6" xfId="9080" xr:uid="{00000000-0005-0000-0000-00002E210000}"/>
    <cellStyle name="20% - Accent5 3 6 2" xfId="9081" xr:uid="{00000000-0005-0000-0000-00002F210000}"/>
    <cellStyle name="20% - Accent5 3 6 2 2" xfId="9082" xr:uid="{00000000-0005-0000-0000-000030210000}"/>
    <cellStyle name="20% - Accent5 3 6 2 2 2" xfId="9083" xr:uid="{00000000-0005-0000-0000-000031210000}"/>
    <cellStyle name="20% - Accent5 3 6 2 2 2 2" xfId="9084" xr:uid="{00000000-0005-0000-0000-000032210000}"/>
    <cellStyle name="20% - Accent5 3 6 2 2 2 3" xfId="9085" xr:uid="{00000000-0005-0000-0000-000033210000}"/>
    <cellStyle name="20% - Accent5 3 6 2 2 3" xfId="9086" xr:uid="{00000000-0005-0000-0000-000034210000}"/>
    <cellStyle name="20% - Accent5 3 6 2 2 4" xfId="9087" xr:uid="{00000000-0005-0000-0000-000035210000}"/>
    <cellStyle name="20% - Accent5 3 6 2 2 5" xfId="9088" xr:uid="{00000000-0005-0000-0000-000036210000}"/>
    <cellStyle name="20% - Accent5 3 6 2 2 6" xfId="9089" xr:uid="{00000000-0005-0000-0000-000037210000}"/>
    <cellStyle name="20% - Accent5 3 6 2 3" xfId="9090" xr:uid="{00000000-0005-0000-0000-000038210000}"/>
    <cellStyle name="20% - Accent5 3 6 2 3 2" xfId="9091" xr:uid="{00000000-0005-0000-0000-000039210000}"/>
    <cellStyle name="20% - Accent5 3 6 2 3 3" xfId="9092" xr:uid="{00000000-0005-0000-0000-00003A210000}"/>
    <cellStyle name="20% - Accent5 3 6 2 4" xfId="9093" xr:uid="{00000000-0005-0000-0000-00003B210000}"/>
    <cellStyle name="20% - Accent5 3 6 2 5" xfId="9094" xr:uid="{00000000-0005-0000-0000-00003C210000}"/>
    <cellStyle name="20% - Accent5 3 6 2 6" xfId="9095" xr:uid="{00000000-0005-0000-0000-00003D210000}"/>
    <cellStyle name="20% - Accent5 3 6 2 7" xfId="9096" xr:uid="{00000000-0005-0000-0000-00003E210000}"/>
    <cellStyle name="20% - Accent5 3 6 3" xfId="9097" xr:uid="{00000000-0005-0000-0000-00003F210000}"/>
    <cellStyle name="20% - Accent5 3 6 3 2" xfId="9098" xr:uid="{00000000-0005-0000-0000-000040210000}"/>
    <cellStyle name="20% - Accent5 3 6 3 2 2" xfId="9099" xr:uid="{00000000-0005-0000-0000-000041210000}"/>
    <cellStyle name="20% - Accent5 3 6 3 2 3" xfId="9100" xr:uid="{00000000-0005-0000-0000-000042210000}"/>
    <cellStyle name="20% - Accent5 3 6 3 3" xfId="9101" xr:uid="{00000000-0005-0000-0000-000043210000}"/>
    <cellStyle name="20% - Accent5 3 6 3 4" xfId="9102" xr:uid="{00000000-0005-0000-0000-000044210000}"/>
    <cellStyle name="20% - Accent5 3 6 3 5" xfId="9103" xr:uid="{00000000-0005-0000-0000-000045210000}"/>
    <cellStyle name="20% - Accent5 3 6 3 6" xfId="9104" xr:uid="{00000000-0005-0000-0000-000046210000}"/>
    <cellStyle name="20% - Accent5 3 6 4" xfId="9105" xr:uid="{00000000-0005-0000-0000-000047210000}"/>
    <cellStyle name="20% - Accent5 3 6 4 2" xfId="9106" xr:uid="{00000000-0005-0000-0000-000048210000}"/>
    <cellStyle name="20% - Accent5 3 6 4 2 2" xfId="9107" xr:uid="{00000000-0005-0000-0000-000049210000}"/>
    <cellStyle name="20% - Accent5 3 6 4 2 3" xfId="9108" xr:uid="{00000000-0005-0000-0000-00004A210000}"/>
    <cellStyle name="20% - Accent5 3 6 4 3" xfId="9109" xr:uid="{00000000-0005-0000-0000-00004B210000}"/>
    <cellStyle name="20% - Accent5 3 6 4 4" xfId="9110" xr:uid="{00000000-0005-0000-0000-00004C210000}"/>
    <cellStyle name="20% - Accent5 3 6 4 5" xfId="9111" xr:uid="{00000000-0005-0000-0000-00004D210000}"/>
    <cellStyle name="20% - Accent5 3 6 4 6" xfId="9112" xr:uid="{00000000-0005-0000-0000-00004E210000}"/>
    <cellStyle name="20% - Accent5 3 6 5" xfId="9113" xr:uid="{00000000-0005-0000-0000-00004F210000}"/>
    <cellStyle name="20% - Accent5 3 6 5 2" xfId="9114" xr:uid="{00000000-0005-0000-0000-000050210000}"/>
    <cellStyle name="20% - Accent5 3 6 5 3" xfId="9115" xr:uid="{00000000-0005-0000-0000-000051210000}"/>
    <cellStyle name="20% - Accent5 3 6 6" xfId="9116" xr:uid="{00000000-0005-0000-0000-000052210000}"/>
    <cellStyle name="20% - Accent5 3 6 7" xfId="9117" xr:uid="{00000000-0005-0000-0000-000053210000}"/>
    <cellStyle name="20% - Accent5 3 6 8" xfId="9118" xr:uid="{00000000-0005-0000-0000-000054210000}"/>
    <cellStyle name="20% - Accent5 3 6 9" xfId="9119" xr:uid="{00000000-0005-0000-0000-000055210000}"/>
    <cellStyle name="20% - Accent5 3 7" xfId="9120" xr:uid="{00000000-0005-0000-0000-000056210000}"/>
    <cellStyle name="20% - Accent5 3 7 2" xfId="9121" xr:uid="{00000000-0005-0000-0000-000057210000}"/>
    <cellStyle name="20% - Accent5 3 7 2 2" xfId="9122" xr:uid="{00000000-0005-0000-0000-000058210000}"/>
    <cellStyle name="20% - Accent5 3 7 2 2 2" xfId="9123" xr:uid="{00000000-0005-0000-0000-000059210000}"/>
    <cellStyle name="20% - Accent5 3 7 2 2 3" xfId="9124" xr:uid="{00000000-0005-0000-0000-00005A210000}"/>
    <cellStyle name="20% - Accent5 3 7 2 3" xfId="9125" xr:uid="{00000000-0005-0000-0000-00005B210000}"/>
    <cellStyle name="20% - Accent5 3 7 2 4" xfId="9126" xr:uid="{00000000-0005-0000-0000-00005C210000}"/>
    <cellStyle name="20% - Accent5 3 7 2 5" xfId="9127" xr:uid="{00000000-0005-0000-0000-00005D210000}"/>
    <cellStyle name="20% - Accent5 3 7 2 6" xfId="9128" xr:uid="{00000000-0005-0000-0000-00005E210000}"/>
    <cellStyle name="20% - Accent5 3 7 3" xfId="9129" xr:uid="{00000000-0005-0000-0000-00005F210000}"/>
    <cellStyle name="20% - Accent5 3 7 3 2" xfId="9130" xr:uid="{00000000-0005-0000-0000-000060210000}"/>
    <cellStyle name="20% - Accent5 3 7 3 3" xfId="9131" xr:uid="{00000000-0005-0000-0000-000061210000}"/>
    <cellStyle name="20% - Accent5 3 7 4" xfId="9132" xr:uid="{00000000-0005-0000-0000-000062210000}"/>
    <cellStyle name="20% - Accent5 3 7 5" xfId="9133" xr:uid="{00000000-0005-0000-0000-000063210000}"/>
    <cellStyle name="20% - Accent5 3 7 6" xfId="9134" xr:uid="{00000000-0005-0000-0000-000064210000}"/>
    <cellStyle name="20% - Accent5 3 7 7" xfId="9135" xr:uid="{00000000-0005-0000-0000-000065210000}"/>
    <cellStyle name="20% - Accent5 3 8" xfId="9136" xr:uid="{00000000-0005-0000-0000-000066210000}"/>
    <cellStyle name="20% - Accent5 3 8 2" xfId="9137" xr:uid="{00000000-0005-0000-0000-000067210000}"/>
    <cellStyle name="20% - Accent5 3 8 2 2" xfId="9138" xr:uid="{00000000-0005-0000-0000-000068210000}"/>
    <cellStyle name="20% - Accent5 3 8 2 3" xfId="9139" xr:uid="{00000000-0005-0000-0000-000069210000}"/>
    <cellStyle name="20% - Accent5 3 8 3" xfId="9140" xr:uid="{00000000-0005-0000-0000-00006A210000}"/>
    <cellStyle name="20% - Accent5 3 8 4" xfId="9141" xr:uid="{00000000-0005-0000-0000-00006B210000}"/>
    <cellStyle name="20% - Accent5 3 8 5" xfId="9142" xr:uid="{00000000-0005-0000-0000-00006C210000}"/>
    <cellStyle name="20% - Accent5 3 8 6" xfId="9143" xr:uid="{00000000-0005-0000-0000-00006D210000}"/>
    <cellStyle name="20% - Accent5 3 9" xfId="9144" xr:uid="{00000000-0005-0000-0000-00006E210000}"/>
    <cellStyle name="20% - Accent5 3 9 2" xfId="9145" xr:uid="{00000000-0005-0000-0000-00006F210000}"/>
    <cellStyle name="20% - Accent5 3 9 2 2" xfId="9146" xr:uid="{00000000-0005-0000-0000-000070210000}"/>
    <cellStyle name="20% - Accent5 3 9 2 3" xfId="9147" xr:uid="{00000000-0005-0000-0000-000071210000}"/>
    <cellStyle name="20% - Accent5 3 9 3" xfId="9148" xr:uid="{00000000-0005-0000-0000-000072210000}"/>
    <cellStyle name="20% - Accent5 3 9 4" xfId="9149" xr:uid="{00000000-0005-0000-0000-000073210000}"/>
    <cellStyle name="20% - Accent5 3 9 5" xfId="9150" xr:uid="{00000000-0005-0000-0000-000074210000}"/>
    <cellStyle name="20% - Accent5 3 9 6" xfId="9151" xr:uid="{00000000-0005-0000-0000-000075210000}"/>
    <cellStyle name="20% - Accent5 4" xfId="9152" xr:uid="{00000000-0005-0000-0000-000076210000}"/>
    <cellStyle name="20% - Accent5 4 10" xfId="9153" xr:uid="{00000000-0005-0000-0000-000077210000}"/>
    <cellStyle name="20% - Accent5 4 10 2" xfId="9154" xr:uid="{00000000-0005-0000-0000-000078210000}"/>
    <cellStyle name="20% - Accent5 4 10 2 2" xfId="9155" xr:uid="{00000000-0005-0000-0000-000079210000}"/>
    <cellStyle name="20% - Accent5 4 10 2 3" xfId="9156" xr:uid="{00000000-0005-0000-0000-00007A210000}"/>
    <cellStyle name="20% - Accent5 4 10 3" xfId="9157" xr:uid="{00000000-0005-0000-0000-00007B210000}"/>
    <cellStyle name="20% - Accent5 4 10 4" xfId="9158" xr:uid="{00000000-0005-0000-0000-00007C210000}"/>
    <cellStyle name="20% - Accent5 4 10 5" xfId="9159" xr:uid="{00000000-0005-0000-0000-00007D210000}"/>
    <cellStyle name="20% - Accent5 4 10 6" xfId="9160" xr:uid="{00000000-0005-0000-0000-00007E210000}"/>
    <cellStyle name="20% - Accent5 4 11" xfId="9161" xr:uid="{00000000-0005-0000-0000-00007F210000}"/>
    <cellStyle name="20% - Accent5 4 11 2" xfId="9162" xr:uid="{00000000-0005-0000-0000-000080210000}"/>
    <cellStyle name="20% - Accent5 4 11 3" xfId="9163" xr:uid="{00000000-0005-0000-0000-000081210000}"/>
    <cellStyle name="20% - Accent5 4 12" xfId="9164" xr:uid="{00000000-0005-0000-0000-000082210000}"/>
    <cellStyle name="20% - Accent5 4 13" xfId="9165" xr:uid="{00000000-0005-0000-0000-000083210000}"/>
    <cellStyle name="20% - Accent5 4 14" xfId="9166" xr:uid="{00000000-0005-0000-0000-000084210000}"/>
    <cellStyle name="20% - Accent5 4 15" xfId="9167" xr:uid="{00000000-0005-0000-0000-000085210000}"/>
    <cellStyle name="20% - Accent5 4 2" xfId="9168" xr:uid="{00000000-0005-0000-0000-000086210000}"/>
    <cellStyle name="20% - Accent5 4 2 10" xfId="9169" xr:uid="{00000000-0005-0000-0000-000087210000}"/>
    <cellStyle name="20% - Accent5 4 2 10 2" xfId="9170" xr:uid="{00000000-0005-0000-0000-000088210000}"/>
    <cellStyle name="20% - Accent5 4 2 10 3" xfId="9171" xr:uid="{00000000-0005-0000-0000-000089210000}"/>
    <cellStyle name="20% - Accent5 4 2 11" xfId="9172" xr:uid="{00000000-0005-0000-0000-00008A210000}"/>
    <cellStyle name="20% - Accent5 4 2 12" xfId="9173" xr:uid="{00000000-0005-0000-0000-00008B210000}"/>
    <cellStyle name="20% - Accent5 4 2 13" xfId="9174" xr:uid="{00000000-0005-0000-0000-00008C210000}"/>
    <cellStyle name="20% - Accent5 4 2 14" xfId="9175" xr:uid="{00000000-0005-0000-0000-00008D210000}"/>
    <cellStyle name="20% - Accent5 4 2 2" xfId="9176" xr:uid="{00000000-0005-0000-0000-00008E210000}"/>
    <cellStyle name="20% - Accent5 4 2 2 10" xfId="9177" xr:uid="{00000000-0005-0000-0000-00008F210000}"/>
    <cellStyle name="20% - Accent5 4 2 2 11" xfId="9178" xr:uid="{00000000-0005-0000-0000-000090210000}"/>
    <cellStyle name="20% - Accent5 4 2 2 12" xfId="9179" xr:uid="{00000000-0005-0000-0000-000091210000}"/>
    <cellStyle name="20% - Accent5 4 2 2 13" xfId="9180" xr:uid="{00000000-0005-0000-0000-000092210000}"/>
    <cellStyle name="20% - Accent5 4 2 2 2" xfId="9181" xr:uid="{00000000-0005-0000-0000-000093210000}"/>
    <cellStyle name="20% - Accent5 4 2 2 2 10" xfId="9182" xr:uid="{00000000-0005-0000-0000-000094210000}"/>
    <cellStyle name="20% - Accent5 4 2 2 2 2" xfId="9183" xr:uid="{00000000-0005-0000-0000-000095210000}"/>
    <cellStyle name="20% - Accent5 4 2 2 2 2 2" xfId="9184" xr:uid="{00000000-0005-0000-0000-000096210000}"/>
    <cellStyle name="20% - Accent5 4 2 2 2 2 2 2" xfId="9185" xr:uid="{00000000-0005-0000-0000-000097210000}"/>
    <cellStyle name="20% - Accent5 4 2 2 2 2 2 2 2" xfId="9186" xr:uid="{00000000-0005-0000-0000-000098210000}"/>
    <cellStyle name="20% - Accent5 4 2 2 2 2 2 2 3" xfId="9187" xr:uid="{00000000-0005-0000-0000-000099210000}"/>
    <cellStyle name="20% - Accent5 4 2 2 2 2 2 3" xfId="9188" xr:uid="{00000000-0005-0000-0000-00009A210000}"/>
    <cellStyle name="20% - Accent5 4 2 2 2 2 2 4" xfId="9189" xr:uid="{00000000-0005-0000-0000-00009B210000}"/>
    <cellStyle name="20% - Accent5 4 2 2 2 2 2 5" xfId="9190" xr:uid="{00000000-0005-0000-0000-00009C210000}"/>
    <cellStyle name="20% - Accent5 4 2 2 2 2 2 6" xfId="9191" xr:uid="{00000000-0005-0000-0000-00009D210000}"/>
    <cellStyle name="20% - Accent5 4 2 2 2 2 3" xfId="9192" xr:uid="{00000000-0005-0000-0000-00009E210000}"/>
    <cellStyle name="20% - Accent5 4 2 2 2 2 3 2" xfId="9193" xr:uid="{00000000-0005-0000-0000-00009F210000}"/>
    <cellStyle name="20% - Accent5 4 2 2 2 2 3 2 2" xfId="9194" xr:uid="{00000000-0005-0000-0000-0000A0210000}"/>
    <cellStyle name="20% - Accent5 4 2 2 2 2 3 2 3" xfId="9195" xr:uid="{00000000-0005-0000-0000-0000A1210000}"/>
    <cellStyle name="20% - Accent5 4 2 2 2 2 3 3" xfId="9196" xr:uid="{00000000-0005-0000-0000-0000A2210000}"/>
    <cellStyle name="20% - Accent5 4 2 2 2 2 3 4" xfId="9197" xr:uid="{00000000-0005-0000-0000-0000A3210000}"/>
    <cellStyle name="20% - Accent5 4 2 2 2 2 3 5" xfId="9198" xr:uid="{00000000-0005-0000-0000-0000A4210000}"/>
    <cellStyle name="20% - Accent5 4 2 2 2 2 3 6" xfId="9199" xr:uid="{00000000-0005-0000-0000-0000A5210000}"/>
    <cellStyle name="20% - Accent5 4 2 2 2 2 4" xfId="9200" xr:uid="{00000000-0005-0000-0000-0000A6210000}"/>
    <cellStyle name="20% - Accent5 4 2 2 2 2 4 2" xfId="9201" xr:uid="{00000000-0005-0000-0000-0000A7210000}"/>
    <cellStyle name="20% - Accent5 4 2 2 2 2 4 3" xfId="9202" xr:uid="{00000000-0005-0000-0000-0000A8210000}"/>
    <cellStyle name="20% - Accent5 4 2 2 2 2 5" xfId="9203" xr:uid="{00000000-0005-0000-0000-0000A9210000}"/>
    <cellStyle name="20% - Accent5 4 2 2 2 2 6" xfId="9204" xr:uid="{00000000-0005-0000-0000-0000AA210000}"/>
    <cellStyle name="20% - Accent5 4 2 2 2 2 7" xfId="9205" xr:uid="{00000000-0005-0000-0000-0000AB210000}"/>
    <cellStyle name="20% - Accent5 4 2 2 2 2 8" xfId="9206" xr:uid="{00000000-0005-0000-0000-0000AC210000}"/>
    <cellStyle name="20% - Accent5 4 2 2 2 3" xfId="9207" xr:uid="{00000000-0005-0000-0000-0000AD210000}"/>
    <cellStyle name="20% - Accent5 4 2 2 2 3 2" xfId="9208" xr:uid="{00000000-0005-0000-0000-0000AE210000}"/>
    <cellStyle name="20% - Accent5 4 2 2 2 3 2 2" xfId="9209" xr:uid="{00000000-0005-0000-0000-0000AF210000}"/>
    <cellStyle name="20% - Accent5 4 2 2 2 3 2 2 2" xfId="9210" xr:uid="{00000000-0005-0000-0000-0000B0210000}"/>
    <cellStyle name="20% - Accent5 4 2 2 2 3 2 2 3" xfId="9211" xr:uid="{00000000-0005-0000-0000-0000B1210000}"/>
    <cellStyle name="20% - Accent5 4 2 2 2 3 2 3" xfId="9212" xr:uid="{00000000-0005-0000-0000-0000B2210000}"/>
    <cellStyle name="20% - Accent5 4 2 2 2 3 2 4" xfId="9213" xr:uid="{00000000-0005-0000-0000-0000B3210000}"/>
    <cellStyle name="20% - Accent5 4 2 2 2 3 2 5" xfId="9214" xr:uid="{00000000-0005-0000-0000-0000B4210000}"/>
    <cellStyle name="20% - Accent5 4 2 2 2 3 2 6" xfId="9215" xr:uid="{00000000-0005-0000-0000-0000B5210000}"/>
    <cellStyle name="20% - Accent5 4 2 2 2 3 3" xfId="9216" xr:uid="{00000000-0005-0000-0000-0000B6210000}"/>
    <cellStyle name="20% - Accent5 4 2 2 2 3 3 2" xfId="9217" xr:uid="{00000000-0005-0000-0000-0000B7210000}"/>
    <cellStyle name="20% - Accent5 4 2 2 2 3 3 3" xfId="9218" xr:uid="{00000000-0005-0000-0000-0000B8210000}"/>
    <cellStyle name="20% - Accent5 4 2 2 2 3 4" xfId="9219" xr:uid="{00000000-0005-0000-0000-0000B9210000}"/>
    <cellStyle name="20% - Accent5 4 2 2 2 3 5" xfId="9220" xr:uid="{00000000-0005-0000-0000-0000BA210000}"/>
    <cellStyle name="20% - Accent5 4 2 2 2 3 6" xfId="9221" xr:uid="{00000000-0005-0000-0000-0000BB210000}"/>
    <cellStyle name="20% - Accent5 4 2 2 2 3 7" xfId="9222" xr:uid="{00000000-0005-0000-0000-0000BC210000}"/>
    <cellStyle name="20% - Accent5 4 2 2 2 4" xfId="9223" xr:uid="{00000000-0005-0000-0000-0000BD210000}"/>
    <cellStyle name="20% - Accent5 4 2 2 2 4 2" xfId="9224" xr:uid="{00000000-0005-0000-0000-0000BE210000}"/>
    <cellStyle name="20% - Accent5 4 2 2 2 4 2 2" xfId="9225" xr:uid="{00000000-0005-0000-0000-0000BF210000}"/>
    <cellStyle name="20% - Accent5 4 2 2 2 4 2 3" xfId="9226" xr:uid="{00000000-0005-0000-0000-0000C0210000}"/>
    <cellStyle name="20% - Accent5 4 2 2 2 4 3" xfId="9227" xr:uid="{00000000-0005-0000-0000-0000C1210000}"/>
    <cellStyle name="20% - Accent5 4 2 2 2 4 4" xfId="9228" xr:uid="{00000000-0005-0000-0000-0000C2210000}"/>
    <cellStyle name="20% - Accent5 4 2 2 2 4 5" xfId="9229" xr:uid="{00000000-0005-0000-0000-0000C3210000}"/>
    <cellStyle name="20% - Accent5 4 2 2 2 4 6" xfId="9230" xr:uid="{00000000-0005-0000-0000-0000C4210000}"/>
    <cellStyle name="20% - Accent5 4 2 2 2 5" xfId="9231" xr:uid="{00000000-0005-0000-0000-0000C5210000}"/>
    <cellStyle name="20% - Accent5 4 2 2 2 5 2" xfId="9232" xr:uid="{00000000-0005-0000-0000-0000C6210000}"/>
    <cellStyle name="20% - Accent5 4 2 2 2 5 2 2" xfId="9233" xr:uid="{00000000-0005-0000-0000-0000C7210000}"/>
    <cellStyle name="20% - Accent5 4 2 2 2 5 2 3" xfId="9234" xr:uid="{00000000-0005-0000-0000-0000C8210000}"/>
    <cellStyle name="20% - Accent5 4 2 2 2 5 3" xfId="9235" xr:uid="{00000000-0005-0000-0000-0000C9210000}"/>
    <cellStyle name="20% - Accent5 4 2 2 2 5 4" xfId="9236" xr:uid="{00000000-0005-0000-0000-0000CA210000}"/>
    <cellStyle name="20% - Accent5 4 2 2 2 5 5" xfId="9237" xr:uid="{00000000-0005-0000-0000-0000CB210000}"/>
    <cellStyle name="20% - Accent5 4 2 2 2 5 6" xfId="9238" xr:uid="{00000000-0005-0000-0000-0000CC210000}"/>
    <cellStyle name="20% - Accent5 4 2 2 2 6" xfId="9239" xr:uid="{00000000-0005-0000-0000-0000CD210000}"/>
    <cellStyle name="20% - Accent5 4 2 2 2 6 2" xfId="9240" xr:uid="{00000000-0005-0000-0000-0000CE210000}"/>
    <cellStyle name="20% - Accent5 4 2 2 2 6 3" xfId="9241" xr:uid="{00000000-0005-0000-0000-0000CF210000}"/>
    <cellStyle name="20% - Accent5 4 2 2 2 7" xfId="9242" xr:uid="{00000000-0005-0000-0000-0000D0210000}"/>
    <cellStyle name="20% - Accent5 4 2 2 2 8" xfId="9243" xr:uid="{00000000-0005-0000-0000-0000D1210000}"/>
    <cellStyle name="20% - Accent5 4 2 2 2 9" xfId="9244" xr:uid="{00000000-0005-0000-0000-0000D2210000}"/>
    <cellStyle name="20% - Accent5 4 2 2 3" xfId="9245" xr:uid="{00000000-0005-0000-0000-0000D3210000}"/>
    <cellStyle name="20% - Accent5 4 2 2 3 2" xfId="9246" xr:uid="{00000000-0005-0000-0000-0000D4210000}"/>
    <cellStyle name="20% - Accent5 4 2 2 3 2 2" xfId="9247" xr:uid="{00000000-0005-0000-0000-0000D5210000}"/>
    <cellStyle name="20% - Accent5 4 2 2 3 2 2 2" xfId="9248" xr:uid="{00000000-0005-0000-0000-0000D6210000}"/>
    <cellStyle name="20% - Accent5 4 2 2 3 2 2 2 2" xfId="9249" xr:uid="{00000000-0005-0000-0000-0000D7210000}"/>
    <cellStyle name="20% - Accent5 4 2 2 3 2 2 2 3" xfId="9250" xr:uid="{00000000-0005-0000-0000-0000D8210000}"/>
    <cellStyle name="20% - Accent5 4 2 2 3 2 2 3" xfId="9251" xr:uid="{00000000-0005-0000-0000-0000D9210000}"/>
    <cellStyle name="20% - Accent5 4 2 2 3 2 2 4" xfId="9252" xr:uid="{00000000-0005-0000-0000-0000DA210000}"/>
    <cellStyle name="20% - Accent5 4 2 2 3 2 2 5" xfId="9253" xr:uid="{00000000-0005-0000-0000-0000DB210000}"/>
    <cellStyle name="20% - Accent5 4 2 2 3 2 2 6" xfId="9254" xr:uid="{00000000-0005-0000-0000-0000DC210000}"/>
    <cellStyle name="20% - Accent5 4 2 2 3 2 3" xfId="9255" xr:uid="{00000000-0005-0000-0000-0000DD210000}"/>
    <cellStyle name="20% - Accent5 4 2 2 3 2 3 2" xfId="9256" xr:uid="{00000000-0005-0000-0000-0000DE210000}"/>
    <cellStyle name="20% - Accent5 4 2 2 3 2 3 3" xfId="9257" xr:uid="{00000000-0005-0000-0000-0000DF210000}"/>
    <cellStyle name="20% - Accent5 4 2 2 3 2 4" xfId="9258" xr:uid="{00000000-0005-0000-0000-0000E0210000}"/>
    <cellStyle name="20% - Accent5 4 2 2 3 2 5" xfId="9259" xr:uid="{00000000-0005-0000-0000-0000E1210000}"/>
    <cellStyle name="20% - Accent5 4 2 2 3 2 6" xfId="9260" xr:uid="{00000000-0005-0000-0000-0000E2210000}"/>
    <cellStyle name="20% - Accent5 4 2 2 3 2 7" xfId="9261" xr:uid="{00000000-0005-0000-0000-0000E3210000}"/>
    <cellStyle name="20% - Accent5 4 2 2 3 3" xfId="9262" xr:uid="{00000000-0005-0000-0000-0000E4210000}"/>
    <cellStyle name="20% - Accent5 4 2 2 3 3 2" xfId="9263" xr:uid="{00000000-0005-0000-0000-0000E5210000}"/>
    <cellStyle name="20% - Accent5 4 2 2 3 3 2 2" xfId="9264" xr:uid="{00000000-0005-0000-0000-0000E6210000}"/>
    <cellStyle name="20% - Accent5 4 2 2 3 3 2 3" xfId="9265" xr:uid="{00000000-0005-0000-0000-0000E7210000}"/>
    <cellStyle name="20% - Accent5 4 2 2 3 3 3" xfId="9266" xr:uid="{00000000-0005-0000-0000-0000E8210000}"/>
    <cellStyle name="20% - Accent5 4 2 2 3 3 4" xfId="9267" xr:uid="{00000000-0005-0000-0000-0000E9210000}"/>
    <cellStyle name="20% - Accent5 4 2 2 3 3 5" xfId="9268" xr:uid="{00000000-0005-0000-0000-0000EA210000}"/>
    <cellStyle name="20% - Accent5 4 2 2 3 3 6" xfId="9269" xr:uid="{00000000-0005-0000-0000-0000EB210000}"/>
    <cellStyle name="20% - Accent5 4 2 2 3 4" xfId="9270" xr:uid="{00000000-0005-0000-0000-0000EC210000}"/>
    <cellStyle name="20% - Accent5 4 2 2 3 4 2" xfId="9271" xr:uid="{00000000-0005-0000-0000-0000ED210000}"/>
    <cellStyle name="20% - Accent5 4 2 2 3 4 2 2" xfId="9272" xr:uid="{00000000-0005-0000-0000-0000EE210000}"/>
    <cellStyle name="20% - Accent5 4 2 2 3 4 2 3" xfId="9273" xr:uid="{00000000-0005-0000-0000-0000EF210000}"/>
    <cellStyle name="20% - Accent5 4 2 2 3 4 3" xfId="9274" xr:uid="{00000000-0005-0000-0000-0000F0210000}"/>
    <cellStyle name="20% - Accent5 4 2 2 3 4 4" xfId="9275" xr:uid="{00000000-0005-0000-0000-0000F1210000}"/>
    <cellStyle name="20% - Accent5 4 2 2 3 4 5" xfId="9276" xr:uid="{00000000-0005-0000-0000-0000F2210000}"/>
    <cellStyle name="20% - Accent5 4 2 2 3 4 6" xfId="9277" xr:uid="{00000000-0005-0000-0000-0000F3210000}"/>
    <cellStyle name="20% - Accent5 4 2 2 3 5" xfId="9278" xr:uid="{00000000-0005-0000-0000-0000F4210000}"/>
    <cellStyle name="20% - Accent5 4 2 2 3 5 2" xfId="9279" xr:uid="{00000000-0005-0000-0000-0000F5210000}"/>
    <cellStyle name="20% - Accent5 4 2 2 3 5 3" xfId="9280" xr:uid="{00000000-0005-0000-0000-0000F6210000}"/>
    <cellStyle name="20% - Accent5 4 2 2 3 6" xfId="9281" xr:uid="{00000000-0005-0000-0000-0000F7210000}"/>
    <cellStyle name="20% - Accent5 4 2 2 3 7" xfId="9282" xr:uid="{00000000-0005-0000-0000-0000F8210000}"/>
    <cellStyle name="20% - Accent5 4 2 2 3 8" xfId="9283" xr:uid="{00000000-0005-0000-0000-0000F9210000}"/>
    <cellStyle name="20% - Accent5 4 2 2 3 9" xfId="9284" xr:uid="{00000000-0005-0000-0000-0000FA210000}"/>
    <cellStyle name="20% - Accent5 4 2 2 4" xfId="9285" xr:uid="{00000000-0005-0000-0000-0000FB210000}"/>
    <cellStyle name="20% - Accent5 4 2 2 4 2" xfId="9286" xr:uid="{00000000-0005-0000-0000-0000FC210000}"/>
    <cellStyle name="20% - Accent5 4 2 2 4 2 2" xfId="9287" xr:uid="{00000000-0005-0000-0000-0000FD210000}"/>
    <cellStyle name="20% - Accent5 4 2 2 4 2 2 2" xfId="9288" xr:uid="{00000000-0005-0000-0000-0000FE210000}"/>
    <cellStyle name="20% - Accent5 4 2 2 4 2 2 3" xfId="9289" xr:uid="{00000000-0005-0000-0000-0000FF210000}"/>
    <cellStyle name="20% - Accent5 4 2 2 4 2 3" xfId="9290" xr:uid="{00000000-0005-0000-0000-000000220000}"/>
    <cellStyle name="20% - Accent5 4 2 2 4 2 4" xfId="9291" xr:uid="{00000000-0005-0000-0000-000001220000}"/>
    <cellStyle name="20% - Accent5 4 2 2 4 2 5" xfId="9292" xr:uid="{00000000-0005-0000-0000-000002220000}"/>
    <cellStyle name="20% - Accent5 4 2 2 4 2 6" xfId="9293" xr:uid="{00000000-0005-0000-0000-000003220000}"/>
    <cellStyle name="20% - Accent5 4 2 2 4 3" xfId="9294" xr:uid="{00000000-0005-0000-0000-000004220000}"/>
    <cellStyle name="20% - Accent5 4 2 2 4 3 2" xfId="9295" xr:uid="{00000000-0005-0000-0000-000005220000}"/>
    <cellStyle name="20% - Accent5 4 2 2 4 3 3" xfId="9296" xr:uid="{00000000-0005-0000-0000-000006220000}"/>
    <cellStyle name="20% - Accent5 4 2 2 4 4" xfId="9297" xr:uid="{00000000-0005-0000-0000-000007220000}"/>
    <cellStyle name="20% - Accent5 4 2 2 4 5" xfId="9298" xr:uid="{00000000-0005-0000-0000-000008220000}"/>
    <cellStyle name="20% - Accent5 4 2 2 4 6" xfId="9299" xr:uid="{00000000-0005-0000-0000-000009220000}"/>
    <cellStyle name="20% - Accent5 4 2 2 4 7" xfId="9300" xr:uid="{00000000-0005-0000-0000-00000A220000}"/>
    <cellStyle name="20% - Accent5 4 2 2 5" xfId="9301" xr:uid="{00000000-0005-0000-0000-00000B220000}"/>
    <cellStyle name="20% - Accent5 4 2 2 5 2" xfId="9302" xr:uid="{00000000-0005-0000-0000-00000C220000}"/>
    <cellStyle name="20% - Accent5 4 2 2 5 2 2" xfId="9303" xr:uid="{00000000-0005-0000-0000-00000D220000}"/>
    <cellStyle name="20% - Accent5 4 2 2 5 2 3" xfId="9304" xr:uid="{00000000-0005-0000-0000-00000E220000}"/>
    <cellStyle name="20% - Accent5 4 2 2 5 3" xfId="9305" xr:uid="{00000000-0005-0000-0000-00000F220000}"/>
    <cellStyle name="20% - Accent5 4 2 2 5 4" xfId="9306" xr:uid="{00000000-0005-0000-0000-000010220000}"/>
    <cellStyle name="20% - Accent5 4 2 2 5 5" xfId="9307" xr:uid="{00000000-0005-0000-0000-000011220000}"/>
    <cellStyle name="20% - Accent5 4 2 2 5 6" xfId="9308" xr:uid="{00000000-0005-0000-0000-000012220000}"/>
    <cellStyle name="20% - Accent5 4 2 2 6" xfId="9309" xr:uid="{00000000-0005-0000-0000-000013220000}"/>
    <cellStyle name="20% - Accent5 4 2 2 6 2" xfId="9310" xr:uid="{00000000-0005-0000-0000-000014220000}"/>
    <cellStyle name="20% - Accent5 4 2 2 6 2 2" xfId="9311" xr:uid="{00000000-0005-0000-0000-000015220000}"/>
    <cellStyle name="20% - Accent5 4 2 2 6 2 3" xfId="9312" xr:uid="{00000000-0005-0000-0000-000016220000}"/>
    <cellStyle name="20% - Accent5 4 2 2 6 3" xfId="9313" xr:uid="{00000000-0005-0000-0000-000017220000}"/>
    <cellStyle name="20% - Accent5 4 2 2 6 4" xfId="9314" xr:uid="{00000000-0005-0000-0000-000018220000}"/>
    <cellStyle name="20% - Accent5 4 2 2 6 5" xfId="9315" xr:uid="{00000000-0005-0000-0000-000019220000}"/>
    <cellStyle name="20% - Accent5 4 2 2 6 6" xfId="9316" xr:uid="{00000000-0005-0000-0000-00001A220000}"/>
    <cellStyle name="20% - Accent5 4 2 2 7" xfId="9317" xr:uid="{00000000-0005-0000-0000-00001B220000}"/>
    <cellStyle name="20% - Accent5 4 2 2 7 2" xfId="9318" xr:uid="{00000000-0005-0000-0000-00001C220000}"/>
    <cellStyle name="20% - Accent5 4 2 2 7 2 2" xfId="9319" xr:uid="{00000000-0005-0000-0000-00001D220000}"/>
    <cellStyle name="20% - Accent5 4 2 2 7 2 3" xfId="9320" xr:uid="{00000000-0005-0000-0000-00001E220000}"/>
    <cellStyle name="20% - Accent5 4 2 2 7 3" xfId="9321" xr:uid="{00000000-0005-0000-0000-00001F220000}"/>
    <cellStyle name="20% - Accent5 4 2 2 7 4" xfId="9322" xr:uid="{00000000-0005-0000-0000-000020220000}"/>
    <cellStyle name="20% - Accent5 4 2 2 7 5" xfId="9323" xr:uid="{00000000-0005-0000-0000-000021220000}"/>
    <cellStyle name="20% - Accent5 4 2 2 7 6" xfId="9324" xr:uid="{00000000-0005-0000-0000-000022220000}"/>
    <cellStyle name="20% - Accent5 4 2 2 8" xfId="9325" xr:uid="{00000000-0005-0000-0000-000023220000}"/>
    <cellStyle name="20% - Accent5 4 2 2 8 2" xfId="9326" xr:uid="{00000000-0005-0000-0000-000024220000}"/>
    <cellStyle name="20% - Accent5 4 2 2 8 2 2" xfId="9327" xr:uid="{00000000-0005-0000-0000-000025220000}"/>
    <cellStyle name="20% - Accent5 4 2 2 8 2 3" xfId="9328" xr:uid="{00000000-0005-0000-0000-000026220000}"/>
    <cellStyle name="20% - Accent5 4 2 2 8 3" xfId="9329" xr:uid="{00000000-0005-0000-0000-000027220000}"/>
    <cellStyle name="20% - Accent5 4 2 2 8 4" xfId="9330" xr:uid="{00000000-0005-0000-0000-000028220000}"/>
    <cellStyle name="20% - Accent5 4 2 2 8 5" xfId="9331" xr:uid="{00000000-0005-0000-0000-000029220000}"/>
    <cellStyle name="20% - Accent5 4 2 2 8 6" xfId="9332" xr:uid="{00000000-0005-0000-0000-00002A220000}"/>
    <cellStyle name="20% - Accent5 4 2 2 9" xfId="9333" xr:uid="{00000000-0005-0000-0000-00002B220000}"/>
    <cellStyle name="20% - Accent5 4 2 2 9 2" xfId="9334" xr:uid="{00000000-0005-0000-0000-00002C220000}"/>
    <cellStyle name="20% - Accent5 4 2 2 9 3" xfId="9335" xr:uid="{00000000-0005-0000-0000-00002D220000}"/>
    <cellStyle name="20% - Accent5 4 2 3" xfId="9336" xr:uid="{00000000-0005-0000-0000-00002E220000}"/>
    <cellStyle name="20% - Accent5 4 2 3 10" xfId="9337" xr:uid="{00000000-0005-0000-0000-00002F220000}"/>
    <cellStyle name="20% - Accent5 4 2 3 2" xfId="9338" xr:uid="{00000000-0005-0000-0000-000030220000}"/>
    <cellStyle name="20% - Accent5 4 2 3 2 2" xfId="9339" xr:uid="{00000000-0005-0000-0000-000031220000}"/>
    <cellStyle name="20% - Accent5 4 2 3 2 2 2" xfId="9340" xr:uid="{00000000-0005-0000-0000-000032220000}"/>
    <cellStyle name="20% - Accent5 4 2 3 2 2 2 2" xfId="9341" xr:uid="{00000000-0005-0000-0000-000033220000}"/>
    <cellStyle name="20% - Accent5 4 2 3 2 2 2 3" xfId="9342" xr:uid="{00000000-0005-0000-0000-000034220000}"/>
    <cellStyle name="20% - Accent5 4 2 3 2 2 3" xfId="9343" xr:uid="{00000000-0005-0000-0000-000035220000}"/>
    <cellStyle name="20% - Accent5 4 2 3 2 2 4" xfId="9344" xr:uid="{00000000-0005-0000-0000-000036220000}"/>
    <cellStyle name="20% - Accent5 4 2 3 2 2 5" xfId="9345" xr:uid="{00000000-0005-0000-0000-000037220000}"/>
    <cellStyle name="20% - Accent5 4 2 3 2 2 6" xfId="9346" xr:uid="{00000000-0005-0000-0000-000038220000}"/>
    <cellStyle name="20% - Accent5 4 2 3 2 3" xfId="9347" xr:uid="{00000000-0005-0000-0000-000039220000}"/>
    <cellStyle name="20% - Accent5 4 2 3 2 3 2" xfId="9348" xr:uid="{00000000-0005-0000-0000-00003A220000}"/>
    <cellStyle name="20% - Accent5 4 2 3 2 3 2 2" xfId="9349" xr:uid="{00000000-0005-0000-0000-00003B220000}"/>
    <cellStyle name="20% - Accent5 4 2 3 2 3 2 3" xfId="9350" xr:uid="{00000000-0005-0000-0000-00003C220000}"/>
    <cellStyle name="20% - Accent5 4 2 3 2 3 3" xfId="9351" xr:uid="{00000000-0005-0000-0000-00003D220000}"/>
    <cellStyle name="20% - Accent5 4 2 3 2 3 4" xfId="9352" xr:uid="{00000000-0005-0000-0000-00003E220000}"/>
    <cellStyle name="20% - Accent5 4 2 3 2 3 5" xfId="9353" xr:uid="{00000000-0005-0000-0000-00003F220000}"/>
    <cellStyle name="20% - Accent5 4 2 3 2 3 6" xfId="9354" xr:uid="{00000000-0005-0000-0000-000040220000}"/>
    <cellStyle name="20% - Accent5 4 2 3 2 4" xfId="9355" xr:uid="{00000000-0005-0000-0000-000041220000}"/>
    <cellStyle name="20% - Accent5 4 2 3 2 4 2" xfId="9356" xr:uid="{00000000-0005-0000-0000-000042220000}"/>
    <cellStyle name="20% - Accent5 4 2 3 2 4 3" xfId="9357" xr:uid="{00000000-0005-0000-0000-000043220000}"/>
    <cellStyle name="20% - Accent5 4 2 3 2 5" xfId="9358" xr:uid="{00000000-0005-0000-0000-000044220000}"/>
    <cellStyle name="20% - Accent5 4 2 3 2 6" xfId="9359" xr:uid="{00000000-0005-0000-0000-000045220000}"/>
    <cellStyle name="20% - Accent5 4 2 3 2 7" xfId="9360" xr:uid="{00000000-0005-0000-0000-000046220000}"/>
    <cellStyle name="20% - Accent5 4 2 3 2 8" xfId="9361" xr:uid="{00000000-0005-0000-0000-000047220000}"/>
    <cellStyle name="20% - Accent5 4 2 3 3" xfId="9362" xr:uid="{00000000-0005-0000-0000-000048220000}"/>
    <cellStyle name="20% - Accent5 4 2 3 3 2" xfId="9363" xr:uid="{00000000-0005-0000-0000-000049220000}"/>
    <cellStyle name="20% - Accent5 4 2 3 3 2 2" xfId="9364" xr:uid="{00000000-0005-0000-0000-00004A220000}"/>
    <cellStyle name="20% - Accent5 4 2 3 3 2 2 2" xfId="9365" xr:uid="{00000000-0005-0000-0000-00004B220000}"/>
    <cellStyle name="20% - Accent5 4 2 3 3 2 2 3" xfId="9366" xr:uid="{00000000-0005-0000-0000-00004C220000}"/>
    <cellStyle name="20% - Accent5 4 2 3 3 2 3" xfId="9367" xr:uid="{00000000-0005-0000-0000-00004D220000}"/>
    <cellStyle name="20% - Accent5 4 2 3 3 2 4" xfId="9368" xr:uid="{00000000-0005-0000-0000-00004E220000}"/>
    <cellStyle name="20% - Accent5 4 2 3 3 2 5" xfId="9369" xr:uid="{00000000-0005-0000-0000-00004F220000}"/>
    <cellStyle name="20% - Accent5 4 2 3 3 2 6" xfId="9370" xr:uid="{00000000-0005-0000-0000-000050220000}"/>
    <cellStyle name="20% - Accent5 4 2 3 3 3" xfId="9371" xr:uid="{00000000-0005-0000-0000-000051220000}"/>
    <cellStyle name="20% - Accent5 4 2 3 3 3 2" xfId="9372" xr:uid="{00000000-0005-0000-0000-000052220000}"/>
    <cellStyle name="20% - Accent5 4 2 3 3 3 3" xfId="9373" xr:uid="{00000000-0005-0000-0000-000053220000}"/>
    <cellStyle name="20% - Accent5 4 2 3 3 4" xfId="9374" xr:uid="{00000000-0005-0000-0000-000054220000}"/>
    <cellStyle name="20% - Accent5 4 2 3 3 5" xfId="9375" xr:uid="{00000000-0005-0000-0000-000055220000}"/>
    <cellStyle name="20% - Accent5 4 2 3 3 6" xfId="9376" xr:uid="{00000000-0005-0000-0000-000056220000}"/>
    <cellStyle name="20% - Accent5 4 2 3 3 7" xfId="9377" xr:uid="{00000000-0005-0000-0000-000057220000}"/>
    <cellStyle name="20% - Accent5 4 2 3 4" xfId="9378" xr:uid="{00000000-0005-0000-0000-000058220000}"/>
    <cellStyle name="20% - Accent5 4 2 3 4 2" xfId="9379" xr:uid="{00000000-0005-0000-0000-000059220000}"/>
    <cellStyle name="20% - Accent5 4 2 3 4 2 2" xfId="9380" xr:uid="{00000000-0005-0000-0000-00005A220000}"/>
    <cellStyle name="20% - Accent5 4 2 3 4 2 3" xfId="9381" xr:uid="{00000000-0005-0000-0000-00005B220000}"/>
    <cellStyle name="20% - Accent5 4 2 3 4 3" xfId="9382" xr:uid="{00000000-0005-0000-0000-00005C220000}"/>
    <cellStyle name="20% - Accent5 4 2 3 4 4" xfId="9383" xr:uid="{00000000-0005-0000-0000-00005D220000}"/>
    <cellStyle name="20% - Accent5 4 2 3 4 5" xfId="9384" xr:uid="{00000000-0005-0000-0000-00005E220000}"/>
    <cellStyle name="20% - Accent5 4 2 3 4 6" xfId="9385" xr:uid="{00000000-0005-0000-0000-00005F220000}"/>
    <cellStyle name="20% - Accent5 4 2 3 5" xfId="9386" xr:uid="{00000000-0005-0000-0000-000060220000}"/>
    <cellStyle name="20% - Accent5 4 2 3 5 2" xfId="9387" xr:uid="{00000000-0005-0000-0000-000061220000}"/>
    <cellStyle name="20% - Accent5 4 2 3 5 2 2" xfId="9388" xr:uid="{00000000-0005-0000-0000-000062220000}"/>
    <cellStyle name="20% - Accent5 4 2 3 5 2 3" xfId="9389" xr:uid="{00000000-0005-0000-0000-000063220000}"/>
    <cellStyle name="20% - Accent5 4 2 3 5 3" xfId="9390" xr:uid="{00000000-0005-0000-0000-000064220000}"/>
    <cellStyle name="20% - Accent5 4 2 3 5 4" xfId="9391" xr:uid="{00000000-0005-0000-0000-000065220000}"/>
    <cellStyle name="20% - Accent5 4 2 3 5 5" xfId="9392" xr:uid="{00000000-0005-0000-0000-000066220000}"/>
    <cellStyle name="20% - Accent5 4 2 3 5 6" xfId="9393" xr:uid="{00000000-0005-0000-0000-000067220000}"/>
    <cellStyle name="20% - Accent5 4 2 3 6" xfId="9394" xr:uid="{00000000-0005-0000-0000-000068220000}"/>
    <cellStyle name="20% - Accent5 4 2 3 6 2" xfId="9395" xr:uid="{00000000-0005-0000-0000-000069220000}"/>
    <cellStyle name="20% - Accent5 4 2 3 6 3" xfId="9396" xr:uid="{00000000-0005-0000-0000-00006A220000}"/>
    <cellStyle name="20% - Accent5 4 2 3 7" xfId="9397" xr:uid="{00000000-0005-0000-0000-00006B220000}"/>
    <cellStyle name="20% - Accent5 4 2 3 8" xfId="9398" xr:uid="{00000000-0005-0000-0000-00006C220000}"/>
    <cellStyle name="20% - Accent5 4 2 3 9" xfId="9399" xr:uid="{00000000-0005-0000-0000-00006D220000}"/>
    <cellStyle name="20% - Accent5 4 2 4" xfId="9400" xr:uid="{00000000-0005-0000-0000-00006E220000}"/>
    <cellStyle name="20% - Accent5 4 2 4 2" xfId="9401" xr:uid="{00000000-0005-0000-0000-00006F220000}"/>
    <cellStyle name="20% - Accent5 4 2 4 2 2" xfId="9402" xr:uid="{00000000-0005-0000-0000-000070220000}"/>
    <cellStyle name="20% - Accent5 4 2 4 2 2 2" xfId="9403" xr:uid="{00000000-0005-0000-0000-000071220000}"/>
    <cellStyle name="20% - Accent5 4 2 4 2 2 2 2" xfId="9404" xr:uid="{00000000-0005-0000-0000-000072220000}"/>
    <cellStyle name="20% - Accent5 4 2 4 2 2 2 3" xfId="9405" xr:uid="{00000000-0005-0000-0000-000073220000}"/>
    <cellStyle name="20% - Accent5 4 2 4 2 2 3" xfId="9406" xr:uid="{00000000-0005-0000-0000-000074220000}"/>
    <cellStyle name="20% - Accent5 4 2 4 2 2 4" xfId="9407" xr:uid="{00000000-0005-0000-0000-000075220000}"/>
    <cellStyle name="20% - Accent5 4 2 4 2 2 5" xfId="9408" xr:uid="{00000000-0005-0000-0000-000076220000}"/>
    <cellStyle name="20% - Accent5 4 2 4 2 2 6" xfId="9409" xr:uid="{00000000-0005-0000-0000-000077220000}"/>
    <cellStyle name="20% - Accent5 4 2 4 2 3" xfId="9410" xr:uid="{00000000-0005-0000-0000-000078220000}"/>
    <cellStyle name="20% - Accent5 4 2 4 2 3 2" xfId="9411" xr:uid="{00000000-0005-0000-0000-000079220000}"/>
    <cellStyle name="20% - Accent5 4 2 4 2 3 3" xfId="9412" xr:uid="{00000000-0005-0000-0000-00007A220000}"/>
    <cellStyle name="20% - Accent5 4 2 4 2 4" xfId="9413" xr:uid="{00000000-0005-0000-0000-00007B220000}"/>
    <cellStyle name="20% - Accent5 4 2 4 2 5" xfId="9414" xr:uid="{00000000-0005-0000-0000-00007C220000}"/>
    <cellStyle name="20% - Accent5 4 2 4 2 6" xfId="9415" xr:uid="{00000000-0005-0000-0000-00007D220000}"/>
    <cellStyle name="20% - Accent5 4 2 4 2 7" xfId="9416" xr:uid="{00000000-0005-0000-0000-00007E220000}"/>
    <cellStyle name="20% - Accent5 4 2 4 3" xfId="9417" xr:uid="{00000000-0005-0000-0000-00007F220000}"/>
    <cellStyle name="20% - Accent5 4 2 4 3 2" xfId="9418" xr:uid="{00000000-0005-0000-0000-000080220000}"/>
    <cellStyle name="20% - Accent5 4 2 4 3 2 2" xfId="9419" xr:uid="{00000000-0005-0000-0000-000081220000}"/>
    <cellStyle name="20% - Accent5 4 2 4 3 2 3" xfId="9420" xr:uid="{00000000-0005-0000-0000-000082220000}"/>
    <cellStyle name="20% - Accent5 4 2 4 3 3" xfId="9421" xr:uid="{00000000-0005-0000-0000-000083220000}"/>
    <cellStyle name="20% - Accent5 4 2 4 3 4" xfId="9422" xr:uid="{00000000-0005-0000-0000-000084220000}"/>
    <cellStyle name="20% - Accent5 4 2 4 3 5" xfId="9423" xr:uid="{00000000-0005-0000-0000-000085220000}"/>
    <cellStyle name="20% - Accent5 4 2 4 3 6" xfId="9424" xr:uid="{00000000-0005-0000-0000-000086220000}"/>
    <cellStyle name="20% - Accent5 4 2 4 4" xfId="9425" xr:uid="{00000000-0005-0000-0000-000087220000}"/>
    <cellStyle name="20% - Accent5 4 2 4 4 2" xfId="9426" xr:uid="{00000000-0005-0000-0000-000088220000}"/>
    <cellStyle name="20% - Accent5 4 2 4 4 2 2" xfId="9427" xr:uid="{00000000-0005-0000-0000-000089220000}"/>
    <cellStyle name="20% - Accent5 4 2 4 4 2 3" xfId="9428" xr:uid="{00000000-0005-0000-0000-00008A220000}"/>
    <cellStyle name="20% - Accent5 4 2 4 4 3" xfId="9429" xr:uid="{00000000-0005-0000-0000-00008B220000}"/>
    <cellStyle name="20% - Accent5 4 2 4 4 4" xfId="9430" xr:uid="{00000000-0005-0000-0000-00008C220000}"/>
    <cellStyle name="20% - Accent5 4 2 4 4 5" xfId="9431" xr:uid="{00000000-0005-0000-0000-00008D220000}"/>
    <cellStyle name="20% - Accent5 4 2 4 4 6" xfId="9432" xr:uid="{00000000-0005-0000-0000-00008E220000}"/>
    <cellStyle name="20% - Accent5 4 2 4 5" xfId="9433" xr:uid="{00000000-0005-0000-0000-00008F220000}"/>
    <cellStyle name="20% - Accent5 4 2 4 5 2" xfId="9434" xr:uid="{00000000-0005-0000-0000-000090220000}"/>
    <cellStyle name="20% - Accent5 4 2 4 5 3" xfId="9435" xr:uid="{00000000-0005-0000-0000-000091220000}"/>
    <cellStyle name="20% - Accent5 4 2 4 6" xfId="9436" xr:uid="{00000000-0005-0000-0000-000092220000}"/>
    <cellStyle name="20% - Accent5 4 2 4 7" xfId="9437" xr:uid="{00000000-0005-0000-0000-000093220000}"/>
    <cellStyle name="20% - Accent5 4 2 4 8" xfId="9438" xr:uid="{00000000-0005-0000-0000-000094220000}"/>
    <cellStyle name="20% - Accent5 4 2 4 9" xfId="9439" xr:uid="{00000000-0005-0000-0000-000095220000}"/>
    <cellStyle name="20% - Accent5 4 2 5" xfId="9440" xr:uid="{00000000-0005-0000-0000-000096220000}"/>
    <cellStyle name="20% - Accent5 4 2 5 2" xfId="9441" xr:uid="{00000000-0005-0000-0000-000097220000}"/>
    <cellStyle name="20% - Accent5 4 2 5 2 2" xfId="9442" xr:uid="{00000000-0005-0000-0000-000098220000}"/>
    <cellStyle name="20% - Accent5 4 2 5 2 2 2" xfId="9443" xr:uid="{00000000-0005-0000-0000-000099220000}"/>
    <cellStyle name="20% - Accent5 4 2 5 2 2 3" xfId="9444" xr:uid="{00000000-0005-0000-0000-00009A220000}"/>
    <cellStyle name="20% - Accent5 4 2 5 2 3" xfId="9445" xr:uid="{00000000-0005-0000-0000-00009B220000}"/>
    <cellStyle name="20% - Accent5 4 2 5 2 4" xfId="9446" xr:uid="{00000000-0005-0000-0000-00009C220000}"/>
    <cellStyle name="20% - Accent5 4 2 5 2 5" xfId="9447" xr:uid="{00000000-0005-0000-0000-00009D220000}"/>
    <cellStyle name="20% - Accent5 4 2 5 2 6" xfId="9448" xr:uid="{00000000-0005-0000-0000-00009E220000}"/>
    <cellStyle name="20% - Accent5 4 2 5 3" xfId="9449" xr:uid="{00000000-0005-0000-0000-00009F220000}"/>
    <cellStyle name="20% - Accent5 4 2 5 3 2" xfId="9450" xr:uid="{00000000-0005-0000-0000-0000A0220000}"/>
    <cellStyle name="20% - Accent5 4 2 5 3 3" xfId="9451" xr:uid="{00000000-0005-0000-0000-0000A1220000}"/>
    <cellStyle name="20% - Accent5 4 2 5 4" xfId="9452" xr:uid="{00000000-0005-0000-0000-0000A2220000}"/>
    <cellStyle name="20% - Accent5 4 2 5 5" xfId="9453" xr:uid="{00000000-0005-0000-0000-0000A3220000}"/>
    <cellStyle name="20% - Accent5 4 2 5 6" xfId="9454" xr:uid="{00000000-0005-0000-0000-0000A4220000}"/>
    <cellStyle name="20% - Accent5 4 2 5 7" xfId="9455" xr:uid="{00000000-0005-0000-0000-0000A5220000}"/>
    <cellStyle name="20% - Accent5 4 2 6" xfId="9456" xr:uid="{00000000-0005-0000-0000-0000A6220000}"/>
    <cellStyle name="20% - Accent5 4 2 6 2" xfId="9457" xr:uid="{00000000-0005-0000-0000-0000A7220000}"/>
    <cellStyle name="20% - Accent5 4 2 6 2 2" xfId="9458" xr:uid="{00000000-0005-0000-0000-0000A8220000}"/>
    <cellStyle name="20% - Accent5 4 2 6 2 3" xfId="9459" xr:uid="{00000000-0005-0000-0000-0000A9220000}"/>
    <cellStyle name="20% - Accent5 4 2 6 3" xfId="9460" xr:uid="{00000000-0005-0000-0000-0000AA220000}"/>
    <cellStyle name="20% - Accent5 4 2 6 4" xfId="9461" xr:uid="{00000000-0005-0000-0000-0000AB220000}"/>
    <cellStyle name="20% - Accent5 4 2 6 5" xfId="9462" xr:uid="{00000000-0005-0000-0000-0000AC220000}"/>
    <cellStyle name="20% - Accent5 4 2 6 6" xfId="9463" xr:uid="{00000000-0005-0000-0000-0000AD220000}"/>
    <cellStyle name="20% - Accent5 4 2 7" xfId="9464" xr:uid="{00000000-0005-0000-0000-0000AE220000}"/>
    <cellStyle name="20% - Accent5 4 2 7 2" xfId="9465" xr:uid="{00000000-0005-0000-0000-0000AF220000}"/>
    <cellStyle name="20% - Accent5 4 2 7 2 2" xfId="9466" xr:uid="{00000000-0005-0000-0000-0000B0220000}"/>
    <cellStyle name="20% - Accent5 4 2 7 2 3" xfId="9467" xr:uid="{00000000-0005-0000-0000-0000B1220000}"/>
    <cellStyle name="20% - Accent5 4 2 7 3" xfId="9468" xr:uid="{00000000-0005-0000-0000-0000B2220000}"/>
    <cellStyle name="20% - Accent5 4 2 7 4" xfId="9469" xr:uid="{00000000-0005-0000-0000-0000B3220000}"/>
    <cellStyle name="20% - Accent5 4 2 7 5" xfId="9470" xr:uid="{00000000-0005-0000-0000-0000B4220000}"/>
    <cellStyle name="20% - Accent5 4 2 7 6" xfId="9471" xr:uid="{00000000-0005-0000-0000-0000B5220000}"/>
    <cellStyle name="20% - Accent5 4 2 8" xfId="9472" xr:uid="{00000000-0005-0000-0000-0000B6220000}"/>
    <cellStyle name="20% - Accent5 4 2 8 2" xfId="9473" xr:uid="{00000000-0005-0000-0000-0000B7220000}"/>
    <cellStyle name="20% - Accent5 4 2 8 2 2" xfId="9474" xr:uid="{00000000-0005-0000-0000-0000B8220000}"/>
    <cellStyle name="20% - Accent5 4 2 8 2 3" xfId="9475" xr:uid="{00000000-0005-0000-0000-0000B9220000}"/>
    <cellStyle name="20% - Accent5 4 2 8 3" xfId="9476" xr:uid="{00000000-0005-0000-0000-0000BA220000}"/>
    <cellStyle name="20% - Accent5 4 2 8 4" xfId="9477" xr:uid="{00000000-0005-0000-0000-0000BB220000}"/>
    <cellStyle name="20% - Accent5 4 2 8 5" xfId="9478" xr:uid="{00000000-0005-0000-0000-0000BC220000}"/>
    <cellStyle name="20% - Accent5 4 2 8 6" xfId="9479" xr:uid="{00000000-0005-0000-0000-0000BD220000}"/>
    <cellStyle name="20% - Accent5 4 2 9" xfId="9480" xr:uid="{00000000-0005-0000-0000-0000BE220000}"/>
    <cellStyle name="20% - Accent5 4 2 9 2" xfId="9481" xr:uid="{00000000-0005-0000-0000-0000BF220000}"/>
    <cellStyle name="20% - Accent5 4 2 9 2 2" xfId="9482" xr:uid="{00000000-0005-0000-0000-0000C0220000}"/>
    <cellStyle name="20% - Accent5 4 2 9 2 3" xfId="9483" xr:uid="{00000000-0005-0000-0000-0000C1220000}"/>
    <cellStyle name="20% - Accent5 4 2 9 3" xfId="9484" xr:uid="{00000000-0005-0000-0000-0000C2220000}"/>
    <cellStyle name="20% - Accent5 4 2 9 4" xfId="9485" xr:uid="{00000000-0005-0000-0000-0000C3220000}"/>
    <cellStyle name="20% - Accent5 4 2 9 5" xfId="9486" xr:uid="{00000000-0005-0000-0000-0000C4220000}"/>
    <cellStyle name="20% - Accent5 4 2 9 6" xfId="9487" xr:uid="{00000000-0005-0000-0000-0000C5220000}"/>
    <cellStyle name="20% - Accent5 4 3" xfId="9488" xr:uid="{00000000-0005-0000-0000-0000C6220000}"/>
    <cellStyle name="20% - Accent5 4 3 10" xfId="9489" xr:uid="{00000000-0005-0000-0000-0000C7220000}"/>
    <cellStyle name="20% - Accent5 4 3 11" xfId="9490" xr:uid="{00000000-0005-0000-0000-0000C8220000}"/>
    <cellStyle name="20% - Accent5 4 3 12" xfId="9491" xr:uid="{00000000-0005-0000-0000-0000C9220000}"/>
    <cellStyle name="20% - Accent5 4 3 13" xfId="9492" xr:uid="{00000000-0005-0000-0000-0000CA220000}"/>
    <cellStyle name="20% - Accent5 4 3 2" xfId="9493" xr:uid="{00000000-0005-0000-0000-0000CB220000}"/>
    <cellStyle name="20% - Accent5 4 3 2 10" xfId="9494" xr:uid="{00000000-0005-0000-0000-0000CC220000}"/>
    <cellStyle name="20% - Accent5 4 3 2 2" xfId="9495" xr:uid="{00000000-0005-0000-0000-0000CD220000}"/>
    <cellStyle name="20% - Accent5 4 3 2 2 2" xfId="9496" xr:uid="{00000000-0005-0000-0000-0000CE220000}"/>
    <cellStyle name="20% - Accent5 4 3 2 2 2 2" xfId="9497" xr:uid="{00000000-0005-0000-0000-0000CF220000}"/>
    <cellStyle name="20% - Accent5 4 3 2 2 2 2 2" xfId="9498" xr:uid="{00000000-0005-0000-0000-0000D0220000}"/>
    <cellStyle name="20% - Accent5 4 3 2 2 2 2 3" xfId="9499" xr:uid="{00000000-0005-0000-0000-0000D1220000}"/>
    <cellStyle name="20% - Accent5 4 3 2 2 2 3" xfId="9500" xr:uid="{00000000-0005-0000-0000-0000D2220000}"/>
    <cellStyle name="20% - Accent5 4 3 2 2 2 4" xfId="9501" xr:uid="{00000000-0005-0000-0000-0000D3220000}"/>
    <cellStyle name="20% - Accent5 4 3 2 2 2 5" xfId="9502" xr:uid="{00000000-0005-0000-0000-0000D4220000}"/>
    <cellStyle name="20% - Accent5 4 3 2 2 2 6" xfId="9503" xr:uid="{00000000-0005-0000-0000-0000D5220000}"/>
    <cellStyle name="20% - Accent5 4 3 2 2 3" xfId="9504" xr:uid="{00000000-0005-0000-0000-0000D6220000}"/>
    <cellStyle name="20% - Accent5 4 3 2 2 3 2" xfId="9505" xr:uid="{00000000-0005-0000-0000-0000D7220000}"/>
    <cellStyle name="20% - Accent5 4 3 2 2 3 2 2" xfId="9506" xr:uid="{00000000-0005-0000-0000-0000D8220000}"/>
    <cellStyle name="20% - Accent5 4 3 2 2 3 2 3" xfId="9507" xr:uid="{00000000-0005-0000-0000-0000D9220000}"/>
    <cellStyle name="20% - Accent5 4 3 2 2 3 3" xfId="9508" xr:uid="{00000000-0005-0000-0000-0000DA220000}"/>
    <cellStyle name="20% - Accent5 4 3 2 2 3 4" xfId="9509" xr:uid="{00000000-0005-0000-0000-0000DB220000}"/>
    <cellStyle name="20% - Accent5 4 3 2 2 3 5" xfId="9510" xr:uid="{00000000-0005-0000-0000-0000DC220000}"/>
    <cellStyle name="20% - Accent5 4 3 2 2 3 6" xfId="9511" xr:uid="{00000000-0005-0000-0000-0000DD220000}"/>
    <cellStyle name="20% - Accent5 4 3 2 2 4" xfId="9512" xr:uid="{00000000-0005-0000-0000-0000DE220000}"/>
    <cellStyle name="20% - Accent5 4 3 2 2 4 2" xfId="9513" xr:uid="{00000000-0005-0000-0000-0000DF220000}"/>
    <cellStyle name="20% - Accent5 4 3 2 2 4 3" xfId="9514" xr:uid="{00000000-0005-0000-0000-0000E0220000}"/>
    <cellStyle name="20% - Accent5 4 3 2 2 5" xfId="9515" xr:uid="{00000000-0005-0000-0000-0000E1220000}"/>
    <cellStyle name="20% - Accent5 4 3 2 2 6" xfId="9516" xr:uid="{00000000-0005-0000-0000-0000E2220000}"/>
    <cellStyle name="20% - Accent5 4 3 2 2 7" xfId="9517" xr:uid="{00000000-0005-0000-0000-0000E3220000}"/>
    <cellStyle name="20% - Accent5 4 3 2 2 8" xfId="9518" xr:uid="{00000000-0005-0000-0000-0000E4220000}"/>
    <cellStyle name="20% - Accent5 4 3 2 3" xfId="9519" xr:uid="{00000000-0005-0000-0000-0000E5220000}"/>
    <cellStyle name="20% - Accent5 4 3 2 3 2" xfId="9520" xr:uid="{00000000-0005-0000-0000-0000E6220000}"/>
    <cellStyle name="20% - Accent5 4 3 2 3 2 2" xfId="9521" xr:uid="{00000000-0005-0000-0000-0000E7220000}"/>
    <cellStyle name="20% - Accent5 4 3 2 3 2 2 2" xfId="9522" xr:uid="{00000000-0005-0000-0000-0000E8220000}"/>
    <cellStyle name="20% - Accent5 4 3 2 3 2 2 3" xfId="9523" xr:uid="{00000000-0005-0000-0000-0000E9220000}"/>
    <cellStyle name="20% - Accent5 4 3 2 3 2 3" xfId="9524" xr:uid="{00000000-0005-0000-0000-0000EA220000}"/>
    <cellStyle name="20% - Accent5 4 3 2 3 2 4" xfId="9525" xr:uid="{00000000-0005-0000-0000-0000EB220000}"/>
    <cellStyle name="20% - Accent5 4 3 2 3 2 5" xfId="9526" xr:uid="{00000000-0005-0000-0000-0000EC220000}"/>
    <cellStyle name="20% - Accent5 4 3 2 3 2 6" xfId="9527" xr:uid="{00000000-0005-0000-0000-0000ED220000}"/>
    <cellStyle name="20% - Accent5 4 3 2 3 3" xfId="9528" xr:uid="{00000000-0005-0000-0000-0000EE220000}"/>
    <cellStyle name="20% - Accent5 4 3 2 3 3 2" xfId="9529" xr:uid="{00000000-0005-0000-0000-0000EF220000}"/>
    <cellStyle name="20% - Accent5 4 3 2 3 3 3" xfId="9530" xr:uid="{00000000-0005-0000-0000-0000F0220000}"/>
    <cellStyle name="20% - Accent5 4 3 2 3 4" xfId="9531" xr:uid="{00000000-0005-0000-0000-0000F1220000}"/>
    <cellStyle name="20% - Accent5 4 3 2 3 5" xfId="9532" xr:uid="{00000000-0005-0000-0000-0000F2220000}"/>
    <cellStyle name="20% - Accent5 4 3 2 3 6" xfId="9533" xr:uid="{00000000-0005-0000-0000-0000F3220000}"/>
    <cellStyle name="20% - Accent5 4 3 2 3 7" xfId="9534" xr:uid="{00000000-0005-0000-0000-0000F4220000}"/>
    <cellStyle name="20% - Accent5 4 3 2 4" xfId="9535" xr:uid="{00000000-0005-0000-0000-0000F5220000}"/>
    <cellStyle name="20% - Accent5 4 3 2 4 2" xfId="9536" xr:uid="{00000000-0005-0000-0000-0000F6220000}"/>
    <cellStyle name="20% - Accent5 4 3 2 4 2 2" xfId="9537" xr:uid="{00000000-0005-0000-0000-0000F7220000}"/>
    <cellStyle name="20% - Accent5 4 3 2 4 2 3" xfId="9538" xr:uid="{00000000-0005-0000-0000-0000F8220000}"/>
    <cellStyle name="20% - Accent5 4 3 2 4 3" xfId="9539" xr:uid="{00000000-0005-0000-0000-0000F9220000}"/>
    <cellStyle name="20% - Accent5 4 3 2 4 4" xfId="9540" xr:uid="{00000000-0005-0000-0000-0000FA220000}"/>
    <cellStyle name="20% - Accent5 4 3 2 4 5" xfId="9541" xr:uid="{00000000-0005-0000-0000-0000FB220000}"/>
    <cellStyle name="20% - Accent5 4 3 2 4 6" xfId="9542" xr:uid="{00000000-0005-0000-0000-0000FC220000}"/>
    <cellStyle name="20% - Accent5 4 3 2 5" xfId="9543" xr:uid="{00000000-0005-0000-0000-0000FD220000}"/>
    <cellStyle name="20% - Accent5 4 3 2 5 2" xfId="9544" xr:uid="{00000000-0005-0000-0000-0000FE220000}"/>
    <cellStyle name="20% - Accent5 4 3 2 5 2 2" xfId="9545" xr:uid="{00000000-0005-0000-0000-0000FF220000}"/>
    <cellStyle name="20% - Accent5 4 3 2 5 2 3" xfId="9546" xr:uid="{00000000-0005-0000-0000-000000230000}"/>
    <cellStyle name="20% - Accent5 4 3 2 5 3" xfId="9547" xr:uid="{00000000-0005-0000-0000-000001230000}"/>
    <cellStyle name="20% - Accent5 4 3 2 5 4" xfId="9548" xr:uid="{00000000-0005-0000-0000-000002230000}"/>
    <cellStyle name="20% - Accent5 4 3 2 5 5" xfId="9549" xr:uid="{00000000-0005-0000-0000-000003230000}"/>
    <cellStyle name="20% - Accent5 4 3 2 5 6" xfId="9550" xr:uid="{00000000-0005-0000-0000-000004230000}"/>
    <cellStyle name="20% - Accent5 4 3 2 6" xfId="9551" xr:uid="{00000000-0005-0000-0000-000005230000}"/>
    <cellStyle name="20% - Accent5 4 3 2 6 2" xfId="9552" xr:uid="{00000000-0005-0000-0000-000006230000}"/>
    <cellStyle name="20% - Accent5 4 3 2 6 3" xfId="9553" xr:uid="{00000000-0005-0000-0000-000007230000}"/>
    <cellStyle name="20% - Accent5 4 3 2 7" xfId="9554" xr:uid="{00000000-0005-0000-0000-000008230000}"/>
    <cellStyle name="20% - Accent5 4 3 2 8" xfId="9555" xr:uid="{00000000-0005-0000-0000-000009230000}"/>
    <cellStyle name="20% - Accent5 4 3 2 9" xfId="9556" xr:uid="{00000000-0005-0000-0000-00000A230000}"/>
    <cellStyle name="20% - Accent5 4 3 3" xfId="9557" xr:uid="{00000000-0005-0000-0000-00000B230000}"/>
    <cellStyle name="20% - Accent5 4 3 3 2" xfId="9558" xr:uid="{00000000-0005-0000-0000-00000C230000}"/>
    <cellStyle name="20% - Accent5 4 3 3 2 2" xfId="9559" xr:uid="{00000000-0005-0000-0000-00000D230000}"/>
    <cellStyle name="20% - Accent5 4 3 3 2 2 2" xfId="9560" xr:uid="{00000000-0005-0000-0000-00000E230000}"/>
    <cellStyle name="20% - Accent5 4 3 3 2 2 2 2" xfId="9561" xr:uid="{00000000-0005-0000-0000-00000F230000}"/>
    <cellStyle name="20% - Accent5 4 3 3 2 2 2 3" xfId="9562" xr:uid="{00000000-0005-0000-0000-000010230000}"/>
    <cellStyle name="20% - Accent5 4 3 3 2 2 3" xfId="9563" xr:uid="{00000000-0005-0000-0000-000011230000}"/>
    <cellStyle name="20% - Accent5 4 3 3 2 2 4" xfId="9564" xr:uid="{00000000-0005-0000-0000-000012230000}"/>
    <cellStyle name="20% - Accent5 4 3 3 2 2 5" xfId="9565" xr:uid="{00000000-0005-0000-0000-000013230000}"/>
    <cellStyle name="20% - Accent5 4 3 3 2 2 6" xfId="9566" xr:uid="{00000000-0005-0000-0000-000014230000}"/>
    <cellStyle name="20% - Accent5 4 3 3 2 3" xfId="9567" xr:uid="{00000000-0005-0000-0000-000015230000}"/>
    <cellStyle name="20% - Accent5 4 3 3 2 3 2" xfId="9568" xr:uid="{00000000-0005-0000-0000-000016230000}"/>
    <cellStyle name="20% - Accent5 4 3 3 2 3 3" xfId="9569" xr:uid="{00000000-0005-0000-0000-000017230000}"/>
    <cellStyle name="20% - Accent5 4 3 3 2 4" xfId="9570" xr:uid="{00000000-0005-0000-0000-000018230000}"/>
    <cellStyle name="20% - Accent5 4 3 3 2 5" xfId="9571" xr:uid="{00000000-0005-0000-0000-000019230000}"/>
    <cellStyle name="20% - Accent5 4 3 3 2 6" xfId="9572" xr:uid="{00000000-0005-0000-0000-00001A230000}"/>
    <cellStyle name="20% - Accent5 4 3 3 2 7" xfId="9573" xr:uid="{00000000-0005-0000-0000-00001B230000}"/>
    <cellStyle name="20% - Accent5 4 3 3 3" xfId="9574" xr:uid="{00000000-0005-0000-0000-00001C230000}"/>
    <cellStyle name="20% - Accent5 4 3 3 3 2" xfId="9575" xr:uid="{00000000-0005-0000-0000-00001D230000}"/>
    <cellStyle name="20% - Accent5 4 3 3 3 2 2" xfId="9576" xr:uid="{00000000-0005-0000-0000-00001E230000}"/>
    <cellStyle name="20% - Accent5 4 3 3 3 2 3" xfId="9577" xr:uid="{00000000-0005-0000-0000-00001F230000}"/>
    <cellStyle name="20% - Accent5 4 3 3 3 3" xfId="9578" xr:uid="{00000000-0005-0000-0000-000020230000}"/>
    <cellStyle name="20% - Accent5 4 3 3 3 4" xfId="9579" xr:uid="{00000000-0005-0000-0000-000021230000}"/>
    <cellStyle name="20% - Accent5 4 3 3 3 5" xfId="9580" xr:uid="{00000000-0005-0000-0000-000022230000}"/>
    <cellStyle name="20% - Accent5 4 3 3 3 6" xfId="9581" xr:uid="{00000000-0005-0000-0000-000023230000}"/>
    <cellStyle name="20% - Accent5 4 3 3 4" xfId="9582" xr:uid="{00000000-0005-0000-0000-000024230000}"/>
    <cellStyle name="20% - Accent5 4 3 3 4 2" xfId="9583" xr:uid="{00000000-0005-0000-0000-000025230000}"/>
    <cellStyle name="20% - Accent5 4 3 3 4 2 2" xfId="9584" xr:uid="{00000000-0005-0000-0000-000026230000}"/>
    <cellStyle name="20% - Accent5 4 3 3 4 2 3" xfId="9585" xr:uid="{00000000-0005-0000-0000-000027230000}"/>
    <cellStyle name="20% - Accent5 4 3 3 4 3" xfId="9586" xr:uid="{00000000-0005-0000-0000-000028230000}"/>
    <cellStyle name="20% - Accent5 4 3 3 4 4" xfId="9587" xr:uid="{00000000-0005-0000-0000-000029230000}"/>
    <cellStyle name="20% - Accent5 4 3 3 4 5" xfId="9588" xr:uid="{00000000-0005-0000-0000-00002A230000}"/>
    <cellStyle name="20% - Accent5 4 3 3 4 6" xfId="9589" xr:uid="{00000000-0005-0000-0000-00002B230000}"/>
    <cellStyle name="20% - Accent5 4 3 3 5" xfId="9590" xr:uid="{00000000-0005-0000-0000-00002C230000}"/>
    <cellStyle name="20% - Accent5 4 3 3 5 2" xfId="9591" xr:uid="{00000000-0005-0000-0000-00002D230000}"/>
    <cellStyle name="20% - Accent5 4 3 3 5 3" xfId="9592" xr:uid="{00000000-0005-0000-0000-00002E230000}"/>
    <cellStyle name="20% - Accent5 4 3 3 6" xfId="9593" xr:uid="{00000000-0005-0000-0000-00002F230000}"/>
    <cellStyle name="20% - Accent5 4 3 3 7" xfId="9594" xr:uid="{00000000-0005-0000-0000-000030230000}"/>
    <cellStyle name="20% - Accent5 4 3 3 8" xfId="9595" xr:uid="{00000000-0005-0000-0000-000031230000}"/>
    <cellStyle name="20% - Accent5 4 3 3 9" xfId="9596" xr:uid="{00000000-0005-0000-0000-000032230000}"/>
    <cellStyle name="20% - Accent5 4 3 4" xfId="9597" xr:uid="{00000000-0005-0000-0000-000033230000}"/>
    <cellStyle name="20% - Accent5 4 3 4 2" xfId="9598" xr:uid="{00000000-0005-0000-0000-000034230000}"/>
    <cellStyle name="20% - Accent5 4 3 4 2 2" xfId="9599" xr:uid="{00000000-0005-0000-0000-000035230000}"/>
    <cellStyle name="20% - Accent5 4 3 4 2 2 2" xfId="9600" xr:uid="{00000000-0005-0000-0000-000036230000}"/>
    <cellStyle name="20% - Accent5 4 3 4 2 2 3" xfId="9601" xr:uid="{00000000-0005-0000-0000-000037230000}"/>
    <cellStyle name="20% - Accent5 4 3 4 2 3" xfId="9602" xr:uid="{00000000-0005-0000-0000-000038230000}"/>
    <cellStyle name="20% - Accent5 4 3 4 2 4" xfId="9603" xr:uid="{00000000-0005-0000-0000-000039230000}"/>
    <cellStyle name="20% - Accent5 4 3 4 2 5" xfId="9604" xr:uid="{00000000-0005-0000-0000-00003A230000}"/>
    <cellStyle name="20% - Accent5 4 3 4 2 6" xfId="9605" xr:uid="{00000000-0005-0000-0000-00003B230000}"/>
    <cellStyle name="20% - Accent5 4 3 4 3" xfId="9606" xr:uid="{00000000-0005-0000-0000-00003C230000}"/>
    <cellStyle name="20% - Accent5 4 3 4 3 2" xfId="9607" xr:uid="{00000000-0005-0000-0000-00003D230000}"/>
    <cellStyle name="20% - Accent5 4 3 4 3 3" xfId="9608" xr:uid="{00000000-0005-0000-0000-00003E230000}"/>
    <cellStyle name="20% - Accent5 4 3 4 4" xfId="9609" xr:uid="{00000000-0005-0000-0000-00003F230000}"/>
    <cellStyle name="20% - Accent5 4 3 4 5" xfId="9610" xr:uid="{00000000-0005-0000-0000-000040230000}"/>
    <cellStyle name="20% - Accent5 4 3 4 6" xfId="9611" xr:uid="{00000000-0005-0000-0000-000041230000}"/>
    <cellStyle name="20% - Accent5 4 3 4 7" xfId="9612" xr:uid="{00000000-0005-0000-0000-000042230000}"/>
    <cellStyle name="20% - Accent5 4 3 5" xfId="9613" xr:uid="{00000000-0005-0000-0000-000043230000}"/>
    <cellStyle name="20% - Accent5 4 3 5 2" xfId="9614" xr:uid="{00000000-0005-0000-0000-000044230000}"/>
    <cellStyle name="20% - Accent5 4 3 5 2 2" xfId="9615" xr:uid="{00000000-0005-0000-0000-000045230000}"/>
    <cellStyle name="20% - Accent5 4 3 5 2 3" xfId="9616" xr:uid="{00000000-0005-0000-0000-000046230000}"/>
    <cellStyle name="20% - Accent5 4 3 5 3" xfId="9617" xr:uid="{00000000-0005-0000-0000-000047230000}"/>
    <cellStyle name="20% - Accent5 4 3 5 4" xfId="9618" xr:uid="{00000000-0005-0000-0000-000048230000}"/>
    <cellStyle name="20% - Accent5 4 3 5 5" xfId="9619" xr:uid="{00000000-0005-0000-0000-000049230000}"/>
    <cellStyle name="20% - Accent5 4 3 5 6" xfId="9620" xr:uid="{00000000-0005-0000-0000-00004A230000}"/>
    <cellStyle name="20% - Accent5 4 3 6" xfId="9621" xr:uid="{00000000-0005-0000-0000-00004B230000}"/>
    <cellStyle name="20% - Accent5 4 3 6 2" xfId="9622" xr:uid="{00000000-0005-0000-0000-00004C230000}"/>
    <cellStyle name="20% - Accent5 4 3 6 2 2" xfId="9623" xr:uid="{00000000-0005-0000-0000-00004D230000}"/>
    <cellStyle name="20% - Accent5 4 3 6 2 3" xfId="9624" xr:uid="{00000000-0005-0000-0000-00004E230000}"/>
    <cellStyle name="20% - Accent5 4 3 6 3" xfId="9625" xr:uid="{00000000-0005-0000-0000-00004F230000}"/>
    <cellStyle name="20% - Accent5 4 3 6 4" xfId="9626" xr:uid="{00000000-0005-0000-0000-000050230000}"/>
    <cellStyle name="20% - Accent5 4 3 6 5" xfId="9627" xr:uid="{00000000-0005-0000-0000-000051230000}"/>
    <cellStyle name="20% - Accent5 4 3 6 6" xfId="9628" xr:uid="{00000000-0005-0000-0000-000052230000}"/>
    <cellStyle name="20% - Accent5 4 3 7" xfId="9629" xr:uid="{00000000-0005-0000-0000-000053230000}"/>
    <cellStyle name="20% - Accent5 4 3 7 2" xfId="9630" xr:uid="{00000000-0005-0000-0000-000054230000}"/>
    <cellStyle name="20% - Accent5 4 3 7 2 2" xfId="9631" xr:uid="{00000000-0005-0000-0000-000055230000}"/>
    <cellStyle name="20% - Accent5 4 3 7 2 3" xfId="9632" xr:uid="{00000000-0005-0000-0000-000056230000}"/>
    <cellStyle name="20% - Accent5 4 3 7 3" xfId="9633" xr:uid="{00000000-0005-0000-0000-000057230000}"/>
    <cellStyle name="20% - Accent5 4 3 7 4" xfId="9634" xr:uid="{00000000-0005-0000-0000-000058230000}"/>
    <cellStyle name="20% - Accent5 4 3 7 5" xfId="9635" xr:uid="{00000000-0005-0000-0000-000059230000}"/>
    <cellStyle name="20% - Accent5 4 3 7 6" xfId="9636" xr:uid="{00000000-0005-0000-0000-00005A230000}"/>
    <cellStyle name="20% - Accent5 4 3 8" xfId="9637" xr:uid="{00000000-0005-0000-0000-00005B230000}"/>
    <cellStyle name="20% - Accent5 4 3 8 2" xfId="9638" xr:uid="{00000000-0005-0000-0000-00005C230000}"/>
    <cellStyle name="20% - Accent5 4 3 8 2 2" xfId="9639" xr:uid="{00000000-0005-0000-0000-00005D230000}"/>
    <cellStyle name="20% - Accent5 4 3 8 2 3" xfId="9640" xr:uid="{00000000-0005-0000-0000-00005E230000}"/>
    <cellStyle name="20% - Accent5 4 3 8 3" xfId="9641" xr:uid="{00000000-0005-0000-0000-00005F230000}"/>
    <cellStyle name="20% - Accent5 4 3 8 4" xfId="9642" xr:uid="{00000000-0005-0000-0000-000060230000}"/>
    <cellStyle name="20% - Accent5 4 3 8 5" xfId="9643" xr:uid="{00000000-0005-0000-0000-000061230000}"/>
    <cellStyle name="20% - Accent5 4 3 8 6" xfId="9644" xr:uid="{00000000-0005-0000-0000-000062230000}"/>
    <cellStyle name="20% - Accent5 4 3 9" xfId="9645" xr:uid="{00000000-0005-0000-0000-000063230000}"/>
    <cellStyle name="20% - Accent5 4 3 9 2" xfId="9646" xr:uid="{00000000-0005-0000-0000-000064230000}"/>
    <cellStyle name="20% - Accent5 4 3 9 3" xfId="9647" xr:uid="{00000000-0005-0000-0000-000065230000}"/>
    <cellStyle name="20% - Accent5 4 4" xfId="9648" xr:uid="{00000000-0005-0000-0000-000066230000}"/>
    <cellStyle name="20% - Accent5 4 4 10" xfId="9649" xr:uid="{00000000-0005-0000-0000-000067230000}"/>
    <cellStyle name="20% - Accent5 4 4 2" xfId="9650" xr:uid="{00000000-0005-0000-0000-000068230000}"/>
    <cellStyle name="20% - Accent5 4 4 2 2" xfId="9651" xr:uid="{00000000-0005-0000-0000-000069230000}"/>
    <cellStyle name="20% - Accent5 4 4 2 2 2" xfId="9652" xr:uid="{00000000-0005-0000-0000-00006A230000}"/>
    <cellStyle name="20% - Accent5 4 4 2 2 2 2" xfId="9653" xr:uid="{00000000-0005-0000-0000-00006B230000}"/>
    <cellStyle name="20% - Accent5 4 4 2 2 2 3" xfId="9654" xr:uid="{00000000-0005-0000-0000-00006C230000}"/>
    <cellStyle name="20% - Accent5 4 4 2 2 3" xfId="9655" xr:uid="{00000000-0005-0000-0000-00006D230000}"/>
    <cellStyle name="20% - Accent5 4 4 2 2 4" xfId="9656" xr:uid="{00000000-0005-0000-0000-00006E230000}"/>
    <cellStyle name="20% - Accent5 4 4 2 2 5" xfId="9657" xr:uid="{00000000-0005-0000-0000-00006F230000}"/>
    <cellStyle name="20% - Accent5 4 4 2 2 6" xfId="9658" xr:uid="{00000000-0005-0000-0000-000070230000}"/>
    <cellStyle name="20% - Accent5 4 4 2 3" xfId="9659" xr:uid="{00000000-0005-0000-0000-000071230000}"/>
    <cellStyle name="20% - Accent5 4 4 2 3 2" xfId="9660" xr:uid="{00000000-0005-0000-0000-000072230000}"/>
    <cellStyle name="20% - Accent5 4 4 2 3 2 2" xfId="9661" xr:uid="{00000000-0005-0000-0000-000073230000}"/>
    <cellStyle name="20% - Accent5 4 4 2 3 2 3" xfId="9662" xr:uid="{00000000-0005-0000-0000-000074230000}"/>
    <cellStyle name="20% - Accent5 4 4 2 3 3" xfId="9663" xr:uid="{00000000-0005-0000-0000-000075230000}"/>
    <cellStyle name="20% - Accent5 4 4 2 3 4" xfId="9664" xr:uid="{00000000-0005-0000-0000-000076230000}"/>
    <cellStyle name="20% - Accent5 4 4 2 3 5" xfId="9665" xr:uid="{00000000-0005-0000-0000-000077230000}"/>
    <cellStyle name="20% - Accent5 4 4 2 3 6" xfId="9666" xr:uid="{00000000-0005-0000-0000-000078230000}"/>
    <cellStyle name="20% - Accent5 4 4 2 4" xfId="9667" xr:uid="{00000000-0005-0000-0000-000079230000}"/>
    <cellStyle name="20% - Accent5 4 4 2 4 2" xfId="9668" xr:uid="{00000000-0005-0000-0000-00007A230000}"/>
    <cellStyle name="20% - Accent5 4 4 2 4 3" xfId="9669" xr:uid="{00000000-0005-0000-0000-00007B230000}"/>
    <cellStyle name="20% - Accent5 4 4 2 5" xfId="9670" xr:uid="{00000000-0005-0000-0000-00007C230000}"/>
    <cellStyle name="20% - Accent5 4 4 2 6" xfId="9671" xr:uid="{00000000-0005-0000-0000-00007D230000}"/>
    <cellStyle name="20% - Accent5 4 4 2 7" xfId="9672" xr:uid="{00000000-0005-0000-0000-00007E230000}"/>
    <cellStyle name="20% - Accent5 4 4 2 8" xfId="9673" xr:uid="{00000000-0005-0000-0000-00007F230000}"/>
    <cellStyle name="20% - Accent5 4 4 3" xfId="9674" xr:uid="{00000000-0005-0000-0000-000080230000}"/>
    <cellStyle name="20% - Accent5 4 4 3 2" xfId="9675" xr:uid="{00000000-0005-0000-0000-000081230000}"/>
    <cellStyle name="20% - Accent5 4 4 3 2 2" xfId="9676" xr:uid="{00000000-0005-0000-0000-000082230000}"/>
    <cellStyle name="20% - Accent5 4 4 3 2 2 2" xfId="9677" xr:uid="{00000000-0005-0000-0000-000083230000}"/>
    <cellStyle name="20% - Accent5 4 4 3 2 2 3" xfId="9678" xr:uid="{00000000-0005-0000-0000-000084230000}"/>
    <cellStyle name="20% - Accent5 4 4 3 2 3" xfId="9679" xr:uid="{00000000-0005-0000-0000-000085230000}"/>
    <cellStyle name="20% - Accent5 4 4 3 2 4" xfId="9680" xr:uid="{00000000-0005-0000-0000-000086230000}"/>
    <cellStyle name="20% - Accent5 4 4 3 2 5" xfId="9681" xr:uid="{00000000-0005-0000-0000-000087230000}"/>
    <cellStyle name="20% - Accent5 4 4 3 2 6" xfId="9682" xr:uid="{00000000-0005-0000-0000-000088230000}"/>
    <cellStyle name="20% - Accent5 4 4 3 3" xfId="9683" xr:uid="{00000000-0005-0000-0000-000089230000}"/>
    <cellStyle name="20% - Accent5 4 4 3 3 2" xfId="9684" xr:uid="{00000000-0005-0000-0000-00008A230000}"/>
    <cellStyle name="20% - Accent5 4 4 3 3 3" xfId="9685" xr:uid="{00000000-0005-0000-0000-00008B230000}"/>
    <cellStyle name="20% - Accent5 4 4 3 4" xfId="9686" xr:uid="{00000000-0005-0000-0000-00008C230000}"/>
    <cellStyle name="20% - Accent5 4 4 3 5" xfId="9687" xr:uid="{00000000-0005-0000-0000-00008D230000}"/>
    <cellStyle name="20% - Accent5 4 4 3 6" xfId="9688" xr:uid="{00000000-0005-0000-0000-00008E230000}"/>
    <cellStyle name="20% - Accent5 4 4 3 7" xfId="9689" xr:uid="{00000000-0005-0000-0000-00008F230000}"/>
    <cellStyle name="20% - Accent5 4 4 4" xfId="9690" xr:uid="{00000000-0005-0000-0000-000090230000}"/>
    <cellStyle name="20% - Accent5 4 4 4 2" xfId="9691" xr:uid="{00000000-0005-0000-0000-000091230000}"/>
    <cellStyle name="20% - Accent5 4 4 4 2 2" xfId="9692" xr:uid="{00000000-0005-0000-0000-000092230000}"/>
    <cellStyle name="20% - Accent5 4 4 4 2 3" xfId="9693" xr:uid="{00000000-0005-0000-0000-000093230000}"/>
    <cellStyle name="20% - Accent5 4 4 4 3" xfId="9694" xr:uid="{00000000-0005-0000-0000-000094230000}"/>
    <cellStyle name="20% - Accent5 4 4 4 4" xfId="9695" xr:uid="{00000000-0005-0000-0000-000095230000}"/>
    <cellStyle name="20% - Accent5 4 4 4 5" xfId="9696" xr:uid="{00000000-0005-0000-0000-000096230000}"/>
    <cellStyle name="20% - Accent5 4 4 4 6" xfId="9697" xr:uid="{00000000-0005-0000-0000-000097230000}"/>
    <cellStyle name="20% - Accent5 4 4 5" xfId="9698" xr:uid="{00000000-0005-0000-0000-000098230000}"/>
    <cellStyle name="20% - Accent5 4 4 5 2" xfId="9699" xr:uid="{00000000-0005-0000-0000-000099230000}"/>
    <cellStyle name="20% - Accent5 4 4 5 2 2" xfId="9700" xr:uid="{00000000-0005-0000-0000-00009A230000}"/>
    <cellStyle name="20% - Accent5 4 4 5 2 3" xfId="9701" xr:uid="{00000000-0005-0000-0000-00009B230000}"/>
    <cellStyle name="20% - Accent5 4 4 5 3" xfId="9702" xr:uid="{00000000-0005-0000-0000-00009C230000}"/>
    <cellStyle name="20% - Accent5 4 4 5 4" xfId="9703" xr:uid="{00000000-0005-0000-0000-00009D230000}"/>
    <cellStyle name="20% - Accent5 4 4 5 5" xfId="9704" xr:uid="{00000000-0005-0000-0000-00009E230000}"/>
    <cellStyle name="20% - Accent5 4 4 5 6" xfId="9705" xr:uid="{00000000-0005-0000-0000-00009F230000}"/>
    <cellStyle name="20% - Accent5 4 4 6" xfId="9706" xr:uid="{00000000-0005-0000-0000-0000A0230000}"/>
    <cellStyle name="20% - Accent5 4 4 6 2" xfId="9707" xr:uid="{00000000-0005-0000-0000-0000A1230000}"/>
    <cellStyle name="20% - Accent5 4 4 6 3" xfId="9708" xr:uid="{00000000-0005-0000-0000-0000A2230000}"/>
    <cellStyle name="20% - Accent5 4 4 7" xfId="9709" xr:uid="{00000000-0005-0000-0000-0000A3230000}"/>
    <cellStyle name="20% - Accent5 4 4 8" xfId="9710" xr:uid="{00000000-0005-0000-0000-0000A4230000}"/>
    <cellStyle name="20% - Accent5 4 4 9" xfId="9711" xr:uid="{00000000-0005-0000-0000-0000A5230000}"/>
    <cellStyle name="20% - Accent5 4 5" xfId="9712" xr:uid="{00000000-0005-0000-0000-0000A6230000}"/>
    <cellStyle name="20% - Accent5 4 5 2" xfId="9713" xr:uid="{00000000-0005-0000-0000-0000A7230000}"/>
    <cellStyle name="20% - Accent5 4 5 2 2" xfId="9714" xr:uid="{00000000-0005-0000-0000-0000A8230000}"/>
    <cellStyle name="20% - Accent5 4 5 2 2 2" xfId="9715" xr:uid="{00000000-0005-0000-0000-0000A9230000}"/>
    <cellStyle name="20% - Accent5 4 5 2 2 2 2" xfId="9716" xr:uid="{00000000-0005-0000-0000-0000AA230000}"/>
    <cellStyle name="20% - Accent5 4 5 2 2 2 3" xfId="9717" xr:uid="{00000000-0005-0000-0000-0000AB230000}"/>
    <cellStyle name="20% - Accent5 4 5 2 2 3" xfId="9718" xr:uid="{00000000-0005-0000-0000-0000AC230000}"/>
    <cellStyle name="20% - Accent5 4 5 2 2 4" xfId="9719" xr:uid="{00000000-0005-0000-0000-0000AD230000}"/>
    <cellStyle name="20% - Accent5 4 5 2 2 5" xfId="9720" xr:uid="{00000000-0005-0000-0000-0000AE230000}"/>
    <cellStyle name="20% - Accent5 4 5 2 2 6" xfId="9721" xr:uid="{00000000-0005-0000-0000-0000AF230000}"/>
    <cellStyle name="20% - Accent5 4 5 2 3" xfId="9722" xr:uid="{00000000-0005-0000-0000-0000B0230000}"/>
    <cellStyle name="20% - Accent5 4 5 2 3 2" xfId="9723" xr:uid="{00000000-0005-0000-0000-0000B1230000}"/>
    <cellStyle name="20% - Accent5 4 5 2 3 3" xfId="9724" xr:uid="{00000000-0005-0000-0000-0000B2230000}"/>
    <cellStyle name="20% - Accent5 4 5 2 4" xfId="9725" xr:uid="{00000000-0005-0000-0000-0000B3230000}"/>
    <cellStyle name="20% - Accent5 4 5 2 5" xfId="9726" xr:uid="{00000000-0005-0000-0000-0000B4230000}"/>
    <cellStyle name="20% - Accent5 4 5 2 6" xfId="9727" xr:uid="{00000000-0005-0000-0000-0000B5230000}"/>
    <cellStyle name="20% - Accent5 4 5 2 7" xfId="9728" xr:uid="{00000000-0005-0000-0000-0000B6230000}"/>
    <cellStyle name="20% - Accent5 4 5 3" xfId="9729" xr:uid="{00000000-0005-0000-0000-0000B7230000}"/>
    <cellStyle name="20% - Accent5 4 5 3 2" xfId="9730" xr:uid="{00000000-0005-0000-0000-0000B8230000}"/>
    <cellStyle name="20% - Accent5 4 5 3 2 2" xfId="9731" xr:uid="{00000000-0005-0000-0000-0000B9230000}"/>
    <cellStyle name="20% - Accent5 4 5 3 2 3" xfId="9732" xr:uid="{00000000-0005-0000-0000-0000BA230000}"/>
    <cellStyle name="20% - Accent5 4 5 3 3" xfId="9733" xr:uid="{00000000-0005-0000-0000-0000BB230000}"/>
    <cellStyle name="20% - Accent5 4 5 3 4" xfId="9734" xr:uid="{00000000-0005-0000-0000-0000BC230000}"/>
    <cellStyle name="20% - Accent5 4 5 3 5" xfId="9735" xr:uid="{00000000-0005-0000-0000-0000BD230000}"/>
    <cellStyle name="20% - Accent5 4 5 3 6" xfId="9736" xr:uid="{00000000-0005-0000-0000-0000BE230000}"/>
    <cellStyle name="20% - Accent5 4 5 4" xfId="9737" xr:uid="{00000000-0005-0000-0000-0000BF230000}"/>
    <cellStyle name="20% - Accent5 4 5 4 2" xfId="9738" xr:uid="{00000000-0005-0000-0000-0000C0230000}"/>
    <cellStyle name="20% - Accent5 4 5 4 2 2" xfId="9739" xr:uid="{00000000-0005-0000-0000-0000C1230000}"/>
    <cellStyle name="20% - Accent5 4 5 4 2 3" xfId="9740" xr:uid="{00000000-0005-0000-0000-0000C2230000}"/>
    <cellStyle name="20% - Accent5 4 5 4 3" xfId="9741" xr:uid="{00000000-0005-0000-0000-0000C3230000}"/>
    <cellStyle name="20% - Accent5 4 5 4 4" xfId="9742" xr:uid="{00000000-0005-0000-0000-0000C4230000}"/>
    <cellStyle name="20% - Accent5 4 5 4 5" xfId="9743" xr:uid="{00000000-0005-0000-0000-0000C5230000}"/>
    <cellStyle name="20% - Accent5 4 5 4 6" xfId="9744" xr:uid="{00000000-0005-0000-0000-0000C6230000}"/>
    <cellStyle name="20% - Accent5 4 5 5" xfId="9745" xr:uid="{00000000-0005-0000-0000-0000C7230000}"/>
    <cellStyle name="20% - Accent5 4 5 5 2" xfId="9746" xr:uid="{00000000-0005-0000-0000-0000C8230000}"/>
    <cellStyle name="20% - Accent5 4 5 5 3" xfId="9747" xr:uid="{00000000-0005-0000-0000-0000C9230000}"/>
    <cellStyle name="20% - Accent5 4 5 6" xfId="9748" xr:uid="{00000000-0005-0000-0000-0000CA230000}"/>
    <cellStyle name="20% - Accent5 4 5 7" xfId="9749" xr:uid="{00000000-0005-0000-0000-0000CB230000}"/>
    <cellStyle name="20% - Accent5 4 5 8" xfId="9750" xr:uid="{00000000-0005-0000-0000-0000CC230000}"/>
    <cellStyle name="20% - Accent5 4 5 9" xfId="9751" xr:uid="{00000000-0005-0000-0000-0000CD230000}"/>
    <cellStyle name="20% - Accent5 4 6" xfId="9752" xr:uid="{00000000-0005-0000-0000-0000CE230000}"/>
    <cellStyle name="20% - Accent5 4 6 2" xfId="9753" xr:uid="{00000000-0005-0000-0000-0000CF230000}"/>
    <cellStyle name="20% - Accent5 4 6 2 2" xfId="9754" xr:uid="{00000000-0005-0000-0000-0000D0230000}"/>
    <cellStyle name="20% - Accent5 4 6 2 2 2" xfId="9755" xr:uid="{00000000-0005-0000-0000-0000D1230000}"/>
    <cellStyle name="20% - Accent5 4 6 2 2 3" xfId="9756" xr:uid="{00000000-0005-0000-0000-0000D2230000}"/>
    <cellStyle name="20% - Accent5 4 6 2 3" xfId="9757" xr:uid="{00000000-0005-0000-0000-0000D3230000}"/>
    <cellStyle name="20% - Accent5 4 6 2 4" xfId="9758" xr:uid="{00000000-0005-0000-0000-0000D4230000}"/>
    <cellStyle name="20% - Accent5 4 6 2 5" xfId="9759" xr:uid="{00000000-0005-0000-0000-0000D5230000}"/>
    <cellStyle name="20% - Accent5 4 6 2 6" xfId="9760" xr:uid="{00000000-0005-0000-0000-0000D6230000}"/>
    <cellStyle name="20% - Accent5 4 6 3" xfId="9761" xr:uid="{00000000-0005-0000-0000-0000D7230000}"/>
    <cellStyle name="20% - Accent5 4 6 3 2" xfId="9762" xr:uid="{00000000-0005-0000-0000-0000D8230000}"/>
    <cellStyle name="20% - Accent5 4 6 3 3" xfId="9763" xr:uid="{00000000-0005-0000-0000-0000D9230000}"/>
    <cellStyle name="20% - Accent5 4 6 4" xfId="9764" xr:uid="{00000000-0005-0000-0000-0000DA230000}"/>
    <cellStyle name="20% - Accent5 4 6 5" xfId="9765" xr:uid="{00000000-0005-0000-0000-0000DB230000}"/>
    <cellStyle name="20% - Accent5 4 6 6" xfId="9766" xr:uid="{00000000-0005-0000-0000-0000DC230000}"/>
    <cellStyle name="20% - Accent5 4 6 7" xfId="9767" xr:uid="{00000000-0005-0000-0000-0000DD230000}"/>
    <cellStyle name="20% - Accent5 4 7" xfId="9768" xr:uid="{00000000-0005-0000-0000-0000DE230000}"/>
    <cellStyle name="20% - Accent5 4 7 2" xfId="9769" xr:uid="{00000000-0005-0000-0000-0000DF230000}"/>
    <cellStyle name="20% - Accent5 4 7 2 2" xfId="9770" xr:uid="{00000000-0005-0000-0000-0000E0230000}"/>
    <cellStyle name="20% - Accent5 4 7 2 3" xfId="9771" xr:uid="{00000000-0005-0000-0000-0000E1230000}"/>
    <cellStyle name="20% - Accent5 4 7 3" xfId="9772" xr:uid="{00000000-0005-0000-0000-0000E2230000}"/>
    <cellStyle name="20% - Accent5 4 7 4" xfId="9773" xr:uid="{00000000-0005-0000-0000-0000E3230000}"/>
    <cellStyle name="20% - Accent5 4 7 5" xfId="9774" xr:uid="{00000000-0005-0000-0000-0000E4230000}"/>
    <cellStyle name="20% - Accent5 4 7 6" xfId="9775" xr:uid="{00000000-0005-0000-0000-0000E5230000}"/>
    <cellStyle name="20% - Accent5 4 8" xfId="9776" xr:uid="{00000000-0005-0000-0000-0000E6230000}"/>
    <cellStyle name="20% - Accent5 4 8 2" xfId="9777" xr:uid="{00000000-0005-0000-0000-0000E7230000}"/>
    <cellStyle name="20% - Accent5 4 8 2 2" xfId="9778" xr:uid="{00000000-0005-0000-0000-0000E8230000}"/>
    <cellStyle name="20% - Accent5 4 8 2 3" xfId="9779" xr:uid="{00000000-0005-0000-0000-0000E9230000}"/>
    <cellStyle name="20% - Accent5 4 8 3" xfId="9780" xr:uid="{00000000-0005-0000-0000-0000EA230000}"/>
    <cellStyle name="20% - Accent5 4 8 4" xfId="9781" xr:uid="{00000000-0005-0000-0000-0000EB230000}"/>
    <cellStyle name="20% - Accent5 4 8 5" xfId="9782" xr:uid="{00000000-0005-0000-0000-0000EC230000}"/>
    <cellStyle name="20% - Accent5 4 8 6" xfId="9783" xr:uid="{00000000-0005-0000-0000-0000ED230000}"/>
    <cellStyle name="20% - Accent5 4 9" xfId="9784" xr:uid="{00000000-0005-0000-0000-0000EE230000}"/>
    <cellStyle name="20% - Accent5 4 9 2" xfId="9785" xr:uid="{00000000-0005-0000-0000-0000EF230000}"/>
    <cellStyle name="20% - Accent5 4 9 2 2" xfId="9786" xr:uid="{00000000-0005-0000-0000-0000F0230000}"/>
    <cellStyle name="20% - Accent5 4 9 2 3" xfId="9787" xr:uid="{00000000-0005-0000-0000-0000F1230000}"/>
    <cellStyle name="20% - Accent5 4 9 3" xfId="9788" xr:uid="{00000000-0005-0000-0000-0000F2230000}"/>
    <cellStyle name="20% - Accent5 4 9 4" xfId="9789" xr:uid="{00000000-0005-0000-0000-0000F3230000}"/>
    <cellStyle name="20% - Accent5 4 9 5" xfId="9790" xr:uid="{00000000-0005-0000-0000-0000F4230000}"/>
    <cellStyle name="20% - Accent5 4 9 6" xfId="9791" xr:uid="{00000000-0005-0000-0000-0000F5230000}"/>
    <cellStyle name="20% - Accent5 5" xfId="9792" xr:uid="{00000000-0005-0000-0000-0000F6230000}"/>
    <cellStyle name="20% - Accent5 5 10" xfId="9793" xr:uid="{00000000-0005-0000-0000-0000F7230000}"/>
    <cellStyle name="20% - Accent5 5 11" xfId="9794" xr:uid="{00000000-0005-0000-0000-0000F8230000}"/>
    <cellStyle name="20% - Accent5 5 12" xfId="9795" xr:uid="{00000000-0005-0000-0000-0000F9230000}"/>
    <cellStyle name="20% - Accent5 5 13" xfId="9796" xr:uid="{00000000-0005-0000-0000-0000FA230000}"/>
    <cellStyle name="20% - Accent5 5 2" xfId="9797" xr:uid="{00000000-0005-0000-0000-0000FB230000}"/>
    <cellStyle name="20% - Accent5 5 2 10" xfId="9798" xr:uid="{00000000-0005-0000-0000-0000FC230000}"/>
    <cellStyle name="20% - Accent5 5 2 2" xfId="9799" xr:uid="{00000000-0005-0000-0000-0000FD230000}"/>
    <cellStyle name="20% - Accent5 5 2 2 2" xfId="9800" xr:uid="{00000000-0005-0000-0000-0000FE230000}"/>
    <cellStyle name="20% - Accent5 5 2 2 2 2" xfId="9801" xr:uid="{00000000-0005-0000-0000-0000FF230000}"/>
    <cellStyle name="20% - Accent5 5 2 2 2 2 2" xfId="9802" xr:uid="{00000000-0005-0000-0000-000000240000}"/>
    <cellStyle name="20% - Accent5 5 2 2 2 2 3" xfId="9803" xr:uid="{00000000-0005-0000-0000-000001240000}"/>
    <cellStyle name="20% - Accent5 5 2 2 2 3" xfId="9804" xr:uid="{00000000-0005-0000-0000-000002240000}"/>
    <cellStyle name="20% - Accent5 5 2 2 2 4" xfId="9805" xr:uid="{00000000-0005-0000-0000-000003240000}"/>
    <cellStyle name="20% - Accent5 5 2 2 2 5" xfId="9806" xr:uid="{00000000-0005-0000-0000-000004240000}"/>
    <cellStyle name="20% - Accent5 5 2 2 2 6" xfId="9807" xr:uid="{00000000-0005-0000-0000-000005240000}"/>
    <cellStyle name="20% - Accent5 5 2 2 3" xfId="9808" xr:uid="{00000000-0005-0000-0000-000006240000}"/>
    <cellStyle name="20% - Accent5 5 2 2 3 2" xfId="9809" xr:uid="{00000000-0005-0000-0000-000007240000}"/>
    <cellStyle name="20% - Accent5 5 2 2 3 2 2" xfId="9810" xr:uid="{00000000-0005-0000-0000-000008240000}"/>
    <cellStyle name="20% - Accent5 5 2 2 3 2 3" xfId="9811" xr:uid="{00000000-0005-0000-0000-000009240000}"/>
    <cellStyle name="20% - Accent5 5 2 2 3 3" xfId="9812" xr:uid="{00000000-0005-0000-0000-00000A240000}"/>
    <cellStyle name="20% - Accent5 5 2 2 3 4" xfId="9813" xr:uid="{00000000-0005-0000-0000-00000B240000}"/>
    <cellStyle name="20% - Accent5 5 2 2 3 5" xfId="9814" xr:uid="{00000000-0005-0000-0000-00000C240000}"/>
    <cellStyle name="20% - Accent5 5 2 2 3 6" xfId="9815" xr:uid="{00000000-0005-0000-0000-00000D240000}"/>
    <cellStyle name="20% - Accent5 5 2 2 4" xfId="9816" xr:uid="{00000000-0005-0000-0000-00000E240000}"/>
    <cellStyle name="20% - Accent5 5 2 2 4 2" xfId="9817" xr:uid="{00000000-0005-0000-0000-00000F240000}"/>
    <cellStyle name="20% - Accent5 5 2 2 4 3" xfId="9818" xr:uid="{00000000-0005-0000-0000-000010240000}"/>
    <cellStyle name="20% - Accent5 5 2 2 5" xfId="9819" xr:uid="{00000000-0005-0000-0000-000011240000}"/>
    <cellStyle name="20% - Accent5 5 2 2 6" xfId="9820" xr:uid="{00000000-0005-0000-0000-000012240000}"/>
    <cellStyle name="20% - Accent5 5 2 2 7" xfId="9821" xr:uid="{00000000-0005-0000-0000-000013240000}"/>
    <cellStyle name="20% - Accent5 5 2 2 8" xfId="9822" xr:uid="{00000000-0005-0000-0000-000014240000}"/>
    <cellStyle name="20% - Accent5 5 2 3" xfId="9823" xr:uid="{00000000-0005-0000-0000-000015240000}"/>
    <cellStyle name="20% - Accent5 5 2 3 2" xfId="9824" xr:uid="{00000000-0005-0000-0000-000016240000}"/>
    <cellStyle name="20% - Accent5 5 2 3 2 2" xfId="9825" xr:uid="{00000000-0005-0000-0000-000017240000}"/>
    <cellStyle name="20% - Accent5 5 2 3 2 2 2" xfId="9826" xr:uid="{00000000-0005-0000-0000-000018240000}"/>
    <cellStyle name="20% - Accent5 5 2 3 2 2 3" xfId="9827" xr:uid="{00000000-0005-0000-0000-000019240000}"/>
    <cellStyle name="20% - Accent5 5 2 3 2 3" xfId="9828" xr:uid="{00000000-0005-0000-0000-00001A240000}"/>
    <cellStyle name="20% - Accent5 5 2 3 2 4" xfId="9829" xr:uid="{00000000-0005-0000-0000-00001B240000}"/>
    <cellStyle name="20% - Accent5 5 2 3 2 5" xfId="9830" xr:uid="{00000000-0005-0000-0000-00001C240000}"/>
    <cellStyle name="20% - Accent5 5 2 3 2 6" xfId="9831" xr:uid="{00000000-0005-0000-0000-00001D240000}"/>
    <cellStyle name="20% - Accent5 5 2 3 3" xfId="9832" xr:uid="{00000000-0005-0000-0000-00001E240000}"/>
    <cellStyle name="20% - Accent5 5 2 3 3 2" xfId="9833" xr:uid="{00000000-0005-0000-0000-00001F240000}"/>
    <cellStyle name="20% - Accent5 5 2 3 3 3" xfId="9834" xr:uid="{00000000-0005-0000-0000-000020240000}"/>
    <cellStyle name="20% - Accent5 5 2 3 4" xfId="9835" xr:uid="{00000000-0005-0000-0000-000021240000}"/>
    <cellStyle name="20% - Accent5 5 2 3 5" xfId="9836" xr:uid="{00000000-0005-0000-0000-000022240000}"/>
    <cellStyle name="20% - Accent5 5 2 3 6" xfId="9837" xr:uid="{00000000-0005-0000-0000-000023240000}"/>
    <cellStyle name="20% - Accent5 5 2 3 7" xfId="9838" xr:uid="{00000000-0005-0000-0000-000024240000}"/>
    <cellStyle name="20% - Accent5 5 2 4" xfId="9839" xr:uid="{00000000-0005-0000-0000-000025240000}"/>
    <cellStyle name="20% - Accent5 5 2 4 2" xfId="9840" xr:uid="{00000000-0005-0000-0000-000026240000}"/>
    <cellStyle name="20% - Accent5 5 2 4 2 2" xfId="9841" xr:uid="{00000000-0005-0000-0000-000027240000}"/>
    <cellStyle name="20% - Accent5 5 2 4 2 3" xfId="9842" xr:uid="{00000000-0005-0000-0000-000028240000}"/>
    <cellStyle name="20% - Accent5 5 2 4 3" xfId="9843" xr:uid="{00000000-0005-0000-0000-000029240000}"/>
    <cellStyle name="20% - Accent5 5 2 4 4" xfId="9844" xr:uid="{00000000-0005-0000-0000-00002A240000}"/>
    <cellStyle name="20% - Accent5 5 2 4 5" xfId="9845" xr:uid="{00000000-0005-0000-0000-00002B240000}"/>
    <cellStyle name="20% - Accent5 5 2 4 6" xfId="9846" xr:uid="{00000000-0005-0000-0000-00002C240000}"/>
    <cellStyle name="20% - Accent5 5 2 5" xfId="9847" xr:uid="{00000000-0005-0000-0000-00002D240000}"/>
    <cellStyle name="20% - Accent5 5 2 5 2" xfId="9848" xr:uid="{00000000-0005-0000-0000-00002E240000}"/>
    <cellStyle name="20% - Accent5 5 2 5 2 2" xfId="9849" xr:uid="{00000000-0005-0000-0000-00002F240000}"/>
    <cellStyle name="20% - Accent5 5 2 5 2 3" xfId="9850" xr:uid="{00000000-0005-0000-0000-000030240000}"/>
    <cellStyle name="20% - Accent5 5 2 5 3" xfId="9851" xr:uid="{00000000-0005-0000-0000-000031240000}"/>
    <cellStyle name="20% - Accent5 5 2 5 4" xfId="9852" xr:uid="{00000000-0005-0000-0000-000032240000}"/>
    <cellStyle name="20% - Accent5 5 2 5 5" xfId="9853" xr:uid="{00000000-0005-0000-0000-000033240000}"/>
    <cellStyle name="20% - Accent5 5 2 5 6" xfId="9854" xr:uid="{00000000-0005-0000-0000-000034240000}"/>
    <cellStyle name="20% - Accent5 5 2 6" xfId="9855" xr:uid="{00000000-0005-0000-0000-000035240000}"/>
    <cellStyle name="20% - Accent5 5 2 6 2" xfId="9856" xr:uid="{00000000-0005-0000-0000-000036240000}"/>
    <cellStyle name="20% - Accent5 5 2 6 3" xfId="9857" xr:uid="{00000000-0005-0000-0000-000037240000}"/>
    <cellStyle name="20% - Accent5 5 2 7" xfId="9858" xr:uid="{00000000-0005-0000-0000-000038240000}"/>
    <cellStyle name="20% - Accent5 5 2 8" xfId="9859" xr:uid="{00000000-0005-0000-0000-000039240000}"/>
    <cellStyle name="20% - Accent5 5 2 9" xfId="9860" xr:uid="{00000000-0005-0000-0000-00003A240000}"/>
    <cellStyle name="20% - Accent5 5 3" xfId="9861" xr:uid="{00000000-0005-0000-0000-00003B240000}"/>
    <cellStyle name="20% - Accent5 5 3 2" xfId="9862" xr:uid="{00000000-0005-0000-0000-00003C240000}"/>
    <cellStyle name="20% - Accent5 5 3 2 2" xfId="9863" xr:uid="{00000000-0005-0000-0000-00003D240000}"/>
    <cellStyle name="20% - Accent5 5 3 2 2 2" xfId="9864" xr:uid="{00000000-0005-0000-0000-00003E240000}"/>
    <cellStyle name="20% - Accent5 5 3 2 2 2 2" xfId="9865" xr:uid="{00000000-0005-0000-0000-00003F240000}"/>
    <cellStyle name="20% - Accent5 5 3 2 2 2 3" xfId="9866" xr:uid="{00000000-0005-0000-0000-000040240000}"/>
    <cellStyle name="20% - Accent5 5 3 2 2 3" xfId="9867" xr:uid="{00000000-0005-0000-0000-000041240000}"/>
    <cellStyle name="20% - Accent5 5 3 2 2 4" xfId="9868" xr:uid="{00000000-0005-0000-0000-000042240000}"/>
    <cellStyle name="20% - Accent5 5 3 2 2 5" xfId="9869" xr:uid="{00000000-0005-0000-0000-000043240000}"/>
    <cellStyle name="20% - Accent5 5 3 2 2 6" xfId="9870" xr:uid="{00000000-0005-0000-0000-000044240000}"/>
    <cellStyle name="20% - Accent5 5 3 2 3" xfId="9871" xr:uid="{00000000-0005-0000-0000-000045240000}"/>
    <cellStyle name="20% - Accent5 5 3 2 3 2" xfId="9872" xr:uid="{00000000-0005-0000-0000-000046240000}"/>
    <cellStyle name="20% - Accent5 5 3 2 3 3" xfId="9873" xr:uid="{00000000-0005-0000-0000-000047240000}"/>
    <cellStyle name="20% - Accent5 5 3 2 4" xfId="9874" xr:uid="{00000000-0005-0000-0000-000048240000}"/>
    <cellStyle name="20% - Accent5 5 3 2 5" xfId="9875" xr:uid="{00000000-0005-0000-0000-000049240000}"/>
    <cellStyle name="20% - Accent5 5 3 2 6" xfId="9876" xr:uid="{00000000-0005-0000-0000-00004A240000}"/>
    <cellStyle name="20% - Accent5 5 3 2 7" xfId="9877" xr:uid="{00000000-0005-0000-0000-00004B240000}"/>
    <cellStyle name="20% - Accent5 5 3 3" xfId="9878" xr:uid="{00000000-0005-0000-0000-00004C240000}"/>
    <cellStyle name="20% - Accent5 5 3 3 2" xfId="9879" xr:uid="{00000000-0005-0000-0000-00004D240000}"/>
    <cellStyle name="20% - Accent5 5 3 3 2 2" xfId="9880" xr:uid="{00000000-0005-0000-0000-00004E240000}"/>
    <cellStyle name="20% - Accent5 5 3 3 2 3" xfId="9881" xr:uid="{00000000-0005-0000-0000-00004F240000}"/>
    <cellStyle name="20% - Accent5 5 3 3 3" xfId="9882" xr:uid="{00000000-0005-0000-0000-000050240000}"/>
    <cellStyle name="20% - Accent5 5 3 3 4" xfId="9883" xr:uid="{00000000-0005-0000-0000-000051240000}"/>
    <cellStyle name="20% - Accent5 5 3 3 5" xfId="9884" xr:uid="{00000000-0005-0000-0000-000052240000}"/>
    <cellStyle name="20% - Accent5 5 3 3 6" xfId="9885" xr:uid="{00000000-0005-0000-0000-000053240000}"/>
    <cellStyle name="20% - Accent5 5 3 4" xfId="9886" xr:uid="{00000000-0005-0000-0000-000054240000}"/>
    <cellStyle name="20% - Accent5 5 3 4 2" xfId="9887" xr:uid="{00000000-0005-0000-0000-000055240000}"/>
    <cellStyle name="20% - Accent5 5 3 4 2 2" xfId="9888" xr:uid="{00000000-0005-0000-0000-000056240000}"/>
    <cellStyle name="20% - Accent5 5 3 4 2 3" xfId="9889" xr:uid="{00000000-0005-0000-0000-000057240000}"/>
    <cellStyle name="20% - Accent5 5 3 4 3" xfId="9890" xr:uid="{00000000-0005-0000-0000-000058240000}"/>
    <cellStyle name="20% - Accent5 5 3 4 4" xfId="9891" xr:uid="{00000000-0005-0000-0000-000059240000}"/>
    <cellStyle name="20% - Accent5 5 3 4 5" xfId="9892" xr:uid="{00000000-0005-0000-0000-00005A240000}"/>
    <cellStyle name="20% - Accent5 5 3 4 6" xfId="9893" xr:uid="{00000000-0005-0000-0000-00005B240000}"/>
    <cellStyle name="20% - Accent5 5 3 5" xfId="9894" xr:uid="{00000000-0005-0000-0000-00005C240000}"/>
    <cellStyle name="20% - Accent5 5 3 5 2" xfId="9895" xr:uid="{00000000-0005-0000-0000-00005D240000}"/>
    <cellStyle name="20% - Accent5 5 3 5 3" xfId="9896" xr:uid="{00000000-0005-0000-0000-00005E240000}"/>
    <cellStyle name="20% - Accent5 5 3 6" xfId="9897" xr:uid="{00000000-0005-0000-0000-00005F240000}"/>
    <cellStyle name="20% - Accent5 5 3 7" xfId="9898" xr:uid="{00000000-0005-0000-0000-000060240000}"/>
    <cellStyle name="20% - Accent5 5 3 8" xfId="9899" xr:uid="{00000000-0005-0000-0000-000061240000}"/>
    <cellStyle name="20% - Accent5 5 3 9" xfId="9900" xr:uid="{00000000-0005-0000-0000-000062240000}"/>
    <cellStyle name="20% - Accent5 5 4" xfId="9901" xr:uid="{00000000-0005-0000-0000-000063240000}"/>
    <cellStyle name="20% - Accent5 5 4 2" xfId="9902" xr:uid="{00000000-0005-0000-0000-000064240000}"/>
    <cellStyle name="20% - Accent5 5 4 2 2" xfId="9903" xr:uid="{00000000-0005-0000-0000-000065240000}"/>
    <cellStyle name="20% - Accent5 5 4 2 2 2" xfId="9904" xr:uid="{00000000-0005-0000-0000-000066240000}"/>
    <cellStyle name="20% - Accent5 5 4 2 2 3" xfId="9905" xr:uid="{00000000-0005-0000-0000-000067240000}"/>
    <cellStyle name="20% - Accent5 5 4 2 3" xfId="9906" xr:uid="{00000000-0005-0000-0000-000068240000}"/>
    <cellStyle name="20% - Accent5 5 4 2 4" xfId="9907" xr:uid="{00000000-0005-0000-0000-000069240000}"/>
    <cellStyle name="20% - Accent5 5 4 2 5" xfId="9908" xr:uid="{00000000-0005-0000-0000-00006A240000}"/>
    <cellStyle name="20% - Accent5 5 4 2 6" xfId="9909" xr:uid="{00000000-0005-0000-0000-00006B240000}"/>
    <cellStyle name="20% - Accent5 5 4 3" xfId="9910" xr:uid="{00000000-0005-0000-0000-00006C240000}"/>
    <cellStyle name="20% - Accent5 5 4 3 2" xfId="9911" xr:uid="{00000000-0005-0000-0000-00006D240000}"/>
    <cellStyle name="20% - Accent5 5 4 3 3" xfId="9912" xr:uid="{00000000-0005-0000-0000-00006E240000}"/>
    <cellStyle name="20% - Accent5 5 4 4" xfId="9913" xr:uid="{00000000-0005-0000-0000-00006F240000}"/>
    <cellStyle name="20% - Accent5 5 4 5" xfId="9914" xr:uid="{00000000-0005-0000-0000-000070240000}"/>
    <cellStyle name="20% - Accent5 5 4 6" xfId="9915" xr:uid="{00000000-0005-0000-0000-000071240000}"/>
    <cellStyle name="20% - Accent5 5 4 7" xfId="9916" xr:uid="{00000000-0005-0000-0000-000072240000}"/>
    <cellStyle name="20% - Accent5 5 5" xfId="9917" xr:uid="{00000000-0005-0000-0000-000073240000}"/>
    <cellStyle name="20% - Accent5 5 5 2" xfId="9918" xr:uid="{00000000-0005-0000-0000-000074240000}"/>
    <cellStyle name="20% - Accent5 5 5 2 2" xfId="9919" xr:uid="{00000000-0005-0000-0000-000075240000}"/>
    <cellStyle name="20% - Accent5 5 5 2 3" xfId="9920" xr:uid="{00000000-0005-0000-0000-000076240000}"/>
    <cellStyle name="20% - Accent5 5 5 3" xfId="9921" xr:uid="{00000000-0005-0000-0000-000077240000}"/>
    <cellStyle name="20% - Accent5 5 5 4" xfId="9922" xr:uid="{00000000-0005-0000-0000-000078240000}"/>
    <cellStyle name="20% - Accent5 5 5 5" xfId="9923" xr:uid="{00000000-0005-0000-0000-000079240000}"/>
    <cellStyle name="20% - Accent5 5 5 6" xfId="9924" xr:uid="{00000000-0005-0000-0000-00007A240000}"/>
    <cellStyle name="20% - Accent5 5 6" xfId="9925" xr:uid="{00000000-0005-0000-0000-00007B240000}"/>
    <cellStyle name="20% - Accent5 5 6 2" xfId="9926" xr:uid="{00000000-0005-0000-0000-00007C240000}"/>
    <cellStyle name="20% - Accent5 5 6 2 2" xfId="9927" xr:uid="{00000000-0005-0000-0000-00007D240000}"/>
    <cellStyle name="20% - Accent5 5 6 2 3" xfId="9928" xr:uid="{00000000-0005-0000-0000-00007E240000}"/>
    <cellStyle name="20% - Accent5 5 6 3" xfId="9929" xr:uid="{00000000-0005-0000-0000-00007F240000}"/>
    <cellStyle name="20% - Accent5 5 6 4" xfId="9930" xr:uid="{00000000-0005-0000-0000-000080240000}"/>
    <cellStyle name="20% - Accent5 5 6 5" xfId="9931" xr:uid="{00000000-0005-0000-0000-000081240000}"/>
    <cellStyle name="20% - Accent5 5 6 6" xfId="9932" xr:uid="{00000000-0005-0000-0000-000082240000}"/>
    <cellStyle name="20% - Accent5 5 7" xfId="9933" xr:uid="{00000000-0005-0000-0000-000083240000}"/>
    <cellStyle name="20% - Accent5 5 7 2" xfId="9934" xr:uid="{00000000-0005-0000-0000-000084240000}"/>
    <cellStyle name="20% - Accent5 5 7 2 2" xfId="9935" xr:uid="{00000000-0005-0000-0000-000085240000}"/>
    <cellStyle name="20% - Accent5 5 7 2 3" xfId="9936" xr:uid="{00000000-0005-0000-0000-000086240000}"/>
    <cellStyle name="20% - Accent5 5 7 3" xfId="9937" xr:uid="{00000000-0005-0000-0000-000087240000}"/>
    <cellStyle name="20% - Accent5 5 7 4" xfId="9938" xr:uid="{00000000-0005-0000-0000-000088240000}"/>
    <cellStyle name="20% - Accent5 5 7 5" xfId="9939" xr:uid="{00000000-0005-0000-0000-000089240000}"/>
    <cellStyle name="20% - Accent5 5 7 6" xfId="9940" xr:uid="{00000000-0005-0000-0000-00008A240000}"/>
    <cellStyle name="20% - Accent5 5 8" xfId="9941" xr:uid="{00000000-0005-0000-0000-00008B240000}"/>
    <cellStyle name="20% - Accent5 5 8 2" xfId="9942" xr:uid="{00000000-0005-0000-0000-00008C240000}"/>
    <cellStyle name="20% - Accent5 5 8 2 2" xfId="9943" xr:uid="{00000000-0005-0000-0000-00008D240000}"/>
    <cellStyle name="20% - Accent5 5 8 2 3" xfId="9944" xr:uid="{00000000-0005-0000-0000-00008E240000}"/>
    <cellStyle name="20% - Accent5 5 8 3" xfId="9945" xr:uid="{00000000-0005-0000-0000-00008F240000}"/>
    <cellStyle name="20% - Accent5 5 8 4" xfId="9946" xr:uid="{00000000-0005-0000-0000-000090240000}"/>
    <cellStyle name="20% - Accent5 5 8 5" xfId="9947" xr:uid="{00000000-0005-0000-0000-000091240000}"/>
    <cellStyle name="20% - Accent5 5 8 6" xfId="9948" xr:uid="{00000000-0005-0000-0000-000092240000}"/>
    <cellStyle name="20% - Accent5 5 9" xfId="9949" xr:uid="{00000000-0005-0000-0000-000093240000}"/>
    <cellStyle name="20% - Accent5 5 9 2" xfId="9950" xr:uid="{00000000-0005-0000-0000-000094240000}"/>
    <cellStyle name="20% - Accent5 5 9 3" xfId="9951" xr:uid="{00000000-0005-0000-0000-000095240000}"/>
    <cellStyle name="20% - Accent5 6" xfId="9952" xr:uid="{00000000-0005-0000-0000-000096240000}"/>
    <cellStyle name="20% - Accent5 6 10" xfId="9953" xr:uid="{00000000-0005-0000-0000-000097240000}"/>
    <cellStyle name="20% - Accent5 6 11" xfId="9954" xr:uid="{00000000-0005-0000-0000-000098240000}"/>
    <cellStyle name="20% - Accent5 6 2" xfId="9955" xr:uid="{00000000-0005-0000-0000-000099240000}"/>
    <cellStyle name="20% - Accent5 6 2 2" xfId="9956" xr:uid="{00000000-0005-0000-0000-00009A240000}"/>
    <cellStyle name="20% - Accent5 6 2 2 2" xfId="9957" xr:uid="{00000000-0005-0000-0000-00009B240000}"/>
    <cellStyle name="20% - Accent5 6 2 2 2 2" xfId="9958" xr:uid="{00000000-0005-0000-0000-00009C240000}"/>
    <cellStyle name="20% - Accent5 6 2 2 2 3" xfId="9959" xr:uid="{00000000-0005-0000-0000-00009D240000}"/>
    <cellStyle name="20% - Accent5 6 2 2 3" xfId="9960" xr:uid="{00000000-0005-0000-0000-00009E240000}"/>
    <cellStyle name="20% - Accent5 6 2 2 4" xfId="9961" xr:uid="{00000000-0005-0000-0000-00009F240000}"/>
    <cellStyle name="20% - Accent5 6 2 2 5" xfId="9962" xr:uid="{00000000-0005-0000-0000-0000A0240000}"/>
    <cellStyle name="20% - Accent5 6 2 2 6" xfId="9963" xr:uid="{00000000-0005-0000-0000-0000A1240000}"/>
    <cellStyle name="20% - Accent5 6 2 3" xfId="9964" xr:uid="{00000000-0005-0000-0000-0000A2240000}"/>
    <cellStyle name="20% - Accent5 6 2 3 2" xfId="9965" xr:uid="{00000000-0005-0000-0000-0000A3240000}"/>
    <cellStyle name="20% - Accent5 6 2 3 2 2" xfId="9966" xr:uid="{00000000-0005-0000-0000-0000A4240000}"/>
    <cellStyle name="20% - Accent5 6 2 3 2 3" xfId="9967" xr:uid="{00000000-0005-0000-0000-0000A5240000}"/>
    <cellStyle name="20% - Accent5 6 2 3 3" xfId="9968" xr:uid="{00000000-0005-0000-0000-0000A6240000}"/>
    <cellStyle name="20% - Accent5 6 2 3 4" xfId="9969" xr:uid="{00000000-0005-0000-0000-0000A7240000}"/>
    <cellStyle name="20% - Accent5 6 2 3 5" xfId="9970" xr:uid="{00000000-0005-0000-0000-0000A8240000}"/>
    <cellStyle name="20% - Accent5 6 2 3 6" xfId="9971" xr:uid="{00000000-0005-0000-0000-0000A9240000}"/>
    <cellStyle name="20% - Accent5 6 2 4" xfId="9972" xr:uid="{00000000-0005-0000-0000-0000AA240000}"/>
    <cellStyle name="20% - Accent5 6 2 4 2" xfId="9973" xr:uid="{00000000-0005-0000-0000-0000AB240000}"/>
    <cellStyle name="20% - Accent5 6 2 4 3" xfId="9974" xr:uid="{00000000-0005-0000-0000-0000AC240000}"/>
    <cellStyle name="20% - Accent5 6 2 5" xfId="9975" xr:uid="{00000000-0005-0000-0000-0000AD240000}"/>
    <cellStyle name="20% - Accent5 6 2 6" xfId="9976" xr:uid="{00000000-0005-0000-0000-0000AE240000}"/>
    <cellStyle name="20% - Accent5 6 2 7" xfId="9977" xr:uid="{00000000-0005-0000-0000-0000AF240000}"/>
    <cellStyle name="20% - Accent5 6 2 8" xfId="9978" xr:uid="{00000000-0005-0000-0000-0000B0240000}"/>
    <cellStyle name="20% - Accent5 6 3" xfId="9979" xr:uid="{00000000-0005-0000-0000-0000B1240000}"/>
    <cellStyle name="20% - Accent5 6 3 2" xfId="9980" xr:uid="{00000000-0005-0000-0000-0000B2240000}"/>
    <cellStyle name="20% - Accent5 6 3 2 2" xfId="9981" xr:uid="{00000000-0005-0000-0000-0000B3240000}"/>
    <cellStyle name="20% - Accent5 6 3 2 2 2" xfId="9982" xr:uid="{00000000-0005-0000-0000-0000B4240000}"/>
    <cellStyle name="20% - Accent5 6 3 2 2 3" xfId="9983" xr:uid="{00000000-0005-0000-0000-0000B5240000}"/>
    <cellStyle name="20% - Accent5 6 3 2 3" xfId="9984" xr:uid="{00000000-0005-0000-0000-0000B6240000}"/>
    <cellStyle name="20% - Accent5 6 3 2 4" xfId="9985" xr:uid="{00000000-0005-0000-0000-0000B7240000}"/>
    <cellStyle name="20% - Accent5 6 3 2 5" xfId="9986" xr:uid="{00000000-0005-0000-0000-0000B8240000}"/>
    <cellStyle name="20% - Accent5 6 3 2 6" xfId="9987" xr:uid="{00000000-0005-0000-0000-0000B9240000}"/>
    <cellStyle name="20% - Accent5 6 3 3" xfId="9988" xr:uid="{00000000-0005-0000-0000-0000BA240000}"/>
    <cellStyle name="20% - Accent5 6 3 3 2" xfId="9989" xr:uid="{00000000-0005-0000-0000-0000BB240000}"/>
    <cellStyle name="20% - Accent5 6 3 3 3" xfId="9990" xr:uid="{00000000-0005-0000-0000-0000BC240000}"/>
    <cellStyle name="20% - Accent5 6 3 4" xfId="9991" xr:uid="{00000000-0005-0000-0000-0000BD240000}"/>
    <cellStyle name="20% - Accent5 6 3 5" xfId="9992" xr:uid="{00000000-0005-0000-0000-0000BE240000}"/>
    <cellStyle name="20% - Accent5 6 3 6" xfId="9993" xr:uid="{00000000-0005-0000-0000-0000BF240000}"/>
    <cellStyle name="20% - Accent5 6 3 7" xfId="9994" xr:uid="{00000000-0005-0000-0000-0000C0240000}"/>
    <cellStyle name="20% - Accent5 6 4" xfId="9995" xr:uid="{00000000-0005-0000-0000-0000C1240000}"/>
    <cellStyle name="20% - Accent5 6 4 2" xfId="9996" xr:uid="{00000000-0005-0000-0000-0000C2240000}"/>
    <cellStyle name="20% - Accent5 6 4 2 2" xfId="9997" xr:uid="{00000000-0005-0000-0000-0000C3240000}"/>
    <cellStyle name="20% - Accent5 6 4 2 3" xfId="9998" xr:uid="{00000000-0005-0000-0000-0000C4240000}"/>
    <cellStyle name="20% - Accent5 6 4 3" xfId="9999" xr:uid="{00000000-0005-0000-0000-0000C5240000}"/>
    <cellStyle name="20% - Accent5 6 4 4" xfId="10000" xr:uid="{00000000-0005-0000-0000-0000C6240000}"/>
    <cellStyle name="20% - Accent5 6 4 5" xfId="10001" xr:uid="{00000000-0005-0000-0000-0000C7240000}"/>
    <cellStyle name="20% - Accent5 6 4 6" xfId="10002" xr:uid="{00000000-0005-0000-0000-0000C8240000}"/>
    <cellStyle name="20% - Accent5 6 5" xfId="10003" xr:uid="{00000000-0005-0000-0000-0000C9240000}"/>
    <cellStyle name="20% - Accent5 6 5 2" xfId="10004" xr:uid="{00000000-0005-0000-0000-0000CA240000}"/>
    <cellStyle name="20% - Accent5 6 5 2 2" xfId="10005" xr:uid="{00000000-0005-0000-0000-0000CB240000}"/>
    <cellStyle name="20% - Accent5 6 5 2 3" xfId="10006" xr:uid="{00000000-0005-0000-0000-0000CC240000}"/>
    <cellStyle name="20% - Accent5 6 5 3" xfId="10007" xr:uid="{00000000-0005-0000-0000-0000CD240000}"/>
    <cellStyle name="20% - Accent5 6 5 4" xfId="10008" xr:uid="{00000000-0005-0000-0000-0000CE240000}"/>
    <cellStyle name="20% - Accent5 6 5 5" xfId="10009" xr:uid="{00000000-0005-0000-0000-0000CF240000}"/>
    <cellStyle name="20% - Accent5 6 5 6" xfId="10010" xr:uid="{00000000-0005-0000-0000-0000D0240000}"/>
    <cellStyle name="20% - Accent5 6 6" xfId="10011" xr:uid="{00000000-0005-0000-0000-0000D1240000}"/>
    <cellStyle name="20% - Accent5 6 6 2" xfId="10012" xr:uid="{00000000-0005-0000-0000-0000D2240000}"/>
    <cellStyle name="20% - Accent5 6 6 2 2" xfId="10013" xr:uid="{00000000-0005-0000-0000-0000D3240000}"/>
    <cellStyle name="20% - Accent5 6 6 2 3" xfId="10014" xr:uid="{00000000-0005-0000-0000-0000D4240000}"/>
    <cellStyle name="20% - Accent5 6 6 3" xfId="10015" xr:uid="{00000000-0005-0000-0000-0000D5240000}"/>
    <cellStyle name="20% - Accent5 6 6 4" xfId="10016" xr:uid="{00000000-0005-0000-0000-0000D6240000}"/>
    <cellStyle name="20% - Accent5 6 6 5" xfId="10017" xr:uid="{00000000-0005-0000-0000-0000D7240000}"/>
    <cellStyle name="20% - Accent5 6 6 6" xfId="10018" xr:uid="{00000000-0005-0000-0000-0000D8240000}"/>
    <cellStyle name="20% - Accent5 6 7" xfId="10019" xr:uid="{00000000-0005-0000-0000-0000D9240000}"/>
    <cellStyle name="20% - Accent5 6 7 2" xfId="10020" xr:uid="{00000000-0005-0000-0000-0000DA240000}"/>
    <cellStyle name="20% - Accent5 6 7 3" xfId="10021" xr:uid="{00000000-0005-0000-0000-0000DB240000}"/>
    <cellStyle name="20% - Accent5 6 8" xfId="10022" xr:uid="{00000000-0005-0000-0000-0000DC240000}"/>
    <cellStyle name="20% - Accent5 6 9" xfId="10023" xr:uid="{00000000-0005-0000-0000-0000DD240000}"/>
    <cellStyle name="20% - Accent5 7" xfId="10024" xr:uid="{00000000-0005-0000-0000-0000DE240000}"/>
    <cellStyle name="20% - Accent5 7 2" xfId="10025" xr:uid="{00000000-0005-0000-0000-0000DF240000}"/>
    <cellStyle name="20% - Accent5 7 2 2" xfId="10026" xr:uid="{00000000-0005-0000-0000-0000E0240000}"/>
    <cellStyle name="20% - Accent5 7 2 3" xfId="10027" xr:uid="{00000000-0005-0000-0000-0000E1240000}"/>
    <cellStyle name="20% - Accent5 7 3" xfId="10028" xr:uid="{00000000-0005-0000-0000-0000E2240000}"/>
    <cellStyle name="20% - Accent5 7 4" xfId="10029" xr:uid="{00000000-0005-0000-0000-0000E3240000}"/>
    <cellStyle name="20% - Accent5 7 5" xfId="10030" xr:uid="{00000000-0005-0000-0000-0000E4240000}"/>
    <cellStyle name="20% - Accent5 7 6" xfId="10031" xr:uid="{00000000-0005-0000-0000-0000E5240000}"/>
    <cellStyle name="20% - Accent5 8" xfId="10032" xr:uid="{00000000-0005-0000-0000-0000E6240000}"/>
    <cellStyle name="20% - Accent5 8 2" xfId="10033" xr:uid="{00000000-0005-0000-0000-0000E7240000}"/>
    <cellStyle name="20% - Accent5 8 2 2" xfId="10034" xr:uid="{00000000-0005-0000-0000-0000E8240000}"/>
    <cellStyle name="20% - Accent5 8 2 3" xfId="10035" xr:uid="{00000000-0005-0000-0000-0000E9240000}"/>
    <cellStyle name="20% - Accent5 8 3" xfId="10036" xr:uid="{00000000-0005-0000-0000-0000EA240000}"/>
    <cellStyle name="20% - Accent5 8 4" xfId="10037" xr:uid="{00000000-0005-0000-0000-0000EB240000}"/>
    <cellStyle name="20% - Accent5 8 5" xfId="10038" xr:uid="{00000000-0005-0000-0000-0000EC240000}"/>
    <cellStyle name="20% - Accent5 8 6" xfId="10039" xr:uid="{00000000-0005-0000-0000-0000ED240000}"/>
    <cellStyle name="20% - Accent5 9" xfId="10040" xr:uid="{00000000-0005-0000-0000-0000EE240000}"/>
    <cellStyle name="20% - Accent5 9 2" xfId="10041" xr:uid="{00000000-0005-0000-0000-0000EF240000}"/>
    <cellStyle name="20% - Accent5 9 2 2" xfId="10042" xr:uid="{00000000-0005-0000-0000-0000F0240000}"/>
    <cellStyle name="20% - Accent5 9 2 3" xfId="10043" xr:uid="{00000000-0005-0000-0000-0000F1240000}"/>
    <cellStyle name="20% - Accent5 9 3" xfId="10044" xr:uid="{00000000-0005-0000-0000-0000F2240000}"/>
    <cellStyle name="20% - Accent5 9 4" xfId="10045" xr:uid="{00000000-0005-0000-0000-0000F3240000}"/>
    <cellStyle name="20% - Accent5 9 5" xfId="10046" xr:uid="{00000000-0005-0000-0000-0000F4240000}"/>
    <cellStyle name="20% - Accent5 9 6" xfId="10047" xr:uid="{00000000-0005-0000-0000-0000F5240000}"/>
    <cellStyle name="20% - Accent6" xfId="41" builtinId="50" customBuiltin="1"/>
    <cellStyle name="20% - Accent6 10" xfId="10048" xr:uid="{00000000-0005-0000-0000-0000F7240000}"/>
    <cellStyle name="20% - Accent6 10 2" xfId="10049" xr:uid="{00000000-0005-0000-0000-0000F8240000}"/>
    <cellStyle name="20% - Accent6 10 2 2" xfId="10050" xr:uid="{00000000-0005-0000-0000-0000F9240000}"/>
    <cellStyle name="20% - Accent6 10 2 3" xfId="10051" xr:uid="{00000000-0005-0000-0000-0000FA240000}"/>
    <cellStyle name="20% - Accent6 10 3" xfId="10052" xr:uid="{00000000-0005-0000-0000-0000FB240000}"/>
    <cellStyle name="20% - Accent6 10 4" xfId="10053" xr:uid="{00000000-0005-0000-0000-0000FC240000}"/>
    <cellStyle name="20% - Accent6 10 5" xfId="10054" xr:uid="{00000000-0005-0000-0000-0000FD240000}"/>
    <cellStyle name="20% - Accent6 10 6" xfId="10055" xr:uid="{00000000-0005-0000-0000-0000FE240000}"/>
    <cellStyle name="20% - Accent6 11" xfId="10056" xr:uid="{00000000-0005-0000-0000-0000FF240000}"/>
    <cellStyle name="20% - Accent6 11 2" xfId="10057" xr:uid="{00000000-0005-0000-0000-000000250000}"/>
    <cellStyle name="20% - Accent6 11 2 2" xfId="10058" xr:uid="{00000000-0005-0000-0000-000001250000}"/>
    <cellStyle name="20% - Accent6 11 2 3" xfId="10059" xr:uid="{00000000-0005-0000-0000-000002250000}"/>
    <cellStyle name="20% - Accent6 11 3" xfId="10060" xr:uid="{00000000-0005-0000-0000-000003250000}"/>
    <cellStyle name="20% - Accent6 11 4" xfId="10061" xr:uid="{00000000-0005-0000-0000-000004250000}"/>
    <cellStyle name="20% - Accent6 11 5" xfId="10062" xr:uid="{00000000-0005-0000-0000-000005250000}"/>
    <cellStyle name="20% - Accent6 11 6" xfId="10063" xr:uid="{00000000-0005-0000-0000-000006250000}"/>
    <cellStyle name="20% - Accent6 12" xfId="10064" xr:uid="{00000000-0005-0000-0000-000007250000}"/>
    <cellStyle name="20% - Accent6 12 2" xfId="10065" xr:uid="{00000000-0005-0000-0000-000008250000}"/>
    <cellStyle name="20% - Accent6 12 2 2" xfId="10066" xr:uid="{00000000-0005-0000-0000-000009250000}"/>
    <cellStyle name="20% - Accent6 12 2 3" xfId="10067" xr:uid="{00000000-0005-0000-0000-00000A250000}"/>
    <cellStyle name="20% - Accent6 12 3" xfId="10068" xr:uid="{00000000-0005-0000-0000-00000B250000}"/>
    <cellStyle name="20% - Accent6 12 4" xfId="10069" xr:uid="{00000000-0005-0000-0000-00000C250000}"/>
    <cellStyle name="20% - Accent6 12 5" xfId="10070" xr:uid="{00000000-0005-0000-0000-00000D250000}"/>
    <cellStyle name="20% - Accent6 12 6" xfId="10071" xr:uid="{00000000-0005-0000-0000-00000E250000}"/>
    <cellStyle name="20% - Accent6 13" xfId="10072" xr:uid="{00000000-0005-0000-0000-00000F250000}"/>
    <cellStyle name="20% - Accent6 13 2" xfId="10073" xr:uid="{00000000-0005-0000-0000-000010250000}"/>
    <cellStyle name="20% - Accent6 13 3" xfId="10074" xr:uid="{00000000-0005-0000-0000-000011250000}"/>
    <cellStyle name="20% - Accent6 14" xfId="10075" xr:uid="{00000000-0005-0000-0000-000012250000}"/>
    <cellStyle name="20% - Accent6 15" xfId="10076" xr:uid="{00000000-0005-0000-0000-000013250000}"/>
    <cellStyle name="20% - Accent6 16" xfId="10077" xr:uid="{00000000-0005-0000-0000-000014250000}"/>
    <cellStyle name="20% - Accent6 17" xfId="10078" xr:uid="{00000000-0005-0000-0000-000015250000}"/>
    <cellStyle name="20% - Accent6 18" xfId="10079" xr:uid="{00000000-0005-0000-0000-000016250000}"/>
    <cellStyle name="20% - Accent6 2" xfId="57" xr:uid="{00000000-0005-0000-0000-000017250000}"/>
    <cellStyle name="20% - Accent6 2 2" xfId="294" xr:uid="{00000000-0005-0000-0000-000018250000}"/>
    <cellStyle name="20% - Accent6 2 3" xfId="295" xr:uid="{00000000-0005-0000-0000-000019250000}"/>
    <cellStyle name="20% - Accent6 3" xfId="296" xr:uid="{00000000-0005-0000-0000-00001A250000}"/>
    <cellStyle name="20% - Accent6 3 10" xfId="10080" xr:uid="{00000000-0005-0000-0000-00001B250000}"/>
    <cellStyle name="20% - Accent6 3 10 2" xfId="10081" xr:uid="{00000000-0005-0000-0000-00001C250000}"/>
    <cellStyle name="20% - Accent6 3 10 2 2" xfId="10082" xr:uid="{00000000-0005-0000-0000-00001D250000}"/>
    <cellStyle name="20% - Accent6 3 10 2 3" xfId="10083" xr:uid="{00000000-0005-0000-0000-00001E250000}"/>
    <cellStyle name="20% - Accent6 3 10 3" xfId="10084" xr:uid="{00000000-0005-0000-0000-00001F250000}"/>
    <cellStyle name="20% - Accent6 3 10 4" xfId="10085" xr:uid="{00000000-0005-0000-0000-000020250000}"/>
    <cellStyle name="20% - Accent6 3 10 5" xfId="10086" xr:uid="{00000000-0005-0000-0000-000021250000}"/>
    <cellStyle name="20% - Accent6 3 10 6" xfId="10087" xr:uid="{00000000-0005-0000-0000-000022250000}"/>
    <cellStyle name="20% - Accent6 3 11" xfId="10088" xr:uid="{00000000-0005-0000-0000-000023250000}"/>
    <cellStyle name="20% - Accent6 3 11 2" xfId="10089" xr:uid="{00000000-0005-0000-0000-000024250000}"/>
    <cellStyle name="20% - Accent6 3 11 2 2" xfId="10090" xr:uid="{00000000-0005-0000-0000-000025250000}"/>
    <cellStyle name="20% - Accent6 3 11 2 3" xfId="10091" xr:uid="{00000000-0005-0000-0000-000026250000}"/>
    <cellStyle name="20% - Accent6 3 11 3" xfId="10092" xr:uid="{00000000-0005-0000-0000-000027250000}"/>
    <cellStyle name="20% - Accent6 3 11 4" xfId="10093" xr:uid="{00000000-0005-0000-0000-000028250000}"/>
    <cellStyle name="20% - Accent6 3 11 5" xfId="10094" xr:uid="{00000000-0005-0000-0000-000029250000}"/>
    <cellStyle name="20% - Accent6 3 11 6" xfId="10095" xr:uid="{00000000-0005-0000-0000-00002A250000}"/>
    <cellStyle name="20% - Accent6 3 12" xfId="10096" xr:uid="{00000000-0005-0000-0000-00002B250000}"/>
    <cellStyle name="20% - Accent6 3 12 2" xfId="10097" xr:uid="{00000000-0005-0000-0000-00002C250000}"/>
    <cellStyle name="20% - Accent6 3 12 3" xfId="10098" xr:uid="{00000000-0005-0000-0000-00002D250000}"/>
    <cellStyle name="20% - Accent6 3 13" xfId="10099" xr:uid="{00000000-0005-0000-0000-00002E250000}"/>
    <cellStyle name="20% - Accent6 3 14" xfId="10100" xr:uid="{00000000-0005-0000-0000-00002F250000}"/>
    <cellStyle name="20% - Accent6 3 15" xfId="10101" xr:uid="{00000000-0005-0000-0000-000030250000}"/>
    <cellStyle name="20% - Accent6 3 16" xfId="10102" xr:uid="{00000000-0005-0000-0000-000031250000}"/>
    <cellStyle name="20% - Accent6 3 2" xfId="10103" xr:uid="{00000000-0005-0000-0000-000032250000}"/>
    <cellStyle name="20% - Accent6 3 2 10" xfId="10104" xr:uid="{00000000-0005-0000-0000-000033250000}"/>
    <cellStyle name="20% - Accent6 3 2 10 2" xfId="10105" xr:uid="{00000000-0005-0000-0000-000034250000}"/>
    <cellStyle name="20% - Accent6 3 2 10 3" xfId="10106" xr:uid="{00000000-0005-0000-0000-000035250000}"/>
    <cellStyle name="20% - Accent6 3 2 11" xfId="10107" xr:uid="{00000000-0005-0000-0000-000036250000}"/>
    <cellStyle name="20% - Accent6 3 2 12" xfId="10108" xr:uid="{00000000-0005-0000-0000-000037250000}"/>
    <cellStyle name="20% - Accent6 3 2 13" xfId="10109" xr:uid="{00000000-0005-0000-0000-000038250000}"/>
    <cellStyle name="20% - Accent6 3 2 14" xfId="10110" xr:uid="{00000000-0005-0000-0000-000039250000}"/>
    <cellStyle name="20% - Accent6 3 2 2" xfId="10111" xr:uid="{00000000-0005-0000-0000-00003A250000}"/>
    <cellStyle name="20% - Accent6 3 2 2 10" xfId="10112" xr:uid="{00000000-0005-0000-0000-00003B250000}"/>
    <cellStyle name="20% - Accent6 3 2 2 11" xfId="10113" xr:uid="{00000000-0005-0000-0000-00003C250000}"/>
    <cellStyle name="20% - Accent6 3 2 2 12" xfId="10114" xr:uid="{00000000-0005-0000-0000-00003D250000}"/>
    <cellStyle name="20% - Accent6 3 2 2 13" xfId="10115" xr:uid="{00000000-0005-0000-0000-00003E250000}"/>
    <cellStyle name="20% - Accent6 3 2 2 2" xfId="10116" xr:uid="{00000000-0005-0000-0000-00003F250000}"/>
    <cellStyle name="20% - Accent6 3 2 2 2 10" xfId="10117" xr:uid="{00000000-0005-0000-0000-000040250000}"/>
    <cellStyle name="20% - Accent6 3 2 2 2 2" xfId="10118" xr:uid="{00000000-0005-0000-0000-000041250000}"/>
    <cellStyle name="20% - Accent6 3 2 2 2 2 2" xfId="10119" xr:uid="{00000000-0005-0000-0000-000042250000}"/>
    <cellStyle name="20% - Accent6 3 2 2 2 2 2 2" xfId="10120" xr:uid="{00000000-0005-0000-0000-000043250000}"/>
    <cellStyle name="20% - Accent6 3 2 2 2 2 2 2 2" xfId="10121" xr:uid="{00000000-0005-0000-0000-000044250000}"/>
    <cellStyle name="20% - Accent6 3 2 2 2 2 2 2 3" xfId="10122" xr:uid="{00000000-0005-0000-0000-000045250000}"/>
    <cellStyle name="20% - Accent6 3 2 2 2 2 2 3" xfId="10123" xr:uid="{00000000-0005-0000-0000-000046250000}"/>
    <cellStyle name="20% - Accent6 3 2 2 2 2 2 4" xfId="10124" xr:uid="{00000000-0005-0000-0000-000047250000}"/>
    <cellStyle name="20% - Accent6 3 2 2 2 2 2 5" xfId="10125" xr:uid="{00000000-0005-0000-0000-000048250000}"/>
    <cellStyle name="20% - Accent6 3 2 2 2 2 2 6" xfId="10126" xr:uid="{00000000-0005-0000-0000-000049250000}"/>
    <cellStyle name="20% - Accent6 3 2 2 2 2 3" xfId="10127" xr:uid="{00000000-0005-0000-0000-00004A250000}"/>
    <cellStyle name="20% - Accent6 3 2 2 2 2 3 2" xfId="10128" xr:uid="{00000000-0005-0000-0000-00004B250000}"/>
    <cellStyle name="20% - Accent6 3 2 2 2 2 3 2 2" xfId="10129" xr:uid="{00000000-0005-0000-0000-00004C250000}"/>
    <cellStyle name="20% - Accent6 3 2 2 2 2 3 2 3" xfId="10130" xr:uid="{00000000-0005-0000-0000-00004D250000}"/>
    <cellStyle name="20% - Accent6 3 2 2 2 2 3 3" xfId="10131" xr:uid="{00000000-0005-0000-0000-00004E250000}"/>
    <cellStyle name="20% - Accent6 3 2 2 2 2 3 4" xfId="10132" xr:uid="{00000000-0005-0000-0000-00004F250000}"/>
    <cellStyle name="20% - Accent6 3 2 2 2 2 3 5" xfId="10133" xr:uid="{00000000-0005-0000-0000-000050250000}"/>
    <cellStyle name="20% - Accent6 3 2 2 2 2 3 6" xfId="10134" xr:uid="{00000000-0005-0000-0000-000051250000}"/>
    <cellStyle name="20% - Accent6 3 2 2 2 2 4" xfId="10135" xr:uid="{00000000-0005-0000-0000-000052250000}"/>
    <cellStyle name="20% - Accent6 3 2 2 2 2 4 2" xfId="10136" xr:uid="{00000000-0005-0000-0000-000053250000}"/>
    <cellStyle name="20% - Accent6 3 2 2 2 2 4 3" xfId="10137" xr:uid="{00000000-0005-0000-0000-000054250000}"/>
    <cellStyle name="20% - Accent6 3 2 2 2 2 5" xfId="10138" xr:uid="{00000000-0005-0000-0000-000055250000}"/>
    <cellStyle name="20% - Accent6 3 2 2 2 2 6" xfId="10139" xr:uid="{00000000-0005-0000-0000-000056250000}"/>
    <cellStyle name="20% - Accent6 3 2 2 2 2 7" xfId="10140" xr:uid="{00000000-0005-0000-0000-000057250000}"/>
    <cellStyle name="20% - Accent6 3 2 2 2 2 8" xfId="10141" xr:uid="{00000000-0005-0000-0000-000058250000}"/>
    <cellStyle name="20% - Accent6 3 2 2 2 3" xfId="10142" xr:uid="{00000000-0005-0000-0000-000059250000}"/>
    <cellStyle name="20% - Accent6 3 2 2 2 3 2" xfId="10143" xr:uid="{00000000-0005-0000-0000-00005A250000}"/>
    <cellStyle name="20% - Accent6 3 2 2 2 3 2 2" xfId="10144" xr:uid="{00000000-0005-0000-0000-00005B250000}"/>
    <cellStyle name="20% - Accent6 3 2 2 2 3 2 2 2" xfId="10145" xr:uid="{00000000-0005-0000-0000-00005C250000}"/>
    <cellStyle name="20% - Accent6 3 2 2 2 3 2 2 3" xfId="10146" xr:uid="{00000000-0005-0000-0000-00005D250000}"/>
    <cellStyle name="20% - Accent6 3 2 2 2 3 2 3" xfId="10147" xr:uid="{00000000-0005-0000-0000-00005E250000}"/>
    <cellStyle name="20% - Accent6 3 2 2 2 3 2 4" xfId="10148" xr:uid="{00000000-0005-0000-0000-00005F250000}"/>
    <cellStyle name="20% - Accent6 3 2 2 2 3 2 5" xfId="10149" xr:uid="{00000000-0005-0000-0000-000060250000}"/>
    <cellStyle name="20% - Accent6 3 2 2 2 3 2 6" xfId="10150" xr:uid="{00000000-0005-0000-0000-000061250000}"/>
    <cellStyle name="20% - Accent6 3 2 2 2 3 3" xfId="10151" xr:uid="{00000000-0005-0000-0000-000062250000}"/>
    <cellStyle name="20% - Accent6 3 2 2 2 3 3 2" xfId="10152" xr:uid="{00000000-0005-0000-0000-000063250000}"/>
    <cellStyle name="20% - Accent6 3 2 2 2 3 3 3" xfId="10153" xr:uid="{00000000-0005-0000-0000-000064250000}"/>
    <cellStyle name="20% - Accent6 3 2 2 2 3 4" xfId="10154" xr:uid="{00000000-0005-0000-0000-000065250000}"/>
    <cellStyle name="20% - Accent6 3 2 2 2 3 5" xfId="10155" xr:uid="{00000000-0005-0000-0000-000066250000}"/>
    <cellStyle name="20% - Accent6 3 2 2 2 3 6" xfId="10156" xr:uid="{00000000-0005-0000-0000-000067250000}"/>
    <cellStyle name="20% - Accent6 3 2 2 2 3 7" xfId="10157" xr:uid="{00000000-0005-0000-0000-000068250000}"/>
    <cellStyle name="20% - Accent6 3 2 2 2 4" xfId="10158" xr:uid="{00000000-0005-0000-0000-000069250000}"/>
    <cellStyle name="20% - Accent6 3 2 2 2 4 2" xfId="10159" xr:uid="{00000000-0005-0000-0000-00006A250000}"/>
    <cellStyle name="20% - Accent6 3 2 2 2 4 2 2" xfId="10160" xr:uid="{00000000-0005-0000-0000-00006B250000}"/>
    <cellStyle name="20% - Accent6 3 2 2 2 4 2 3" xfId="10161" xr:uid="{00000000-0005-0000-0000-00006C250000}"/>
    <cellStyle name="20% - Accent6 3 2 2 2 4 3" xfId="10162" xr:uid="{00000000-0005-0000-0000-00006D250000}"/>
    <cellStyle name="20% - Accent6 3 2 2 2 4 4" xfId="10163" xr:uid="{00000000-0005-0000-0000-00006E250000}"/>
    <cellStyle name="20% - Accent6 3 2 2 2 4 5" xfId="10164" xr:uid="{00000000-0005-0000-0000-00006F250000}"/>
    <cellStyle name="20% - Accent6 3 2 2 2 4 6" xfId="10165" xr:uid="{00000000-0005-0000-0000-000070250000}"/>
    <cellStyle name="20% - Accent6 3 2 2 2 5" xfId="10166" xr:uid="{00000000-0005-0000-0000-000071250000}"/>
    <cellStyle name="20% - Accent6 3 2 2 2 5 2" xfId="10167" xr:uid="{00000000-0005-0000-0000-000072250000}"/>
    <cellStyle name="20% - Accent6 3 2 2 2 5 2 2" xfId="10168" xr:uid="{00000000-0005-0000-0000-000073250000}"/>
    <cellStyle name="20% - Accent6 3 2 2 2 5 2 3" xfId="10169" xr:uid="{00000000-0005-0000-0000-000074250000}"/>
    <cellStyle name="20% - Accent6 3 2 2 2 5 3" xfId="10170" xr:uid="{00000000-0005-0000-0000-000075250000}"/>
    <cellStyle name="20% - Accent6 3 2 2 2 5 4" xfId="10171" xr:uid="{00000000-0005-0000-0000-000076250000}"/>
    <cellStyle name="20% - Accent6 3 2 2 2 5 5" xfId="10172" xr:uid="{00000000-0005-0000-0000-000077250000}"/>
    <cellStyle name="20% - Accent6 3 2 2 2 5 6" xfId="10173" xr:uid="{00000000-0005-0000-0000-000078250000}"/>
    <cellStyle name="20% - Accent6 3 2 2 2 6" xfId="10174" xr:uid="{00000000-0005-0000-0000-000079250000}"/>
    <cellStyle name="20% - Accent6 3 2 2 2 6 2" xfId="10175" xr:uid="{00000000-0005-0000-0000-00007A250000}"/>
    <cellStyle name="20% - Accent6 3 2 2 2 6 3" xfId="10176" xr:uid="{00000000-0005-0000-0000-00007B250000}"/>
    <cellStyle name="20% - Accent6 3 2 2 2 7" xfId="10177" xr:uid="{00000000-0005-0000-0000-00007C250000}"/>
    <cellStyle name="20% - Accent6 3 2 2 2 8" xfId="10178" xr:uid="{00000000-0005-0000-0000-00007D250000}"/>
    <cellStyle name="20% - Accent6 3 2 2 2 9" xfId="10179" xr:uid="{00000000-0005-0000-0000-00007E250000}"/>
    <cellStyle name="20% - Accent6 3 2 2 3" xfId="10180" xr:uid="{00000000-0005-0000-0000-00007F250000}"/>
    <cellStyle name="20% - Accent6 3 2 2 3 2" xfId="10181" xr:uid="{00000000-0005-0000-0000-000080250000}"/>
    <cellStyle name="20% - Accent6 3 2 2 3 2 2" xfId="10182" xr:uid="{00000000-0005-0000-0000-000081250000}"/>
    <cellStyle name="20% - Accent6 3 2 2 3 2 2 2" xfId="10183" xr:uid="{00000000-0005-0000-0000-000082250000}"/>
    <cellStyle name="20% - Accent6 3 2 2 3 2 2 2 2" xfId="10184" xr:uid="{00000000-0005-0000-0000-000083250000}"/>
    <cellStyle name="20% - Accent6 3 2 2 3 2 2 2 3" xfId="10185" xr:uid="{00000000-0005-0000-0000-000084250000}"/>
    <cellStyle name="20% - Accent6 3 2 2 3 2 2 3" xfId="10186" xr:uid="{00000000-0005-0000-0000-000085250000}"/>
    <cellStyle name="20% - Accent6 3 2 2 3 2 2 4" xfId="10187" xr:uid="{00000000-0005-0000-0000-000086250000}"/>
    <cellStyle name="20% - Accent6 3 2 2 3 2 2 5" xfId="10188" xr:uid="{00000000-0005-0000-0000-000087250000}"/>
    <cellStyle name="20% - Accent6 3 2 2 3 2 2 6" xfId="10189" xr:uid="{00000000-0005-0000-0000-000088250000}"/>
    <cellStyle name="20% - Accent6 3 2 2 3 2 3" xfId="10190" xr:uid="{00000000-0005-0000-0000-000089250000}"/>
    <cellStyle name="20% - Accent6 3 2 2 3 2 3 2" xfId="10191" xr:uid="{00000000-0005-0000-0000-00008A250000}"/>
    <cellStyle name="20% - Accent6 3 2 2 3 2 3 3" xfId="10192" xr:uid="{00000000-0005-0000-0000-00008B250000}"/>
    <cellStyle name="20% - Accent6 3 2 2 3 2 4" xfId="10193" xr:uid="{00000000-0005-0000-0000-00008C250000}"/>
    <cellStyle name="20% - Accent6 3 2 2 3 2 5" xfId="10194" xr:uid="{00000000-0005-0000-0000-00008D250000}"/>
    <cellStyle name="20% - Accent6 3 2 2 3 2 6" xfId="10195" xr:uid="{00000000-0005-0000-0000-00008E250000}"/>
    <cellStyle name="20% - Accent6 3 2 2 3 2 7" xfId="10196" xr:uid="{00000000-0005-0000-0000-00008F250000}"/>
    <cellStyle name="20% - Accent6 3 2 2 3 3" xfId="10197" xr:uid="{00000000-0005-0000-0000-000090250000}"/>
    <cellStyle name="20% - Accent6 3 2 2 3 3 2" xfId="10198" xr:uid="{00000000-0005-0000-0000-000091250000}"/>
    <cellStyle name="20% - Accent6 3 2 2 3 3 2 2" xfId="10199" xr:uid="{00000000-0005-0000-0000-000092250000}"/>
    <cellStyle name="20% - Accent6 3 2 2 3 3 2 3" xfId="10200" xr:uid="{00000000-0005-0000-0000-000093250000}"/>
    <cellStyle name="20% - Accent6 3 2 2 3 3 3" xfId="10201" xr:uid="{00000000-0005-0000-0000-000094250000}"/>
    <cellStyle name="20% - Accent6 3 2 2 3 3 4" xfId="10202" xr:uid="{00000000-0005-0000-0000-000095250000}"/>
    <cellStyle name="20% - Accent6 3 2 2 3 3 5" xfId="10203" xr:uid="{00000000-0005-0000-0000-000096250000}"/>
    <cellStyle name="20% - Accent6 3 2 2 3 3 6" xfId="10204" xr:uid="{00000000-0005-0000-0000-000097250000}"/>
    <cellStyle name="20% - Accent6 3 2 2 3 4" xfId="10205" xr:uid="{00000000-0005-0000-0000-000098250000}"/>
    <cellStyle name="20% - Accent6 3 2 2 3 4 2" xfId="10206" xr:uid="{00000000-0005-0000-0000-000099250000}"/>
    <cellStyle name="20% - Accent6 3 2 2 3 4 2 2" xfId="10207" xr:uid="{00000000-0005-0000-0000-00009A250000}"/>
    <cellStyle name="20% - Accent6 3 2 2 3 4 2 3" xfId="10208" xr:uid="{00000000-0005-0000-0000-00009B250000}"/>
    <cellStyle name="20% - Accent6 3 2 2 3 4 3" xfId="10209" xr:uid="{00000000-0005-0000-0000-00009C250000}"/>
    <cellStyle name="20% - Accent6 3 2 2 3 4 4" xfId="10210" xr:uid="{00000000-0005-0000-0000-00009D250000}"/>
    <cellStyle name="20% - Accent6 3 2 2 3 4 5" xfId="10211" xr:uid="{00000000-0005-0000-0000-00009E250000}"/>
    <cellStyle name="20% - Accent6 3 2 2 3 4 6" xfId="10212" xr:uid="{00000000-0005-0000-0000-00009F250000}"/>
    <cellStyle name="20% - Accent6 3 2 2 3 5" xfId="10213" xr:uid="{00000000-0005-0000-0000-0000A0250000}"/>
    <cellStyle name="20% - Accent6 3 2 2 3 5 2" xfId="10214" xr:uid="{00000000-0005-0000-0000-0000A1250000}"/>
    <cellStyle name="20% - Accent6 3 2 2 3 5 3" xfId="10215" xr:uid="{00000000-0005-0000-0000-0000A2250000}"/>
    <cellStyle name="20% - Accent6 3 2 2 3 6" xfId="10216" xr:uid="{00000000-0005-0000-0000-0000A3250000}"/>
    <cellStyle name="20% - Accent6 3 2 2 3 7" xfId="10217" xr:uid="{00000000-0005-0000-0000-0000A4250000}"/>
    <cellStyle name="20% - Accent6 3 2 2 3 8" xfId="10218" xr:uid="{00000000-0005-0000-0000-0000A5250000}"/>
    <cellStyle name="20% - Accent6 3 2 2 3 9" xfId="10219" xr:uid="{00000000-0005-0000-0000-0000A6250000}"/>
    <cellStyle name="20% - Accent6 3 2 2 4" xfId="10220" xr:uid="{00000000-0005-0000-0000-0000A7250000}"/>
    <cellStyle name="20% - Accent6 3 2 2 4 2" xfId="10221" xr:uid="{00000000-0005-0000-0000-0000A8250000}"/>
    <cellStyle name="20% - Accent6 3 2 2 4 2 2" xfId="10222" xr:uid="{00000000-0005-0000-0000-0000A9250000}"/>
    <cellStyle name="20% - Accent6 3 2 2 4 2 2 2" xfId="10223" xr:uid="{00000000-0005-0000-0000-0000AA250000}"/>
    <cellStyle name="20% - Accent6 3 2 2 4 2 2 3" xfId="10224" xr:uid="{00000000-0005-0000-0000-0000AB250000}"/>
    <cellStyle name="20% - Accent6 3 2 2 4 2 3" xfId="10225" xr:uid="{00000000-0005-0000-0000-0000AC250000}"/>
    <cellStyle name="20% - Accent6 3 2 2 4 2 4" xfId="10226" xr:uid="{00000000-0005-0000-0000-0000AD250000}"/>
    <cellStyle name="20% - Accent6 3 2 2 4 2 5" xfId="10227" xr:uid="{00000000-0005-0000-0000-0000AE250000}"/>
    <cellStyle name="20% - Accent6 3 2 2 4 2 6" xfId="10228" xr:uid="{00000000-0005-0000-0000-0000AF250000}"/>
    <cellStyle name="20% - Accent6 3 2 2 4 3" xfId="10229" xr:uid="{00000000-0005-0000-0000-0000B0250000}"/>
    <cellStyle name="20% - Accent6 3 2 2 4 3 2" xfId="10230" xr:uid="{00000000-0005-0000-0000-0000B1250000}"/>
    <cellStyle name="20% - Accent6 3 2 2 4 3 3" xfId="10231" xr:uid="{00000000-0005-0000-0000-0000B2250000}"/>
    <cellStyle name="20% - Accent6 3 2 2 4 4" xfId="10232" xr:uid="{00000000-0005-0000-0000-0000B3250000}"/>
    <cellStyle name="20% - Accent6 3 2 2 4 5" xfId="10233" xr:uid="{00000000-0005-0000-0000-0000B4250000}"/>
    <cellStyle name="20% - Accent6 3 2 2 4 6" xfId="10234" xr:uid="{00000000-0005-0000-0000-0000B5250000}"/>
    <cellStyle name="20% - Accent6 3 2 2 4 7" xfId="10235" xr:uid="{00000000-0005-0000-0000-0000B6250000}"/>
    <cellStyle name="20% - Accent6 3 2 2 5" xfId="10236" xr:uid="{00000000-0005-0000-0000-0000B7250000}"/>
    <cellStyle name="20% - Accent6 3 2 2 5 2" xfId="10237" xr:uid="{00000000-0005-0000-0000-0000B8250000}"/>
    <cellStyle name="20% - Accent6 3 2 2 5 2 2" xfId="10238" xr:uid="{00000000-0005-0000-0000-0000B9250000}"/>
    <cellStyle name="20% - Accent6 3 2 2 5 2 3" xfId="10239" xr:uid="{00000000-0005-0000-0000-0000BA250000}"/>
    <cellStyle name="20% - Accent6 3 2 2 5 3" xfId="10240" xr:uid="{00000000-0005-0000-0000-0000BB250000}"/>
    <cellStyle name="20% - Accent6 3 2 2 5 4" xfId="10241" xr:uid="{00000000-0005-0000-0000-0000BC250000}"/>
    <cellStyle name="20% - Accent6 3 2 2 5 5" xfId="10242" xr:uid="{00000000-0005-0000-0000-0000BD250000}"/>
    <cellStyle name="20% - Accent6 3 2 2 5 6" xfId="10243" xr:uid="{00000000-0005-0000-0000-0000BE250000}"/>
    <cellStyle name="20% - Accent6 3 2 2 6" xfId="10244" xr:uid="{00000000-0005-0000-0000-0000BF250000}"/>
    <cellStyle name="20% - Accent6 3 2 2 6 2" xfId="10245" xr:uid="{00000000-0005-0000-0000-0000C0250000}"/>
    <cellStyle name="20% - Accent6 3 2 2 6 2 2" xfId="10246" xr:uid="{00000000-0005-0000-0000-0000C1250000}"/>
    <cellStyle name="20% - Accent6 3 2 2 6 2 3" xfId="10247" xr:uid="{00000000-0005-0000-0000-0000C2250000}"/>
    <cellStyle name="20% - Accent6 3 2 2 6 3" xfId="10248" xr:uid="{00000000-0005-0000-0000-0000C3250000}"/>
    <cellStyle name="20% - Accent6 3 2 2 6 4" xfId="10249" xr:uid="{00000000-0005-0000-0000-0000C4250000}"/>
    <cellStyle name="20% - Accent6 3 2 2 6 5" xfId="10250" xr:uid="{00000000-0005-0000-0000-0000C5250000}"/>
    <cellStyle name="20% - Accent6 3 2 2 6 6" xfId="10251" xr:uid="{00000000-0005-0000-0000-0000C6250000}"/>
    <cellStyle name="20% - Accent6 3 2 2 7" xfId="10252" xr:uid="{00000000-0005-0000-0000-0000C7250000}"/>
    <cellStyle name="20% - Accent6 3 2 2 7 2" xfId="10253" xr:uid="{00000000-0005-0000-0000-0000C8250000}"/>
    <cellStyle name="20% - Accent6 3 2 2 7 2 2" xfId="10254" xr:uid="{00000000-0005-0000-0000-0000C9250000}"/>
    <cellStyle name="20% - Accent6 3 2 2 7 2 3" xfId="10255" xr:uid="{00000000-0005-0000-0000-0000CA250000}"/>
    <cellStyle name="20% - Accent6 3 2 2 7 3" xfId="10256" xr:uid="{00000000-0005-0000-0000-0000CB250000}"/>
    <cellStyle name="20% - Accent6 3 2 2 7 4" xfId="10257" xr:uid="{00000000-0005-0000-0000-0000CC250000}"/>
    <cellStyle name="20% - Accent6 3 2 2 7 5" xfId="10258" xr:uid="{00000000-0005-0000-0000-0000CD250000}"/>
    <cellStyle name="20% - Accent6 3 2 2 7 6" xfId="10259" xr:uid="{00000000-0005-0000-0000-0000CE250000}"/>
    <cellStyle name="20% - Accent6 3 2 2 8" xfId="10260" xr:uid="{00000000-0005-0000-0000-0000CF250000}"/>
    <cellStyle name="20% - Accent6 3 2 2 8 2" xfId="10261" xr:uid="{00000000-0005-0000-0000-0000D0250000}"/>
    <cellStyle name="20% - Accent6 3 2 2 8 2 2" xfId="10262" xr:uid="{00000000-0005-0000-0000-0000D1250000}"/>
    <cellStyle name="20% - Accent6 3 2 2 8 2 3" xfId="10263" xr:uid="{00000000-0005-0000-0000-0000D2250000}"/>
    <cellStyle name="20% - Accent6 3 2 2 8 3" xfId="10264" xr:uid="{00000000-0005-0000-0000-0000D3250000}"/>
    <cellStyle name="20% - Accent6 3 2 2 8 4" xfId="10265" xr:uid="{00000000-0005-0000-0000-0000D4250000}"/>
    <cellStyle name="20% - Accent6 3 2 2 8 5" xfId="10266" xr:uid="{00000000-0005-0000-0000-0000D5250000}"/>
    <cellStyle name="20% - Accent6 3 2 2 8 6" xfId="10267" xr:uid="{00000000-0005-0000-0000-0000D6250000}"/>
    <cellStyle name="20% - Accent6 3 2 2 9" xfId="10268" xr:uid="{00000000-0005-0000-0000-0000D7250000}"/>
    <cellStyle name="20% - Accent6 3 2 2 9 2" xfId="10269" xr:uid="{00000000-0005-0000-0000-0000D8250000}"/>
    <cellStyle name="20% - Accent6 3 2 2 9 3" xfId="10270" xr:uid="{00000000-0005-0000-0000-0000D9250000}"/>
    <cellStyle name="20% - Accent6 3 2 3" xfId="10271" xr:uid="{00000000-0005-0000-0000-0000DA250000}"/>
    <cellStyle name="20% - Accent6 3 2 3 10" xfId="10272" xr:uid="{00000000-0005-0000-0000-0000DB250000}"/>
    <cellStyle name="20% - Accent6 3 2 3 2" xfId="10273" xr:uid="{00000000-0005-0000-0000-0000DC250000}"/>
    <cellStyle name="20% - Accent6 3 2 3 2 2" xfId="10274" xr:uid="{00000000-0005-0000-0000-0000DD250000}"/>
    <cellStyle name="20% - Accent6 3 2 3 2 2 2" xfId="10275" xr:uid="{00000000-0005-0000-0000-0000DE250000}"/>
    <cellStyle name="20% - Accent6 3 2 3 2 2 2 2" xfId="10276" xr:uid="{00000000-0005-0000-0000-0000DF250000}"/>
    <cellStyle name="20% - Accent6 3 2 3 2 2 2 3" xfId="10277" xr:uid="{00000000-0005-0000-0000-0000E0250000}"/>
    <cellStyle name="20% - Accent6 3 2 3 2 2 3" xfId="10278" xr:uid="{00000000-0005-0000-0000-0000E1250000}"/>
    <cellStyle name="20% - Accent6 3 2 3 2 2 4" xfId="10279" xr:uid="{00000000-0005-0000-0000-0000E2250000}"/>
    <cellStyle name="20% - Accent6 3 2 3 2 2 5" xfId="10280" xr:uid="{00000000-0005-0000-0000-0000E3250000}"/>
    <cellStyle name="20% - Accent6 3 2 3 2 2 6" xfId="10281" xr:uid="{00000000-0005-0000-0000-0000E4250000}"/>
    <cellStyle name="20% - Accent6 3 2 3 2 3" xfId="10282" xr:uid="{00000000-0005-0000-0000-0000E5250000}"/>
    <cellStyle name="20% - Accent6 3 2 3 2 3 2" xfId="10283" xr:uid="{00000000-0005-0000-0000-0000E6250000}"/>
    <cellStyle name="20% - Accent6 3 2 3 2 3 2 2" xfId="10284" xr:uid="{00000000-0005-0000-0000-0000E7250000}"/>
    <cellStyle name="20% - Accent6 3 2 3 2 3 2 3" xfId="10285" xr:uid="{00000000-0005-0000-0000-0000E8250000}"/>
    <cellStyle name="20% - Accent6 3 2 3 2 3 3" xfId="10286" xr:uid="{00000000-0005-0000-0000-0000E9250000}"/>
    <cellStyle name="20% - Accent6 3 2 3 2 3 4" xfId="10287" xr:uid="{00000000-0005-0000-0000-0000EA250000}"/>
    <cellStyle name="20% - Accent6 3 2 3 2 3 5" xfId="10288" xr:uid="{00000000-0005-0000-0000-0000EB250000}"/>
    <cellStyle name="20% - Accent6 3 2 3 2 3 6" xfId="10289" xr:uid="{00000000-0005-0000-0000-0000EC250000}"/>
    <cellStyle name="20% - Accent6 3 2 3 2 4" xfId="10290" xr:uid="{00000000-0005-0000-0000-0000ED250000}"/>
    <cellStyle name="20% - Accent6 3 2 3 2 4 2" xfId="10291" xr:uid="{00000000-0005-0000-0000-0000EE250000}"/>
    <cellStyle name="20% - Accent6 3 2 3 2 4 3" xfId="10292" xr:uid="{00000000-0005-0000-0000-0000EF250000}"/>
    <cellStyle name="20% - Accent6 3 2 3 2 5" xfId="10293" xr:uid="{00000000-0005-0000-0000-0000F0250000}"/>
    <cellStyle name="20% - Accent6 3 2 3 2 6" xfId="10294" xr:uid="{00000000-0005-0000-0000-0000F1250000}"/>
    <cellStyle name="20% - Accent6 3 2 3 2 7" xfId="10295" xr:uid="{00000000-0005-0000-0000-0000F2250000}"/>
    <cellStyle name="20% - Accent6 3 2 3 2 8" xfId="10296" xr:uid="{00000000-0005-0000-0000-0000F3250000}"/>
    <cellStyle name="20% - Accent6 3 2 3 3" xfId="10297" xr:uid="{00000000-0005-0000-0000-0000F4250000}"/>
    <cellStyle name="20% - Accent6 3 2 3 3 2" xfId="10298" xr:uid="{00000000-0005-0000-0000-0000F5250000}"/>
    <cellStyle name="20% - Accent6 3 2 3 3 2 2" xfId="10299" xr:uid="{00000000-0005-0000-0000-0000F6250000}"/>
    <cellStyle name="20% - Accent6 3 2 3 3 2 2 2" xfId="10300" xr:uid="{00000000-0005-0000-0000-0000F7250000}"/>
    <cellStyle name="20% - Accent6 3 2 3 3 2 2 3" xfId="10301" xr:uid="{00000000-0005-0000-0000-0000F8250000}"/>
    <cellStyle name="20% - Accent6 3 2 3 3 2 3" xfId="10302" xr:uid="{00000000-0005-0000-0000-0000F9250000}"/>
    <cellStyle name="20% - Accent6 3 2 3 3 2 4" xfId="10303" xr:uid="{00000000-0005-0000-0000-0000FA250000}"/>
    <cellStyle name="20% - Accent6 3 2 3 3 2 5" xfId="10304" xr:uid="{00000000-0005-0000-0000-0000FB250000}"/>
    <cellStyle name="20% - Accent6 3 2 3 3 2 6" xfId="10305" xr:uid="{00000000-0005-0000-0000-0000FC250000}"/>
    <cellStyle name="20% - Accent6 3 2 3 3 3" xfId="10306" xr:uid="{00000000-0005-0000-0000-0000FD250000}"/>
    <cellStyle name="20% - Accent6 3 2 3 3 3 2" xfId="10307" xr:uid="{00000000-0005-0000-0000-0000FE250000}"/>
    <cellStyle name="20% - Accent6 3 2 3 3 3 3" xfId="10308" xr:uid="{00000000-0005-0000-0000-0000FF250000}"/>
    <cellStyle name="20% - Accent6 3 2 3 3 4" xfId="10309" xr:uid="{00000000-0005-0000-0000-000000260000}"/>
    <cellStyle name="20% - Accent6 3 2 3 3 5" xfId="10310" xr:uid="{00000000-0005-0000-0000-000001260000}"/>
    <cellStyle name="20% - Accent6 3 2 3 3 6" xfId="10311" xr:uid="{00000000-0005-0000-0000-000002260000}"/>
    <cellStyle name="20% - Accent6 3 2 3 3 7" xfId="10312" xr:uid="{00000000-0005-0000-0000-000003260000}"/>
    <cellStyle name="20% - Accent6 3 2 3 4" xfId="10313" xr:uid="{00000000-0005-0000-0000-000004260000}"/>
    <cellStyle name="20% - Accent6 3 2 3 4 2" xfId="10314" xr:uid="{00000000-0005-0000-0000-000005260000}"/>
    <cellStyle name="20% - Accent6 3 2 3 4 2 2" xfId="10315" xr:uid="{00000000-0005-0000-0000-000006260000}"/>
    <cellStyle name="20% - Accent6 3 2 3 4 2 3" xfId="10316" xr:uid="{00000000-0005-0000-0000-000007260000}"/>
    <cellStyle name="20% - Accent6 3 2 3 4 3" xfId="10317" xr:uid="{00000000-0005-0000-0000-000008260000}"/>
    <cellStyle name="20% - Accent6 3 2 3 4 4" xfId="10318" xr:uid="{00000000-0005-0000-0000-000009260000}"/>
    <cellStyle name="20% - Accent6 3 2 3 4 5" xfId="10319" xr:uid="{00000000-0005-0000-0000-00000A260000}"/>
    <cellStyle name="20% - Accent6 3 2 3 4 6" xfId="10320" xr:uid="{00000000-0005-0000-0000-00000B260000}"/>
    <cellStyle name="20% - Accent6 3 2 3 5" xfId="10321" xr:uid="{00000000-0005-0000-0000-00000C260000}"/>
    <cellStyle name="20% - Accent6 3 2 3 5 2" xfId="10322" xr:uid="{00000000-0005-0000-0000-00000D260000}"/>
    <cellStyle name="20% - Accent6 3 2 3 5 2 2" xfId="10323" xr:uid="{00000000-0005-0000-0000-00000E260000}"/>
    <cellStyle name="20% - Accent6 3 2 3 5 2 3" xfId="10324" xr:uid="{00000000-0005-0000-0000-00000F260000}"/>
    <cellStyle name="20% - Accent6 3 2 3 5 3" xfId="10325" xr:uid="{00000000-0005-0000-0000-000010260000}"/>
    <cellStyle name="20% - Accent6 3 2 3 5 4" xfId="10326" xr:uid="{00000000-0005-0000-0000-000011260000}"/>
    <cellStyle name="20% - Accent6 3 2 3 5 5" xfId="10327" xr:uid="{00000000-0005-0000-0000-000012260000}"/>
    <cellStyle name="20% - Accent6 3 2 3 5 6" xfId="10328" xr:uid="{00000000-0005-0000-0000-000013260000}"/>
    <cellStyle name="20% - Accent6 3 2 3 6" xfId="10329" xr:uid="{00000000-0005-0000-0000-000014260000}"/>
    <cellStyle name="20% - Accent6 3 2 3 6 2" xfId="10330" xr:uid="{00000000-0005-0000-0000-000015260000}"/>
    <cellStyle name="20% - Accent6 3 2 3 6 3" xfId="10331" xr:uid="{00000000-0005-0000-0000-000016260000}"/>
    <cellStyle name="20% - Accent6 3 2 3 7" xfId="10332" xr:uid="{00000000-0005-0000-0000-000017260000}"/>
    <cellStyle name="20% - Accent6 3 2 3 8" xfId="10333" xr:uid="{00000000-0005-0000-0000-000018260000}"/>
    <cellStyle name="20% - Accent6 3 2 3 9" xfId="10334" xr:uid="{00000000-0005-0000-0000-000019260000}"/>
    <cellStyle name="20% - Accent6 3 2 4" xfId="10335" xr:uid="{00000000-0005-0000-0000-00001A260000}"/>
    <cellStyle name="20% - Accent6 3 2 4 2" xfId="10336" xr:uid="{00000000-0005-0000-0000-00001B260000}"/>
    <cellStyle name="20% - Accent6 3 2 4 2 2" xfId="10337" xr:uid="{00000000-0005-0000-0000-00001C260000}"/>
    <cellStyle name="20% - Accent6 3 2 4 2 2 2" xfId="10338" xr:uid="{00000000-0005-0000-0000-00001D260000}"/>
    <cellStyle name="20% - Accent6 3 2 4 2 2 2 2" xfId="10339" xr:uid="{00000000-0005-0000-0000-00001E260000}"/>
    <cellStyle name="20% - Accent6 3 2 4 2 2 2 3" xfId="10340" xr:uid="{00000000-0005-0000-0000-00001F260000}"/>
    <cellStyle name="20% - Accent6 3 2 4 2 2 3" xfId="10341" xr:uid="{00000000-0005-0000-0000-000020260000}"/>
    <cellStyle name="20% - Accent6 3 2 4 2 2 4" xfId="10342" xr:uid="{00000000-0005-0000-0000-000021260000}"/>
    <cellStyle name="20% - Accent6 3 2 4 2 2 5" xfId="10343" xr:uid="{00000000-0005-0000-0000-000022260000}"/>
    <cellStyle name="20% - Accent6 3 2 4 2 2 6" xfId="10344" xr:uid="{00000000-0005-0000-0000-000023260000}"/>
    <cellStyle name="20% - Accent6 3 2 4 2 3" xfId="10345" xr:uid="{00000000-0005-0000-0000-000024260000}"/>
    <cellStyle name="20% - Accent6 3 2 4 2 3 2" xfId="10346" xr:uid="{00000000-0005-0000-0000-000025260000}"/>
    <cellStyle name="20% - Accent6 3 2 4 2 3 3" xfId="10347" xr:uid="{00000000-0005-0000-0000-000026260000}"/>
    <cellStyle name="20% - Accent6 3 2 4 2 4" xfId="10348" xr:uid="{00000000-0005-0000-0000-000027260000}"/>
    <cellStyle name="20% - Accent6 3 2 4 2 5" xfId="10349" xr:uid="{00000000-0005-0000-0000-000028260000}"/>
    <cellStyle name="20% - Accent6 3 2 4 2 6" xfId="10350" xr:uid="{00000000-0005-0000-0000-000029260000}"/>
    <cellStyle name="20% - Accent6 3 2 4 2 7" xfId="10351" xr:uid="{00000000-0005-0000-0000-00002A260000}"/>
    <cellStyle name="20% - Accent6 3 2 4 3" xfId="10352" xr:uid="{00000000-0005-0000-0000-00002B260000}"/>
    <cellStyle name="20% - Accent6 3 2 4 3 2" xfId="10353" xr:uid="{00000000-0005-0000-0000-00002C260000}"/>
    <cellStyle name="20% - Accent6 3 2 4 3 2 2" xfId="10354" xr:uid="{00000000-0005-0000-0000-00002D260000}"/>
    <cellStyle name="20% - Accent6 3 2 4 3 2 3" xfId="10355" xr:uid="{00000000-0005-0000-0000-00002E260000}"/>
    <cellStyle name="20% - Accent6 3 2 4 3 3" xfId="10356" xr:uid="{00000000-0005-0000-0000-00002F260000}"/>
    <cellStyle name="20% - Accent6 3 2 4 3 4" xfId="10357" xr:uid="{00000000-0005-0000-0000-000030260000}"/>
    <cellStyle name="20% - Accent6 3 2 4 3 5" xfId="10358" xr:uid="{00000000-0005-0000-0000-000031260000}"/>
    <cellStyle name="20% - Accent6 3 2 4 3 6" xfId="10359" xr:uid="{00000000-0005-0000-0000-000032260000}"/>
    <cellStyle name="20% - Accent6 3 2 4 4" xfId="10360" xr:uid="{00000000-0005-0000-0000-000033260000}"/>
    <cellStyle name="20% - Accent6 3 2 4 4 2" xfId="10361" xr:uid="{00000000-0005-0000-0000-000034260000}"/>
    <cellStyle name="20% - Accent6 3 2 4 4 2 2" xfId="10362" xr:uid="{00000000-0005-0000-0000-000035260000}"/>
    <cellStyle name="20% - Accent6 3 2 4 4 2 3" xfId="10363" xr:uid="{00000000-0005-0000-0000-000036260000}"/>
    <cellStyle name="20% - Accent6 3 2 4 4 3" xfId="10364" xr:uid="{00000000-0005-0000-0000-000037260000}"/>
    <cellStyle name="20% - Accent6 3 2 4 4 4" xfId="10365" xr:uid="{00000000-0005-0000-0000-000038260000}"/>
    <cellStyle name="20% - Accent6 3 2 4 4 5" xfId="10366" xr:uid="{00000000-0005-0000-0000-000039260000}"/>
    <cellStyle name="20% - Accent6 3 2 4 4 6" xfId="10367" xr:uid="{00000000-0005-0000-0000-00003A260000}"/>
    <cellStyle name="20% - Accent6 3 2 4 5" xfId="10368" xr:uid="{00000000-0005-0000-0000-00003B260000}"/>
    <cellStyle name="20% - Accent6 3 2 4 5 2" xfId="10369" xr:uid="{00000000-0005-0000-0000-00003C260000}"/>
    <cellStyle name="20% - Accent6 3 2 4 5 3" xfId="10370" xr:uid="{00000000-0005-0000-0000-00003D260000}"/>
    <cellStyle name="20% - Accent6 3 2 4 6" xfId="10371" xr:uid="{00000000-0005-0000-0000-00003E260000}"/>
    <cellStyle name="20% - Accent6 3 2 4 7" xfId="10372" xr:uid="{00000000-0005-0000-0000-00003F260000}"/>
    <cellStyle name="20% - Accent6 3 2 4 8" xfId="10373" xr:uid="{00000000-0005-0000-0000-000040260000}"/>
    <cellStyle name="20% - Accent6 3 2 4 9" xfId="10374" xr:uid="{00000000-0005-0000-0000-000041260000}"/>
    <cellStyle name="20% - Accent6 3 2 5" xfId="10375" xr:uid="{00000000-0005-0000-0000-000042260000}"/>
    <cellStyle name="20% - Accent6 3 2 5 2" xfId="10376" xr:uid="{00000000-0005-0000-0000-000043260000}"/>
    <cellStyle name="20% - Accent6 3 2 5 2 2" xfId="10377" xr:uid="{00000000-0005-0000-0000-000044260000}"/>
    <cellStyle name="20% - Accent6 3 2 5 2 2 2" xfId="10378" xr:uid="{00000000-0005-0000-0000-000045260000}"/>
    <cellStyle name="20% - Accent6 3 2 5 2 2 3" xfId="10379" xr:uid="{00000000-0005-0000-0000-000046260000}"/>
    <cellStyle name="20% - Accent6 3 2 5 2 3" xfId="10380" xr:uid="{00000000-0005-0000-0000-000047260000}"/>
    <cellStyle name="20% - Accent6 3 2 5 2 4" xfId="10381" xr:uid="{00000000-0005-0000-0000-000048260000}"/>
    <cellStyle name="20% - Accent6 3 2 5 2 5" xfId="10382" xr:uid="{00000000-0005-0000-0000-000049260000}"/>
    <cellStyle name="20% - Accent6 3 2 5 2 6" xfId="10383" xr:uid="{00000000-0005-0000-0000-00004A260000}"/>
    <cellStyle name="20% - Accent6 3 2 5 3" xfId="10384" xr:uid="{00000000-0005-0000-0000-00004B260000}"/>
    <cellStyle name="20% - Accent6 3 2 5 3 2" xfId="10385" xr:uid="{00000000-0005-0000-0000-00004C260000}"/>
    <cellStyle name="20% - Accent6 3 2 5 3 3" xfId="10386" xr:uid="{00000000-0005-0000-0000-00004D260000}"/>
    <cellStyle name="20% - Accent6 3 2 5 4" xfId="10387" xr:uid="{00000000-0005-0000-0000-00004E260000}"/>
    <cellStyle name="20% - Accent6 3 2 5 5" xfId="10388" xr:uid="{00000000-0005-0000-0000-00004F260000}"/>
    <cellStyle name="20% - Accent6 3 2 5 6" xfId="10389" xr:uid="{00000000-0005-0000-0000-000050260000}"/>
    <cellStyle name="20% - Accent6 3 2 5 7" xfId="10390" xr:uid="{00000000-0005-0000-0000-000051260000}"/>
    <cellStyle name="20% - Accent6 3 2 6" xfId="10391" xr:uid="{00000000-0005-0000-0000-000052260000}"/>
    <cellStyle name="20% - Accent6 3 2 6 2" xfId="10392" xr:uid="{00000000-0005-0000-0000-000053260000}"/>
    <cellStyle name="20% - Accent6 3 2 6 2 2" xfId="10393" xr:uid="{00000000-0005-0000-0000-000054260000}"/>
    <cellStyle name="20% - Accent6 3 2 6 2 3" xfId="10394" xr:uid="{00000000-0005-0000-0000-000055260000}"/>
    <cellStyle name="20% - Accent6 3 2 6 3" xfId="10395" xr:uid="{00000000-0005-0000-0000-000056260000}"/>
    <cellStyle name="20% - Accent6 3 2 6 4" xfId="10396" xr:uid="{00000000-0005-0000-0000-000057260000}"/>
    <cellStyle name="20% - Accent6 3 2 6 5" xfId="10397" xr:uid="{00000000-0005-0000-0000-000058260000}"/>
    <cellStyle name="20% - Accent6 3 2 6 6" xfId="10398" xr:uid="{00000000-0005-0000-0000-000059260000}"/>
    <cellStyle name="20% - Accent6 3 2 7" xfId="10399" xr:uid="{00000000-0005-0000-0000-00005A260000}"/>
    <cellStyle name="20% - Accent6 3 2 7 2" xfId="10400" xr:uid="{00000000-0005-0000-0000-00005B260000}"/>
    <cellStyle name="20% - Accent6 3 2 7 2 2" xfId="10401" xr:uid="{00000000-0005-0000-0000-00005C260000}"/>
    <cellStyle name="20% - Accent6 3 2 7 2 3" xfId="10402" xr:uid="{00000000-0005-0000-0000-00005D260000}"/>
    <cellStyle name="20% - Accent6 3 2 7 3" xfId="10403" xr:uid="{00000000-0005-0000-0000-00005E260000}"/>
    <cellStyle name="20% - Accent6 3 2 7 4" xfId="10404" xr:uid="{00000000-0005-0000-0000-00005F260000}"/>
    <cellStyle name="20% - Accent6 3 2 7 5" xfId="10405" xr:uid="{00000000-0005-0000-0000-000060260000}"/>
    <cellStyle name="20% - Accent6 3 2 7 6" xfId="10406" xr:uid="{00000000-0005-0000-0000-000061260000}"/>
    <cellStyle name="20% - Accent6 3 2 8" xfId="10407" xr:uid="{00000000-0005-0000-0000-000062260000}"/>
    <cellStyle name="20% - Accent6 3 2 8 2" xfId="10408" xr:uid="{00000000-0005-0000-0000-000063260000}"/>
    <cellStyle name="20% - Accent6 3 2 8 2 2" xfId="10409" xr:uid="{00000000-0005-0000-0000-000064260000}"/>
    <cellStyle name="20% - Accent6 3 2 8 2 3" xfId="10410" xr:uid="{00000000-0005-0000-0000-000065260000}"/>
    <cellStyle name="20% - Accent6 3 2 8 3" xfId="10411" xr:uid="{00000000-0005-0000-0000-000066260000}"/>
    <cellStyle name="20% - Accent6 3 2 8 4" xfId="10412" xr:uid="{00000000-0005-0000-0000-000067260000}"/>
    <cellStyle name="20% - Accent6 3 2 8 5" xfId="10413" xr:uid="{00000000-0005-0000-0000-000068260000}"/>
    <cellStyle name="20% - Accent6 3 2 8 6" xfId="10414" xr:uid="{00000000-0005-0000-0000-000069260000}"/>
    <cellStyle name="20% - Accent6 3 2 9" xfId="10415" xr:uid="{00000000-0005-0000-0000-00006A260000}"/>
    <cellStyle name="20% - Accent6 3 2 9 2" xfId="10416" xr:uid="{00000000-0005-0000-0000-00006B260000}"/>
    <cellStyle name="20% - Accent6 3 2 9 2 2" xfId="10417" xr:uid="{00000000-0005-0000-0000-00006C260000}"/>
    <cellStyle name="20% - Accent6 3 2 9 2 3" xfId="10418" xr:uid="{00000000-0005-0000-0000-00006D260000}"/>
    <cellStyle name="20% - Accent6 3 2 9 3" xfId="10419" xr:uid="{00000000-0005-0000-0000-00006E260000}"/>
    <cellStyle name="20% - Accent6 3 2 9 4" xfId="10420" xr:uid="{00000000-0005-0000-0000-00006F260000}"/>
    <cellStyle name="20% - Accent6 3 2 9 5" xfId="10421" xr:uid="{00000000-0005-0000-0000-000070260000}"/>
    <cellStyle name="20% - Accent6 3 2 9 6" xfId="10422" xr:uid="{00000000-0005-0000-0000-000071260000}"/>
    <cellStyle name="20% - Accent6 3 3" xfId="10423" xr:uid="{00000000-0005-0000-0000-000072260000}"/>
    <cellStyle name="20% - Accent6 3 3 10" xfId="10424" xr:uid="{00000000-0005-0000-0000-000073260000}"/>
    <cellStyle name="20% - Accent6 3 3 10 2" xfId="10425" xr:uid="{00000000-0005-0000-0000-000074260000}"/>
    <cellStyle name="20% - Accent6 3 3 10 3" xfId="10426" xr:uid="{00000000-0005-0000-0000-000075260000}"/>
    <cellStyle name="20% - Accent6 3 3 11" xfId="10427" xr:uid="{00000000-0005-0000-0000-000076260000}"/>
    <cellStyle name="20% - Accent6 3 3 12" xfId="10428" xr:uid="{00000000-0005-0000-0000-000077260000}"/>
    <cellStyle name="20% - Accent6 3 3 13" xfId="10429" xr:uid="{00000000-0005-0000-0000-000078260000}"/>
    <cellStyle name="20% - Accent6 3 3 14" xfId="10430" xr:uid="{00000000-0005-0000-0000-000079260000}"/>
    <cellStyle name="20% - Accent6 3 3 2" xfId="10431" xr:uid="{00000000-0005-0000-0000-00007A260000}"/>
    <cellStyle name="20% - Accent6 3 3 2 10" xfId="10432" xr:uid="{00000000-0005-0000-0000-00007B260000}"/>
    <cellStyle name="20% - Accent6 3 3 2 11" xfId="10433" xr:uid="{00000000-0005-0000-0000-00007C260000}"/>
    <cellStyle name="20% - Accent6 3 3 2 12" xfId="10434" xr:uid="{00000000-0005-0000-0000-00007D260000}"/>
    <cellStyle name="20% - Accent6 3 3 2 13" xfId="10435" xr:uid="{00000000-0005-0000-0000-00007E260000}"/>
    <cellStyle name="20% - Accent6 3 3 2 2" xfId="10436" xr:uid="{00000000-0005-0000-0000-00007F260000}"/>
    <cellStyle name="20% - Accent6 3 3 2 2 10" xfId="10437" xr:uid="{00000000-0005-0000-0000-000080260000}"/>
    <cellStyle name="20% - Accent6 3 3 2 2 2" xfId="10438" xr:uid="{00000000-0005-0000-0000-000081260000}"/>
    <cellStyle name="20% - Accent6 3 3 2 2 2 2" xfId="10439" xr:uid="{00000000-0005-0000-0000-000082260000}"/>
    <cellStyle name="20% - Accent6 3 3 2 2 2 2 2" xfId="10440" xr:uid="{00000000-0005-0000-0000-000083260000}"/>
    <cellStyle name="20% - Accent6 3 3 2 2 2 2 2 2" xfId="10441" xr:uid="{00000000-0005-0000-0000-000084260000}"/>
    <cellStyle name="20% - Accent6 3 3 2 2 2 2 2 3" xfId="10442" xr:uid="{00000000-0005-0000-0000-000085260000}"/>
    <cellStyle name="20% - Accent6 3 3 2 2 2 2 3" xfId="10443" xr:uid="{00000000-0005-0000-0000-000086260000}"/>
    <cellStyle name="20% - Accent6 3 3 2 2 2 2 4" xfId="10444" xr:uid="{00000000-0005-0000-0000-000087260000}"/>
    <cellStyle name="20% - Accent6 3 3 2 2 2 2 5" xfId="10445" xr:uid="{00000000-0005-0000-0000-000088260000}"/>
    <cellStyle name="20% - Accent6 3 3 2 2 2 2 6" xfId="10446" xr:uid="{00000000-0005-0000-0000-000089260000}"/>
    <cellStyle name="20% - Accent6 3 3 2 2 2 3" xfId="10447" xr:uid="{00000000-0005-0000-0000-00008A260000}"/>
    <cellStyle name="20% - Accent6 3 3 2 2 2 3 2" xfId="10448" xr:uid="{00000000-0005-0000-0000-00008B260000}"/>
    <cellStyle name="20% - Accent6 3 3 2 2 2 3 2 2" xfId="10449" xr:uid="{00000000-0005-0000-0000-00008C260000}"/>
    <cellStyle name="20% - Accent6 3 3 2 2 2 3 2 3" xfId="10450" xr:uid="{00000000-0005-0000-0000-00008D260000}"/>
    <cellStyle name="20% - Accent6 3 3 2 2 2 3 3" xfId="10451" xr:uid="{00000000-0005-0000-0000-00008E260000}"/>
    <cellStyle name="20% - Accent6 3 3 2 2 2 3 4" xfId="10452" xr:uid="{00000000-0005-0000-0000-00008F260000}"/>
    <cellStyle name="20% - Accent6 3 3 2 2 2 3 5" xfId="10453" xr:uid="{00000000-0005-0000-0000-000090260000}"/>
    <cellStyle name="20% - Accent6 3 3 2 2 2 3 6" xfId="10454" xr:uid="{00000000-0005-0000-0000-000091260000}"/>
    <cellStyle name="20% - Accent6 3 3 2 2 2 4" xfId="10455" xr:uid="{00000000-0005-0000-0000-000092260000}"/>
    <cellStyle name="20% - Accent6 3 3 2 2 2 4 2" xfId="10456" xr:uid="{00000000-0005-0000-0000-000093260000}"/>
    <cellStyle name="20% - Accent6 3 3 2 2 2 4 3" xfId="10457" xr:uid="{00000000-0005-0000-0000-000094260000}"/>
    <cellStyle name="20% - Accent6 3 3 2 2 2 5" xfId="10458" xr:uid="{00000000-0005-0000-0000-000095260000}"/>
    <cellStyle name="20% - Accent6 3 3 2 2 2 6" xfId="10459" xr:uid="{00000000-0005-0000-0000-000096260000}"/>
    <cellStyle name="20% - Accent6 3 3 2 2 2 7" xfId="10460" xr:uid="{00000000-0005-0000-0000-000097260000}"/>
    <cellStyle name="20% - Accent6 3 3 2 2 2 8" xfId="10461" xr:uid="{00000000-0005-0000-0000-000098260000}"/>
    <cellStyle name="20% - Accent6 3 3 2 2 3" xfId="10462" xr:uid="{00000000-0005-0000-0000-000099260000}"/>
    <cellStyle name="20% - Accent6 3 3 2 2 3 2" xfId="10463" xr:uid="{00000000-0005-0000-0000-00009A260000}"/>
    <cellStyle name="20% - Accent6 3 3 2 2 3 2 2" xfId="10464" xr:uid="{00000000-0005-0000-0000-00009B260000}"/>
    <cellStyle name="20% - Accent6 3 3 2 2 3 2 2 2" xfId="10465" xr:uid="{00000000-0005-0000-0000-00009C260000}"/>
    <cellStyle name="20% - Accent6 3 3 2 2 3 2 2 3" xfId="10466" xr:uid="{00000000-0005-0000-0000-00009D260000}"/>
    <cellStyle name="20% - Accent6 3 3 2 2 3 2 3" xfId="10467" xr:uid="{00000000-0005-0000-0000-00009E260000}"/>
    <cellStyle name="20% - Accent6 3 3 2 2 3 2 4" xfId="10468" xr:uid="{00000000-0005-0000-0000-00009F260000}"/>
    <cellStyle name="20% - Accent6 3 3 2 2 3 2 5" xfId="10469" xr:uid="{00000000-0005-0000-0000-0000A0260000}"/>
    <cellStyle name="20% - Accent6 3 3 2 2 3 2 6" xfId="10470" xr:uid="{00000000-0005-0000-0000-0000A1260000}"/>
    <cellStyle name="20% - Accent6 3 3 2 2 3 3" xfId="10471" xr:uid="{00000000-0005-0000-0000-0000A2260000}"/>
    <cellStyle name="20% - Accent6 3 3 2 2 3 3 2" xfId="10472" xr:uid="{00000000-0005-0000-0000-0000A3260000}"/>
    <cellStyle name="20% - Accent6 3 3 2 2 3 3 3" xfId="10473" xr:uid="{00000000-0005-0000-0000-0000A4260000}"/>
    <cellStyle name="20% - Accent6 3 3 2 2 3 4" xfId="10474" xr:uid="{00000000-0005-0000-0000-0000A5260000}"/>
    <cellStyle name="20% - Accent6 3 3 2 2 3 5" xfId="10475" xr:uid="{00000000-0005-0000-0000-0000A6260000}"/>
    <cellStyle name="20% - Accent6 3 3 2 2 3 6" xfId="10476" xr:uid="{00000000-0005-0000-0000-0000A7260000}"/>
    <cellStyle name="20% - Accent6 3 3 2 2 3 7" xfId="10477" xr:uid="{00000000-0005-0000-0000-0000A8260000}"/>
    <cellStyle name="20% - Accent6 3 3 2 2 4" xfId="10478" xr:uid="{00000000-0005-0000-0000-0000A9260000}"/>
    <cellStyle name="20% - Accent6 3 3 2 2 4 2" xfId="10479" xr:uid="{00000000-0005-0000-0000-0000AA260000}"/>
    <cellStyle name="20% - Accent6 3 3 2 2 4 2 2" xfId="10480" xr:uid="{00000000-0005-0000-0000-0000AB260000}"/>
    <cellStyle name="20% - Accent6 3 3 2 2 4 2 3" xfId="10481" xr:uid="{00000000-0005-0000-0000-0000AC260000}"/>
    <cellStyle name="20% - Accent6 3 3 2 2 4 3" xfId="10482" xr:uid="{00000000-0005-0000-0000-0000AD260000}"/>
    <cellStyle name="20% - Accent6 3 3 2 2 4 4" xfId="10483" xr:uid="{00000000-0005-0000-0000-0000AE260000}"/>
    <cellStyle name="20% - Accent6 3 3 2 2 4 5" xfId="10484" xr:uid="{00000000-0005-0000-0000-0000AF260000}"/>
    <cellStyle name="20% - Accent6 3 3 2 2 4 6" xfId="10485" xr:uid="{00000000-0005-0000-0000-0000B0260000}"/>
    <cellStyle name="20% - Accent6 3 3 2 2 5" xfId="10486" xr:uid="{00000000-0005-0000-0000-0000B1260000}"/>
    <cellStyle name="20% - Accent6 3 3 2 2 5 2" xfId="10487" xr:uid="{00000000-0005-0000-0000-0000B2260000}"/>
    <cellStyle name="20% - Accent6 3 3 2 2 5 2 2" xfId="10488" xr:uid="{00000000-0005-0000-0000-0000B3260000}"/>
    <cellStyle name="20% - Accent6 3 3 2 2 5 2 3" xfId="10489" xr:uid="{00000000-0005-0000-0000-0000B4260000}"/>
    <cellStyle name="20% - Accent6 3 3 2 2 5 3" xfId="10490" xr:uid="{00000000-0005-0000-0000-0000B5260000}"/>
    <cellStyle name="20% - Accent6 3 3 2 2 5 4" xfId="10491" xr:uid="{00000000-0005-0000-0000-0000B6260000}"/>
    <cellStyle name="20% - Accent6 3 3 2 2 5 5" xfId="10492" xr:uid="{00000000-0005-0000-0000-0000B7260000}"/>
    <cellStyle name="20% - Accent6 3 3 2 2 5 6" xfId="10493" xr:uid="{00000000-0005-0000-0000-0000B8260000}"/>
    <cellStyle name="20% - Accent6 3 3 2 2 6" xfId="10494" xr:uid="{00000000-0005-0000-0000-0000B9260000}"/>
    <cellStyle name="20% - Accent6 3 3 2 2 6 2" xfId="10495" xr:uid="{00000000-0005-0000-0000-0000BA260000}"/>
    <cellStyle name="20% - Accent6 3 3 2 2 6 3" xfId="10496" xr:uid="{00000000-0005-0000-0000-0000BB260000}"/>
    <cellStyle name="20% - Accent6 3 3 2 2 7" xfId="10497" xr:uid="{00000000-0005-0000-0000-0000BC260000}"/>
    <cellStyle name="20% - Accent6 3 3 2 2 8" xfId="10498" xr:uid="{00000000-0005-0000-0000-0000BD260000}"/>
    <cellStyle name="20% - Accent6 3 3 2 2 9" xfId="10499" xr:uid="{00000000-0005-0000-0000-0000BE260000}"/>
    <cellStyle name="20% - Accent6 3 3 2 3" xfId="10500" xr:uid="{00000000-0005-0000-0000-0000BF260000}"/>
    <cellStyle name="20% - Accent6 3 3 2 3 2" xfId="10501" xr:uid="{00000000-0005-0000-0000-0000C0260000}"/>
    <cellStyle name="20% - Accent6 3 3 2 3 2 2" xfId="10502" xr:uid="{00000000-0005-0000-0000-0000C1260000}"/>
    <cellStyle name="20% - Accent6 3 3 2 3 2 2 2" xfId="10503" xr:uid="{00000000-0005-0000-0000-0000C2260000}"/>
    <cellStyle name="20% - Accent6 3 3 2 3 2 2 2 2" xfId="10504" xr:uid="{00000000-0005-0000-0000-0000C3260000}"/>
    <cellStyle name="20% - Accent6 3 3 2 3 2 2 2 3" xfId="10505" xr:uid="{00000000-0005-0000-0000-0000C4260000}"/>
    <cellStyle name="20% - Accent6 3 3 2 3 2 2 3" xfId="10506" xr:uid="{00000000-0005-0000-0000-0000C5260000}"/>
    <cellStyle name="20% - Accent6 3 3 2 3 2 2 4" xfId="10507" xr:uid="{00000000-0005-0000-0000-0000C6260000}"/>
    <cellStyle name="20% - Accent6 3 3 2 3 2 2 5" xfId="10508" xr:uid="{00000000-0005-0000-0000-0000C7260000}"/>
    <cellStyle name="20% - Accent6 3 3 2 3 2 2 6" xfId="10509" xr:uid="{00000000-0005-0000-0000-0000C8260000}"/>
    <cellStyle name="20% - Accent6 3 3 2 3 2 3" xfId="10510" xr:uid="{00000000-0005-0000-0000-0000C9260000}"/>
    <cellStyle name="20% - Accent6 3 3 2 3 2 3 2" xfId="10511" xr:uid="{00000000-0005-0000-0000-0000CA260000}"/>
    <cellStyle name="20% - Accent6 3 3 2 3 2 3 3" xfId="10512" xr:uid="{00000000-0005-0000-0000-0000CB260000}"/>
    <cellStyle name="20% - Accent6 3 3 2 3 2 4" xfId="10513" xr:uid="{00000000-0005-0000-0000-0000CC260000}"/>
    <cellStyle name="20% - Accent6 3 3 2 3 2 5" xfId="10514" xr:uid="{00000000-0005-0000-0000-0000CD260000}"/>
    <cellStyle name="20% - Accent6 3 3 2 3 2 6" xfId="10515" xr:uid="{00000000-0005-0000-0000-0000CE260000}"/>
    <cellStyle name="20% - Accent6 3 3 2 3 2 7" xfId="10516" xr:uid="{00000000-0005-0000-0000-0000CF260000}"/>
    <cellStyle name="20% - Accent6 3 3 2 3 3" xfId="10517" xr:uid="{00000000-0005-0000-0000-0000D0260000}"/>
    <cellStyle name="20% - Accent6 3 3 2 3 3 2" xfId="10518" xr:uid="{00000000-0005-0000-0000-0000D1260000}"/>
    <cellStyle name="20% - Accent6 3 3 2 3 3 2 2" xfId="10519" xr:uid="{00000000-0005-0000-0000-0000D2260000}"/>
    <cellStyle name="20% - Accent6 3 3 2 3 3 2 3" xfId="10520" xr:uid="{00000000-0005-0000-0000-0000D3260000}"/>
    <cellStyle name="20% - Accent6 3 3 2 3 3 3" xfId="10521" xr:uid="{00000000-0005-0000-0000-0000D4260000}"/>
    <cellStyle name="20% - Accent6 3 3 2 3 3 4" xfId="10522" xr:uid="{00000000-0005-0000-0000-0000D5260000}"/>
    <cellStyle name="20% - Accent6 3 3 2 3 3 5" xfId="10523" xr:uid="{00000000-0005-0000-0000-0000D6260000}"/>
    <cellStyle name="20% - Accent6 3 3 2 3 3 6" xfId="10524" xr:uid="{00000000-0005-0000-0000-0000D7260000}"/>
    <cellStyle name="20% - Accent6 3 3 2 3 4" xfId="10525" xr:uid="{00000000-0005-0000-0000-0000D8260000}"/>
    <cellStyle name="20% - Accent6 3 3 2 3 4 2" xfId="10526" xr:uid="{00000000-0005-0000-0000-0000D9260000}"/>
    <cellStyle name="20% - Accent6 3 3 2 3 4 2 2" xfId="10527" xr:uid="{00000000-0005-0000-0000-0000DA260000}"/>
    <cellStyle name="20% - Accent6 3 3 2 3 4 2 3" xfId="10528" xr:uid="{00000000-0005-0000-0000-0000DB260000}"/>
    <cellStyle name="20% - Accent6 3 3 2 3 4 3" xfId="10529" xr:uid="{00000000-0005-0000-0000-0000DC260000}"/>
    <cellStyle name="20% - Accent6 3 3 2 3 4 4" xfId="10530" xr:uid="{00000000-0005-0000-0000-0000DD260000}"/>
    <cellStyle name="20% - Accent6 3 3 2 3 4 5" xfId="10531" xr:uid="{00000000-0005-0000-0000-0000DE260000}"/>
    <cellStyle name="20% - Accent6 3 3 2 3 4 6" xfId="10532" xr:uid="{00000000-0005-0000-0000-0000DF260000}"/>
    <cellStyle name="20% - Accent6 3 3 2 3 5" xfId="10533" xr:uid="{00000000-0005-0000-0000-0000E0260000}"/>
    <cellStyle name="20% - Accent6 3 3 2 3 5 2" xfId="10534" xr:uid="{00000000-0005-0000-0000-0000E1260000}"/>
    <cellStyle name="20% - Accent6 3 3 2 3 5 3" xfId="10535" xr:uid="{00000000-0005-0000-0000-0000E2260000}"/>
    <cellStyle name="20% - Accent6 3 3 2 3 6" xfId="10536" xr:uid="{00000000-0005-0000-0000-0000E3260000}"/>
    <cellStyle name="20% - Accent6 3 3 2 3 7" xfId="10537" xr:uid="{00000000-0005-0000-0000-0000E4260000}"/>
    <cellStyle name="20% - Accent6 3 3 2 3 8" xfId="10538" xr:uid="{00000000-0005-0000-0000-0000E5260000}"/>
    <cellStyle name="20% - Accent6 3 3 2 3 9" xfId="10539" xr:uid="{00000000-0005-0000-0000-0000E6260000}"/>
    <cellStyle name="20% - Accent6 3 3 2 4" xfId="10540" xr:uid="{00000000-0005-0000-0000-0000E7260000}"/>
    <cellStyle name="20% - Accent6 3 3 2 4 2" xfId="10541" xr:uid="{00000000-0005-0000-0000-0000E8260000}"/>
    <cellStyle name="20% - Accent6 3 3 2 4 2 2" xfId="10542" xr:uid="{00000000-0005-0000-0000-0000E9260000}"/>
    <cellStyle name="20% - Accent6 3 3 2 4 2 2 2" xfId="10543" xr:uid="{00000000-0005-0000-0000-0000EA260000}"/>
    <cellStyle name="20% - Accent6 3 3 2 4 2 2 3" xfId="10544" xr:uid="{00000000-0005-0000-0000-0000EB260000}"/>
    <cellStyle name="20% - Accent6 3 3 2 4 2 3" xfId="10545" xr:uid="{00000000-0005-0000-0000-0000EC260000}"/>
    <cellStyle name="20% - Accent6 3 3 2 4 2 4" xfId="10546" xr:uid="{00000000-0005-0000-0000-0000ED260000}"/>
    <cellStyle name="20% - Accent6 3 3 2 4 2 5" xfId="10547" xr:uid="{00000000-0005-0000-0000-0000EE260000}"/>
    <cellStyle name="20% - Accent6 3 3 2 4 2 6" xfId="10548" xr:uid="{00000000-0005-0000-0000-0000EF260000}"/>
    <cellStyle name="20% - Accent6 3 3 2 4 3" xfId="10549" xr:uid="{00000000-0005-0000-0000-0000F0260000}"/>
    <cellStyle name="20% - Accent6 3 3 2 4 3 2" xfId="10550" xr:uid="{00000000-0005-0000-0000-0000F1260000}"/>
    <cellStyle name="20% - Accent6 3 3 2 4 3 3" xfId="10551" xr:uid="{00000000-0005-0000-0000-0000F2260000}"/>
    <cellStyle name="20% - Accent6 3 3 2 4 4" xfId="10552" xr:uid="{00000000-0005-0000-0000-0000F3260000}"/>
    <cellStyle name="20% - Accent6 3 3 2 4 5" xfId="10553" xr:uid="{00000000-0005-0000-0000-0000F4260000}"/>
    <cellStyle name="20% - Accent6 3 3 2 4 6" xfId="10554" xr:uid="{00000000-0005-0000-0000-0000F5260000}"/>
    <cellStyle name="20% - Accent6 3 3 2 4 7" xfId="10555" xr:uid="{00000000-0005-0000-0000-0000F6260000}"/>
    <cellStyle name="20% - Accent6 3 3 2 5" xfId="10556" xr:uid="{00000000-0005-0000-0000-0000F7260000}"/>
    <cellStyle name="20% - Accent6 3 3 2 5 2" xfId="10557" xr:uid="{00000000-0005-0000-0000-0000F8260000}"/>
    <cellStyle name="20% - Accent6 3 3 2 5 2 2" xfId="10558" xr:uid="{00000000-0005-0000-0000-0000F9260000}"/>
    <cellStyle name="20% - Accent6 3 3 2 5 2 3" xfId="10559" xr:uid="{00000000-0005-0000-0000-0000FA260000}"/>
    <cellStyle name="20% - Accent6 3 3 2 5 3" xfId="10560" xr:uid="{00000000-0005-0000-0000-0000FB260000}"/>
    <cellStyle name="20% - Accent6 3 3 2 5 4" xfId="10561" xr:uid="{00000000-0005-0000-0000-0000FC260000}"/>
    <cellStyle name="20% - Accent6 3 3 2 5 5" xfId="10562" xr:uid="{00000000-0005-0000-0000-0000FD260000}"/>
    <cellStyle name="20% - Accent6 3 3 2 5 6" xfId="10563" xr:uid="{00000000-0005-0000-0000-0000FE260000}"/>
    <cellStyle name="20% - Accent6 3 3 2 6" xfId="10564" xr:uid="{00000000-0005-0000-0000-0000FF260000}"/>
    <cellStyle name="20% - Accent6 3 3 2 6 2" xfId="10565" xr:uid="{00000000-0005-0000-0000-000000270000}"/>
    <cellStyle name="20% - Accent6 3 3 2 6 2 2" xfId="10566" xr:uid="{00000000-0005-0000-0000-000001270000}"/>
    <cellStyle name="20% - Accent6 3 3 2 6 2 3" xfId="10567" xr:uid="{00000000-0005-0000-0000-000002270000}"/>
    <cellStyle name="20% - Accent6 3 3 2 6 3" xfId="10568" xr:uid="{00000000-0005-0000-0000-000003270000}"/>
    <cellStyle name="20% - Accent6 3 3 2 6 4" xfId="10569" xr:uid="{00000000-0005-0000-0000-000004270000}"/>
    <cellStyle name="20% - Accent6 3 3 2 6 5" xfId="10570" xr:uid="{00000000-0005-0000-0000-000005270000}"/>
    <cellStyle name="20% - Accent6 3 3 2 6 6" xfId="10571" xr:uid="{00000000-0005-0000-0000-000006270000}"/>
    <cellStyle name="20% - Accent6 3 3 2 7" xfId="10572" xr:uid="{00000000-0005-0000-0000-000007270000}"/>
    <cellStyle name="20% - Accent6 3 3 2 7 2" xfId="10573" xr:uid="{00000000-0005-0000-0000-000008270000}"/>
    <cellStyle name="20% - Accent6 3 3 2 7 2 2" xfId="10574" xr:uid="{00000000-0005-0000-0000-000009270000}"/>
    <cellStyle name="20% - Accent6 3 3 2 7 2 3" xfId="10575" xr:uid="{00000000-0005-0000-0000-00000A270000}"/>
    <cellStyle name="20% - Accent6 3 3 2 7 3" xfId="10576" xr:uid="{00000000-0005-0000-0000-00000B270000}"/>
    <cellStyle name="20% - Accent6 3 3 2 7 4" xfId="10577" xr:uid="{00000000-0005-0000-0000-00000C270000}"/>
    <cellStyle name="20% - Accent6 3 3 2 7 5" xfId="10578" xr:uid="{00000000-0005-0000-0000-00000D270000}"/>
    <cellStyle name="20% - Accent6 3 3 2 7 6" xfId="10579" xr:uid="{00000000-0005-0000-0000-00000E270000}"/>
    <cellStyle name="20% - Accent6 3 3 2 8" xfId="10580" xr:uid="{00000000-0005-0000-0000-00000F270000}"/>
    <cellStyle name="20% - Accent6 3 3 2 8 2" xfId="10581" xr:uid="{00000000-0005-0000-0000-000010270000}"/>
    <cellStyle name="20% - Accent6 3 3 2 8 2 2" xfId="10582" xr:uid="{00000000-0005-0000-0000-000011270000}"/>
    <cellStyle name="20% - Accent6 3 3 2 8 2 3" xfId="10583" xr:uid="{00000000-0005-0000-0000-000012270000}"/>
    <cellStyle name="20% - Accent6 3 3 2 8 3" xfId="10584" xr:uid="{00000000-0005-0000-0000-000013270000}"/>
    <cellStyle name="20% - Accent6 3 3 2 8 4" xfId="10585" xr:uid="{00000000-0005-0000-0000-000014270000}"/>
    <cellStyle name="20% - Accent6 3 3 2 8 5" xfId="10586" xr:uid="{00000000-0005-0000-0000-000015270000}"/>
    <cellStyle name="20% - Accent6 3 3 2 8 6" xfId="10587" xr:uid="{00000000-0005-0000-0000-000016270000}"/>
    <cellStyle name="20% - Accent6 3 3 2 9" xfId="10588" xr:uid="{00000000-0005-0000-0000-000017270000}"/>
    <cellStyle name="20% - Accent6 3 3 2 9 2" xfId="10589" xr:uid="{00000000-0005-0000-0000-000018270000}"/>
    <cellStyle name="20% - Accent6 3 3 2 9 3" xfId="10590" xr:uid="{00000000-0005-0000-0000-000019270000}"/>
    <cellStyle name="20% - Accent6 3 3 3" xfId="10591" xr:uid="{00000000-0005-0000-0000-00001A270000}"/>
    <cellStyle name="20% - Accent6 3 3 3 10" xfId="10592" xr:uid="{00000000-0005-0000-0000-00001B270000}"/>
    <cellStyle name="20% - Accent6 3 3 3 2" xfId="10593" xr:uid="{00000000-0005-0000-0000-00001C270000}"/>
    <cellStyle name="20% - Accent6 3 3 3 2 2" xfId="10594" xr:uid="{00000000-0005-0000-0000-00001D270000}"/>
    <cellStyle name="20% - Accent6 3 3 3 2 2 2" xfId="10595" xr:uid="{00000000-0005-0000-0000-00001E270000}"/>
    <cellStyle name="20% - Accent6 3 3 3 2 2 2 2" xfId="10596" xr:uid="{00000000-0005-0000-0000-00001F270000}"/>
    <cellStyle name="20% - Accent6 3 3 3 2 2 2 3" xfId="10597" xr:uid="{00000000-0005-0000-0000-000020270000}"/>
    <cellStyle name="20% - Accent6 3 3 3 2 2 3" xfId="10598" xr:uid="{00000000-0005-0000-0000-000021270000}"/>
    <cellStyle name="20% - Accent6 3 3 3 2 2 4" xfId="10599" xr:uid="{00000000-0005-0000-0000-000022270000}"/>
    <cellStyle name="20% - Accent6 3 3 3 2 2 5" xfId="10600" xr:uid="{00000000-0005-0000-0000-000023270000}"/>
    <cellStyle name="20% - Accent6 3 3 3 2 2 6" xfId="10601" xr:uid="{00000000-0005-0000-0000-000024270000}"/>
    <cellStyle name="20% - Accent6 3 3 3 2 3" xfId="10602" xr:uid="{00000000-0005-0000-0000-000025270000}"/>
    <cellStyle name="20% - Accent6 3 3 3 2 3 2" xfId="10603" xr:uid="{00000000-0005-0000-0000-000026270000}"/>
    <cellStyle name="20% - Accent6 3 3 3 2 3 2 2" xfId="10604" xr:uid="{00000000-0005-0000-0000-000027270000}"/>
    <cellStyle name="20% - Accent6 3 3 3 2 3 2 3" xfId="10605" xr:uid="{00000000-0005-0000-0000-000028270000}"/>
    <cellStyle name="20% - Accent6 3 3 3 2 3 3" xfId="10606" xr:uid="{00000000-0005-0000-0000-000029270000}"/>
    <cellStyle name="20% - Accent6 3 3 3 2 3 4" xfId="10607" xr:uid="{00000000-0005-0000-0000-00002A270000}"/>
    <cellStyle name="20% - Accent6 3 3 3 2 3 5" xfId="10608" xr:uid="{00000000-0005-0000-0000-00002B270000}"/>
    <cellStyle name="20% - Accent6 3 3 3 2 3 6" xfId="10609" xr:uid="{00000000-0005-0000-0000-00002C270000}"/>
    <cellStyle name="20% - Accent6 3 3 3 2 4" xfId="10610" xr:uid="{00000000-0005-0000-0000-00002D270000}"/>
    <cellStyle name="20% - Accent6 3 3 3 2 4 2" xfId="10611" xr:uid="{00000000-0005-0000-0000-00002E270000}"/>
    <cellStyle name="20% - Accent6 3 3 3 2 4 3" xfId="10612" xr:uid="{00000000-0005-0000-0000-00002F270000}"/>
    <cellStyle name="20% - Accent6 3 3 3 2 5" xfId="10613" xr:uid="{00000000-0005-0000-0000-000030270000}"/>
    <cellStyle name="20% - Accent6 3 3 3 2 6" xfId="10614" xr:uid="{00000000-0005-0000-0000-000031270000}"/>
    <cellStyle name="20% - Accent6 3 3 3 2 7" xfId="10615" xr:uid="{00000000-0005-0000-0000-000032270000}"/>
    <cellStyle name="20% - Accent6 3 3 3 2 8" xfId="10616" xr:uid="{00000000-0005-0000-0000-000033270000}"/>
    <cellStyle name="20% - Accent6 3 3 3 3" xfId="10617" xr:uid="{00000000-0005-0000-0000-000034270000}"/>
    <cellStyle name="20% - Accent6 3 3 3 3 2" xfId="10618" xr:uid="{00000000-0005-0000-0000-000035270000}"/>
    <cellStyle name="20% - Accent6 3 3 3 3 2 2" xfId="10619" xr:uid="{00000000-0005-0000-0000-000036270000}"/>
    <cellStyle name="20% - Accent6 3 3 3 3 2 2 2" xfId="10620" xr:uid="{00000000-0005-0000-0000-000037270000}"/>
    <cellStyle name="20% - Accent6 3 3 3 3 2 2 3" xfId="10621" xr:uid="{00000000-0005-0000-0000-000038270000}"/>
    <cellStyle name="20% - Accent6 3 3 3 3 2 3" xfId="10622" xr:uid="{00000000-0005-0000-0000-000039270000}"/>
    <cellStyle name="20% - Accent6 3 3 3 3 2 4" xfId="10623" xr:uid="{00000000-0005-0000-0000-00003A270000}"/>
    <cellStyle name="20% - Accent6 3 3 3 3 2 5" xfId="10624" xr:uid="{00000000-0005-0000-0000-00003B270000}"/>
    <cellStyle name="20% - Accent6 3 3 3 3 2 6" xfId="10625" xr:uid="{00000000-0005-0000-0000-00003C270000}"/>
    <cellStyle name="20% - Accent6 3 3 3 3 3" xfId="10626" xr:uid="{00000000-0005-0000-0000-00003D270000}"/>
    <cellStyle name="20% - Accent6 3 3 3 3 3 2" xfId="10627" xr:uid="{00000000-0005-0000-0000-00003E270000}"/>
    <cellStyle name="20% - Accent6 3 3 3 3 3 3" xfId="10628" xr:uid="{00000000-0005-0000-0000-00003F270000}"/>
    <cellStyle name="20% - Accent6 3 3 3 3 4" xfId="10629" xr:uid="{00000000-0005-0000-0000-000040270000}"/>
    <cellStyle name="20% - Accent6 3 3 3 3 5" xfId="10630" xr:uid="{00000000-0005-0000-0000-000041270000}"/>
    <cellStyle name="20% - Accent6 3 3 3 3 6" xfId="10631" xr:uid="{00000000-0005-0000-0000-000042270000}"/>
    <cellStyle name="20% - Accent6 3 3 3 3 7" xfId="10632" xr:uid="{00000000-0005-0000-0000-000043270000}"/>
    <cellStyle name="20% - Accent6 3 3 3 4" xfId="10633" xr:uid="{00000000-0005-0000-0000-000044270000}"/>
    <cellStyle name="20% - Accent6 3 3 3 4 2" xfId="10634" xr:uid="{00000000-0005-0000-0000-000045270000}"/>
    <cellStyle name="20% - Accent6 3 3 3 4 2 2" xfId="10635" xr:uid="{00000000-0005-0000-0000-000046270000}"/>
    <cellStyle name="20% - Accent6 3 3 3 4 2 3" xfId="10636" xr:uid="{00000000-0005-0000-0000-000047270000}"/>
    <cellStyle name="20% - Accent6 3 3 3 4 3" xfId="10637" xr:uid="{00000000-0005-0000-0000-000048270000}"/>
    <cellStyle name="20% - Accent6 3 3 3 4 4" xfId="10638" xr:uid="{00000000-0005-0000-0000-000049270000}"/>
    <cellStyle name="20% - Accent6 3 3 3 4 5" xfId="10639" xr:uid="{00000000-0005-0000-0000-00004A270000}"/>
    <cellStyle name="20% - Accent6 3 3 3 4 6" xfId="10640" xr:uid="{00000000-0005-0000-0000-00004B270000}"/>
    <cellStyle name="20% - Accent6 3 3 3 5" xfId="10641" xr:uid="{00000000-0005-0000-0000-00004C270000}"/>
    <cellStyle name="20% - Accent6 3 3 3 5 2" xfId="10642" xr:uid="{00000000-0005-0000-0000-00004D270000}"/>
    <cellStyle name="20% - Accent6 3 3 3 5 2 2" xfId="10643" xr:uid="{00000000-0005-0000-0000-00004E270000}"/>
    <cellStyle name="20% - Accent6 3 3 3 5 2 3" xfId="10644" xr:uid="{00000000-0005-0000-0000-00004F270000}"/>
    <cellStyle name="20% - Accent6 3 3 3 5 3" xfId="10645" xr:uid="{00000000-0005-0000-0000-000050270000}"/>
    <cellStyle name="20% - Accent6 3 3 3 5 4" xfId="10646" xr:uid="{00000000-0005-0000-0000-000051270000}"/>
    <cellStyle name="20% - Accent6 3 3 3 5 5" xfId="10647" xr:uid="{00000000-0005-0000-0000-000052270000}"/>
    <cellStyle name="20% - Accent6 3 3 3 5 6" xfId="10648" xr:uid="{00000000-0005-0000-0000-000053270000}"/>
    <cellStyle name="20% - Accent6 3 3 3 6" xfId="10649" xr:uid="{00000000-0005-0000-0000-000054270000}"/>
    <cellStyle name="20% - Accent6 3 3 3 6 2" xfId="10650" xr:uid="{00000000-0005-0000-0000-000055270000}"/>
    <cellStyle name="20% - Accent6 3 3 3 6 3" xfId="10651" xr:uid="{00000000-0005-0000-0000-000056270000}"/>
    <cellStyle name="20% - Accent6 3 3 3 7" xfId="10652" xr:uid="{00000000-0005-0000-0000-000057270000}"/>
    <cellStyle name="20% - Accent6 3 3 3 8" xfId="10653" xr:uid="{00000000-0005-0000-0000-000058270000}"/>
    <cellStyle name="20% - Accent6 3 3 3 9" xfId="10654" xr:uid="{00000000-0005-0000-0000-000059270000}"/>
    <cellStyle name="20% - Accent6 3 3 4" xfId="10655" xr:uid="{00000000-0005-0000-0000-00005A270000}"/>
    <cellStyle name="20% - Accent6 3 3 4 2" xfId="10656" xr:uid="{00000000-0005-0000-0000-00005B270000}"/>
    <cellStyle name="20% - Accent6 3 3 4 2 2" xfId="10657" xr:uid="{00000000-0005-0000-0000-00005C270000}"/>
    <cellStyle name="20% - Accent6 3 3 4 2 2 2" xfId="10658" xr:uid="{00000000-0005-0000-0000-00005D270000}"/>
    <cellStyle name="20% - Accent6 3 3 4 2 2 2 2" xfId="10659" xr:uid="{00000000-0005-0000-0000-00005E270000}"/>
    <cellStyle name="20% - Accent6 3 3 4 2 2 2 3" xfId="10660" xr:uid="{00000000-0005-0000-0000-00005F270000}"/>
    <cellStyle name="20% - Accent6 3 3 4 2 2 3" xfId="10661" xr:uid="{00000000-0005-0000-0000-000060270000}"/>
    <cellStyle name="20% - Accent6 3 3 4 2 2 4" xfId="10662" xr:uid="{00000000-0005-0000-0000-000061270000}"/>
    <cellStyle name="20% - Accent6 3 3 4 2 2 5" xfId="10663" xr:uid="{00000000-0005-0000-0000-000062270000}"/>
    <cellStyle name="20% - Accent6 3 3 4 2 2 6" xfId="10664" xr:uid="{00000000-0005-0000-0000-000063270000}"/>
    <cellStyle name="20% - Accent6 3 3 4 2 3" xfId="10665" xr:uid="{00000000-0005-0000-0000-000064270000}"/>
    <cellStyle name="20% - Accent6 3 3 4 2 3 2" xfId="10666" xr:uid="{00000000-0005-0000-0000-000065270000}"/>
    <cellStyle name="20% - Accent6 3 3 4 2 3 3" xfId="10667" xr:uid="{00000000-0005-0000-0000-000066270000}"/>
    <cellStyle name="20% - Accent6 3 3 4 2 4" xfId="10668" xr:uid="{00000000-0005-0000-0000-000067270000}"/>
    <cellStyle name="20% - Accent6 3 3 4 2 5" xfId="10669" xr:uid="{00000000-0005-0000-0000-000068270000}"/>
    <cellStyle name="20% - Accent6 3 3 4 2 6" xfId="10670" xr:uid="{00000000-0005-0000-0000-000069270000}"/>
    <cellStyle name="20% - Accent6 3 3 4 2 7" xfId="10671" xr:uid="{00000000-0005-0000-0000-00006A270000}"/>
    <cellStyle name="20% - Accent6 3 3 4 3" xfId="10672" xr:uid="{00000000-0005-0000-0000-00006B270000}"/>
    <cellStyle name="20% - Accent6 3 3 4 3 2" xfId="10673" xr:uid="{00000000-0005-0000-0000-00006C270000}"/>
    <cellStyle name="20% - Accent6 3 3 4 3 2 2" xfId="10674" xr:uid="{00000000-0005-0000-0000-00006D270000}"/>
    <cellStyle name="20% - Accent6 3 3 4 3 2 3" xfId="10675" xr:uid="{00000000-0005-0000-0000-00006E270000}"/>
    <cellStyle name="20% - Accent6 3 3 4 3 3" xfId="10676" xr:uid="{00000000-0005-0000-0000-00006F270000}"/>
    <cellStyle name="20% - Accent6 3 3 4 3 4" xfId="10677" xr:uid="{00000000-0005-0000-0000-000070270000}"/>
    <cellStyle name="20% - Accent6 3 3 4 3 5" xfId="10678" xr:uid="{00000000-0005-0000-0000-000071270000}"/>
    <cellStyle name="20% - Accent6 3 3 4 3 6" xfId="10679" xr:uid="{00000000-0005-0000-0000-000072270000}"/>
    <cellStyle name="20% - Accent6 3 3 4 4" xfId="10680" xr:uid="{00000000-0005-0000-0000-000073270000}"/>
    <cellStyle name="20% - Accent6 3 3 4 4 2" xfId="10681" xr:uid="{00000000-0005-0000-0000-000074270000}"/>
    <cellStyle name="20% - Accent6 3 3 4 4 2 2" xfId="10682" xr:uid="{00000000-0005-0000-0000-000075270000}"/>
    <cellStyle name="20% - Accent6 3 3 4 4 2 3" xfId="10683" xr:uid="{00000000-0005-0000-0000-000076270000}"/>
    <cellStyle name="20% - Accent6 3 3 4 4 3" xfId="10684" xr:uid="{00000000-0005-0000-0000-000077270000}"/>
    <cellStyle name="20% - Accent6 3 3 4 4 4" xfId="10685" xr:uid="{00000000-0005-0000-0000-000078270000}"/>
    <cellStyle name="20% - Accent6 3 3 4 4 5" xfId="10686" xr:uid="{00000000-0005-0000-0000-000079270000}"/>
    <cellStyle name="20% - Accent6 3 3 4 4 6" xfId="10687" xr:uid="{00000000-0005-0000-0000-00007A270000}"/>
    <cellStyle name="20% - Accent6 3 3 4 5" xfId="10688" xr:uid="{00000000-0005-0000-0000-00007B270000}"/>
    <cellStyle name="20% - Accent6 3 3 4 5 2" xfId="10689" xr:uid="{00000000-0005-0000-0000-00007C270000}"/>
    <cellStyle name="20% - Accent6 3 3 4 5 3" xfId="10690" xr:uid="{00000000-0005-0000-0000-00007D270000}"/>
    <cellStyle name="20% - Accent6 3 3 4 6" xfId="10691" xr:uid="{00000000-0005-0000-0000-00007E270000}"/>
    <cellStyle name="20% - Accent6 3 3 4 7" xfId="10692" xr:uid="{00000000-0005-0000-0000-00007F270000}"/>
    <cellStyle name="20% - Accent6 3 3 4 8" xfId="10693" xr:uid="{00000000-0005-0000-0000-000080270000}"/>
    <cellStyle name="20% - Accent6 3 3 4 9" xfId="10694" xr:uid="{00000000-0005-0000-0000-000081270000}"/>
    <cellStyle name="20% - Accent6 3 3 5" xfId="10695" xr:uid="{00000000-0005-0000-0000-000082270000}"/>
    <cellStyle name="20% - Accent6 3 3 5 2" xfId="10696" xr:uid="{00000000-0005-0000-0000-000083270000}"/>
    <cellStyle name="20% - Accent6 3 3 5 2 2" xfId="10697" xr:uid="{00000000-0005-0000-0000-000084270000}"/>
    <cellStyle name="20% - Accent6 3 3 5 2 2 2" xfId="10698" xr:uid="{00000000-0005-0000-0000-000085270000}"/>
    <cellStyle name="20% - Accent6 3 3 5 2 2 3" xfId="10699" xr:uid="{00000000-0005-0000-0000-000086270000}"/>
    <cellStyle name="20% - Accent6 3 3 5 2 3" xfId="10700" xr:uid="{00000000-0005-0000-0000-000087270000}"/>
    <cellStyle name="20% - Accent6 3 3 5 2 4" xfId="10701" xr:uid="{00000000-0005-0000-0000-000088270000}"/>
    <cellStyle name="20% - Accent6 3 3 5 2 5" xfId="10702" xr:uid="{00000000-0005-0000-0000-000089270000}"/>
    <cellStyle name="20% - Accent6 3 3 5 2 6" xfId="10703" xr:uid="{00000000-0005-0000-0000-00008A270000}"/>
    <cellStyle name="20% - Accent6 3 3 5 3" xfId="10704" xr:uid="{00000000-0005-0000-0000-00008B270000}"/>
    <cellStyle name="20% - Accent6 3 3 5 3 2" xfId="10705" xr:uid="{00000000-0005-0000-0000-00008C270000}"/>
    <cellStyle name="20% - Accent6 3 3 5 3 3" xfId="10706" xr:uid="{00000000-0005-0000-0000-00008D270000}"/>
    <cellStyle name="20% - Accent6 3 3 5 4" xfId="10707" xr:uid="{00000000-0005-0000-0000-00008E270000}"/>
    <cellStyle name="20% - Accent6 3 3 5 5" xfId="10708" xr:uid="{00000000-0005-0000-0000-00008F270000}"/>
    <cellStyle name="20% - Accent6 3 3 5 6" xfId="10709" xr:uid="{00000000-0005-0000-0000-000090270000}"/>
    <cellStyle name="20% - Accent6 3 3 5 7" xfId="10710" xr:uid="{00000000-0005-0000-0000-000091270000}"/>
    <cellStyle name="20% - Accent6 3 3 6" xfId="10711" xr:uid="{00000000-0005-0000-0000-000092270000}"/>
    <cellStyle name="20% - Accent6 3 3 6 2" xfId="10712" xr:uid="{00000000-0005-0000-0000-000093270000}"/>
    <cellStyle name="20% - Accent6 3 3 6 2 2" xfId="10713" xr:uid="{00000000-0005-0000-0000-000094270000}"/>
    <cellStyle name="20% - Accent6 3 3 6 2 3" xfId="10714" xr:uid="{00000000-0005-0000-0000-000095270000}"/>
    <cellStyle name="20% - Accent6 3 3 6 3" xfId="10715" xr:uid="{00000000-0005-0000-0000-000096270000}"/>
    <cellStyle name="20% - Accent6 3 3 6 4" xfId="10716" xr:uid="{00000000-0005-0000-0000-000097270000}"/>
    <cellStyle name="20% - Accent6 3 3 6 5" xfId="10717" xr:uid="{00000000-0005-0000-0000-000098270000}"/>
    <cellStyle name="20% - Accent6 3 3 6 6" xfId="10718" xr:uid="{00000000-0005-0000-0000-000099270000}"/>
    <cellStyle name="20% - Accent6 3 3 7" xfId="10719" xr:uid="{00000000-0005-0000-0000-00009A270000}"/>
    <cellStyle name="20% - Accent6 3 3 7 2" xfId="10720" xr:uid="{00000000-0005-0000-0000-00009B270000}"/>
    <cellStyle name="20% - Accent6 3 3 7 2 2" xfId="10721" xr:uid="{00000000-0005-0000-0000-00009C270000}"/>
    <cellStyle name="20% - Accent6 3 3 7 2 3" xfId="10722" xr:uid="{00000000-0005-0000-0000-00009D270000}"/>
    <cellStyle name="20% - Accent6 3 3 7 3" xfId="10723" xr:uid="{00000000-0005-0000-0000-00009E270000}"/>
    <cellStyle name="20% - Accent6 3 3 7 4" xfId="10724" xr:uid="{00000000-0005-0000-0000-00009F270000}"/>
    <cellStyle name="20% - Accent6 3 3 7 5" xfId="10725" xr:uid="{00000000-0005-0000-0000-0000A0270000}"/>
    <cellStyle name="20% - Accent6 3 3 7 6" xfId="10726" xr:uid="{00000000-0005-0000-0000-0000A1270000}"/>
    <cellStyle name="20% - Accent6 3 3 8" xfId="10727" xr:uid="{00000000-0005-0000-0000-0000A2270000}"/>
    <cellStyle name="20% - Accent6 3 3 8 2" xfId="10728" xr:uid="{00000000-0005-0000-0000-0000A3270000}"/>
    <cellStyle name="20% - Accent6 3 3 8 2 2" xfId="10729" xr:uid="{00000000-0005-0000-0000-0000A4270000}"/>
    <cellStyle name="20% - Accent6 3 3 8 2 3" xfId="10730" xr:uid="{00000000-0005-0000-0000-0000A5270000}"/>
    <cellStyle name="20% - Accent6 3 3 8 3" xfId="10731" xr:uid="{00000000-0005-0000-0000-0000A6270000}"/>
    <cellStyle name="20% - Accent6 3 3 8 4" xfId="10732" xr:uid="{00000000-0005-0000-0000-0000A7270000}"/>
    <cellStyle name="20% - Accent6 3 3 8 5" xfId="10733" xr:uid="{00000000-0005-0000-0000-0000A8270000}"/>
    <cellStyle name="20% - Accent6 3 3 8 6" xfId="10734" xr:uid="{00000000-0005-0000-0000-0000A9270000}"/>
    <cellStyle name="20% - Accent6 3 3 9" xfId="10735" xr:uid="{00000000-0005-0000-0000-0000AA270000}"/>
    <cellStyle name="20% - Accent6 3 3 9 2" xfId="10736" xr:uid="{00000000-0005-0000-0000-0000AB270000}"/>
    <cellStyle name="20% - Accent6 3 3 9 2 2" xfId="10737" xr:uid="{00000000-0005-0000-0000-0000AC270000}"/>
    <cellStyle name="20% - Accent6 3 3 9 2 3" xfId="10738" xr:uid="{00000000-0005-0000-0000-0000AD270000}"/>
    <cellStyle name="20% - Accent6 3 3 9 3" xfId="10739" xr:uid="{00000000-0005-0000-0000-0000AE270000}"/>
    <cellStyle name="20% - Accent6 3 3 9 4" xfId="10740" xr:uid="{00000000-0005-0000-0000-0000AF270000}"/>
    <cellStyle name="20% - Accent6 3 3 9 5" xfId="10741" xr:uid="{00000000-0005-0000-0000-0000B0270000}"/>
    <cellStyle name="20% - Accent6 3 3 9 6" xfId="10742" xr:uid="{00000000-0005-0000-0000-0000B1270000}"/>
    <cellStyle name="20% - Accent6 3 4" xfId="10743" xr:uid="{00000000-0005-0000-0000-0000B2270000}"/>
    <cellStyle name="20% - Accent6 3 4 10" xfId="10744" xr:uid="{00000000-0005-0000-0000-0000B3270000}"/>
    <cellStyle name="20% - Accent6 3 4 11" xfId="10745" xr:uid="{00000000-0005-0000-0000-0000B4270000}"/>
    <cellStyle name="20% - Accent6 3 4 12" xfId="10746" xr:uid="{00000000-0005-0000-0000-0000B5270000}"/>
    <cellStyle name="20% - Accent6 3 4 13" xfId="10747" xr:uid="{00000000-0005-0000-0000-0000B6270000}"/>
    <cellStyle name="20% - Accent6 3 4 2" xfId="10748" xr:uid="{00000000-0005-0000-0000-0000B7270000}"/>
    <cellStyle name="20% - Accent6 3 4 2 10" xfId="10749" xr:uid="{00000000-0005-0000-0000-0000B8270000}"/>
    <cellStyle name="20% - Accent6 3 4 2 2" xfId="10750" xr:uid="{00000000-0005-0000-0000-0000B9270000}"/>
    <cellStyle name="20% - Accent6 3 4 2 2 2" xfId="10751" xr:uid="{00000000-0005-0000-0000-0000BA270000}"/>
    <cellStyle name="20% - Accent6 3 4 2 2 2 2" xfId="10752" xr:uid="{00000000-0005-0000-0000-0000BB270000}"/>
    <cellStyle name="20% - Accent6 3 4 2 2 2 2 2" xfId="10753" xr:uid="{00000000-0005-0000-0000-0000BC270000}"/>
    <cellStyle name="20% - Accent6 3 4 2 2 2 2 3" xfId="10754" xr:uid="{00000000-0005-0000-0000-0000BD270000}"/>
    <cellStyle name="20% - Accent6 3 4 2 2 2 3" xfId="10755" xr:uid="{00000000-0005-0000-0000-0000BE270000}"/>
    <cellStyle name="20% - Accent6 3 4 2 2 2 4" xfId="10756" xr:uid="{00000000-0005-0000-0000-0000BF270000}"/>
    <cellStyle name="20% - Accent6 3 4 2 2 2 5" xfId="10757" xr:uid="{00000000-0005-0000-0000-0000C0270000}"/>
    <cellStyle name="20% - Accent6 3 4 2 2 2 6" xfId="10758" xr:uid="{00000000-0005-0000-0000-0000C1270000}"/>
    <cellStyle name="20% - Accent6 3 4 2 2 3" xfId="10759" xr:uid="{00000000-0005-0000-0000-0000C2270000}"/>
    <cellStyle name="20% - Accent6 3 4 2 2 3 2" xfId="10760" xr:uid="{00000000-0005-0000-0000-0000C3270000}"/>
    <cellStyle name="20% - Accent6 3 4 2 2 3 2 2" xfId="10761" xr:uid="{00000000-0005-0000-0000-0000C4270000}"/>
    <cellStyle name="20% - Accent6 3 4 2 2 3 2 3" xfId="10762" xr:uid="{00000000-0005-0000-0000-0000C5270000}"/>
    <cellStyle name="20% - Accent6 3 4 2 2 3 3" xfId="10763" xr:uid="{00000000-0005-0000-0000-0000C6270000}"/>
    <cellStyle name="20% - Accent6 3 4 2 2 3 4" xfId="10764" xr:uid="{00000000-0005-0000-0000-0000C7270000}"/>
    <cellStyle name="20% - Accent6 3 4 2 2 3 5" xfId="10765" xr:uid="{00000000-0005-0000-0000-0000C8270000}"/>
    <cellStyle name="20% - Accent6 3 4 2 2 3 6" xfId="10766" xr:uid="{00000000-0005-0000-0000-0000C9270000}"/>
    <cellStyle name="20% - Accent6 3 4 2 2 4" xfId="10767" xr:uid="{00000000-0005-0000-0000-0000CA270000}"/>
    <cellStyle name="20% - Accent6 3 4 2 2 4 2" xfId="10768" xr:uid="{00000000-0005-0000-0000-0000CB270000}"/>
    <cellStyle name="20% - Accent6 3 4 2 2 4 3" xfId="10769" xr:uid="{00000000-0005-0000-0000-0000CC270000}"/>
    <cellStyle name="20% - Accent6 3 4 2 2 5" xfId="10770" xr:uid="{00000000-0005-0000-0000-0000CD270000}"/>
    <cellStyle name="20% - Accent6 3 4 2 2 6" xfId="10771" xr:uid="{00000000-0005-0000-0000-0000CE270000}"/>
    <cellStyle name="20% - Accent6 3 4 2 2 7" xfId="10772" xr:uid="{00000000-0005-0000-0000-0000CF270000}"/>
    <cellStyle name="20% - Accent6 3 4 2 2 8" xfId="10773" xr:uid="{00000000-0005-0000-0000-0000D0270000}"/>
    <cellStyle name="20% - Accent6 3 4 2 3" xfId="10774" xr:uid="{00000000-0005-0000-0000-0000D1270000}"/>
    <cellStyle name="20% - Accent6 3 4 2 3 2" xfId="10775" xr:uid="{00000000-0005-0000-0000-0000D2270000}"/>
    <cellStyle name="20% - Accent6 3 4 2 3 2 2" xfId="10776" xr:uid="{00000000-0005-0000-0000-0000D3270000}"/>
    <cellStyle name="20% - Accent6 3 4 2 3 2 2 2" xfId="10777" xr:uid="{00000000-0005-0000-0000-0000D4270000}"/>
    <cellStyle name="20% - Accent6 3 4 2 3 2 2 3" xfId="10778" xr:uid="{00000000-0005-0000-0000-0000D5270000}"/>
    <cellStyle name="20% - Accent6 3 4 2 3 2 3" xfId="10779" xr:uid="{00000000-0005-0000-0000-0000D6270000}"/>
    <cellStyle name="20% - Accent6 3 4 2 3 2 4" xfId="10780" xr:uid="{00000000-0005-0000-0000-0000D7270000}"/>
    <cellStyle name="20% - Accent6 3 4 2 3 2 5" xfId="10781" xr:uid="{00000000-0005-0000-0000-0000D8270000}"/>
    <cellStyle name="20% - Accent6 3 4 2 3 2 6" xfId="10782" xr:uid="{00000000-0005-0000-0000-0000D9270000}"/>
    <cellStyle name="20% - Accent6 3 4 2 3 3" xfId="10783" xr:uid="{00000000-0005-0000-0000-0000DA270000}"/>
    <cellStyle name="20% - Accent6 3 4 2 3 3 2" xfId="10784" xr:uid="{00000000-0005-0000-0000-0000DB270000}"/>
    <cellStyle name="20% - Accent6 3 4 2 3 3 3" xfId="10785" xr:uid="{00000000-0005-0000-0000-0000DC270000}"/>
    <cellStyle name="20% - Accent6 3 4 2 3 4" xfId="10786" xr:uid="{00000000-0005-0000-0000-0000DD270000}"/>
    <cellStyle name="20% - Accent6 3 4 2 3 5" xfId="10787" xr:uid="{00000000-0005-0000-0000-0000DE270000}"/>
    <cellStyle name="20% - Accent6 3 4 2 3 6" xfId="10788" xr:uid="{00000000-0005-0000-0000-0000DF270000}"/>
    <cellStyle name="20% - Accent6 3 4 2 3 7" xfId="10789" xr:uid="{00000000-0005-0000-0000-0000E0270000}"/>
    <cellStyle name="20% - Accent6 3 4 2 4" xfId="10790" xr:uid="{00000000-0005-0000-0000-0000E1270000}"/>
    <cellStyle name="20% - Accent6 3 4 2 4 2" xfId="10791" xr:uid="{00000000-0005-0000-0000-0000E2270000}"/>
    <cellStyle name="20% - Accent6 3 4 2 4 2 2" xfId="10792" xr:uid="{00000000-0005-0000-0000-0000E3270000}"/>
    <cellStyle name="20% - Accent6 3 4 2 4 2 3" xfId="10793" xr:uid="{00000000-0005-0000-0000-0000E4270000}"/>
    <cellStyle name="20% - Accent6 3 4 2 4 3" xfId="10794" xr:uid="{00000000-0005-0000-0000-0000E5270000}"/>
    <cellStyle name="20% - Accent6 3 4 2 4 4" xfId="10795" xr:uid="{00000000-0005-0000-0000-0000E6270000}"/>
    <cellStyle name="20% - Accent6 3 4 2 4 5" xfId="10796" xr:uid="{00000000-0005-0000-0000-0000E7270000}"/>
    <cellStyle name="20% - Accent6 3 4 2 4 6" xfId="10797" xr:uid="{00000000-0005-0000-0000-0000E8270000}"/>
    <cellStyle name="20% - Accent6 3 4 2 5" xfId="10798" xr:uid="{00000000-0005-0000-0000-0000E9270000}"/>
    <cellStyle name="20% - Accent6 3 4 2 5 2" xfId="10799" xr:uid="{00000000-0005-0000-0000-0000EA270000}"/>
    <cellStyle name="20% - Accent6 3 4 2 5 2 2" xfId="10800" xr:uid="{00000000-0005-0000-0000-0000EB270000}"/>
    <cellStyle name="20% - Accent6 3 4 2 5 2 3" xfId="10801" xr:uid="{00000000-0005-0000-0000-0000EC270000}"/>
    <cellStyle name="20% - Accent6 3 4 2 5 3" xfId="10802" xr:uid="{00000000-0005-0000-0000-0000ED270000}"/>
    <cellStyle name="20% - Accent6 3 4 2 5 4" xfId="10803" xr:uid="{00000000-0005-0000-0000-0000EE270000}"/>
    <cellStyle name="20% - Accent6 3 4 2 5 5" xfId="10804" xr:uid="{00000000-0005-0000-0000-0000EF270000}"/>
    <cellStyle name="20% - Accent6 3 4 2 5 6" xfId="10805" xr:uid="{00000000-0005-0000-0000-0000F0270000}"/>
    <cellStyle name="20% - Accent6 3 4 2 6" xfId="10806" xr:uid="{00000000-0005-0000-0000-0000F1270000}"/>
    <cellStyle name="20% - Accent6 3 4 2 6 2" xfId="10807" xr:uid="{00000000-0005-0000-0000-0000F2270000}"/>
    <cellStyle name="20% - Accent6 3 4 2 6 3" xfId="10808" xr:uid="{00000000-0005-0000-0000-0000F3270000}"/>
    <cellStyle name="20% - Accent6 3 4 2 7" xfId="10809" xr:uid="{00000000-0005-0000-0000-0000F4270000}"/>
    <cellStyle name="20% - Accent6 3 4 2 8" xfId="10810" xr:uid="{00000000-0005-0000-0000-0000F5270000}"/>
    <cellStyle name="20% - Accent6 3 4 2 9" xfId="10811" xr:uid="{00000000-0005-0000-0000-0000F6270000}"/>
    <cellStyle name="20% - Accent6 3 4 3" xfId="10812" xr:uid="{00000000-0005-0000-0000-0000F7270000}"/>
    <cellStyle name="20% - Accent6 3 4 3 2" xfId="10813" xr:uid="{00000000-0005-0000-0000-0000F8270000}"/>
    <cellStyle name="20% - Accent6 3 4 3 2 2" xfId="10814" xr:uid="{00000000-0005-0000-0000-0000F9270000}"/>
    <cellStyle name="20% - Accent6 3 4 3 2 2 2" xfId="10815" xr:uid="{00000000-0005-0000-0000-0000FA270000}"/>
    <cellStyle name="20% - Accent6 3 4 3 2 2 2 2" xfId="10816" xr:uid="{00000000-0005-0000-0000-0000FB270000}"/>
    <cellStyle name="20% - Accent6 3 4 3 2 2 2 3" xfId="10817" xr:uid="{00000000-0005-0000-0000-0000FC270000}"/>
    <cellStyle name="20% - Accent6 3 4 3 2 2 3" xfId="10818" xr:uid="{00000000-0005-0000-0000-0000FD270000}"/>
    <cellStyle name="20% - Accent6 3 4 3 2 2 4" xfId="10819" xr:uid="{00000000-0005-0000-0000-0000FE270000}"/>
    <cellStyle name="20% - Accent6 3 4 3 2 2 5" xfId="10820" xr:uid="{00000000-0005-0000-0000-0000FF270000}"/>
    <cellStyle name="20% - Accent6 3 4 3 2 2 6" xfId="10821" xr:uid="{00000000-0005-0000-0000-000000280000}"/>
    <cellStyle name="20% - Accent6 3 4 3 2 3" xfId="10822" xr:uid="{00000000-0005-0000-0000-000001280000}"/>
    <cellStyle name="20% - Accent6 3 4 3 2 3 2" xfId="10823" xr:uid="{00000000-0005-0000-0000-000002280000}"/>
    <cellStyle name="20% - Accent6 3 4 3 2 3 3" xfId="10824" xr:uid="{00000000-0005-0000-0000-000003280000}"/>
    <cellStyle name="20% - Accent6 3 4 3 2 4" xfId="10825" xr:uid="{00000000-0005-0000-0000-000004280000}"/>
    <cellStyle name="20% - Accent6 3 4 3 2 5" xfId="10826" xr:uid="{00000000-0005-0000-0000-000005280000}"/>
    <cellStyle name="20% - Accent6 3 4 3 2 6" xfId="10827" xr:uid="{00000000-0005-0000-0000-000006280000}"/>
    <cellStyle name="20% - Accent6 3 4 3 2 7" xfId="10828" xr:uid="{00000000-0005-0000-0000-000007280000}"/>
    <cellStyle name="20% - Accent6 3 4 3 3" xfId="10829" xr:uid="{00000000-0005-0000-0000-000008280000}"/>
    <cellStyle name="20% - Accent6 3 4 3 3 2" xfId="10830" xr:uid="{00000000-0005-0000-0000-000009280000}"/>
    <cellStyle name="20% - Accent6 3 4 3 3 2 2" xfId="10831" xr:uid="{00000000-0005-0000-0000-00000A280000}"/>
    <cellStyle name="20% - Accent6 3 4 3 3 2 3" xfId="10832" xr:uid="{00000000-0005-0000-0000-00000B280000}"/>
    <cellStyle name="20% - Accent6 3 4 3 3 3" xfId="10833" xr:uid="{00000000-0005-0000-0000-00000C280000}"/>
    <cellStyle name="20% - Accent6 3 4 3 3 4" xfId="10834" xr:uid="{00000000-0005-0000-0000-00000D280000}"/>
    <cellStyle name="20% - Accent6 3 4 3 3 5" xfId="10835" xr:uid="{00000000-0005-0000-0000-00000E280000}"/>
    <cellStyle name="20% - Accent6 3 4 3 3 6" xfId="10836" xr:uid="{00000000-0005-0000-0000-00000F280000}"/>
    <cellStyle name="20% - Accent6 3 4 3 4" xfId="10837" xr:uid="{00000000-0005-0000-0000-000010280000}"/>
    <cellStyle name="20% - Accent6 3 4 3 4 2" xfId="10838" xr:uid="{00000000-0005-0000-0000-000011280000}"/>
    <cellStyle name="20% - Accent6 3 4 3 4 2 2" xfId="10839" xr:uid="{00000000-0005-0000-0000-000012280000}"/>
    <cellStyle name="20% - Accent6 3 4 3 4 2 3" xfId="10840" xr:uid="{00000000-0005-0000-0000-000013280000}"/>
    <cellStyle name="20% - Accent6 3 4 3 4 3" xfId="10841" xr:uid="{00000000-0005-0000-0000-000014280000}"/>
    <cellStyle name="20% - Accent6 3 4 3 4 4" xfId="10842" xr:uid="{00000000-0005-0000-0000-000015280000}"/>
    <cellStyle name="20% - Accent6 3 4 3 4 5" xfId="10843" xr:uid="{00000000-0005-0000-0000-000016280000}"/>
    <cellStyle name="20% - Accent6 3 4 3 4 6" xfId="10844" xr:uid="{00000000-0005-0000-0000-000017280000}"/>
    <cellStyle name="20% - Accent6 3 4 3 5" xfId="10845" xr:uid="{00000000-0005-0000-0000-000018280000}"/>
    <cellStyle name="20% - Accent6 3 4 3 5 2" xfId="10846" xr:uid="{00000000-0005-0000-0000-000019280000}"/>
    <cellStyle name="20% - Accent6 3 4 3 5 3" xfId="10847" xr:uid="{00000000-0005-0000-0000-00001A280000}"/>
    <cellStyle name="20% - Accent6 3 4 3 6" xfId="10848" xr:uid="{00000000-0005-0000-0000-00001B280000}"/>
    <cellStyle name="20% - Accent6 3 4 3 7" xfId="10849" xr:uid="{00000000-0005-0000-0000-00001C280000}"/>
    <cellStyle name="20% - Accent6 3 4 3 8" xfId="10850" xr:uid="{00000000-0005-0000-0000-00001D280000}"/>
    <cellStyle name="20% - Accent6 3 4 3 9" xfId="10851" xr:uid="{00000000-0005-0000-0000-00001E280000}"/>
    <cellStyle name="20% - Accent6 3 4 4" xfId="10852" xr:uid="{00000000-0005-0000-0000-00001F280000}"/>
    <cellStyle name="20% - Accent6 3 4 4 2" xfId="10853" xr:uid="{00000000-0005-0000-0000-000020280000}"/>
    <cellStyle name="20% - Accent6 3 4 4 2 2" xfId="10854" xr:uid="{00000000-0005-0000-0000-000021280000}"/>
    <cellStyle name="20% - Accent6 3 4 4 2 2 2" xfId="10855" xr:uid="{00000000-0005-0000-0000-000022280000}"/>
    <cellStyle name="20% - Accent6 3 4 4 2 2 3" xfId="10856" xr:uid="{00000000-0005-0000-0000-000023280000}"/>
    <cellStyle name="20% - Accent6 3 4 4 2 3" xfId="10857" xr:uid="{00000000-0005-0000-0000-000024280000}"/>
    <cellStyle name="20% - Accent6 3 4 4 2 4" xfId="10858" xr:uid="{00000000-0005-0000-0000-000025280000}"/>
    <cellStyle name="20% - Accent6 3 4 4 2 5" xfId="10859" xr:uid="{00000000-0005-0000-0000-000026280000}"/>
    <cellStyle name="20% - Accent6 3 4 4 2 6" xfId="10860" xr:uid="{00000000-0005-0000-0000-000027280000}"/>
    <cellStyle name="20% - Accent6 3 4 4 3" xfId="10861" xr:uid="{00000000-0005-0000-0000-000028280000}"/>
    <cellStyle name="20% - Accent6 3 4 4 3 2" xfId="10862" xr:uid="{00000000-0005-0000-0000-000029280000}"/>
    <cellStyle name="20% - Accent6 3 4 4 3 3" xfId="10863" xr:uid="{00000000-0005-0000-0000-00002A280000}"/>
    <cellStyle name="20% - Accent6 3 4 4 4" xfId="10864" xr:uid="{00000000-0005-0000-0000-00002B280000}"/>
    <cellStyle name="20% - Accent6 3 4 4 5" xfId="10865" xr:uid="{00000000-0005-0000-0000-00002C280000}"/>
    <cellStyle name="20% - Accent6 3 4 4 6" xfId="10866" xr:uid="{00000000-0005-0000-0000-00002D280000}"/>
    <cellStyle name="20% - Accent6 3 4 4 7" xfId="10867" xr:uid="{00000000-0005-0000-0000-00002E280000}"/>
    <cellStyle name="20% - Accent6 3 4 5" xfId="10868" xr:uid="{00000000-0005-0000-0000-00002F280000}"/>
    <cellStyle name="20% - Accent6 3 4 5 2" xfId="10869" xr:uid="{00000000-0005-0000-0000-000030280000}"/>
    <cellStyle name="20% - Accent6 3 4 5 2 2" xfId="10870" xr:uid="{00000000-0005-0000-0000-000031280000}"/>
    <cellStyle name="20% - Accent6 3 4 5 2 3" xfId="10871" xr:uid="{00000000-0005-0000-0000-000032280000}"/>
    <cellStyle name="20% - Accent6 3 4 5 3" xfId="10872" xr:uid="{00000000-0005-0000-0000-000033280000}"/>
    <cellStyle name="20% - Accent6 3 4 5 4" xfId="10873" xr:uid="{00000000-0005-0000-0000-000034280000}"/>
    <cellStyle name="20% - Accent6 3 4 5 5" xfId="10874" xr:uid="{00000000-0005-0000-0000-000035280000}"/>
    <cellStyle name="20% - Accent6 3 4 5 6" xfId="10875" xr:uid="{00000000-0005-0000-0000-000036280000}"/>
    <cellStyle name="20% - Accent6 3 4 6" xfId="10876" xr:uid="{00000000-0005-0000-0000-000037280000}"/>
    <cellStyle name="20% - Accent6 3 4 6 2" xfId="10877" xr:uid="{00000000-0005-0000-0000-000038280000}"/>
    <cellStyle name="20% - Accent6 3 4 6 2 2" xfId="10878" xr:uid="{00000000-0005-0000-0000-000039280000}"/>
    <cellStyle name="20% - Accent6 3 4 6 2 3" xfId="10879" xr:uid="{00000000-0005-0000-0000-00003A280000}"/>
    <cellStyle name="20% - Accent6 3 4 6 3" xfId="10880" xr:uid="{00000000-0005-0000-0000-00003B280000}"/>
    <cellStyle name="20% - Accent6 3 4 6 4" xfId="10881" xr:uid="{00000000-0005-0000-0000-00003C280000}"/>
    <cellStyle name="20% - Accent6 3 4 6 5" xfId="10882" xr:uid="{00000000-0005-0000-0000-00003D280000}"/>
    <cellStyle name="20% - Accent6 3 4 6 6" xfId="10883" xr:uid="{00000000-0005-0000-0000-00003E280000}"/>
    <cellStyle name="20% - Accent6 3 4 7" xfId="10884" xr:uid="{00000000-0005-0000-0000-00003F280000}"/>
    <cellStyle name="20% - Accent6 3 4 7 2" xfId="10885" xr:uid="{00000000-0005-0000-0000-000040280000}"/>
    <cellStyle name="20% - Accent6 3 4 7 2 2" xfId="10886" xr:uid="{00000000-0005-0000-0000-000041280000}"/>
    <cellStyle name="20% - Accent6 3 4 7 2 3" xfId="10887" xr:uid="{00000000-0005-0000-0000-000042280000}"/>
    <cellStyle name="20% - Accent6 3 4 7 3" xfId="10888" xr:uid="{00000000-0005-0000-0000-000043280000}"/>
    <cellStyle name="20% - Accent6 3 4 7 4" xfId="10889" xr:uid="{00000000-0005-0000-0000-000044280000}"/>
    <cellStyle name="20% - Accent6 3 4 7 5" xfId="10890" xr:uid="{00000000-0005-0000-0000-000045280000}"/>
    <cellStyle name="20% - Accent6 3 4 7 6" xfId="10891" xr:uid="{00000000-0005-0000-0000-000046280000}"/>
    <cellStyle name="20% - Accent6 3 4 8" xfId="10892" xr:uid="{00000000-0005-0000-0000-000047280000}"/>
    <cellStyle name="20% - Accent6 3 4 8 2" xfId="10893" xr:uid="{00000000-0005-0000-0000-000048280000}"/>
    <cellStyle name="20% - Accent6 3 4 8 2 2" xfId="10894" xr:uid="{00000000-0005-0000-0000-000049280000}"/>
    <cellStyle name="20% - Accent6 3 4 8 2 3" xfId="10895" xr:uid="{00000000-0005-0000-0000-00004A280000}"/>
    <cellStyle name="20% - Accent6 3 4 8 3" xfId="10896" xr:uid="{00000000-0005-0000-0000-00004B280000}"/>
    <cellStyle name="20% - Accent6 3 4 8 4" xfId="10897" xr:uid="{00000000-0005-0000-0000-00004C280000}"/>
    <cellStyle name="20% - Accent6 3 4 8 5" xfId="10898" xr:uid="{00000000-0005-0000-0000-00004D280000}"/>
    <cellStyle name="20% - Accent6 3 4 8 6" xfId="10899" xr:uid="{00000000-0005-0000-0000-00004E280000}"/>
    <cellStyle name="20% - Accent6 3 4 9" xfId="10900" xr:uid="{00000000-0005-0000-0000-00004F280000}"/>
    <cellStyle name="20% - Accent6 3 4 9 2" xfId="10901" xr:uid="{00000000-0005-0000-0000-000050280000}"/>
    <cellStyle name="20% - Accent6 3 4 9 3" xfId="10902" xr:uid="{00000000-0005-0000-0000-000051280000}"/>
    <cellStyle name="20% - Accent6 3 5" xfId="10903" xr:uid="{00000000-0005-0000-0000-000052280000}"/>
    <cellStyle name="20% - Accent6 3 5 10" xfId="10904" xr:uid="{00000000-0005-0000-0000-000053280000}"/>
    <cellStyle name="20% - Accent6 3 5 2" xfId="10905" xr:uid="{00000000-0005-0000-0000-000054280000}"/>
    <cellStyle name="20% - Accent6 3 5 2 2" xfId="10906" xr:uid="{00000000-0005-0000-0000-000055280000}"/>
    <cellStyle name="20% - Accent6 3 5 2 2 2" xfId="10907" xr:uid="{00000000-0005-0000-0000-000056280000}"/>
    <cellStyle name="20% - Accent6 3 5 2 2 2 2" xfId="10908" xr:uid="{00000000-0005-0000-0000-000057280000}"/>
    <cellStyle name="20% - Accent6 3 5 2 2 2 3" xfId="10909" xr:uid="{00000000-0005-0000-0000-000058280000}"/>
    <cellStyle name="20% - Accent6 3 5 2 2 3" xfId="10910" xr:uid="{00000000-0005-0000-0000-000059280000}"/>
    <cellStyle name="20% - Accent6 3 5 2 2 4" xfId="10911" xr:uid="{00000000-0005-0000-0000-00005A280000}"/>
    <cellStyle name="20% - Accent6 3 5 2 2 5" xfId="10912" xr:uid="{00000000-0005-0000-0000-00005B280000}"/>
    <cellStyle name="20% - Accent6 3 5 2 2 6" xfId="10913" xr:uid="{00000000-0005-0000-0000-00005C280000}"/>
    <cellStyle name="20% - Accent6 3 5 2 3" xfId="10914" xr:uid="{00000000-0005-0000-0000-00005D280000}"/>
    <cellStyle name="20% - Accent6 3 5 2 3 2" xfId="10915" xr:uid="{00000000-0005-0000-0000-00005E280000}"/>
    <cellStyle name="20% - Accent6 3 5 2 3 2 2" xfId="10916" xr:uid="{00000000-0005-0000-0000-00005F280000}"/>
    <cellStyle name="20% - Accent6 3 5 2 3 2 3" xfId="10917" xr:uid="{00000000-0005-0000-0000-000060280000}"/>
    <cellStyle name="20% - Accent6 3 5 2 3 3" xfId="10918" xr:uid="{00000000-0005-0000-0000-000061280000}"/>
    <cellStyle name="20% - Accent6 3 5 2 3 4" xfId="10919" xr:uid="{00000000-0005-0000-0000-000062280000}"/>
    <cellStyle name="20% - Accent6 3 5 2 3 5" xfId="10920" xr:uid="{00000000-0005-0000-0000-000063280000}"/>
    <cellStyle name="20% - Accent6 3 5 2 3 6" xfId="10921" xr:uid="{00000000-0005-0000-0000-000064280000}"/>
    <cellStyle name="20% - Accent6 3 5 2 4" xfId="10922" xr:uid="{00000000-0005-0000-0000-000065280000}"/>
    <cellStyle name="20% - Accent6 3 5 2 4 2" xfId="10923" xr:uid="{00000000-0005-0000-0000-000066280000}"/>
    <cellStyle name="20% - Accent6 3 5 2 4 3" xfId="10924" xr:uid="{00000000-0005-0000-0000-000067280000}"/>
    <cellStyle name="20% - Accent6 3 5 2 5" xfId="10925" xr:uid="{00000000-0005-0000-0000-000068280000}"/>
    <cellStyle name="20% - Accent6 3 5 2 6" xfId="10926" xr:uid="{00000000-0005-0000-0000-000069280000}"/>
    <cellStyle name="20% - Accent6 3 5 2 7" xfId="10927" xr:uid="{00000000-0005-0000-0000-00006A280000}"/>
    <cellStyle name="20% - Accent6 3 5 2 8" xfId="10928" xr:uid="{00000000-0005-0000-0000-00006B280000}"/>
    <cellStyle name="20% - Accent6 3 5 3" xfId="10929" xr:uid="{00000000-0005-0000-0000-00006C280000}"/>
    <cellStyle name="20% - Accent6 3 5 3 2" xfId="10930" xr:uid="{00000000-0005-0000-0000-00006D280000}"/>
    <cellStyle name="20% - Accent6 3 5 3 2 2" xfId="10931" xr:uid="{00000000-0005-0000-0000-00006E280000}"/>
    <cellStyle name="20% - Accent6 3 5 3 2 2 2" xfId="10932" xr:uid="{00000000-0005-0000-0000-00006F280000}"/>
    <cellStyle name="20% - Accent6 3 5 3 2 2 3" xfId="10933" xr:uid="{00000000-0005-0000-0000-000070280000}"/>
    <cellStyle name="20% - Accent6 3 5 3 2 3" xfId="10934" xr:uid="{00000000-0005-0000-0000-000071280000}"/>
    <cellStyle name="20% - Accent6 3 5 3 2 4" xfId="10935" xr:uid="{00000000-0005-0000-0000-000072280000}"/>
    <cellStyle name="20% - Accent6 3 5 3 2 5" xfId="10936" xr:uid="{00000000-0005-0000-0000-000073280000}"/>
    <cellStyle name="20% - Accent6 3 5 3 2 6" xfId="10937" xr:uid="{00000000-0005-0000-0000-000074280000}"/>
    <cellStyle name="20% - Accent6 3 5 3 3" xfId="10938" xr:uid="{00000000-0005-0000-0000-000075280000}"/>
    <cellStyle name="20% - Accent6 3 5 3 3 2" xfId="10939" xr:uid="{00000000-0005-0000-0000-000076280000}"/>
    <cellStyle name="20% - Accent6 3 5 3 3 3" xfId="10940" xr:uid="{00000000-0005-0000-0000-000077280000}"/>
    <cellStyle name="20% - Accent6 3 5 3 4" xfId="10941" xr:uid="{00000000-0005-0000-0000-000078280000}"/>
    <cellStyle name="20% - Accent6 3 5 3 5" xfId="10942" xr:uid="{00000000-0005-0000-0000-000079280000}"/>
    <cellStyle name="20% - Accent6 3 5 3 6" xfId="10943" xr:uid="{00000000-0005-0000-0000-00007A280000}"/>
    <cellStyle name="20% - Accent6 3 5 3 7" xfId="10944" xr:uid="{00000000-0005-0000-0000-00007B280000}"/>
    <cellStyle name="20% - Accent6 3 5 4" xfId="10945" xr:uid="{00000000-0005-0000-0000-00007C280000}"/>
    <cellStyle name="20% - Accent6 3 5 4 2" xfId="10946" xr:uid="{00000000-0005-0000-0000-00007D280000}"/>
    <cellStyle name="20% - Accent6 3 5 4 2 2" xfId="10947" xr:uid="{00000000-0005-0000-0000-00007E280000}"/>
    <cellStyle name="20% - Accent6 3 5 4 2 3" xfId="10948" xr:uid="{00000000-0005-0000-0000-00007F280000}"/>
    <cellStyle name="20% - Accent6 3 5 4 3" xfId="10949" xr:uid="{00000000-0005-0000-0000-000080280000}"/>
    <cellStyle name="20% - Accent6 3 5 4 4" xfId="10950" xr:uid="{00000000-0005-0000-0000-000081280000}"/>
    <cellStyle name="20% - Accent6 3 5 4 5" xfId="10951" xr:uid="{00000000-0005-0000-0000-000082280000}"/>
    <cellStyle name="20% - Accent6 3 5 4 6" xfId="10952" xr:uid="{00000000-0005-0000-0000-000083280000}"/>
    <cellStyle name="20% - Accent6 3 5 5" xfId="10953" xr:uid="{00000000-0005-0000-0000-000084280000}"/>
    <cellStyle name="20% - Accent6 3 5 5 2" xfId="10954" xr:uid="{00000000-0005-0000-0000-000085280000}"/>
    <cellStyle name="20% - Accent6 3 5 5 2 2" xfId="10955" xr:uid="{00000000-0005-0000-0000-000086280000}"/>
    <cellStyle name="20% - Accent6 3 5 5 2 3" xfId="10956" xr:uid="{00000000-0005-0000-0000-000087280000}"/>
    <cellStyle name="20% - Accent6 3 5 5 3" xfId="10957" xr:uid="{00000000-0005-0000-0000-000088280000}"/>
    <cellStyle name="20% - Accent6 3 5 5 4" xfId="10958" xr:uid="{00000000-0005-0000-0000-000089280000}"/>
    <cellStyle name="20% - Accent6 3 5 5 5" xfId="10959" xr:uid="{00000000-0005-0000-0000-00008A280000}"/>
    <cellStyle name="20% - Accent6 3 5 5 6" xfId="10960" xr:uid="{00000000-0005-0000-0000-00008B280000}"/>
    <cellStyle name="20% - Accent6 3 5 6" xfId="10961" xr:uid="{00000000-0005-0000-0000-00008C280000}"/>
    <cellStyle name="20% - Accent6 3 5 6 2" xfId="10962" xr:uid="{00000000-0005-0000-0000-00008D280000}"/>
    <cellStyle name="20% - Accent6 3 5 6 3" xfId="10963" xr:uid="{00000000-0005-0000-0000-00008E280000}"/>
    <cellStyle name="20% - Accent6 3 5 7" xfId="10964" xr:uid="{00000000-0005-0000-0000-00008F280000}"/>
    <cellStyle name="20% - Accent6 3 5 8" xfId="10965" xr:uid="{00000000-0005-0000-0000-000090280000}"/>
    <cellStyle name="20% - Accent6 3 5 9" xfId="10966" xr:uid="{00000000-0005-0000-0000-000091280000}"/>
    <cellStyle name="20% - Accent6 3 6" xfId="10967" xr:uid="{00000000-0005-0000-0000-000092280000}"/>
    <cellStyle name="20% - Accent6 3 6 2" xfId="10968" xr:uid="{00000000-0005-0000-0000-000093280000}"/>
    <cellStyle name="20% - Accent6 3 6 2 2" xfId="10969" xr:uid="{00000000-0005-0000-0000-000094280000}"/>
    <cellStyle name="20% - Accent6 3 6 2 2 2" xfId="10970" xr:uid="{00000000-0005-0000-0000-000095280000}"/>
    <cellStyle name="20% - Accent6 3 6 2 2 2 2" xfId="10971" xr:uid="{00000000-0005-0000-0000-000096280000}"/>
    <cellStyle name="20% - Accent6 3 6 2 2 2 3" xfId="10972" xr:uid="{00000000-0005-0000-0000-000097280000}"/>
    <cellStyle name="20% - Accent6 3 6 2 2 3" xfId="10973" xr:uid="{00000000-0005-0000-0000-000098280000}"/>
    <cellStyle name="20% - Accent6 3 6 2 2 4" xfId="10974" xr:uid="{00000000-0005-0000-0000-000099280000}"/>
    <cellStyle name="20% - Accent6 3 6 2 2 5" xfId="10975" xr:uid="{00000000-0005-0000-0000-00009A280000}"/>
    <cellStyle name="20% - Accent6 3 6 2 2 6" xfId="10976" xr:uid="{00000000-0005-0000-0000-00009B280000}"/>
    <cellStyle name="20% - Accent6 3 6 2 3" xfId="10977" xr:uid="{00000000-0005-0000-0000-00009C280000}"/>
    <cellStyle name="20% - Accent6 3 6 2 3 2" xfId="10978" xr:uid="{00000000-0005-0000-0000-00009D280000}"/>
    <cellStyle name="20% - Accent6 3 6 2 3 3" xfId="10979" xr:uid="{00000000-0005-0000-0000-00009E280000}"/>
    <cellStyle name="20% - Accent6 3 6 2 4" xfId="10980" xr:uid="{00000000-0005-0000-0000-00009F280000}"/>
    <cellStyle name="20% - Accent6 3 6 2 5" xfId="10981" xr:uid="{00000000-0005-0000-0000-0000A0280000}"/>
    <cellStyle name="20% - Accent6 3 6 2 6" xfId="10982" xr:uid="{00000000-0005-0000-0000-0000A1280000}"/>
    <cellStyle name="20% - Accent6 3 6 2 7" xfId="10983" xr:uid="{00000000-0005-0000-0000-0000A2280000}"/>
    <cellStyle name="20% - Accent6 3 6 3" xfId="10984" xr:uid="{00000000-0005-0000-0000-0000A3280000}"/>
    <cellStyle name="20% - Accent6 3 6 3 2" xfId="10985" xr:uid="{00000000-0005-0000-0000-0000A4280000}"/>
    <cellStyle name="20% - Accent6 3 6 3 2 2" xfId="10986" xr:uid="{00000000-0005-0000-0000-0000A5280000}"/>
    <cellStyle name="20% - Accent6 3 6 3 2 3" xfId="10987" xr:uid="{00000000-0005-0000-0000-0000A6280000}"/>
    <cellStyle name="20% - Accent6 3 6 3 3" xfId="10988" xr:uid="{00000000-0005-0000-0000-0000A7280000}"/>
    <cellStyle name="20% - Accent6 3 6 3 4" xfId="10989" xr:uid="{00000000-0005-0000-0000-0000A8280000}"/>
    <cellStyle name="20% - Accent6 3 6 3 5" xfId="10990" xr:uid="{00000000-0005-0000-0000-0000A9280000}"/>
    <cellStyle name="20% - Accent6 3 6 3 6" xfId="10991" xr:uid="{00000000-0005-0000-0000-0000AA280000}"/>
    <cellStyle name="20% - Accent6 3 6 4" xfId="10992" xr:uid="{00000000-0005-0000-0000-0000AB280000}"/>
    <cellStyle name="20% - Accent6 3 6 4 2" xfId="10993" xr:uid="{00000000-0005-0000-0000-0000AC280000}"/>
    <cellStyle name="20% - Accent6 3 6 4 2 2" xfId="10994" xr:uid="{00000000-0005-0000-0000-0000AD280000}"/>
    <cellStyle name="20% - Accent6 3 6 4 2 3" xfId="10995" xr:uid="{00000000-0005-0000-0000-0000AE280000}"/>
    <cellStyle name="20% - Accent6 3 6 4 3" xfId="10996" xr:uid="{00000000-0005-0000-0000-0000AF280000}"/>
    <cellStyle name="20% - Accent6 3 6 4 4" xfId="10997" xr:uid="{00000000-0005-0000-0000-0000B0280000}"/>
    <cellStyle name="20% - Accent6 3 6 4 5" xfId="10998" xr:uid="{00000000-0005-0000-0000-0000B1280000}"/>
    <cellStyle name="20% - Accent6 3 6 4 6" xfId="10999" xr:uid="{00000000-0005-0000-0000-0000B2280000}"/>
    <cellStyle name="20% - Accent6 3 6 5" xfId="11000" xr:uid="{00000000-0005-0000-0000-0000B3280000}"/>
    <cellStyle name="20% - Accent6 3 6 5 2" xfId="11001" xr:uid="{00000000-0005-0000-0000-0000B4280000}"/>
    <cellStyle name="20% - Accent6 3 6 5 3" xfId="11002" xr:uid="{00000000-0005-0000-0000-0000B5280000}"/>
    <cellStyle name="20% - Accent6 3 6 6" xfId="11003" xr:uid="{00000000-0005-0000-0000-0000B6280000}"/>
    <cellStyle name="20% - Accent6 3 6 7" xfId="11004" xr:uid="{00000000-0005-0000-0000-0000B7280000}"/>
    <cellStyle name="20% - Accent6 3 6 8" xfId="11005" xr:uid="{00000000-0005-0000-0000-0000B8280000}"/>
    <cellStyle name="20% - Accent6 3 6 9" xfId="11006" xr:uid="{00000000-0005-0000-0000-0000B9280000}"/>
    <cellStyle name="20% - Accent6 3 7" xfId="11007" xr:uid="{00000000-0005-0000-0000-0000BA280000}"/>
    <cellStyle name="20% - Accent6 3 7 2" xfId="11008" xr:uid="{00000000-0005-0000-0000-0000BB280000}"/>
    <cellStyle name="20% - Accent6 3 7 2 2" xfId="11009" xr:uid="{00000000-0005-0000-0000-0000BC280000}"/>
    <cellStyle name="20% - Accent6 3 7 2 2 2" xfId="11010" xr:uid="{00000000-0005-0000-0000-0000BD280000}"/>
    <cellStyle name="20% - Accent6 3 7 2 2 3" xfId="11011" xr:uid="{00000000-0005-0000-0000-0000BE280000}"/>
    <cellStyle name="20% - Accent6 3 7 2 3" xfId="11012" xr:uid="{00000000-0005-0000-0000-0000BF280000}"/>
    <cellStyle name="20% - Accent6 3 7 2 4" xfId="11013" xr:uid="{00000000-0005-0000-0000-0000C0280000}"/>
    <cellStyle name="20% - Accent6 3 7 2 5" xfId="11014" xr:uid="{00000000-0005-0000-0000-0000C1280000}"/>
    <cellStyle name="20% - Accent6 3 7 2 6" xfId="11015" xr:uid="{00000000-0005-0000-0000-0000C2280000}"/>
    <cellStyle name="20% - Accent6 3 7 3" xfId="11016" xr:uid="{00000000-0005-0000-0000-0000C3280000}"/>
    <cellStyle name="20% - Accent6 3 7 3 2" xfId="11017" xr:uid="{00000000-0005-0000-0000-0000C4280000}"/>
    <cellStyle name="20% - Accent6 3 7 3 3" xfId="11018" xr:uid="{00000000-0005-0000-0000-0000C5280000}"/>
    <cellStyle name="20% - Accent6 3 7 4" xfId="11019" xr:uid="{00000000-0005-0000-0000-0000C6280000}"/>
    <cellStyle name="20% - Accent6 3 7 5" xfId="11020" xr:uid="{00000000-0005-0000-0000-0000C7280000}"/>
    <cellStyle name="20% - Accent6 3 7 6" xfId="11021" xr:uid="{00000000-0005-0000-0000-0000C8280000}"/>
    <cellStyle name="20% - Accent6 3 7 7" xfId="11022" xr:uid="{00000000-0005-0000-0000-0000C9280000}"/>
    <cellStyle name="20% - Accent6 3 8" xfId="11023" xr:uid="{00000000-0005-0000-0000-0000CA280000}"/>
    <cellStyle name="20% - Accent6 3 8 2" xfId="11024" xr:uid="{00000000-0005-0000-0000-0000CB280000}"/>
    <cellStyle name="20% - Accent6 3 8 2 2" xfId="11025" xr:uid="{00000000-0005-0000-0000-0000CC280000}"/>
    <cellStyle name="20% - Accent6 3 8 2 3" xfId="11026" xr:uid="{00000000-0005-0000-0000-0000CD280000}"/>
    <cellStyle name="20% - Accent6 3 8 3" xfId="11027" xr:uid="{00000000-0005-0000-0000-0000CE280000}"/>
    <cellStyle name="20% - Accent6 3 8 4" xfId="11028" xr:uid="{00000000-0005-0000-0000-0000CF280000}"/>
    <cellStyle name="20% - Accent6 3 8 5" xfId="11029" xr:uid="{00000000-0005-0000-0000-0000D0280000}"/>
    <cellStyle name="20% - Accent6 3 8 6" xfId="11030" xr:uid="{00000000-0005-0000-0000-0000D1280000}"/>
    <cellStyle name="20% - Accent6 3 9" xfId="11031" xr:uid="{00000000-0005-0000-0000-0000D2280000}"/>
    <cellStyle name="20% - Accent6 3 9 2" xfId="11032" xr:uid="{00000000-0005-0000-0000-0000D3280000}"/>
    <cellStyle name="20% - Accent6 3 9 2 2" xfId="11033" xr:uid="{00000000-0005-0000-0000-0000D4280000}"/>
    <cellStyle name="20% - Accent6 3 9 2 3" xfId="11034" xr:uid="{00000000-0005-0000-0000-0000D5280000}"/>
    <cellStyle name="20% - Accent6 3 9 3" xfId="11035" xr:uid="{00000000-0005-0000-0000-0000D6280000}"/>
    <cellStyle name="20% - Accent6 3 9 4" xfId="11036" xr:uid="{00000000-0005-0000-0000-0000D7280000}"/>
    <cellStyle name="20% - Accent6 3 9 5" xfId="11037" xr:uid="{00000000-0005-0000-0000-0000D8280000}"/>
    <cellStyle name="20% - Accent6 3 9 6" xfId="11038" xr:uid="{00000000-0005-0000-0000-0000D9280000}"/>
    <cellStyle name="20% - Accent6 4" xfId="11039" xr:uid="{00000000-0005-0000-0000-0000DA280000}"/>
    <cellStyle name="20% - Accent6 4 10" xfId="11040" xr:uid="{00000000-0005-0000-0000-0000DB280000}"/>
    <cellStyle name="20% - Accent6 4 10 2" xfId="11041" xr:uid="{00000000-0005-0000-0000-0000DC280000}"/>
    <cellStyle name="20% - Accent6 4 10 2 2" xfId="11042" xr:uid="{00000000-0005-0000-0000-0000DD280000}"/>
    <cellStyle name="20% - Accent6 4 10 2 3" xfId="11043" xr:uid="{00000000-0005-0000-0000-0000DE280000}"/>
    <cellStyle name="20% - Accent6 4 10 3" xfId="11044" xr:uid="{00000000-0005-0000-0000-0000DF280000}"/>
    <cellStyle name="20% - Accent6 4 10 4" xfId="11045" xr:uid="{00000000-0005-0000-0000-0000E0280000}"/>
    <cellStyle name="20% - Accent6 4 10 5" xfId="11046" xr:uid="{00000000-0005-0000-0000-0000E1280000}"/>
    <cellStyle name="20% - Accent6 4 10 6" xfId="11047" xr:uid="{00000000-0005-0000-0000-0000E2280000}"/>
    <cellStyle name="20% - Accent6 4 11" xfId="11048" xr:uid="{00000000-0005-0000-0000-0000E3280000}"/>
    <cellStyle name="20% - Accent6 4 11 2" xfId="11049" xr:uid="{00000000-0005-0000-0000-0000E4280000}"/>
    <cellStyle name="20% - Accent6 4 11 3" xfId="11050" xr:uid="{00000000-0005-0000-0000-0000E5280000}"/>
    <cellStyle name="20% - Accent6 4 12" xfId="11051" xr:uid="{00000000-0005-0000-0000-0000E6280000}"/>
    <cellStyle name="20% - Accent6 4 13" xfId="11052" xr:uid="{00000000-0005-0000-0000-0000E7280000}"/>
    <cellStyle name="20% - Accent6 4 14" xfId="11053" xr:uid="{00000000-0005-0000-0000-0000E8280000}"/>
    <cellStyle name="20% - Accent6 4 15" xfId="11054" xr:uid="{00000000-0005-0000-0000-0000E9280000}"/>
    <cellStyle name="20% - Accent6 4 2" xfId="11055" xr:uid="{00000000-0005-0000-0000-0000EA280000}"/>
    <cellStyle name="20% - Accent6 4 2 10" xfId="11056" xr:uid="{00000000-0005-0000-0000-0000EB280000}"/>
    <cellStyle name="20% - Accent6 4 2 10 2" xfId="11057" xr:uid="{00000000-0005-0000-0000-0000EC280000}"/>
    <cellStyle name="20% - Accent6 4 2 10 3" xfId="11058" xr:uid="{00000000-0005-0000-0000-0000ED280000}"/>
    <cellStyle name="20% - Accent6 4 2 11" xfId="11059" xr:uid="{00000000-0005-0000-0000-0000EE280000}"/>
    <cellStyle name="20% - Accent6 4 2 12" xfId="11060" xr:uid="{00000000-0005-0000-0000-0000EF280000}"/>
    <cellStyle name="20% - Accent6 4 2 13" xfId="11061" xr:uid="{00000000-0005-0000-0000-0000F0280000}"/>
    <cellStyle name="20% - Accent6 4 2 14" xfId="11062" xr:uid="{00000000-0005-0000-0000-0000F1280000}"/>
    <cellStyle name="20% - Accent6 4 2 2" xfId="11063" xr:uid="{00000000-0005-0000-0000-0000F2280000}"/>
    <cellStyle name="20% - Accent6 4 2 2 10" xfId="11064" xr:uid="{00000000-0005-0000-0000-0000F3280000}"/>
    <cellStyle name="20% - Accent6 4 2 2 11" xfId="11065" xr:uid="{00000000-0005-0000-0000-0000F4280000}"/>
    <cellStyle name="20% - Accent6 4 2 2 12" xfId="11066" xr:uid="{00000000-0005-0000-0000-0000F5280000}"/>
    <cellStyle name="20% - Accent6 4 2 2 13" xfId="11067" xr:uid="{00000000-0005-0000-0000-0000F6280000}"/>
    <cellStyle name="20% - Accent6 4 2 2 2" xfId="11068" xr:uid="{00000000-0005-0000-0000-0000F7280000}"/>
    <cellStyle name="20% - Accent6 4 2 2 2 10" xfId="11069" xr:uid="{00000000-0005-0000-0000-0000F8280000}"/>
    <cellStyle name="20% - Accent6 4 2 2 2 2" xfId="11070" xr:uid="{00000000-0005-0000-0000-0000F9280000}"/>
    <cellStyle name="20% - Accent6 4 2 2 2 2 2" xfId="11071" xr:uid="{00000000-0005-0000-0000-0000FA280000}"/>
    <cellStyle name="20% - Accent6 4 2 2 2 2 2 2" xfId="11072" xr:uid="{00000000-0005-0000-0000-0000FB280000}"/>
    <cellStyle name="20% - Accent6 4 2 2 2 2 2 2 2" xfId="11073" xr:uid="{00000000-0005-0000-0000-0000FC280000}"/>
    <cellStyle name="20% - Accent6 4 2 2 2 2 2 2 3" xfId="11074" xr:uid="{00000000-0005-0000-0000-0000FD280000}"/>
    <cellStyle name="20% - Accent6 4 2 2 2 2 2 3" xfId="11075" xr:uid="{00000000-0005-0000-0000-0000FE280000}"/>
    <cellStyle name="20% - Accent6 4 2 2 2 2 2 4" xfId="11076" xr:uid="{00000000-0005-0000-0000-0000FF280000}"/>
    <cellStyle name="20% - Accent6 4 2 2 2 2 2 5" xfId="11077" xr:uid="{00000000-0005-0000-0000-000000290000}"/>
    <cellStyle name="20% - Accent6 4 2 2 2 2 2 6" xfId="11078" xr:uid="{00000000-0005-0000-0000-000001290000}"/>
    <cellStyle name="20% - Accent6 4 2 2 2 2 3" xfId="11079" xr:uid="{00000000-0005-0000-0000-000002290000}"/>
    <cellStyle name="20% - Accent6 4 2 2 2 2 3 2" xfId="11080" xr:uid="{00000000-0005-0000-0000-000003290000}"/>
    <cellStyle name="20% - Accent6 4 2 2 2 2 3 2 2" xfId="11081" xr:uid="{00000000-0005-0000-0000-000004290000}"/>
    <cellStyle name="20% - Accent6 4 2 2 2 2 3 2 3" xfId="11082" xr:uid="{00000000-0005-0000-0000-000005290000}"/>
    <cellStyle name="20% - Accent6 4 2 2 2 2 3 3" xfId="11083" xr:uid="{00000000-0005-0000-0000-000006290000}"/>
    <cellStyle name="20% - Accent6 4 2 2 2 2 3 4" xfId="11084" xr:uid="{00000000-0005-0000-0000-000007290000}"/>
    <cellStyle name="20% - Accent6 4 2 2 2 2 3 5" xfId="11085" xr:uid="{00000000-0005-0000-0000-000008290000}"/>
    <cellStyle name="20% - Accent6 4 2 2 2 2 3 6" xfId="11086" xr:uid="{00000000-0005-0000-0000-000009290000}"/>
    <cellStyle name="20% - Accent6 4 2 2 2 2 4" xfId="11087" xr:uid="{00000000-0005-0000-0000-00000A290000}"/>
    <cellStyle name="20% - Accent6 4 2 2 2 2 4 2" xfId="11088" xr:uid="{00000000-0005-0000-0000-00000B290000}"/>
    <cellStyle name="20% - Accent6 4 2 2 2 2 4 3" xfId="11089" xr:uid="{00000000-0005-0000-0000-00000C290000}"/>
    <cellStyle name="20% - Accent6 4 2 2 2 2 5" xfId="11090" xr:uid="{00000000-0005-0000-0000-00000D290000}"/>
    <cellStyle name="20% - Accent6 4 2 2 2 2 6" xfId="11091" xr:uid="{00000000-0005-0000-0000-00000E290000}"/>
    <cellStyle name="20% - Accent6 4 2 2 2 2 7" xfId="11092" xr:uid="{00000000-0005-0000-0000-00000F290000}"/>
    <cellStyle name="20% - Accent6 4 2 2 2 2 8" xfId="11093" xr:uid="{00000000-0005-0000-0000-000010290000}"/>
    <cellStyle name="20% - Accent6 4 2 2 2 3" xfId="11094" xr:uid="{00000000-0005-0000-0000-000011290000}"/>
    <cellStyle name="20% - Accent6 4 2 2 2 3 2" xfId="11095" xr:uid="{00000000-0005-0000-0000-000012290000}"/>
    <cellStyle name="20% - Accent6 4 2 2 2 3 2 2" xfId="11096" xr:uid="{00000000-0005-0000-0000-000013290000}"/>
    <cellStyle name="20% - Accent6 4 2 2 2 3 2 2 2" xfId="11097" xr:uid="{00000000-0005-0000-0000-000014290000}"/>
    <cellStyle name="20% - Accent6 4 2 2 2 3 2 2 3" xfId="11098" xr:uid="{00000000-0005-0000-0000-000015290000}"/>
    <cellStyle name="20% - Accent6 4 2 2 2 3 2 3" xfId="11099" xr:uid="{00000000-0005-0000-0000-000016290000}"/>
    <cellStyle name="20% - Accent6 4 2 2 2 3 2 4" xfId="11100" xr:uid="{00000000-0005-0000-0000-000017290000}"/>
    <cellStyle name="20% - Accent6 4 2 2 2 3 2 5" xfId="11101" xr:uid="{00000000-0005-0000-0000-000018290000}"/>
    <cellStyle name="20% - Accent6 4 2 2 2 3 2 6" xfId="11102" xr:uid="{00000000-0005-0000-0000-000019290000}"/>
    <cellStyle name="20% - Accent6 4 2 2 2 3 3" xfId="11103" xr:uid="{00000000-0005-0000-0000-00001A290000}"/>
    <cellStyle name="20% - Accent6 4 2 2 2 3 3 2" xfId="11104" xr:uid="{00000000-0005-0000-0000-00001B290000}"/>
    <cellStyle name="20% - Accent6 4 2 2 2 3 3 3" xfId="11105" xr:uid="{00000000-0005-0000-0000-00001C290000}"/>
    <cellStyle name="20% - Accent6 4 2 2 2 3 4" xfId="11106" xr:uid="{00000000-0005-0000-0000-00001D290000}"/>
    <cellStyle name="20% - Accent6 4 2 2 2 3 5" xfId="11107" xr:uid="{00000000-0005-0000-0000-00001E290000}"/>
    <cellStyle name="20% - Accent6 4 2 2 2 3 6" xfId="11108" xr:uid="{00000000-0005-0000-0000-00001F290000}"/>
    <cellStyle name="20% - Accent6 4 2 2 2 3 7" xfId="11109" xr:uid="{00000000-0005-0000-0000-000020290000}"/>
    <cellStyle name="20% - Accent6 4 2 2 2 4" xfId="11110" xr:uid="{00000000-0005-0000-0000-000021290000}"/>
    <cellStyle name="20% - Accent6 4 2 2 2 4 2" xfId="11111" xr:uid="{00000000-0005-0000-0000-000022290000}"/>
    <cellStyle name="20% - Accent6 4 2 2 2 4 2 2" xfId="11112" xr:uid="{00000000-0005-0000-0000-000023290000}"/>
    <cellStyle name="20% - Accent6 4 2 2 2 4 2 3" xfId="11113" xr:uid="{00000000-0005-0000-0000-000024290000}"/>
    <cellStyle name="20% - Accent6 4 2 2 2 4 3" xfId="11114" xr:uid="{00000000-0005-0000-0000-000025290000}"/>
    <cellStyle name="20% - Accent6 4 2 2 2 4 4" xfId="11115" xr:uid="{00000000-0005-0000-0000-000026290000}"/>
    <cellStyle name="20% - Accent6 4 2 2 2 4 5" xfId="11116" xr:uid="{00000000-0005-0000-0000-000027290000}"/>
    <cellStyle name="20% - Accent6 4 2 2 2 4 6" xfId="11117" xr:uid="{00000000-0005-0000-0000-000028290000}"/>
    <cellStyle name="20% - Accent6 4 2 2 2 5" xfId="11118" xr:uid="{00000000-0005-0000-0000-000029290000}"/>
    <cellStyle name="20% - Accent6 4 2 2 2 5 2" xfId="11119" xr:uid="{00000000-0005-0000-0000-00002A290000}"/>
    <cellStyle name="20% - Accent6 4 2 2 2 5 2 2" xfId="11120" xr:uid="{00000000-0005-0000-0000-00002B290000}"/>
    <cellStyle name="20% - Accent6 4 2 2 2 5 2 3" xfId="11121" xr:uid="{00000000-0005-0000-0000-00002C290000}"/>
    <cellStyle name="20% - Accent6 4 2 2 2 5 3" xfId="11122" xr:uid="{00000000-0005-0000-0000-00002D290000}"/>
    <cellStyle name="20% - Accent6 4 2 2 2 5 4" xfId="11123" xr:uid="{00000000-0005-0000-0000-00002E290000}"/>
    <cellStyle name="20% - Accent6 4 2 2 2 5 5" xfId="11124" xr:uid="{00000000-0005-0000-0000-00002F290000}"/>
    <cellStyle name="20% - Accent6 4 2 2 2 5 6" xfId="11125" xr:uid="{00000000-0005-0000-0000-000030290000}"/>
    <cellStyle name="20% - Accent6 4 2 2 2 6" xfId="11126" xr:uid="{00000000-0005-0000-0000-000031290000}"/>
    <cellStyle name="20% - Accent6 4 2 2 2 6 2" xfId="11127" xr:uid="{00000000-0005-0000-0000-000032290000}"/>
    <cellStyle name="20% - Accent6 4 2 2 2 6 3" xfId="11128" xr:uid="{00000000-0005-0000-0000-000033290000}"/>
    <cellStyle name="20% - Accent6 4 2 2 2 7" xfId="11129" xr:uid="{00000000-0005-0000-0000-000034290000}"/>
    <cellStyle name="20% - Accent6 4 2 2 2 8" xfId="11130" xr:uid="{00000000-0005-0000-0000-000035290000}"/>
    <cellStyle name="20% - Accent6 4 2 2 2 9" xfId="11131" xr:uid="{00000000-0005-0000-0000-000036290000}"/>
    <cellStyle name="20% - Accent6 4 2 2 3" xfId="11132" xr:uid="{00000000-0005-0000-0000-000037290000}"/>
    <cellStyle name="20% - Accent6 4 2 2 3 2" xfId="11133" xr:uid="{00000000-0005-0000-0000-000038290000}"/>
    <cellStyle name="20% - Accent6 4 2 2 3 2 2" xfId="11134" xr:uid="{00000000-0005-0000-0000-000039290000}"/>
    <cellStyle name="20% - Accent6 4 2 2 3 2 2 2" xfId="11135" xr:uid="{00000000-0005-0000-0000-00003A290000}"/>
    <cellStyle name="20% - Accent6 4 2 2 3 2 2 2 2" xfId="11136" xr:uid="{00000000-0005-0000-0000-00003B290000}"/>
    <cellStyle name="20% - Accent6 4 2 2 3 2 2 2 3" xfId="11137" xr:uid="{00000000-0005-0000-0000-00003C290000}"/>
    <cellStyle name="20% - Accent6 4 2 2 3 2 2 3" xfId="11138" xr:uid="{00000000-0005-0000-0000-00003D290000}"/>
    <cellStyle name="20% - Accent6 4 2 2 3 2 2 4" xfId="11139" xr:uid="{00000000-0005-0000-0000-00003E290000}"/>
    <cellStyle name="20% - Accent6 4 2 2 3 2 2 5" xfId="11140" xr:uid="{00000000-0005-0000-0000-00003F290000}"/>
    <cellStyle name="20% - Accent6 4 2 2 3 2 2 6" xfId="11141" xr:uid="{00000000-0005-0000-0000-000040290000}"/>
    <cellStyle name="20% - Accent6 4 2 2 3 2 3" xfId="11142" xr:uid="{00000000-0005-0000-0000-000041290000}"/>
    <cellStyle name="20% - Accent6 4 2 2 3 2 3 2" xfId="11143" xr:uid="{00000000-0005-0000-0000-000042290000}"/>
    <cellStyle name="20% - Accent6 4 2 2 3 2 3 3" xfId="11144" xr:uid="{00000000-0005-0000-0000-000043290000}"/>
    <cellStyle name="20% - Accent6 4 2 2 3 2 4" xfId="11145" xr:uid="{00000000-0005-0000-0000-000044290000}"/>
    <cellStyle name="20% - Accent6 4 2 2 3 2 5" xfId="11146" xr:uid="{00000000-0005-0000-0000-000045290000}"/>
    <cellStyle name="20% - Accent6 4 2 2 3 2 6" xfId="11147" xr:uid="{00000000-0005-0000-0000-000046290000}"/>
    <cellStyle name="20% - Accent6 4 2 2 3 2 7" xfId="11148" xr:uid="{00000000-0005-0000-0000-000047290000}"/>
    <cellStyle name="20% - Accent6 4 2 2 3 3" xfId="11149" xr:uid="{00000000-0005-0000-0000-000048290000}"/>
    <cellStyle name="20% - Accent6 4 2 2 3 3 2" xfId="11150" xr:uid="{00000000-0005-0000-0000-000049290000}"/>
    <cellStyle name="20% - Accent6 4 2 2 3 3 2 2" xfId="11151" xr:uid="{00000000-0005-0000-0000-00004A290000}"/>
    <cellStyle name="20% - Accent6 4 2 2 3 3 2 3" xfId="11152" xr:uid="{00000000-0005-0000-0000-00004B290000}"/>
    <cellStyle name="20% - Accent6 4 2 2 3 3 3" xfId="11153" xr:uid="{00000000-0005-0000-0000-00004C290000}"/>
    <cellStyle name="20% - Accent6 4 2 2 3 3 4" xfId="11154" xr:uid="{00000000-0005-0000-0000-00004D290000}"/>
    <cellStyle name="20% - Accent6 4 2 2 3 3 5" xfId="11155" xr:uid="{00000000-0005-0000-0000-00004E290000}"/>
    <cellStyle name="20% - Accent6 4 2 2 3 3 6" xfId="11156" xr:uid="{00000000-0005-0000-0000-00004F290000}"/>
    <cellStyle name="20% - Accent6 4 2 2 3 4" xfId="11157" xr:uid="{00000000-0005-0000-0000-000050290000}"/>
    <cellStyle name="20% - Accent6 4 2 2 3 4 2" xfId="11158" xr:uid="{00000000-0005-0000-0000-000051290000}"/>
    <cellStyle name="20% - Accent6 4 2 2 3 4 2 2" xfId="11159" xr:uid="{00000000-0005-0000-0000-000052290000}"/>
    <cellStyle name="20% - Accent6 4 2 2 3 4 2 3" xfId="11160" xr:uid="{00000000-0005-0000-0000-000053290000}"/>
    <cellStyle name="20% - Accent6 4 2 2 3 4 3" xfId="11161" xr:uid="{00000000-0005-0000-0000-000054290000}"/>
    <cellStyle name="20% - Accent6 4 2 2 3 4 4" xfId="11162" xr:uid="{00000000-0005-0000-0000-000055290000}"/>
    <cellStyle name="20% - Accent6 4 2 2 3 4 5" xfId="11163" xr:uid="{00000000-0005-0000-0000-000056290000}"/>
    <cellStyle name="20% - Accent6 4 2 2 3 4 6" xfId="11164" xr:uid="{00000000-0005-0000-0000-000057290000}"/>
    <cellStyle name="20% - Accent6 4 2 2 3 5" xfId="11165" xr:uid="{00000000-0005-0000-0000-000058290000}"/>
    <cellStyle name="20% - Accent6 4 2 2 3 5 2" xfId="11166" xr:uid="{00000000-0005-0000-0000-000059290000}"/>
    <cellStyle name="20% - Accent6 4 2 2 3 5 3" xfId="11167" xr:uid="{00000000-0005-0000-0000-00005A290000}"/>
    <cellStyle name="20% - Accent6 4 2 2 3 6" xfId="11168" xr:uid="{00000000-0005-0000-0000-00005B290000}"/>
    <cellStyle name="20% - Accent6 4 2 2 3 7" xfId="11169" xr:uid="{00000000-0005-0000-0000-00005C290000}"/>
    <cellStyle name="20% - Accent6 4 2 2 3 8" xfId="11170" xr:uid="{00000000-0005-0000-0000-00005D290000}"/>
    <cellStyle name="20% - Accent6 4 2 2 3 9" xfId="11171" xr:uid="{00000000-0005-0000-0000-00005E290000}"/>
    <cellStyle name="20% - Accent6 4 2 2 4" xfId="11172" xr:uid="{00000000-0005-0000-0000-00005F290000}"/>
    <cellStyle name="20% - Accent6 4 2 2 4 2" xfId="11173" xr:uid="{00000000-0005-0000-0000-000060290000}"/>
    <cellStyle name="20% - Accent6 4 2 2 4 2 2" xfId="11174" xr:uid="{00000000-0005-0000-0000-000061290000}"/>
    <cellStyle name="20% - Accent6 4 2 2 4 2 2 2" xfId="11175" xr:uid="{00000000-0005-0000-0000-000062290000}"/>
    <cellStyle name="20% - Accent6 4 2 2 4 2 2 3" xfId="11176" xr:uid="{00000000-0005-0000-0000-000063290000}"/>
    <cellStyle name="20% - Accent6 4 2 2 4 2 3" xfId="11177" xr:uid="{00000000-0005-0000-0000-000064290000}"/>
    <cellStyle name="20% - Accent6 4 2 2 4 2 4" xfId="11178" xr:uid="{00000000-0005-0000-0000-000065290000}"/>
    <cellStyle name="20% - Accent6 4 2 2 4 2 5" xfId="11179" xr:uid="{00000000-0005-0000-0000-000066290000}"/>
    <cellStyle name="20% - Accent6 4 2 2 4 2 6" xfId="11180" xr:uid="{00000000-0005-0000-0000-000067290000}"/>
    <cellStyle name="20% - Accent6 4 2 2 4 3" xfId="11181" xr:uid="{00000000-0005-0000-0000-000068290000}"/>
    <cellStyle name="20% - Accent6 4 2 2 4 3 2" xfId="11182" xr:uid="{00000000-0005-0000-0000-000069290000}"/>
    <cellStyle name="20% - Accent6 4 2 2 4 3 3" xfId="11183" xr:uid="{00000000-0005-0000-0000-00006A290000}"/>
    <cellStyle name="20% - Accent6 4 2 2 4 4" xfId="11184" xr:uid="{00000000-0005-0000-0000-00006B290000}"/>
    <cellStyle name="20% - Accent6 4 2 2 4 5" xfId="11185" xr:uid="{00000000-0005-0000-0000-00006C290000}"/>
    <cellStyle name="20% - Accent6 4 2 2 4 6" xfId="11186" xr:uid="{00000000-0005-0000-0000-00006D290000}"/>
    <cellStyle name="20% - Accent6 4 2 2 4 7" xfId="11187" xr:uid="{00000000-0005-0000-0000-00006E290000}"/>
    <cellStyle name="20% - Accent6 4 2 2 5" xfId="11188" xr:uid="{00000000-0005-0000-0000-00006F290000}"/>
    <cellStyle name="20% - Accent6 4 2 2 5 2" xfId="11189" xr:uid="{00000000-0005-0000-0000-000070290000}"/>
    <cellStyle name="20% - Accent6 4 2 2 5 2 2" xfId="11190" xr:uid="{00000000-0005-0000-0000-000071290000}"/>
    <cellStyle name="20% - Accent6 4 2 2 5 2 3" xfId="11191" xr:uid="{00000000-0005-0000-0000-000072290000}"/>
    <cellStyle name="20% - Accent6 4 2 2 5 3" xfId="11192" xr:uid="{00000000-0005-0000-0000-000073290000}"/>
    <cellStyle name="20% - Accent6 4 2 2 5 4" xfId="11193" xr:uid="{00000000-0005-0000-0000-000074290000}"/>
    <cellStyle name="20% - Accent6 4 2 2 5 5" xfId="11194" xr:uid="{00000000-0005-0000-0000-000075290000}"/>
    <cellStyle name="20% - Accent6 4 2 2 5 6" xfId="11195" xr:uid="{00000000-0005-0000-0000-000076290000}"/>
    <cellStyle name="20% - Accent6 4 2 2 6" xfId="11196" xr:uid="{00000000-0005-0000-0000-000077290000}"/>
    <cellStyle name="20% - Accent6 4 2 2 6 2" xfId="11197" xr:uid="{00000000-0005-0000-0000-000078290000}"/>
    <cellStyle name="20% - Accent6 4 2 2 6 2 2" xfId="11198" xr:uid="{00000000-0005-0000-0000-000079290000}"/>
    <cellStyle name="20% - Accent6 4 2 2 6 2 3" xfId="11199" xr:uid="{00000000-0005-0000-0000-00007A290000}"/>
    <cellStyle name="20% - Accent6 4 2 2 6 3" xfId="11200" xr:uid="{00000000-0005-0000-0000-00007B290000}"/>
    <cellStyle name="20% - Accent6 4 2 2 6 4" xfId="11201" xr:uid="{00000000-0005-0000-0000-00007C290000}"/>
    <cellStyle name="20% - Accent6 4 2 2 6 5" xfId="11202" xr:uid="{00000000-0005-0000-0000-00007D290000}"/>
    <cellStyle name="20% - Accent6 4 2 2 6 6" xfId="11203" xr:uid="{00000000-0005-0000-0000-00007E290000}"/>
    <cellStyle name="20% - Accent6 4 2 2 7" xfId="11204" xr:uid="{00000000-0005-0000-0000-00007F290000}"/>
    <cellStyle name="20% - Accent6 4 2 2 7 2" xfId="11205" xr:uid="{00000000-0005-0000-0000-000080290000}"/>
    <cellStyle name="20% - Accent6 4 2 2 7 2 2" xfId="11206" xr:uid="{00000000-0005-0000-0000-000081290000}"/>
    <cellStyle name="20% - Accent6 4 2 2 7 2 3" xfId="11207" xr:uid="{00000000-0005-0000-0000-000082290000}"/>
    <cellStyle name="20% - Accent6 4 2 2 7 3" xfId="11208" xr:uid="{00000000-0005-0000-0000-000083290000}"/>
    <cellStyle name="20% - Accent6 4 2 2 7 4" xfId="11209" xr:uid="{00000000-0005-0000-0000-000084290000}"/>
    <cellStyle name="20% - Accent6 4 2 2 7 5" xfId="11210" xr:uid="{00000000-0005-0000-0000-000085290000}"/>
    <cellStyle name="20% - Accent6 4 2 2 7 6" xfId="11211" xr:uid="{00000000-0005-0000-0000-000086290000}"/>
    <cellStyle name="20% - Accent6 4 2 2 8" xfId="11212" xr:uid="{00000000-0005-0000-0000-000087290000}"/>
    <cellStyle name="20% - Accent6 4 2 2 8 2" xfId="11213" xr:uid="{00000000-0005-0000-0000-000088290000}"/>
    <cellStyle name="20% - Accent6 4 2 2 8 2 2" xfId="11214" xr:uid="{00000000-0005-0000-0000-000089290000}"/>
    <cellStyle name="20% - Accent6 4 2 2 8 2 3" xfId="11215" xr:uid="{00000000-0005-0000-0000-00008A290000}"/>
    <cellStyle name="20% - Accent6 4 2 2 8 3" xfId="11216" xr:uid="{00000000-0005-0000-0000-00008B290000}"/>
    <cellStyle name="20% - Accent6 4 2 2 8 4" xfId="11217" xr:uid="{00000000-0005-0000-0000-00008C290000}"/>
    <cellStyle name="20% - Accent6 4 2 2 8 5" xfId="11218" xr:uid="{00000000-0005-0000-0000-00008D290000}"/>
    <cellStyle name="20% - Accent6 4 2 2 8 6" xfId="11219" xr:uid="{00000000-0005-0000-0000-00008E290000}"/>
    <cellStyle name="20% - Accent6 4 2 2 9" xfId="11220" xr:uid="{00000000-0005-0000-0000-00008F290000}"/>
    <cellStyle name="20% - Accent6 4 2 2 9 2" xfId="11221" xr:uid="{00000000-0005-0000-0000-000090290000}"/>
    <cellStyle name="20% - Accent6 4 2 2 9 3" xfId="11222" xr:uid="{00000000-0005-0000-0000-000091290000}"/>
    <cellStyle name="20% - Accent6 4 2 3" xfId="11223" xr:uid="{00000000-0005-0000-0000-000092290000}"/>
    <cellStyle name="20% - Accent6 4 2 3 10" xfId="11224" xr:uid="{00000000-0005-0000-0000-000093290000}"/>
    <cellStyle name="20% - Accent6 4 2 3 2" xfId="11225" xr:uid="{00000000-0005-0000-0000-000094290000}"/>
    <cellStyle name="20% - Accent6 4 2 3 2 2" xfId="11226" xr:uid="{00000000-0005-0000-0000-000095290000}"/>
    <cellStyle name="20% - Accent6 4 2 3 2 2 2" xfId="11227" xr:uid="{00000000-0005-0000-0000-000096290000}"/>
    <cellStyle name="20% - Accent6 4 2 3 2 2 2 2" xfId="11228" xr:uid="{00000000-0005-0000-0000-000097290000}"/>
    <cellStyle name="20% - Accent6 4 2 3 2 2 2 3" xfId="11229" xr:uid="{00000000-0005-0000-0000-000098290000}"/>
    <cellStyle name="20% - Accent6 4 2 3 2 2 3" xfId="11230" xr:uid="{00000000-0005-0000-0000-000099290000}"/>
    <cellStyle name="20% - Accent6 4 2 3 2 2 4" xfId="11231" xr:uid="{00000000-0005-0000-0000-00009A290000}"/>
    <cellStyle name="20% - Accent6 4 2 3 2 2 5" xfId="11232" xr:uid="{00000000-0005-0000-0000-00009B290000}"/>
    <cellStyle name="20% - Accent6 4 2 3 2 2 6" xfId="11233" xr:uid="{00000000-0005-0000-0000-00009C290000}"/>
    <cellStyle name="20% - Accent6 4 2 3 2 3" xfId="11234" xr:uid="{00000000-0005-0000-0000-00009D290000}"/>
    <cellStyle name="20% - Accent6 4 2 3 2 3 2" xfId="11235" xr:uid="{00000000-0005-0000-0000-00009E290000}"/>
    <cellStyle name="20% - Accent6 4 2 3 2 3 2 2" xfId="11236" xr:uid="{00000000-0005-0000-0000-00009F290000}"/>
    <cellStyle name="20% - Accent6 4 2 3 2 3 2 3" xfId="11237" xr:uid="{00000000-0005-0000-0000-0000A0290000}"/>
    <cellStyle name="20% - Accent6 4 2 3 2 3 3" xfId="11238" xr:uid="{00000000-0005-0000-0000-0000A1290000}"/>
    <cellStyle name="20% - Accent6 4 2 3 2 3 4" xfId="11239" xr:uid="{00000000-0005-0000-0000-0000A2290000}"/>
    <cellStyle name="20% - Accent6 4 2 3 2 3 5" xfId="11240" xr:uid="{00000000-0005-0000-0000-0000A3290000}"/>
    <cellStyle name="20% - Accent6 4 2 3 2 3 6" xfId="11241" xr:uid="{00000000-0005-0000-0000-0000A4290000}"/>
    <cellStyle name="20% - Accent6 4 2 3 2 4" xfId="11242" xr:uid="{00000000-0005-0000-0000-0000A5290000}"/>
    <cellStyle name="20% - Accent6 4 2 3 2 4 2" xfId="11243" xr:uid="{00000000-0005-0000-0000-0000A6290000}"/>
    <cellStyle name="20% - Accent6 4 2 3 2 4 3" xfId="11244" xr:uid="{00000000-0005-0000-0000-0000A7290000}"/>
    <cellStyle name="20% - Accent6 4 2 3 2 5" xfId="11245" xr:uid="{00000000-0005-0000-0000-0000A8290000}"/>
    <cellStyle name="20% - Accent6 4 2 3 2 6" xfId="11246" xr:uid="{00000000-0005-0000-0000-0000A9290000}"/>
    <cellStyle name="20% - Accent6 4 2 3 2 7" xfId="11247" xr:uid="{00000000-0005-0000-0000-0000AA290000}"/>
    <cellStyle name="20% - Accent6 4 2 3 2 8" xfId="11248" xr:uid="{00000000-0005-0000-0000-0000AB290000}"/>
    <cellStyle name="20% - Accent6 4 2 3 3" xfId="11249" xr:uid="{00000000-0005-0000-0000-0000AC290000}"/>
    <cellStyle name="20% - Accent6 4 2 3 3 2" xfId="11250" xr:uid="{00000000-0005-0000-0000-0000AD290000}"/>
    <cellStyle name="20% - Accent6 4 2 3 3 2 2" xfId="11251" xr:uid="{00000000-0005-0000-0000-0000AE290000}"/>
    <cellStyle name="20% - Accent6 4 2 3 3 2 2 2" xfId="11252" xr:uid="{00000000-0005-0000-0000-0000AF290000}"/>
    <cellStyle name="20% - Accent6 4 2 3 3 2 2 3" xfId="11253" xr:uid="{00000000-0005-0000-0000-0000B0290000}"/>
    <cellStyle name="20% - Accent6 4 2 3 3 2 3" xfId="11254" xr:uid="{00000000-0005-0000-0000-0000B1290000}"/>
    <cellStyle name="20% - Accent6 4 2 3 3 2 4" xfId="11255" xr:uid="{00000000-0005-0000-0000-0000B2290000}"/>
    <cellStyle name="20% - Accent6 4 2 3 3 2 5" xfId="11256" xr:uid="{00000000-0005-0000-0000-0000B3290000}"/>
    <cellStyle name="20% - Accent6 4 2 3 3 2 6" xfId="11257" xr:uid="{00000000-0005-0000-0000-0000B4290000}"/>
    <cellStyle name="20% - Accent6 4 2 3 3 3" xfId="11258" xr:uid="{00000000-0005-0000-0000-0000B5290000}"/>
    <cellStyle name="20% - Accent6 4 2 3 3 3 2" xfId="11259" xr:uid="{00000000-0005-0000-0000-0000B6290000}"/>
    <cellStyle name="20% - Accent6 4 2 3 3 3 3" xfId="11260" xr:uid="{00000000-0005-0000-0000-0000B7290000}"/>
    <cellStyle name="20% - Accent6 4 2 3 3 4" xfId="11261" xr:uid="{00000000-0005-0000-0000-0000B8290000}"/>
    <cellStyle name="20% - Accent6 4 2 3 3 5" xfId="11262" xr:uid="{00000000-0005-0000-0000-0000B9290000}"/>
    <cellStyle name="20% - Accent6 4 2 3 3 6" xfId="11263" xr:uid="{00000000-0005-0000-0000-0000BA290000}"/>
    <cellStyle name="20% - Accent6 4 2 3 3 7" xfId="11264" xr:uid="{00000000-0005-0000-0000-0000BB290000}"/>
    <cellStyle name="20% - Accent6 4 2 3 4" xfId="11265" xr:uid="{00000000-0005-0000-0000-0000BC290000}"/>
    <cellStyle name="20% - Accent6 4 2 3 4 2" xfId="11266" xr:uid="{00000000-0005-0000-0000-0000BD290000}"/>
    <cellStyle name="20% - Accent6 4 2 3 4 2 2" xfId="11267" xr:uid="{00000000-0005-0000-0000-0000BE290000}"/>
    <cellStyle name="20% - Accent6 4 2 3 4 2 3" xfId="11268" xr:uid="{00000000-0005-0000-0000-0000BF290000}"/>
    <cellStyle name="20% - Accent6 4 2 3 4 3" xfId="11269" xr:uid="{00000000-0005-0000-0000-0000C0290000}"/>
    <cellStyle name="20% - Accent6 4 2 3 4 4" xfId="11270" xr:uid="{00000000-0005-0000-0000-0000C1290000}"/>
    <cellStyle name="20% - Accent6 4 2 3 4 5" xfId="11271" xr:uid="{00000000-0005-0000-0000-0000C2290000}"/>
    <cellStyle name="20% - Accent6 4 2 3 4 6" xfId="11272" xr:uid="{00000000-0005-0000-0000-0000C3290000}"/>
    <cellStyle name="20% - Accent6 4 2 3 5" xfId="11273" xr:uid="{00000000-0005-0000-0000-0000C4290000}"/>
    <cellStyle name="20% - Accent6 4 2 3 5 2" xfId="11274" xr:uid="{00000000-0005-0000-0000-0000C5290000}"/>
    <cellStyle name="20% - Accent6 4 2 3 5 2 2" xfId="11275" xr:uid="{00000000-0005-0000-0000-0000C6290000}"/>
    <cellStyle name="20% - Accent6 4 2 3 5 2 3" xfId="11276" xr:uid="{00000000-0005-0000-0000-0000C7290000}"/>
    <cellStyle name="20% - Accent6 4 2 3 5 3" xfId="11277" xr:uid="{00000000-0005-0000-0000-0000C8290000}"/>
    <cellStyle name="20% - Accent6 4 2 3 5 4" xfId="11278" xr:uid="{00000000-0005-0000-0000-0000C9290000}"/>
    <cellStyle name="20% - Accent6 4 2 3 5 5" xfId="11279" xr:uid="{00000000-0005-0000-0000-0000CA290000}"/>
    <cellStyle name="20% - Accent6 4 2 3 5 6" xfId="11280" xr:uid="{00000000-0005-0000-0000-0000CB290000}"/>
    <cellStyle name="20% - Accent6 4 2 3 6" xfId="11281" xr:uid="{00000000-0005-0000-0000-0000CC290000}"/>
    <cellStyle name="20% - Accent6 4 2 3 6 2" xfId="11282" xr:uid="{00000000-0005-0000-0000-0000CD290000}"/>
    <cellStyle name="20% - Accent6 4 2 3 6 3" xfId="11283" xr:uid="{00000000-0005-0000-0000-0000CE290000}"/>
    <cellStyle name="20% - Accent6 4 2 3 7" xfId="11284" xr:uid="{00000000-0005-0000-0000-0000CF290000}"/>
    <cellStyle name="20% - Accent6 4 2 3 8" xfId="11285" xr:uid="{00000000-0005-0000-0000-0000D0290000}"/>
    <cellStyle name="20% - Accent6 4 2 3 9" xfId="11286" xr:uid="{00000000-0005-0000-0000-0000D1290000}"/>
    <cellStyle name="20% - Accent6 4 2 4" xfId="11287" xr:uid="{00000000-0005-0000-0000-0000D2290000}"/>
    <cellStyle name="20% - Accent6 4 2 4 2" xfId="11288" xr:uid="{00000000-0005-0000-0000-0000D3290000}"/>
    <cellStyle name="20% - Accent6 4 2 4 2 2" xfId="11289" xr:uid="{00000000-0005-0000-0000-0000D4290000}"/>
    <cellStyle name="20% - Accent6 4 2 4 2 2 2" xfId="11290" xr:uid="{00000000-0005-0000-0000-0000D5290000}"/>
    <cellStyle name="20% - Accent6 4 2 4 2 2 2 2" xfId="11291" xr:uid="{00000000-0005-0000-0000-0000D6290000}"/>
    <cellStyle name="20% - Accent6 4 2 4 2 2 2 3" xfId="11292" xr:uid="{00000000-0005-0000-0000-0000D7290000}"/>
    <cellStyle name="20% - Accent6 4 2 4 2 2 3" xfId="11293" xr:uid="{00000000-0005-0000-0000-0000D8290000}"/>
    <cellStyle name="20% - Accent6 4 2 4 2 2 4" xfId="11294" xr:uid="{00000000-0005-0000-0000-0000D9290000}"/>
    <cellStyle name="20% - Accent6 4 2 4 2 2 5" xfId="11295" xr:uid="{00000000-0005-0000-0000-0000DA290000}"/>
    <cellStyle name="20% - Accent6 4 2 4 2 2 6" xfId="11296" xr:uid="{00000000-0005-0000-0000-0000DB290000}"/>
    <cellStyle name="20% - Accent6 4 2 4 2 3" xfId="11297" xr:uid="{00000000-0005-0000-0000-0000DC290000}"/>
    <cellStyle name="20% - Accent6 4 2 4 2 3 2" xfId="11298" xr:uid="{00000000-0005-0000-0000-0000DD290000}"/>
    <cellStyle name="20% - Accent6 4 2 4 2 3 3" xfId="11299" xr:uid="{00000000-0005-0000-0000-0000DE290000}"/>
    <cellStyle name="20% - Accent6 4 2 4 2 4" xfId="11300" xr:uid="{00000000-0005-0000-0000-0000DF290000}"/>
    <cellStyle name="20% - Accent6 4 2 4 2 5" xfId="11301" xr:uid="{00000000-0005-0000-0000-0000E0290000}"/>
    <cellStyle name="20% - Accent6 4 2 4 2 6" xfId="11302" xr:uid="{00000000-0005-0000-0000-0000E1290000}"/>
    <cellStyle name="20% - Accent6 4 2 4 2 7" xfId="11303" xr:uid="{00000000-0005-0000-0000-0000E2290000}"/>
    <cellStyle name="20% - Accent6 4 2 4 3" xfId="11304" xr:uid="{00000000-0005-0000-0000-0000E3290000}"/>
    <cellStyle name="20% - Accent6 4 2 4 3 2" xfId="11305" xr:uid="{00000000-0005-0000-0000-0000E4290000}"/>
    <cellStyle name="20% - Accent6 4 2 4 3 2 2" xfId="11306" xr:uid="{00000000-0005-0000-0000-0000E5290000}"/>
    <cellStyle name="20% - Accent6 4 2 4 3 2 3" xfId="11307" xr:uid="{00000000-0005-0000-0000-0000E6290000}"/>
    <cellStyle name="20% - Accent6 4 2 4 3 3" xfId="11308" xr:uid="{00000000-0005-0000-0000-0000E7290000}"/>
    <cellStyle name="20% - Accent6 4 2 4 3 4" xfId="11309" xr:uid="{00000000-0005-0000-0000-0000E8290000}"/>
    <cellStyle name="20% - Accent6 4 2 4 3 5" xfId="11310" xr:uid="{00000000-0005-0000-0000-0000E9290000}"/>
    <cellStyle name="20% - Accent6 4 2 4 3 6" xfId="11311" xr:uid="{00000000-0005-0000-0000-0000EA290000}"/>
    <cellStyle name="20% - Accent6 4 2 4 4" xfId="11312" xr:uid="{00000000-0005-0000-0000-0000EB290000}"/>
    <cellStyle name="20% - Accent6 4 2 4 4 2" xfId="11313" xr:uid="{00000000-0005-0000-0000-0000EC290000}"/>
    <cellStyle name="20% - Accent6 4 2 4 4 2 2" xfId="11314" xr:uid="{00000000-0005-0000-0000-0000ED290000}"/>
    <cellStyle name="20% - Accent6 4 2 4 4 2 3" xfId="11315" xr:uid="{00000000-0005-0000-0000-0000EE290000}"/>
    <cellStyle name="20% - Accent6 4 2 4 4 3" xfId="11316" xr:uid="{00000000-0005-0000-0000-0000EF290000}"/>
    <cellStyle name="20% - Accent6 4 2 4 4 4" xfId="11317" xr:uid="{00000000-0005-0000-0000-0000F0290000}"/>
    <cellStyle name="20% - Accent6 4 2 4 4 5" xfId="11318" xr:uid="{00000000-0005-0000-0000-0000F1290000}"/>
    <cellStyle name="20% - Accent6 4 2 4 4 6" xfId="11319" xr:uid="{00000000-0005-0000-0000-0000F2290000}"/>
    <cellStyle name="20% - Accent6 4 2 4 5" xfId="11320" xr:uid="{00000000-0005-0000-0000-0000F3290000}"/>
    <cellStyle name="20% - Accent6 4 2 4 5 2" xfId="11321" xr:uid="{00000000-0005-0000-0000-0000F4290000}"/>
    <cellStyle name="20% - Accent6 4 2 4 5 3" xfId="11322" xr:uid="{00000000-0005-0000-0000-0000F5290000}"/>
    <cellStyle name="20% - Accent6 4 2 4 6" xfId="11323" xr:uid="{00000000-0005-0000-0000-0000F6290000}"/>
    <cellStyle name="20% - Accent6 4 2 4 7" xfId="11324" xr:uid="{00000000-0005-0000-0000-0000F7290000}"/>
    <cellStyle name="20% - Accent6 4 2 4 8" xfId="11325" xr:uid="{00000000-0005-0000-0000-0000F8290000}"/>
    <cellStyle name="20% - Accent6 4 2 4 9" xfId="11326" xr:uid="{00000000-0005-0000-0000-0000F9290000}"/>
    <cellStyle name="20% - Accent6 4 2 5" xfId="11327" xr:uid="{00000000-0005-0000-0000-0000FA290000}"/>
    <cellStyle name="20% - Accent6 4 2 5 2" xfId="11328" xr:uid="{00000000-0005-0000-0000-0000FB290000}"/>
    <cellStyle name="20% - Accent6 4 2 5 2 2" xfId="11329" xr:uid="{00000000-0005-0000-0000-0000FC290000}"/>
    <cellStyle name="20% - Accent6 4 2 5 2 2 2" xfId="11330" xr:uid="{00000000-0005-0000-0000-0000FD290000}"/>
    <cellStyle name="20% - Accent6 4 2 5 2 2 3" xfId="11331" xr:uid="{00000000-0005-0000-0000-0000FE290000}"/>
    <cellStyle name="20% - Accent6 4 2 5 2 3" xfId="11332" xr:uid="{00000000-0005-0000-0000-0000FF290000}"/>
    <cellStyle name="20% - Accent6 4 2 5 2 4" xfId="11333" xr:uid="{00000000-0005-0000-0000-0000002A0000}"/>
    <cellStyle name="20% - Accent6 4 2 5 2 5" xfId="11334" xr:uid="{00000000-0005-0000-0000-0000012A0000}"/>
    <cellStyle name="20% - Accent6 4 2 5 2 6" xfId="11335" xr:uid="{00000000-0005-0000-0000-0000022A0000}"/>
    <cellStyle name="20% - Accent6 4 2 5 3" xfId="11336" xr:uid="{00000000-0005-0000-0000-0000032A0000}"/>
    <cellStyle name="20% - Accent6 4 2 5 3 2" xfId="11337" xr:uid="{00000000-0005-0000-0000-0000042A0000}"/>
    <cellStyle name="20% - Accent6 4 2 5 3 3" xfId="11338" xr:uid="{00000000-0005-0000-0000-0000052A0000}"/>
    <cellStyle name="20% - Accent6 4 2 5 4" xfId="11339" xr:uid="{00000000-0005-0000-0000-0000062A0000}"/>
    <cellStyle name="20% - Accent6 4 2 5 5" xfId="11340" xr:uid="{00000000-0005-0000-0000-0000072A0000}"/>
    <cellStyle name="20% - Accent6 4 2 5 6" xfId="11341" xr:uid="{00000000-0005-0000-0000-0000082A0000}"/>
    <cellStyle name="20% - Accent6 4 2 5 7" xfId="11342" xr:uid="{00000000-0005-0000-0000-0000092A0000}"/>
    <cellStyle name="20% - Accent6 4 2 6" xfId="11343" xr:uid="{00000000-0005-0000-0000-00000A2A0000}"/>
    <cellStyle name="20% - Accent6 4 2 6 2" xfId="11344" xr:uid="{00000000-0005-0000-0000-00000B2A0000}"/>
    <cellStyle name="20% - Accent6 4 2 6 2 2" xfId="11345" xr:uid="{00000000-0005-0000-0000-00000C2A0000}"/>
    <cellStyle name="20% - Accent6 4 2 6 2 3" xfId="11346" xr:uid="{00000000-0005-0000-0000-00000D2A0000}"/>
    <cellStyle name="20% - Accent6 4 2 6 3" xfId="11347" xr:uid="{00000000-0005-0000-0000-00000E2A0000}"/>
    <cellStyle name="20% - Accent6 4 2 6 4" xfId="11348" xr:uid="{00000000-0005-0000-0000-00000F2A0000}"/>
    <cellStyle name="20% - Accent6 4 2 6 5" xfId="11349" xr:uid="{00000000-0005-0000-0000-0000102A0000}"/>
    <cellStyle name="20% - Accent6 4 2 6 6" xfId="11350" xr:uid="{00000000-0005-0000-0000-0000112A0000}"/>
    <cellStyle name="20% - Accent6 4 2 7" xfId="11351" xr:uid="{00000000-0005-0000-0000-0000122A0000}"/>
    <cellStyle name="20% - Accent6 4 2 7 2" xfId="11352" xr:uid="{00000000-0005-0000-0000-0000132A0000}"/>
    <cellStyle name="20% - Accent6 4 2 7 2 2" xfId="11353" xr:uid="{00000000-0005-0000-0000-0000142A0000}"/>
    <cellStyle name="20% - Accent6 4 2 7 2 3" xfId="11354" xr:uid="{00000000-0005-0000-0000-0000152A0000}"/>
    <cellStyle name="20% - Accent6 4 2 7 3" xfId="11355" xr:uid="{00000000-0005-0000-0000-0000162A0000}"/>
    <cellStyle name="20% - Accent6 4 2 7 4" xfId="11356" xr:uid="{00000000-0005-0000-0000-0000172A0000}"/>
    <cellStyle name="20% - Accent6 4 2 7 5" xfId="11357" xr:uid="{00000000-0005-0000-0000-0000182A0000}"/>
    <cellStyle name="20% - Accent6 4 2 7 6" xfId="11358" xr:uid="{00000000-0005-0000-0000-0000192A0000}"/>
    <cellStyle name="20% - Accent6 4 2 8" xfId="11359" xr:uid="{00000000-0005-0000-0000-00001A2A0000}"/>
    <cellStyle name="20% - Accent6 4 2 8 2" xfId="11360" xr:uid="{00000000-0005-0000-0000-00001B2A0000}"/>
    <cellStyle name="20% - Accent6 4 2 8 2 2" xfId="11361" xr:uid="{00000000-0005-0000-0000-00001C2A0000}"/>
    <cellStyle name="20% - Accent6 4 2 8 2 3" xfId="11362" xr:uid="{00000000-0005-0000-0000-00001D2A0000}"/>
    <cellStyle name="20% - Accent6 4 2 8 3" xfId="11363" xr:uid="{00000000-0005-0000-0000-00001E2A0000}"/>
    <cellStyle name="20% - Accent6 4 2 8 4" xfId="11364" xr:uid="{00000000-0005-0000-0000-00001F2A0000}"/>
    <cellStyle name="20% - Accent6 4 2 8 5" xfId="11365" xr:uid="{00000000-0005-0000-0000-0000202A0000}"/>
    <cellStyle name="20% - Accent6 4 2 8 6" xfId="11366" xr:uid="{00000000-0005-0000-0000-0000212A0000}"/>
    <cellStyle name="20% - Accent6 4 2 9" xfId="11367" xr:uid="{00000000-0005-0000-0000-0000222A0000}"/>
    <cellStyle name="20% - Accent6 4 2 9 2" xfId="11368" xr:uid="{00000000-0005-0000-0000-0000232A0000}"/>
    <cellStyle name="20% - Accent6 4 2 9 2 2" xfId="11369" xr:uid="{00000000-0005-0000-0000-0000242A0000}"/>
    <cellStyle name="20% - Accent6 4 2 9 2 3" xfId="11370" xr:uid="{00000000-0005-0000-0000-0000252A0000}"/>
    <cellStyle name="20% - Accent6 4 2 9 3" xfId="11371" xr:uid="{00000000-0005-0000-0000-0000262A0000}"/>
    <cellStyle name="20% - Accent6 4 2 9 4" xfId="11372" xr:uid="{00000000-0005-0000-0000-0000272A0000}"/>
    <cellStyle name="20% - Accent6 4 2 9 5" xfId="11373" xr:uid="{00000000-0005-0000-0000-0000282A0000}"/>
    <cellStyle name="20% - Accent6 4 2 9 6" xfId="11374" xr:uid="{00000000-0005-0000-0000-0000292A0000}"/>
    <cellStyle name="20% - Accent6 4 3" xfId="11375" xr:uid="{00000000-0005-0000-0000-00002A2A0000}"/>
    <cellStyle name="20% - Accent6 4 3 10" xfId="11376" xr:uid="{00000000-0005-0000-0000-00002B2A0000}"/>
    <cellStyle name="20% - Accent6 4 3 11" xfId="11377" xr:uid="{00000000-0005-0000-0000-00002C2A0000}"/>
    <cellStyle name="20% - Accent6 4 3 12" xfId="11378" xr:uid="{00000000-0005-0000-0000-00002D2A0000}"/>
    <cellStyle name="20% - Accent6 4 3 13" xfId="11379" xr:uid="{00000000-0005-0000-0000-00002E2A0000}"/>
    <cellStyle name="20% - Accent6 4 3 2" xfId="11380" xr:uid="{00000000-0005-0000-0000-00002F2A0000}"/>
    <cellStyle name="20% - Accent6 4 3 2 10" xfId="11381" xr:uid="{00000000-0005-0000-0000-0000302A0000}"/>
    <cellStyle name="20% - Accent6 4 3 2 2" xfId="11382" xr:uid="{00000000-0005-0000-0000-0000312A0000}"/>
    <cellStyle name="20% - Accent6 4 3 2 2 2" xfId="11383" xr:uid="{00000000-0005-0000-0000-0000322A0000}"/>
    <cellStyle name="20% - Accent6 4 3 2 2 2 2" xfId="11384" xr:uid="{00000000-0005-0000-0000-0000332A0000}"/>
    <cellStyle name="20% - Accent6 4 3 2 2 2 2 2" xfId="11385" xr:uid="{00000000-0005-0000-0000-0000342A0000}"/>
    <cellStyle name="20% - Accent6 4 3 2 2 2 2 3" xfId="11386" xr:uid="{00000000-0005-0000-0000-0000352A0000}"/>
    <cellStyle name="20% - Accent6 4 3 2 2 2 3" xfId="11387" xr:uid="{00000000-0005-0000-0000-0000362A0000}"/>
    <cellStyle name="20% - Accent6 4 3 2 2 2 4" xfId="11388" xr:uid="{00000000-0005-0000-0000-0000372A0000}"/>
    <cellStyle name="20% - Accent6 4 3 2 2 2 5" xfId="11389" xr:uid="{00000000-0005-0000-0000-0000382A0000}"/>
    <cellStyle name="20% - Accent6 4 3 2 2 2 6" xfId="11390" xr:uid="{00000000-0005-0000-0000-0000392A0000}"/>
    <cellStyle name="20% - Accent6 4 3 2 2 3" xfId="11391" xr:uid="{00000000-0005-0000-0000-00003A2A0000}"/>
    <cellStyle name="20% - Accent6 4 3 2 2 3 2" xfId="11392" xr:uid="{00000000-0005-0000-0000-00003B2A0000}"/>
    <cellStyle name="20% - Accent6 4 3 2 2 3 2 2" xfId="11393" xr:uid="{00000000-0005-0000-0000-00003C2A0000}"/>
    <cellStyle name="20% - Accent6 4 3 2 2 3 2 3" xfId="11394" xr:uid="{00000000-0005-0000-0000-00003D2A0000}"/>
    <cellStyle name="20% - Accent6 4 3 2 2 3 3" xfId="11395" xr:uid="{00000000-0005-0000-0000-00003E2A0000}"/>
    <cellStyle name="20% - Accent6 4 3 2 2 3 4" xfId="11396" xr:uid="{00000000-0005-0000-0000-00003F2A0000}"/>
    <cellStyle name="20% - Accent6 4 3 2 2 3 5" xfId="11397" xr:uid="{00000000-0005-0000-0000-0000402A0000}"/>
    <cellStyle name="20% - Accent6 4 3 2 2 3 6" xfId="11398" xr:uid="{00000000-0005-0000-0000-0000412A0000}"/>
    <cellStyle name="20% - Accent6 4 3 2 2 4" xfId="11399" xr:uid="{00000000-0005-0000-0000-0000422A0000}"/>
    <cellStyle name="20% - Accent6 4 3 2 2 4 2" xfId="11400" xr:uid="{00000000-0005-0000-0000-0000432A0000}"/>
    <cellStyle name="20% - Accent6 4 3 2 2 4 3" xfId="11401" xr:uid="{00000000-0005-0000-0000-0000442A0000}"/>
    <cellStyle name="20% - Accent6 4 3 2 2 5" xfId="11402" xr:uid="{00000000-0005-0000-0000-0000452A0000}"/>
    <cellStyle name="20% - Accent6 4 3 2 2 6" xfId="11403" xr:uid="{00000000-0005-0000-0000-0000462A0000}"/>
    <cellStyle name="20% - Accent6 4 3 2 2 7" xfId="11404" xr:uid="{00000000-0005-0000-0000-0000472A0000}"/>
    <cellStyle name="20% - Accent6 4 3 2 2 8" xfId="11405" xr:uid="{00000000-0005-0000-0000-0000482A0000}"/>
    <cellStyle name="20% - Accent6 4 3 2 3" xfId="11406" xr:uid="{00000000-0005-0000-0000-0000492A0000}"/>
    <cellStyle name="20% - Accent6 4 3 2 3 2" xfId="11407" xr:uid="{00000000-0005-0000-0000-00004A2A0000}"/>
    <cellStyle name="20% - Accent6 4 3 2 3 2 2" xfId="11408" xr:uid="{00000000-0005-0000-0000-00004B2A0000}"/>
    <cellStyle name="20% - Accent6 4 3 2 3 2 2 2" xfId="11409" xr:uid="{00000000-0005-0000-0000-00004C2A0000}"/>
    <cellStyle name="20% - Accent6 4 3 2 3 2 2 3" xfId="11410" xr:uid="{00000000-0005-0000-0000-00004D2A0000}"/>
    <cellStyle name="20% - Accent6 4 3 2 3 2 3" xfId="11411" xr:uid="{00000000-0005-0000-0000-00004E2A0000}"/>
    <cellStyle name="20% - Accent6 4 3 2 3 2 4" xfId="11412" xr:uid="{00000000-0005-0000-0000-00004F2A0000}"/>
    <cellStyle name="20% - Accent6 4 3 2 3 2 5" xfId="11413" xr:uid="{00000000-0005-0000-0000-0000502A0000}"/>
    <cellStyle name="20% - Accent6 4 3 2 3 2 6" xfId="11414" xr:uid="{00000000-0005-0000-0000-0000512A0000}"/>
    <cellStyle name="20% - Accent6 4 3 2 3 3" xfId="11415" xr:uid="{00000000-0005-0000-0000-0000522A0000}"/>
    <cellStyle name="20% - Accent6 4 3 2 3 3 2" xfId="11416" xr:uid="{00000000-0005-0000-0000-0000532A0000}"/>
    <cellStyle name="20% - Accent6 4 3 2 3 3 3" xfId="11417" xr:uid="{00000000-0005-0000-0000-0000542A0000}"/>
    <cellStyle name="20% - Accent6 4 3 2 3 4" xfId="11418" xr:uid="{00000000-0005-0000-0000-0000552A0000}"/>
    <cellStyle name="20% - Accent6 4 3 2 3 5" xfId="11419" xr:uid="{00000000-0005-0000-0000-0000562A0000}"/>
    <cellStyle name="20% - Accent6 4 3 2 3 6" xfId="11420" xr:uid="{00000000-0005-0000-0000-0000572A0000}"/>
    <cellStyle name="20% - Accent6 4 3 2 3 7" xfId="11421" xr:uid="{00000000-0005-0000-0000-0000582A0000}"/>
    <cellStyle name="20% - Accent6 4 3 2 4" xfId="11422" xr:uid="{00000000-0005-0000-0000-0000592A0000}"/>
    <cellStyle name="20% - Accent6 4 3 2 4 2" xfId="11423" xr:uid="{00000000-0005-0000-0000-00005A2A0000}"/>
    <cellStyle name="20% - Accent6 4 3 2 4 2 2" xfId="11424" xr:uid="{00000000-0005-0000-0000-00005B2A0000}"/>
    <cellStyle name="20% - Accent6 4 3 2 4 2 3" xfId="11425" xr:uid="{00000000-0005-0000-0000-00005C2A0000}"/>
    <cellStyle name="20% - Accent6 4 3 2 4 3" xfId="11426" xr:uid="{00000000-0005-0000-0000-00005D2A0000}"/>
    <cellStyle name="20% - Accent6 4 3 2 4 4" xfId="11427" xr:uid="{00000000-0005-0000-0000-00005E2A0000}"/>
    <cellStyle name="20% - Accent6 4 3 2 4 5" xfId="11428" xr:uid="{00000000-0005-0000-0000-00005F2A0000}"/>
    <cellStyle name="20% - Accent6 4 3 2 4 6" xfId="11429" xr:uid="{00000000-0005-0000-0000-0000602A0000}"/>
    <cellStyle name="20% - Accent6 4 3 2 5" xfId="11430" xr:uid="{00000000-0005-0000-0000-0000612A0000}"/>
    <cellStyle name="20% - Accent6 4 3 2 5 2" xfId="11431" xr:uid="{00000000-0005-0000-0000-0000622A0000}"/>
    <cellStyle name="20% - Accent6 4 3 2 5 2 2" xfId="11432" xr:uid="{00000000-0005-0000-0000-0000632A0000}"/>
    <cellStyle name="20% - Accent6 4 3 2 5 2 3" xfId="11433" xr:uid="{00000000-0005-0000-0000-0000642A0000}"/>
    <cellStyle name="20% - Accent6 4 3 2 5 3" xfId="11434" xr:uid="{00000000-0005-0000-0000-0000652A0000}"/>
    <cellStyle name="20% - Accent6 4 3 2 5 4" xfId="11435" xr:uid="{00000000-0005-0000-0000-0000662A0000}"/>
    <cellStyle name="20% - Accent6 4 3 2 5 5" xfId="11436" xr:uid="{00000000-0005-0000-0000-0000672A0000}"/>
    <cellStyle name="20% - Accent6 4 3 2 5 6" xfId="11437" xr:uid="{00000000-0005-0000-0000-0000682A0000}"/>
    <cellStyle name="20% - Accent6 4 3 2 6" xfId="11438" xr:uid="{00000000-0005-0000-0000-0000692A0000}"/>
    <cellStyle name="20% - Accent6 4 3 2 6 2" xfId="11439" xr:uid="{00000000-0005-0000-0000-00006A2A0000}"/>
    <cellStyle name="20% - Accent6 4 3 2 6 3" xfId="11440" xr:uid="{00000000-0005-0000-0000-00006B2A0000}"/>
    <cellStyle name="20% - Accent6 4 3 2 7" xfId="11441" xr:uid="{00000000-0005-0000-0000-00006C2A0000}"/>
    <cellStyle name="20% - Accent6 4 3 2 8" xfId="11442" xr:uid="{00000000-0005-0000-0000-00006D2A0000}"/>
    <cellStyle name="20% - Accent6 4 3 2 9" xfId="11443" xr:uid="{00000000-0005-0000-0000-00006E2A0000}"/>
    <cellStyle name="20% - Accent6 4 3 3" xfId="11444" xr:uid="{00000000-0005-0000-0000-00006F2A0000}"/>
    <cellStyle name="20% - Accent6 4 3 3 2" xfId="11445" xr:uid="{00000000-0005-0000-0000-0000702A0000}"/>
    <cellStyle name="20% - Accent6 4 3 3 2 2" xfId="11446" xr:uid="{00000000-0005-0000-0000-0000712A0000}"/>
    <cellStyle name="20% - Accent6 4 3 3 2 2 2" xfId="11447" xr:uid="{00000000-0005-0000-0000-0000722A0000}"/>
    <cellStyle name="20% - Accent6 4 3 3 2 2 2 2" xfId="11448" xr:uid="{00000000-0005-0000-0000-0000732A0000}"/>
    <cellStyle name="20% - Accent6 4 3 3 2 2 2 3" xfId="11449" xr:uid="{00000000-0005-0000-0000-0000742A0000}"/>
    <cellStyle name="20% - Accent6 4 3 3 2 2 3" xfId="11450" xr:uid="{00000000-0005-0000-0000-0000752A0000}"/>
    <cellStyle name="20% - Accent6 4 3 3 2 2 4" xfId="11451" xr:uid="{00000000-0005-0000-0000-0000762A0000}"/>
    <cellStyle name="20% - Accent6 4 3 3 2 2 5" xfId="11452" xr:uid="{00000000-0005-0000-0000-0000772A0000}"/>
    <cellStyle name="20% - Accent6 4 3 3 2 2 6" xfId="11453" xr:uid="{00000000-0005-0000-0000-0000782A0000}"/>
    <cellStyle name="20% - Accent6 4 3 3 2 3" xfId="11454" xr:uid="{00000000-0005-0000-0000-0000792A0000}"/>
    <cellStyle name="20% - Accent6 4 3 3 2 3 2" xfId="11455" xr:uid="{00000000-0005-0000-0000-00007A2A0000}"/>
    <cellStyle name="20% - Accent6 4 3 3 2 3 3" xfId="11456" xr:uid="{00000000-0005-0000-0000-00007B2A0000}"/>
    <cellStyle name="20% - Accent6 4 3 3 2 4" xfId="11457" xr:uid="{00000000-0005-0000-0000-00007C2A0000}"/>
    <cellStyle name="20% - Accent6 4 3 3 2 5" xfId="11458" xr:uid="{00000000-0005-0000-0000-00007D2A0000}"/>
    <cellStyle name="20% - Accent6 4 3 3 2 6" xfId="11459" xr:uid="{00000000-0005-0000-0000-00007E2A0000}"/>
    <cellStyle name="20% - Accent6 4 3 3 2 7" xfId="11460" xr:uid="{00000000-0005-0000-0000-00007F2A0000}"/>
    <cellStyle name="20% - Accent6 4 3 3 3" xfId="11461" xr:uid="{00000000-0005-0000-0000-0000802A0000}"/>
    <cellStyle name="20% - Accent6 4 3 3 3 2" xfId="11462" xr:uid="{00000000-0005-0000-0000-0000812A0000}"/>
    <cellStyle name="20% - Accent6 4 3 3 3 2 2" xfId="11463" xr:uid="{00000000-0005-0000-0000-0000822A0000}"/>
    <cellStyle name="20% - Accent6 4 3 3 3 2 3" xfId="11464" xr:uid="{00000000-0005-0000-0000-0000832A0000}"/>
    <cellStyle name="20% - Accent6 4 3 3 3 3" xfId="11465" xr:uid="{00000000-0005-0000-0000-0000842A0000}"/>
    <cellStyle name="20% - Accent6 4 3 3 3 4" xfId="11466" xr:uid="{00000000-0005-0000-0000-0000852A0000}"/>
    <cellStyle name="20% - Accent6 4 3 3 3 5" xfId="11467" xr:uid="{00000000-0005-0000-0000-0000862A0000}"/>
    <cellStyle name="20% - Accent6 4 3 3 3 6" xfId="11468" xr:uid="{00000000-0005-0000-0000-0000872A0000}"/>
    <cellStyle name="20% - Accent6 4 3 3 4" xfId="11469" xr:uid="{00000000-0005-0000-0000-0000882A0000}"/>
    <cellStyle name="20% - Accent6 4 3 3 4 2" xfId="11470" xr:uid="{00000000-0005-0000-0000-0000892A0000}"/>
    <cellStyle name="20% - Accent6 4 3 3 4 2 2" xfId="11471" xr:uid="{00000000-0005-0000-0000-00008A2A0000}"/>
    <cellStyle name="20% - Accent6 4 3 3 4 2 3" xfId="11472" xr:uid="{00000000-0005-0000-0000-00008B2A0000}"/>
    <cellStyle name="20% - Accent6 4 3 3 4 3" xfId="11473" xr:uid="{00000000-0005-0000-0000-00008C2A0000}"/>
    <cellStyle name="20% - Accent6 4 3 3 4 4" xfId="11474" xr:uid="{00000000-0005-0000-0000-00008D2A0000}"/>
    <cellStyle name="20% - Accent6 4 3 3 4 5" xfId="11475" xr:uid="{00000000-0005-0000-0000-00008E2A0000}"/>
    <cellStyle name="20% - Accent6 4 3 3 4 6" xfId="11476" xr:uid="{00000000-0005-0000-0000-00008F2A0000}"/>
    <cellStyle name="20% - Accent6 4 3 3 5" xfId="11477" xr:uid="{00000000-0005-0000-0000-0000902A0000}"/>
    <cellStyle name="20% - Accent6 4 3 3 5 2" xfId="11478" xr:uid="{00000000-0005-0000-0000-0000912A0000}"/>
    <cellStyle name="20% - Accent6 4 3 3 5 3" xfId="11479" xr:uid="{00000000-0005-0000-0000-0000922A0000}"/>
    <cellStyle name="20% - Accent6 4 3 3 6" xfId="11480" xr:uid="{00000000-0005-0000-0000-0000932A0000}"/>
    <cellStyle name="20% - Accent6 4 3 3 7" xfId="11481" xr:uid="{00000000-0005-0000-0000-0000942A0000}"/>
    <cellStyle name="20% - Accent6 4 3 3 8" xfId="11482" xr:uid="{00000000-0005-0000-0000-0000952A0000}"/>
    <cellStyle name="20% - Accent6 4 3 3 9" xfId="11483" xr:uid="{00000000-0005-0000-0000-0000962A0000}"/>
    <cellStyle name="20% - Accent6 4 3 4" xfId="11484" xr:uid="{00000000-0005-0000-0000-0000972A0000}"/>
    <cellStyle name="20% - Accent6 4 3 4 2" xfId="11485" xr:uid="{00000000-0005-0000-0000-0000982A0000}"/>
    <cellStyle name="20% - Accent6 4 3 4 2 2" xfId="11486" xr:uid="{00000000-0005-0000-0000-0000992A0000}"/>
    <cellStyle name="20% - Accent6 4 3 4 2 2 2" xfId="11487" xr:uid="{00000000-0005-0000-0000-00009A2A0000}"/>
    <cellStyle name="20% - Accent6 4 3 4 2 2 3" xfId="11488" xr:uid="{00000000-0005-0000-0000-00009B2A0000}"/>
    <cellStyle name="20% - Accent6 4 3 4 2 3" xfId="11489" xr:uid="{00000000-0005-0000-0000-00009C2A0000}"/>
    <cellStyle name="20% - Accent6 4 3 4 2 4" xfId="11490" xr:uid="{00000000-0005-0000-0000-00009D2A0000}"/>
    <cellStyle name="20% - Accent6 4 3 4 2 5" xfId="11491" xr:uid="{00000000-0005-0000-0000-00009E2A0000}"/>
    <cellStyle name="20% - Accent6 4 3 4 2 6" xfId="11492" xr:uid="{00000000-0005-0000-0000-00009F2A0000}"/>
    <cellStyle name="20% - Accent6 4 3 4 3" xfId="11493" xr:uid="{00000000-0005-0000-0000-0000A02A0000}"/>
    <cellStyle name="20% - Accent6 4 3 4 3 2" xfId="11494" xr:uid="{00000000-0005-0000-0000-0000A12A0000}"/>
    <cellStyle name="20% - Accent6 4 3 4 3 3" xfId="11495" xr:uid="{00000000-0005-0000-0000-0000A22A0000}"/>
    <cellStyle name="20% - Accent6 4 3 4 4" xfId="11496" xr:uid="{00000000-0005-0000-0000-0000A32A0000}"/>
    <cellStyle name="20% - Accent6 4 3 4 5" xfId="11497" xr:uid="{00000000-0005-0000-0000-0000A42A0000}"/>
    <cellStyle name="20% - Accent6 4 3 4 6" xfId="11498" xr:uid="{00000000-0005-0000-0000-0000A52A0000}"/>
    <cellStyle name="20% - Accent6 4 3 4 7" xfId="11499" xr:uid="{00000000-0005-0000-0000-0000A62A0000}"/>
    <cellStyle name="20% - Accent6 4 3 5" xfId="11500" xr:uid="{00000000-0005-0000-0000-0000A72A0000}"/>
    <cellStyle name="20% - Accent6 4 3 5 2" xfId="11501" xr:uid="{00000000-0005-0000-0000-0000A82A0000}"/>
    <cellStyle name="20% - Accent6 4 3 5 2 2" xfId="11502" xr:uid="{00000000-0005-0000-0000-0000A92A0000}"/>
    <cellStyle name="20% - Accent6 4 3 5 2 3" xfId="11503" xr:uid="{00000000-0005-0000-0000-0000AA2A0000}"/>
    <cellStyle name="20% - Accent6 4 3 5 3" xfId="11504" xr:uid="{00000000-0005-0000-0000-0000AB2A0000}"/>
    <cellStyle name="20% - Accent6 4 3 5 4" xfId="11505" xr:uid="{00000000-0005-0000-0000-0000AC2A0000}"/>
    <cellStyle name="20% - Accent6 4 3 5 5" xfId="11506" xr:uid="{00000000-0005-0000-0000-0000AD2A0000}"/>
    <cellStyle name="20% - Accent6 4 3 5 6" xfId="11507" xr:uid="{00000000-0005-0000-0000-0000AE2A0000}"/>
    <cellStyle name="20% - Accent6 4 3 6" xfId="11508" xr:uid="{00000000-0005-0000-0000-0000AF2A0000}"/>
    <cellStyle name="20% - Accent6 4 3 6 2" xfId="11509" xr:uid="{00000000-0005-0000-0000-0000B02A0000}"/>
    <cellStyle name="20% - Accent6 4 3 6 2 2" xfId="11510" xr:uid="{00000000-0005-0000-0000-0000B12A0000}"/>
    <cellStyle name="20% - Accent6 4 3 6 2 3" xfId="11511" xr:uid="{00000000-0005-0000-0000-0000B22A0000}"/>
    <cellStyle name="20% - Accent6 4 3 6 3" xfId="11512" xr:uid="{00000000-0005-0000-0000-0000B32A0000}"/>
    <cellStyle name="20% - Accent6 4 3 6 4" xfId="11513" xr:uid="{00000000-0005-0000-0000-0000B42A0000}"/>
    <cellStyle name="20% - Accent6 4 3 6 5" xfId="11514" xr:uid="{00000000-0005-0000-0000-0000B52A0000}"/>
    <cellStyle name="20% - Accent6 4 3 6 6" xfId="11515" xr:uid="{00000000-0005-0000-0000-0000B62A0000}"/>
    <cellStyle name="20% - Accent6 4 3 7" xfId="11516" xr:uid="{00000000-0005-0000-0000-0000B72A0000}"/>
    <cellStyle name="20% - Accent6 4 3 7 2" xfId="11517" xr:uid="{00000000-0005-0000-0000-0000B82A0000}"/>
    <cellStyle name="20% - Accent6 4 3 7 2 2" xfId="11518" xr:uid="{00000000-0005-0000-0000-0000B92A0000}"/>
    <cellStyle name="20% - Accent6 4 3 7 2 3" xfId="11519" xr:uid="{00000000-0005-0000-0000-0000BA2A0000}"/>
    <cellStyle name="20% - Accent6 4 3 7 3" xfId="11520" xr:uid="{00000000-0005-0000-0000-0000BB2A0000}"/>
    <cellStyle name="20% - Accent6 4 3 7 4" xfId="11521" xr:uid="{00000000-0005-0000-0000-0000BC2A0000}"/>
    <cellStyle name="20% - Accent6 4 3 7 5" xfId="11522" xr:uid="{00000000-0005-0000-0000-0000BD2A0000}"/>
    <cellStyle name="20% - Accent6 4 3 7 6" xfId="11523" xr:uid="{00000000-0005-0000-0000-0000BE2A0000}"/>
    <cellStyle name="20% - Accent6 4 3 8" xfId="11524" xr:uid="{00000000-0005-0000-0000-0000BF2A0000}"/>
    <cellStyle name="20% - Accent6 4 3 8 2" xfId="11525" xr:uid="{00000000-0005-0000-0000-0000C02A0000}"/>
    <cellStyle name="20% - Accent6 4 3 8 2 2" xfId="11526" xr:uid="{00000000-0005-0000-0000-0000C12A0000}"/>
    <cellStyle name="20% - Accent6 4 3 8 2 3" xfId="11527" xr:uid="{00000000-0005-0000-0000-0000C22A0000}"/>
    <cellStyle name="20% - Accent6 4 3 8 3" xfId="11528" xr:uid="{00000000-0005-0000-0000-0000C32A0000}"/>
    <cellStyle name="20% - Accent6 4 3 8 4" xfId="11529" xr:uid="{00000000-0005-0000-0000-0000C42A0000}"/>
    <cellStyle name="20% - Accent6 4 3 8 5" xfId="11530" xr:uid="{00000000-0005-0000-0000-0000C52A0000}"/>
    <cellStyle name="20% - Accent6 4 3 8 6" xfId="11531" xr:uid="{00000000-0005-0000-0000-0000C62A0000}"/>
    <cellStyle name="20% - Accent6 4 3 9" xfId="11532" xr:uid="{00000000-0005-0000-0000-0000C72A0000}"/>
    <cellStyle name="20% - Accent6 4 3 9 2" xfId="11533" xr:uid="{00000000-0005-0000-0000-0000C82A0000}"/>
    <cellStyle name="20% - Accent6 4 3 9 3" xfId="11534" xr:uid="{00000000-0005-0000-0000-0000C92A0000}"/>
    <cellStyle name="20% - Accent6 4 4" xfId="11535" xr:uid="{00000000-0005-0000-0000-0000CA2A0000}"/>
    <cellStyle name="20% - Accent6 4 4 10" xfId="11536" xr:uid="{00000000-0005-0000-0000-0000CB2A0000}"/>
    <cellStyle name="20% - Accent6 4 4 2" xfId="11537" xr:uid="{00000000-0005-0000-0000-0000CC2A0000}"/>
    <cellStyle name="20% - Accent6 4 4 2 2" xfId="11538" xr:uid="{00000000-0005-0000-0000-0000CD2A0000}"/>
    <cellStyle name="20% - Accent6 4 4 2 2 2" xfId="11539" xr:uid="{00000000-0005-0000-0000-0000CE2A0000}"/>
    <cellStyle name="20% - Accent6 4 4 2 2 2 2" xfId="11540" xr:uid="{00000000-0005-0000-0000-0000CF2A0000}"/>
    <cellStyle name="20% - Accent6 4 4 2 2 2 3" xfId="11541" xr:uid="{00000000-0005-0000-0000-0000D02A0000}"/>
    <cellStyle name="20% - Accent6 4 4 2 2 3" xfId="11542" xr:uid="{00000000-0005-0000-0000-0000D12A0000}"/>
    <cellStyle name="20% - Accent6 4 4 2 2 4" xfId="11543" xr:uid="{00000000-0005-0000-0000-0000D22A0000}"/>
    <cellStyle name="20% - Accent6 4 4 2 2 5" xfId="11544" xr:uid="{00000000-0005-0000-0000-0000D32A0000}"/>
    <cellStyle name="20% - Accent6 4 4 2 2 6" xfId="11545" xr:uid="{00000000-0005-0000-0000-0000D42A0000}"/>
    <cellStyle name="20% - Accent6 4 4 2 3" xfId="11546" xr:uid="{00000000-0005-0000-0000-0000D52A0000}"/>
    <cellStyle name="20% - Accent6 4 4 2 3 2" xfId="11547" xr:uid="{00000000-0005-0000-0000-0000D62A0000}"/>
    <cellStyle name="20% - Accent6 4 4 2 3 2 2" xfId="11548" xr:uid="{00000000-0005-0000-0000-0000D72A0000}"/>
    <cellStyle name="20% - Accent6 4 4 2 3 2 3" xfId="11549" xr:uid="{00000000-0005-0000-0000-0000D82A0000}"/>
    <cellStyle name="20% - Accent6 4 4 2 3 3" xfId="11550" xr:uid="{00000000-0005-0000-0000-0000D92A0000}"/>
    <cellStyle name="20% - Accent6 4 4 2 3 4" xfId="11551" xr:uid="{00000000-0005-0000-0000-0000DA2A0000}"/>
    <cellStyle name="20% - Accent6 4 4 2 3 5" xfId="11552" xr:uid="{00000000-0005-0000-0000-0000DB2A0000}"/>
    <cellStyle name="20% - Accent6 4 4 2 3 6" xfId="11553" xr:uid="{00000000-0005-0000-0000-0000DC2A0000}"/>
    <cellStyle name="20% - Accent6 4 4 2 4" xfId="11554" xr:uid="{00000000-0005-0000-0000-0000DD2A0000}"/>
    <cellStyle name="20% - Accent6 4 4 2 4 2" xfId="11555" xr:uid="{00000000-0005-0000-0000-0000DE2A0000}"/>
    <cellStyle name="20% - Accent6 4 4 2 4 3" xfId="11556" xr:uid="{00000000-0005-0000-0000-0000DF2A0000}"/>
    <cellStyle name="20% - Accent6 4 4 2 5" xfId="11557" xr:uid="{00000000-0005-0000-0000-0000E02A0000}"/>
    <cellStyle name="20% - Accent6 4 4 2 6" xfId="11558" xr:uid="{00000000-0005-0000-0000-0000E12A0000}"/>
    <cellStyle name="20% - Accent6 4 4 2 7" xfId="11559" xr:uid="{00000000-0005-0000-0000-0000E22A0000}"/>
    <cellStyle name="20% - Accent6 4 4 2 8" xfId="11560" xr:uid="{00000000-0005-0000-0000-0000E32A0000}"/>
    <cellStyle name="20% - Accent6 4 4 3" xfId="11561" xr:uid="{00000000-0005-0000-0000-0000E42A0000}"/>
    <cellStyle name="20% - Accent6 4 4 3 2" xfId="11562" xr:uid="{00000000-0005-0000-0000-0000E52A0000}"/>
    <cellStyle name="20% - Accent6 4 4 3 2 2" xfId="11563" xr:uid="{00000000-0005-0000-0000-0000E62A0000}"/>
    <cellStyle name="20% - Accent6 4 4 3 2 2 2" xfId="11564" xr:uid="{00000000-0005-0000-0000-0000E72A0000}"/>
    <cellStyle name="20% - Accent6 4 4 3 2 2 3" xfId="11565" xr:uid="{00000000-0005-0000-0000-0000E82A0000}"/>
    <cellStyle name="20% - Accent6 4 4 3 2 3" xfId="11566" xr:uid="{00000000-0005-0000-0000-0000E92A0000}"/>
    <cellStyle name="20% - Accent6 4 4 3 2 4" xfId="11567" xr:uid="{00000000-0005-0000-0000-0000EA2A0000}"/>
    <cellStyle name="20% - Accent6 4 4 3 2 5" xfId="11568" xr:uid="{00000000-0005-0000-0000-0000EB2A0000}"/>
    <cellStyle name="20% - Accent6 4 4 3 2 6" xfId="11569" xr:uid="{00000000-0005-0000-0000-0000EC2A0000}"/>
    <cellStyle name="20% - Accent6 4 4 3 3" xfId="11570" xr:uid="{00000000-0005-0000-0000-0000ED2A0000}"/>
    <cellStyle name="20% - Accent6 4 4 3 3 2" xfId="11571" xr:uid="{00000000-0005-0000-0000-0000EE2A0000}"/>
    <cellStyle name="20% - Accent6 4 4 3 3 3" xfId="11572" xr:uid="{00000000-0005-0000-0000-0000EF2A0000}"/>
    <cellStyle name="20% - Accent6 4 4 3 4" xfId="11573" xr:uid="{00000000-0005-0000-0000-0000F02A0000}"/>
    <cellStyle name="20% - Accent6 4 4 3 5" xfId="11574" xr:uid="{00000000-0005-0000-0000-0000F12A0000}"/>
    <cellStyle name="20% - Accent6 4 4 3 6" xfId="11575" xr:uid="{00000000-0005-0000-0000-0000F22A0000}"/>
    <cellStyle name="20% - Accent6 4 4 3 7" xfId="11576" xr:uid="{00000000-0005-0000-0000-0000F32A0000}"/>
    <cellStyle name="20% - Accent6 4 4 4" xfId="11577" xr:uid="{00000000-0005-0000-0000-0000F42A0000}"/>
    <cellStyle name="20% - Accent6 4 4 4 2" xfId="11578" xr:uid="{00000000-0005-0000-0000-0000F52A0000}"/>
    <cellStyle name="20% - Accent6 4 4 4 2 2" xfId="11579" xr:uid="{00000000-0005-0000-0000-0000F62A0000}"/>
    <cellStyle name="20% - Accent6 4 4 4 2 3" xfId="11580" xr:uid="{00000000-0005-0000-0000-0000F72A0000}"/>
    <cellStyle name="20% - Accent6 4 4 4 3" xfId="11581" xr:uid="{00000000-0005-0000-0000-0000F82A0000}"/>
    <cellStyle name="20% - Accent6 4 4 4 4" xfId="11582" xr:uid="{00000000-0005-0000-0000-0000F92A0000}"/>
    <cellStyle name="20% - Accent6 4 4 4 5" xfId="11583" xr:uid="{00000000-0005-0000-0000-0000FA2A0000}"/>
    <cellStyle name="20% - Accent6 4 4 4 6" xfId="11584" xr:uid="{00000000-0005-0000-0000-0000FB2A0000}"/>
    <cellStyle name="20% - Accent6 4 4 5" xfId="11585" xr:uid="{00000000-0005-0000-0000-0000FC2A0000}"/>
    <cellStyle name="20% - Accent6 4 4 5 2" xfId="11586" xr:uid="{00000000-0005-0000-0000-0000FD2A0000}"/>
    <cellStyle name="20% - Accent6 4 4 5 2 2" xfId="11587" xr:uid="{00000000-0005-0000-0000-0000FE2A0000}"/>
    <cellStyle name="20% - Accent6 4 4 5 2 3" xfId="11588" xr:uid="{00000000-0005-0000-0000-0000FF2A0000}"/>
    <cellStyle name="20% - Accent6 4 4 5 3" xfId="11589" xr:uid="{00000000-0005-0000-0000-0000002B0000}"/>
    <cellStyle name="20% - Accent6 4 4 5 4" xfId="11590" xr:uid="{00000000-0005-0000-0000-0000012B0000}"/>
    <cellStyle name="20% - Accent6 4 4 5 5" xfId="11591" xr:uid="{00000000-0005-0000-0000-0000022B0000}"/>
    <cellStyle name="20% - Accent6 4 4 5 6" xfId="11592" xr:uid="{00000000-0005-0000-0000-0000032B0000}"/>
    <cellStyle name="20% - Accent6 4 4 6" xfId="11593" xr:uid="{00000000-0005-0000-0000-0000042B0000}"/>
    <cellStyle name="20% - Accent6 4 4 6 2" xfId="11594" xr:uid="{00000000-0005-0000-0000-0000052B0000}"/>
    <cellStyle name="20% - Accent6 4 4 6 3" xfId="11595" xr:uid="{00000000-0005-0000-0000-0000062B0000}"/>
    <cellStyle name="20% - Accent6 4 4 7" xfId="11596" xr:uid="{00000000-0005-0000-0000-0000072B0000}"/>
    <cellStyle name="20% - Accent6 4 4 8" xfId="11597" xr:uid="{00000000-0005-0000-0000-0000082B0000}"/>
    <cellStyle name="20% - Accent6 4 4 9" xfId="11598" xr:uid="{00000000-0005-0000-0000-0000092B0000}"/>
    <cellStyle name="20% - Accent6 4 5" xfId="11599" xr:uid="{00000000-0005-0000-0000-00000A2B0000}"/>
    <cellStyle name="20% - Accent6 4 5 2" xfId="11600" xr:uid="{00000000-0005-0000-0000-00000B2B0000}"/>
    <cellStyle name="20% - Accent6 4 5 2 2" xfId="11601" xr:uid="{00000000-0005-0000-0000-00000C2B0000}"/>
    <cellStyle name="20% - Accent6 4 5 2 2 2" xfId="11602" xr:uid="{00000000-0005-0000-0000-00000D2B0000}"/>
    <cellStyle name="20% - Accent6 4 5 2 2 2 2" xfId="11603" xr:uid="{00000000-0005-0000-0000-00000E2B0000}"/>
    <cellStyle name="20% - Accent6 4 5 2 2 2 3" xfId="11604" xr:uid="{00000000-0005-0000-0000-00000F2B0000}"/>
    <cellStyle name="20% - Accent6 4 5 2 2 3" xfId="11605" xr:uid="{00000000-0005-0000-0000-0000102B0000}"/>
    <cellStyle name="20% - Accent6 4 5 2 2 4" xfId="11606" xr:uid="{00000000-0005-0000-0000-0000112B0000}"/>
    <cellStyle name="20% - Accent6 4 5 2 2 5" xfId="11607" xr:uid="{00000000-0005-0000-0000-0000122B0000}"/>
    <cellStyle name="20% - Accent6 4 5 2 2 6" xfId="11608" xr:uid="{00000000-0005-0000-0000-0000132B0000}"/>
    <cellStyle name="20% - Accent6 4 5 2 3" xfId="11609" xr:uid="{00000000-0005-0000-0000-0000142B0000}"/>
    <cellStyle name="20% - Accent6 4 5 2 3 2" xfId="11610" xr:uid="{00000000-0005-0000-0000-0000152B0000}"/>
    <cellStyle name="20% - Accent6 4 5 2 3 3" xfId="11611" xr:uid="{00000000-0005-0000-0000-0000162B0000}"/>
    <cellStyle name="20% - Accent6 4 5 2 4" xfId="11612" xr:uid="{00000000-0005-0000-0000-0000172B0000}"/>
    <cellStyle name="20% - Accent6 4 5 2 5" xfId="11613" xr:uid="{00000000-0005-0000-0000-0000182B0000}"/>
    <cellStyle name="20% - Accent6 4 5 2 6" xfId="11614" xr:uid="{00000000-0005-0000-0000-0000192B0000}"/>
    <cellStyle name="20% - Accent6 4 5 2 7" xfId="11615" xr:uid="{00000000-0005-0000-0000-00001A2B0000}"/>
    <cellStyle name="20% - Accent6 4 5 3" xfId="11616" xr:uid="{00000000-0005-0000-0000-00001B2B0000}"/>
    <cellStyle name="20% - Accent6 4 5 3 2" xfId="11617" xr:uid="{00000000-0005-0000-0000-00001C2B0000}"/>
    <cellStyle name="20% - Accent6 4 5 3 2 2" xfId="11618" xr:uid="{00000000-0005-0000-0000-00001D2B0000}"/>
    <cellStyle name="20% - Accent6 4 5 3 2 3" xfId="11619" xr:uid="{00000000-0005-0000-0000-00001E2B0000}"/>
    <cellStyle name="20% - Accent6 4 5 3 3" xfId="11620" xr:uid="{00000000-0005-0000-0000-00001F2B0000}"/>
    <cellStyle name="20% - Accent6 4 5 3 4" xfId="11621" xr:uid="{00000000-0005-0000-0000-0000202B0000}"/>
    <cellStyle name="20% - Accent6 4 5 3 5" xfId="11622" xr:uid="{00000000-0005-0000-0000-0000212B0000}"/>
    <cellStyle name="20% - Accent6 4 5 3 6" xfId="11623" xr:uid="{00000000-0005-0000-0000-0000222B0000}"/>
    <cellStyle name="20% - Accent6 4 5 4" xfId="11624" xr:uid="{00000000-0005-0000-0000-0000232B0000}"/>
    <cellStyle name="20% - Accent6 4 5 4 2" xfId="11625" xr:uid="{00000000-0005-0000-0000-0000242B0000}"/>
    <cellStyle name="20% - Accent6 4 5 4 2 2" xfId="11626" xr:uid="{00000000-0005-0000-0000-0000252B0000}"/>
    <cellStyle name="20% - Accent6 4 5 4 2 3" xfId="11627" xr:uid="{00000000-0005-0000-0000-0000262B0000}"/>
    <cellStyle name="20% - Accent6 4 5 4 3" xfId="11628" xr:uid="{00000000-0005-0000-0000-0000272B0000}"/>
    <cellStyle name="20% - Accent6 4 5 4 4" xfId="11629" xr:uid="{00000000-0005-0000-0000-0000282B0000}"/>
    <cellStyle name="20% - Accent6 4 5 4 5" xfId="11630" xr:uid="{00000000-0005-0000-0000-0000292B0000}"/>
    <cellStyle name="20% - Accent6 4 5 4 6" xfId="11631" xr:uid="{00000000-0005-0000-0000-00002A2B0000}"/>
    <cellStyle name="20% - Accent6 4 5 5" xfId="11632" xr:uid="{00000000-0005-0000-0000-00002B2B0000}"/>
    <cellStyle name="20% - Accent6 4 5 5 2" xfId="11633" xr:uid="{00000000-0005-0000-0000-00002C2B0000}"/>
    <cellStyle name="20% - Accent6 4 5 5 3" xfId="11634" xr:uid="{00000000-0005-0000-0000-00002D2B0000}"/>
    <cellStyle name="20% - Accent6 4 5 6" xfId="11635" xr:uid="{00000000-0005-0000-0000-00002E2B0000}"/>
    <cellStyle name="20% - Accent6 4 5 7" xfId="11636" xr:uid="{00000000-0005-0000-0000-00002F2B0000}"/>
    <cellStyle name="20% - Accent6 4 5 8" xfId="11637" xr:uid="{00000000-0005-0000-0000-0000302B0000}"/>
    <cellStyle name="20% - Accent6 4 5 9" xfId="11638" xr:uid="{00000000-0005-0000-0000-0000312B0000}"/>
    <cellStyle name="20% - Accent6 4 6" xfId="11639" xr:uid="{00000000-0005-0000-0000-0000322B0000}"/>
    <cellStyle name="20% - Accent6 4 6 2" xfId="11640" xr:uid="{00000000-0005-0000-0000-0000332B0000}"/>
    <cellStyle name="20% - Accent6 4 6 2 2" xfId="11641" xr:uid="{00000000-0005-0000-0000-0000342B0000}"/>
    <cellStyle name="20% - Accent6 4 6 2 2 2" xfId="11642" xr:uid="{00000000-0005-0000-0000-0000352B0000}"/>
    <cellStyle name="20% - Accent6 4 6 2 2 3" xfId="11643" xr:uid="{00000000-0005-0000-0000-0000362B0000}"/>
    <cellStyle name="20% - Accent6 4 6 2 3" xfId="11644" xr:uid="{00000000-0005-0000-0000-0000372B0000}"/>
    <cellStyle name="20% - Accent6 4 6 2 4" xfId="11645" xr:uid="{00000000-0005-0000-0000-0000382B0000}"/>
    <cellStyle name="20% - Accent6 4 6 2 5" xfId="11646" xr:uid="{00000000-0005-0000-0000-0000392B0000}"/>
    <cellStyle name="20% - Accent6 4 6 2 6" xfId="11647" xr:uid="{00000000-0005-0000-0000-00003A2B0000}"/>
    <cellStyle name="20% - Accent6 4 6 3" xfId="11648" xr:uid="{00000000-0005-0000-0000-00003B2B0000}"/>
    <cellStyle name="20% - Accent6 4 6 3 2" xfId="11649" xr:uid="{00000000-0005-0000-0000-00003C2B0000}"/>
    <cellStyle name="20% - Accent6 4 6 3 3" xfId="11650" xr:uid="{00000000-0005-0000-0000-00003D2B0000}"/>
    <cellStyle name="20% - Accent6 4 6 4" xfId="11651" xr:uid="{00000000-0005-0000-0000-00003E2B0000}"/>
    <cellStyle name="20% - Accent6 4 6 5" xfId="11652" xr:uid="{00000000-0005-0000-0000-00003F2B0000}"/>
    <cellStyle name="20% - Accent6 4 6 6" xfId="11653" xr:uid="{00000000-0005-0000-0000-0000402B0000}"/>
    <cellStyle name="20% - Accent6 4 6 7" xfId="11654" xr:uid="{00000000-0005-0000-0000-0000412B0000}"/>
    <cellStyle name="20% - Accent6 4 7" xfId="11655" xr:uid="{00000000-0005-0000-0000-0000422B0000}"/>
    <cellStyle name="20% - Accent6 4 7 2" xfId="11656" xr:uid="{00000000-0005-0000-0000-0000432B0000}"/>
    <cellStyle name="20% - Accent6 4 7 2 2" xfId="11657" xr:uid="{00000000-0005-0000-0000-0000442B0000}"/>
    <cellStyle name="20% - Accent6 4 7 2 3" xfId="11658" xr:uid="{00000000-0005-0000-0000-0000452B0000}"/>
    <cellStyle name="20% - Accent6 4 7 3" xfId="11659" xr:uid="{00000000-0005-0000-0000-0000462B0000}"/>
    <cellStyle name="20% - Accent6 4 7 4" xfId="11660" xr:uid="{00000000-0005-0000-0000-0000472B0000}"/>
    <cellStyle name="20% - Accent6 4 7 5" xfId="11661" xr:uid="{00000000-0005-0000-0000-0000482B0000}"/>
    <cellStyle name="20% - Accent6 4 7 6" xfId="11662" xr:uid="{00000000-0005-0000-0000-0000492B0000}"/>
    <cellStyle name="20% - Accent6 4 8" xfId="11663" xr:uid="{00000000-0005-0000-0000-00004A2B0000}"/>
    <cellStyle name="20% - Accent6 4 8 2" xfId="11664" xr:uid="{00000000-0005-0000-0000-00004B2B0000}"/>
    <cellStyle name="20% - Accent6 4 8 2 2" xfId="11665" xr:uid="{00000000-0005-0000-0000-00004C2B0000}"/>
    <cellStyle name="20% - Accent6 4 8 2 3" xfId="11666" xr:uid="{00000000-0005-0000-0000-00004D2B0000}"/>
    <cellStyle name="20% - Accent6 4 8 3" xfId="11667" xr:uid="{00000000-0005-0000-0000-00004E2B0000}"/>
    <cellStyle name="20% - Accent6 4 8 4" xfId="11668" xr:uid="{00000000-0005-0000-0000-00004F2B0000}"/>
    <cellStyle name="20% - Accent6 4 8 5" xfId="11669" xr:uid="{00000000-0005-0000-0000-0000502B0000}"/>
    <cellStyle name="20% - Accent6 4 8 6" xfId="11670" xr:uid="{00000000-0005-0000-0000-0000512B0000}"/>
    <cellStyle name="20% - Accent6 4 9" xfId="11671" xr:uid="{00000000-0005-0000-0000-0000522B0000}"/>
    <cellStyle name="20% - Accent6 4 9 2" xfId="11672" xr:uid="{00000000-0005-0000-0000-0000532B0000}"/>
    <cellStyle name="20% - Accent6 4 9 2 2" xfId="11673" xr:uid="{00000000-0005-0000-0000-0000542B0000}"/>
    <cellStyle name="20% - Accent6 4 9 2 3" xfId="11674" xr:uid="{00000000-0005-0000-0000-0000552B0000}"/>
    <cellStyle name="20% - Accent6 4 9 3" xfId="11675" xr:uid="{00000000-0005-0000-0000-0000562B0000}"/>
    <cellStyle name="20% - Accent6 4 9 4" xfId="11676" xr:uid="{00000000-0005-0000-0000-0000572B0000}"/>
    <cellStyle name="20% - Accent6 4 9 5" xfId="11677" xr:uid="{00000000-0005-0000-0000-0000582B0000}"/>
    <cellStyle name="20% - Accent6 4 9 6" xfId="11678" xr:uid="{00000000-0005-0000-0000-0000592B0000}"/>
    <cellStyle name="20% - Accent6 5" xfId="11679" xr:uid="{00000000-0005-0000-0000-00005A2B0000}"/>
    <cellStyle name="20% - Accent6 5 10" xfId="11680" xr:uid="{00000000-0005-0000-0000-00005B2B0000}"/>
    <cellStyle name="20% - Accent6 5 11" xfId="11681" xr:uid="{00000000-0005-0000-0000-00005C2B0000}"/>
    <cellStyle name="20% - Accent6 5 12" xfId="11682" xr:uid="{00000000-0005-0000-0000-00005D2B0000}"/>
    <cellStyle name="20% - Accent6 5 13" xfId="11683" xr:uid="{00000000-0005-0000-0000-00005E2B0000}"/>
    <cellStyle name="20% - Accent6 5 2" xfId="11684" xr:uid="{00000000-0005-0000-0000-00005F2B0000}"/>
    <cellStyle name="20% - Accent6 5 2 10" xfId="11685" xr:uid="{00000000-0005-0000-0000-0000602B0000}"/>
    <cellStyle name="20% - Accent6 5 2 2" xfId="11686" xr:uid="{00000000-0005-0000-0000-0000612B0000}"/>
    <cellStyle name="20% - Accent6 5 2 2 2" xfId="11687" xr:uid="{00000000-0005-0000-0000-0000622B0000}"/>
    <cellStyle name="20% - Accent6 5 2 2 2 2" xfId="11688" xr:uid="{00000000-0005-0000-0000-0000632B0000}"/>
    <cellStyle name="20% - Accent6 5 2 2 2 2 2" xfId="11689" xr:uid="{00000000-0005-0000-0000-0000642B0000}"/>
    <cellStyle name="20% - Accent6 5 2 2 2 2 3" xfId="11690" xr:uid="{00000000-0005-0000-0000-0000652B0000}"/>
    <cellStyle name="20% - Accent6 5 2 2 2 3" xfId="11691" xr:uid="{00000000-0005-0000-0000-0000662B0000}"/>
    <cellStyle name="20% - Accent6 5 2 2 2 4" xfId="11692" xr:uid="{00000000-0005-0000-0000-0000672B0000}"/>
    <cellStyle name="20% - Accent6 5 2 2 2 5" xfId="11693" xr:uid="{00000000-0005-0000-0000-0000682B0000}"/>
    <cellStyle name="20% - Accent6 5 2 2 2 6" xfId="11694" xr:uid="{00000000-0005-0000-0000-0000692B0000}"/>
    <cellStyle name="20% - Accent6 5 2 2 3" xfId="11695" xr:uid="{00000000-0005-0000-0000-00006A2B0000}"/>
    <cellStyle name="20% - Accent6 5 2 2 3 2" xfId="11696" xr:uid="{00000000-0005-0000-0000-00006B2B0000}"/>
    <cellStyle name="20% - Accent6 5 2 2 3 2 2" xfId="11697" xr:uid="{00000000-0005-0000-0000-00006C2B0000}"/>
    <cellStyle name="20% - Accent6 5 2 2 3 2 3" xfId="11698" xr:uid="{00000000-0005-0000-0000-00006D2B0000}"/>
    <cellStyle name="20% - Accent6 5 2 2 3 3" xfId="11699" xr:uid="{00000000-0005-0000-0000-00006E2B0000}"/>
    <cellStyle name="20% - Accent6 5 2 2 3 4" xfId="11700" xr:uid="{00000000-0005-0000-0000-00006F2B0000}"/>
    <cellStyle name="20% - Accent6 5 2 2 3 5" xfId="11701" xr:uid="{00000000-0005-0000-0000-0000702B0000}"/>
    <cellStyle name="20% - Accent6 5 2 2 3 6" xfId="11702" xr:uid="{00000000-0005-0000-0000-0000712B0000}"/>
    <cellStyle name="20% - Accent6 5 2 2 4" xfId="11703" xr:uid="{00000000-0005-0000-0000-0000722B0000}"/>
    <cellStyle name="20% - Accent6 5 2 2 4 2" xfId="11704" xr:uid="{00000000-0005-0000-0000-0000732B0000}"/>
    <cellStyle name="20% - Accent6 5 2 2 4 3" xfId="11705" xr:uid="{00000000-0005-0000-0000-0000742B0000}"/>
    <cellStyle name="20% - Accent6 5 2 2 5" xfId="11706" xr:uid="{00000000-0005-0000-0000-0000752B0000}"/>
    <cellStyle name="20% - Accent6 5 2 2 6" xfId="11707" xr:uid="{00000000-0005-0000-0000-0000762B0000}"/>
    <cellStyle name="20% - Accent6 5 2 2 7" xfId="11708" xr:uid="{00000000-0005-0000-0000-0000772B0000}"/>
    <cellStyle name="20% - Accent6 5 2 2 8" xfId="11709" xr:uid="{00000000-0005-0000-0000-0000782B0000}"/>
    <cellStyle name="20% - Accent6 5 2 3" xfId="11710" xr:uid="{00000000-0005-0000-0000-0000792B0000}"/>
    <cellStyle name="20% - Accent6 5 2 3 2" xfId="11711" xr:uid="{00000000-0005-0000-0000-00007A2B0000}"/>
    <cellStyle name="20% - Accent6 5 2 3 2 2" xfId="11712" xr:uid="{00000000-0005-0000-0000-00007B2B0000}"/>
    <cellStyle name="20% - Accent6 5 2 3 2 2 2" xfId="11713" xr:uid="{00000000-0005-0000-0000-00007C2B0000}"/>
    <cellStyle name="20% - Accent6 5 2 3 2 2 3" xfId="11714" xr:uid="{00000000-0005-0000-0000-00007D2B0000}"/>
    <cellStyle name="20% - Accent6 5 2 3 2 3" xfId="11715" xr:uid="{00000000-0005-0000-0000-00007E2B0000}"/>
    <cellStyle name="20% - Accent6 5 2 3 2 4" xfId="11716" xr:uid="{00000000-0005-0000-0000-00007F2B0000}"/>
    <cellStyle name="20% - Accent6 5 2 3 2 5" xfId="11717" xr:uid="{00000000-0005-0000-0000-0000802B0000}"/>
    <cellStyle name="20% - Accent6 5 2 3 2 6" xfId="11718" xr:uid="{00000000-0005-0000-0000-0000812B0000}"/>
    <cellStyle name="20% - Accent6 5 2 3 3" xfId="11719" xr:uid="{00000000-0005-0000-0000-0000822B0000}"/>
    <cellStyle name="20% - Accent6 5 2 3 3 2" xfId="11720" xr:uid="{00000000-0005-0000-0000-0000832B0000}"/>
    <cellStyle name="20% - Accent6 5 2 3 3 3" xfId="11721" xr:uid="{00000000-0005-0000-0000-0000842B0000}"/>
    <cellStyle name="20% - Accent6 5 2 3 4" xfId="11722" xr:uid="{00000000-0005-0000-0000-0000852B0000}"/>
    <cellStyle name="20% - Accent6 5 2 3 5" xfId="11723" xr:uid="{00000000-0005-0000-0000-0000862B0000}"/>
    <cellStyle name="20% - Accent6 5 2 3 6" xfId="11724" xr:uid="{00000000-0005-0000-0000-0000872B0000}"/>
    <cellStyle name="20% - Accent6 5 2 3 7" xfId="11725" xr:uid="{00000000-0005-0000-0000-0000882B0000}"/>
    <cellStyle name="20% - Accent6 5 2 4" xfId="11726" xr:uid="{00000000-0005-0000-0000-0000892B0000}"/>
    <cellStyle name="20% - Accent6 5 2 4 2" xfId="11727" xr:uid="{00000000-0005-0000-0000-00008A2B0000}"/>
    <cellStyle name="20% - Accent6 5 2 4 2 2" xfId="11728" xr:uid="{00000000-0005-0000-0000-00008B2B0000}"/>
    <cellStyle name="20% - Accent6 5 2 4 2 3" xfId="11729" xr:uid="{00000000-0005-0000-0000-00008C2B0000}"/>
    <cellStyle name="20% - Accent6 5 2 4 3" xfId="11730" xr:uid="{00000000-0005-0000-0000-00008D2B0000}"/>
    <cellStyle name="20% - Accent6 5 2 4 4" xfId="11731" xr:uid="{00000000-0005-0000-0000-00008E2B0000}"/>
    <cellStyle name="20% - Accent6 5 2 4 5" xfId="11732" xr:uid="{00000000-0005-0000-0000-00008F2B0000}"/>
    <cellStyle name="20% - Accent6 5 2 4 6" xfId="11733" xr:uid="{00000000-0005-0000-0000-0000902B0000}"/>
    <cellStyle name="20% - Accent6 5 2 5" xfId="11734" xr:uid="{00000000-0005-0000-0000-0000912B0000}"/>
    <cellStyle name="20% - Accent6 5 2 5 2" xfId="11735" xr:uid="{00000000-0005-0000-0000-0000922B0000}"/>
    <cellStyle name="20% - Accent6 5 2 5 2 2" xfId="11736" xr:uid="{00000000-0005-0000-0000-0000932B0000}"/>
    <cellStyle name="20% - Accent6 5 2 5 2 3" xfId="11737" xr:uid="{00000000-0005-0000-0000-0000942B0000}"/>
    <cellStyle name="20% - Accent6 5 2 5 3" xfId="11738" xr:uid="{00000000-0005-0000-0000-0000952B0000}"/>
    <cellStyle name="20% - Accent6 5 2 5 4" xfId="11739" xr:uid="{00000000-0005-0000-0000-0000962B0000}"/>
    <cellStyle name="20% - Accent6 5 2 5 5" xfId="11740" xr:uid="{00000000-0005-0000-0000-0000972B0000}"/>
    <cellStyle name="20% - Accent6 5 2 5 6" xfId="11741" xr:uid="{00000000-0005-0000-0000-0000982B0000}"/>
    <cellStyle name="20% - Accent6 5 2 6" xfId="11742" xr:uid="{00000000-0005-0000-0000-0000992B0000}"/>
    <cellStyle name="20% - Accent6 5 2 6 2" xfId="11743" xr:uid="{00000000-0005-0000-0000-00009A2B0000}"/>
    <cellStyle name="20% - Accent6 5 2 6 3" xfId="11744" xr:uid="{00000000-0005-0000-0000-00009B2B0000}"/>
    <cellStyle name="20% - Accent6 5 2 7" xfId="11745" xr:uid="{00000000-0005-0000-0000-00009C2B0000}"/>
    <cellStyle name="20% - Accent6 5 2 8" xfId="11746" xr:uid="{00000000-0005-0000-0000-00009D2B0000}"/>
    <cellStyle name="20% - Accent6 5 2 9" xfId="11747" xr:uid="{00000000-0005-0000-0000-00009E2B0000}"/>
    <cellStyle name="20% - Accent6 5 3" xfId="11748" xr:uid="{00000000-0005-0000-0000-00009F2B0000}"/>
    <cellStyle name="20% - Accent6 5 3 2" xfId="11749" xr:uid="{00000000-0005-0000-0000-0000A02B0000}"/>
    <cellStyle name="20% - Accent6 5 3 2 2" xfId="11750" xr:uid="{00000000-0005-0000-0000-0000A12B0000}"/>
    <cellStyle name="20% - Accent6 5 3 2 2 2" xfId="11751" xr:uid="{00000000-0005-0000-0000-0000A22B0000}"/>
    <cellStyle name="20% - Accent6 5 3 2 2 2 2" xfId="11752" xr:uid="{00000000-0005-0000-0000-0000A32B0000}"/>
    <cellStyle name="20% - Accent6 5 3 2 2 2 3" xfId="11753" xr:uid="{00000000-0005-0000-0000-0000A42B0000}"/>
    <cellStyle name="20% - Accent6 5 3 2 2 3" xfId="11754" xr:uid="{00000000-0005-0000-0000-0000A52B0000}"/>
    <cellStyle name="20% - Accent6 5 3 2 2 4" xfId="11755" xr:uid="{00000000-0005-0000-0000-0000A62B0000}"/>
    <cellStyle name="20% - Accent6 5 3 2 2 5" xfId="11756" xr:uid="{00000000-0005-0000-0000-0000A72B0000}"/>
    <cellStyle name="20% - Accent6 5 3 2 2 6" xfId="11757" xr:uid="{00000000-0005-0000-0000-0000A82B0000}"/>
    <cellStyle name="20% - Accent6 5 3 2 3" xfId="11758" xr:uid="{00000000-0005-0000-0000-0000A92B0000}"/>
    <cellStyle name="20% - Accent6 5 3 2 3 2" xfId="11759" xr:uid="{00000000-0005-0000-0000-0000AA2B0000}"/>
    <cellStyle name="20% - Accent6 5 3 2 3 3" xfId="11760" xr:uid="{00000000-0005-0000-0000-0000AB2B0000}"/>
    <cellStyle name="20% - Accent6 5 3 2 4" xfId="11761" xr:uid="{00000000-0005-0000-0000-0000AC2B0000}"/>
    <cellStyle name="20% - Accent6 5 3 2 5" xfId="11762" xr:uid="{00000000-0005-0000-0000-0000AD2B0000}"/>
    <cellStyle name="20% - Accent6 5 3 2 6" xfId="11763" xr:uid="{00000000-0005-0000-0000-0000AE2B0000}"/>
    <cellStyle name="20% - Accent6 5 3 2 7" xfId="11764" xr:uid="{00000000-0005-0000-0000-0000AF2B0000}"/>
    <cellStyle name="20% - Accent6 5 3 3" xfId="11765" xr:uid="{00000000-0005-0000-0000-0000B02B0000}"/>
    <cellStyle name="20% - Accent6 5 3 3 2" xfId="11766" xr:uid="{00000000-0005-0000-0000-0000B12B0000}"/>
    <cellStyle name="20% - Accent6 5 3 3 2 2" xfId="11767" xr:uid="{00000000-0005-0000-0000-0000B22B0000}"/>
    <cellStyle name="20% - Accent6 5 3 3 2 3" xfId="11768" xr:uid="{00000000-0005-0000-0000-0000B32B0000}"/>
    <cellStyle name="20% - Accent6 5 3 3 3" xfId="11769" xr:uid="{00000000-0005-0000-0000-0000B42B0000}"/>
    <cellStyle name="20% - Accent6 5 3 3 4" xfId="11770" xr:uid="{00000000-0005-0000-0000-0000B52B0000}"/>
    <cellStyle name="20% - Accent6 5 3 3 5" xfId="11771" xr:uid="{00000000-0005-0000-0000-0000B62B0000}"/>
    <cellStyle name="20% - Accent6 5 3 3 6" xfId="11772" xr:uid="{00000000-0005-0000-0000-0000B72B0000}"/>
    <cellStyle name="20% - Accent6 5 3 4" xfId="11773" xr:uid="{00000000-0005-0000-0000-0000B82B0000}"/>
    <cellStyle name="20% - Accent6 5 3 4 2" xfId="11774" xr:uid="{00000000-0005-0000-0000-0000B92B0000}"/>
    <cellStyle name="20% - Accent6 5 3 4 2 2" xfId="11775" xr:uid="{00000000-0005-0000-0000-0000BA2B0000}"/>
    <cellStyle name="20% - Accent6 5 3 4 2 3" xfId="11776" xr:uid="{00000000-0005-0000-0000-0000BB2B0000}"/>
    <cellStyle name="20% - Accent6 5 3 4 3" xfId="11777" xr:uid="{00000000-0005-0000-0000-0000BC2B0000}"/>
    <cellStyle name="20% - Accent6 5 3 4 4" xfId="11778" xr:uid="{00000000-0005-0000-0000-0000BD2B0000}"/>
    <cellStyle name="20% - Accent6 5 3 4 5" xfId="11779" xr:uid="{00000000-0005-0000-0000-0000BE2B0000}"/>
    <cellStyle name="20% - Accent6 5 3 4 6" xfId="11780" xr:uid="{00000000-0005-0000-0000-0000BF2B0000}"/>
    <cellStyle name="20% - Accent6 5 3 5" xfId="11781" xr:uid="{00000000-0005-0000-0000-0000C02B0000}"/>
    <cellStyle name="20% - Accent6 5 3 5 2" xfId="11782" xr:uid="{00000000-0005-0000-0000-0000C12B0000}"/>
    <cellStyle name="20% - Accent6 5 3 5 3" xfId="11783" xr:uid="{00000000-0005-0000-0000-0000C22B0000}"/>
    <cellStyle name="20% - Accent6 5 3 6" xfId="11784" xr:uid="{00000000-0005-0000-0000-0000C32B0000}"/>
    <cellStyle name="20% - Accent6 5 3 7" xfId="11785" xr:uid="{00000000-0005-0000-0000-0000C42B0000}"/>
    <cellStyle name="20% - Accent6 5 3 8" xfId="11786" xr:uid="{00000000-0005-0000-0000-0000C52B0000}"/>
    <cellStyle name="20% - Accent6 5 3 9" xfId="11787" xr:uid="{00000000-0005-0000-0000-0000C62B0000}"/>
    <cellStyle name="20% - Accent6 5 4" xfId="11788" xr:uid="{00000000-0005-0000-0000-0000C72B0000}"/>
    <cellStyle name="20% - Accent6 5 4 2" xfId="11789" xr:uid="{00000000-0005-0000-0000-0000C82B0000}"/>
    <cellStyle name="20% - Accent6 5 4 2 2" xfId="11790" xr:uid="{00000000-0005-0000-0000-0000C92B0000}"/>
    <cellStyle name="20% - Accent6 5 4 2 2 2" xfId="11791" xr:uid="{00000000-0005-0000-0000-0000CA2B0000}"/>
    <cellStyle name="20% - Accent6 5 4 2 2 3" xfId="11792" xr:uid="{00000000-0005-0000-0000-0000CB2B0000}"/>
    <cellStyle name="20% - Accent6 5 4 2 3" xfId="11793" xr:uid="{00000000-0005-0000-0000-0000CC2B0000}"/>
    <cellStyle name="20% - Accent6 5 4 2 4" xfId="11794" xr:uid="{00000000-0005-0000-0000-0000CD2B0000}"/>
    <cellStyle name="20% - Accent6 5 4 2 5" xfId="11795" xr:uid="{00000000-0005-0000-0000-0000CE2B0000}"/>
    <cellStyle name="20% - Accent6 5 4 2 6" xfId="11796" xr:uid="{00000000-0005-0000-0000-0000CF2B0000}"/>
    <cellStyle name="20% - Accent6 5 4 3" xfId="11797" xr:uid="{00000000-0005-0000-0000-0000D02B0000}"/>
    <cellStyle name="20% - Accent6 5 4 3 2" xfId="11798" xr:uid="{00000000-0005-0000-0000-0000D12B0000}"/>
    <cellStyle name="20% - Accent6 5 4 3 3" xfId="11799" xr:uid="{00000000-0005-0000-0000-0000D22B0000}"/>
    <cellStyle name="20% - Accent6 5 4 4" xfId="11800" xr:uid="{00000000-0005-0000-0000-0000D32B0000}"/>
    <cellStyle name="20% - Accent6 5 4 5" xfId="11801" xr:uid="{00000000-0005-0000-0000-0000D42B0000}"/>
    <cellStyle name="20% - Accent6 5 4 6" xfId="11802" xr:uid="{00000000-0005-0000-0000-0000D52B0000}"/>
    <cellStyle name="20% - Accent6 5 4 7" xfId="11803" xr:uid="{00000000-0005-0000-0000-0000D62B0000}"/>
    <cellStyle name="20% - Accent6 5 5" xfId="11804" xr:uid="{00000000-0005-0000-0000-0000D72B0000}"/>
    <cellStyle name="20% - Accent6 5 5 2" xfId="11805" xr:uid="{00000000-0005-0000-0000-0000D82B0000}"/>
    <cellStyle name="20% - Accent6 5 5 2 2" xfId="11806" xr:uid="{00000000-0005-0000-0000-0000D92B0000}"/>
    <cellStyle name="20% - Accent6 5 5 2 3" xfId="11807" xr:uid="{00000000-0005-0000-0000-0000DA2B0000}"/>
    <cellStyle name="20% - Accent6 5 5 3" xfId="11808" xr:uid="{00000000-0005-0000-0000-0000DB2B0000}"/>
    <cellStyle name="20% - Accent6 5 5 4" xfId="11809" xr:uid="{00000000-0005-0000-0000-0000DC2B0000}"/>
    <cellStyle name="20% - Accent6 5 5 5" xfId="11810" xr:uid="{00000000-0005-0000-0000-0000DD2B0000}"/>
    <cellStyle name="20% - Accent6 5 5 6" xfId="11811" xr:uid="{00000000-0005-0000-0000-0000DE2B0000}"/>
    <cellStyle name="20% - Accent6 5 6" xfId="11812" xr:uid="{00000000-0005-0000-0000-0000DF2B0000}"/>
    <cellStyle name="20% - Accent6 5 6 2" xfId="11813" xr:uid="{00000000-0005-0000-0000-0000E02B0000}"/>
    <cellStyle name="20% - Accent6 5 6 2 2" xfId="11814" xr:uid="{00000000-0005-0000-0000-0000E12B0000}"/>
    <cellStyle name="20% - Accent6 5 6 2 3" xfId="11815" xr:uid="{00000000-0005-0000-0000-0000E22B0000}"/>
    <cellStyle name="20% - Accent6 5 6 3" xfId="11816" xr:uid="{00000000-0005-0000-0000-0000E32B0000}"/>
    <cellStyle name="20% - Accent6 5 6 4" xfId="11817" xr:uid="{00000000-0005-0000-0000-0000E42B0000}"/>
    <cellStyle name="20% - Accent6 5 6 5" xfId="11818" xr:uid="{00000000-0005-0000-0000-0000E52B0000}"/>
    <cellStyle name="20% - Accent6 5 6 6" xfId="11819" xr:uid="{00000000-0005-0000-0000-0000E62B0000}"/>
    <cellStyle name="20% - Accent6 5 7" xfId="11820" xr:uid="{00000000-0005-0000-0000-0000E72B0000}"/>
    <cellStyle name="20% - Accent6 5 7 2" xfId="11821" xr:uid="{00000000-0005-0000-0000-0000E82B0000}"/>
    <cellStyle name="20% - Accent6 5 7 2 2" xfId="11822" xr:uid="{00000000-0005-0000-0000-0000E92B0000}"/>
    <cellStyle name="20% - Accent6 5 7 2 3" xfId="11823" xr:uid="{00000000-0005-0000-0000-0000EA2B0000}"/>
    <cellStyle name="20% - Accent6 5 7 3" xfId="11824" xr:uid="{00000000-0005-0000-0000-0000EB2B0000}"/>
    <cellStyle name="20% - Accent6 5 7 4" xfId="11825" xr:uid="{00000000-0005-0000-0000-0000EC2B0000}"/>
    <cellStyle name="20% - Accent6 5 7 5" xfId="11826" xr:uid="{00000000-0005-0000-0000-0000ED2B0000}"/>
    <cellStyle name="20% - Accent6 5 7 6" xfId="11827" xr:uid="{00000000-0005-0000-0000-0000EE2B0000}"/>
    <cellStyle name="20% - Accent6 5 8" xfId="11828" xr:uid="{00000000-0005-0000-0000-0000EF2B0000}"/>
    <cellStyle name="20% - Accent6 5 8 2" xfId="11829" xr:uid="{00000000-0005-0000-0000-0000F02B0000}"/>
    <cellStyle name="20% - Accent6 5 8 2 2" xfId="11830" xr:uid="{00000000-0005-0000-0000-0000F12B0000}"/>
    <cellStyle name="20% - Accent6 5 8 2 3" xfId="11831" xr:uid="{00000000-0005-0000-0000-0000F22B0000}"/>
    <cellStyle name="20% - Accent6 5 8 3" xfId="11832" xr:uid="{00000000-0005-0000-0000-0000F32B0000}"/>
    <cellStyle name="20% - Accent6 5 8 4" xfId="11833" xr:uid="{00000000-0005-0000-0000-0000F42B0000}"/>
    <cellStyle name="20% - Accent6 5 8 5" xfId="11834" xr:uid="{00000000-0005-0000-0000-0000F52B0000}"/>
    <cellStyle name="20% - Accent6 5 8 6" xfId="11835" xr:uid="{00000000-0005-0000-0000-0000F62B0000}"/>
    <cellStyle name="20% - Accent6 5 9" xfId="11836" xr:uid="{00000000-0005-0000-0000-0000F72B0000}"/>
    <cellStyle name="20% - Accent6 5 9 2" xfId="11837" xr:uid="{00000000-0005-0000-0000-0000F82B0000}"/>
    <cellStyle name="20% - Accent6 5 9 3" xfId="11838" xr:uid="{00000000-0005-0000-0000-0000F92B0000}"/>
    <cellStyle name="20% - Accent6 6" xfId="11839" xr:uid="{00000000-0005-0000-0000-0000FA2B0000}"/>
    <cellStyle name="20% - Accent6 6 10" xfId="11840" xr:uid="{00000000-0005-0000-0000-0000FB2B0000}"/>
    <cellStyle name="20% - Accent6 6 11" xfId="11841" xr:uid="{00000000-0005-0000-0000-0000FC2B0000}"/>
    <cellStyle name="20% - Accent6 6 2" xfId="11842" xr:uid="{00000000-0005-0000-0000-0000FD2B0000}"/>
    <cellStyle name="20% - Accent6 6 2 2" xfId="11843" xr:uid="{00000000-0005-0000-0000-0000FE2B0000}"/>
    <cellStyle name="20% - Accent6 6 2 2 2" xfId="11844" xr:uid="{00000000-0005-0000-0000-0000FF2B0000}"/>
    <cellStyle name="20% - Accent6 6 2 2 2 2" xfId="11845" xr:uid="{00000000-0005-0000-0000-0000002C0000}"/>
    <cellStyle name="20% - Accent6 6 2 2 2 3" xfId="11846" xr:uid="{00000000-0005-0000-0000-0000012C0000}"/>
    <cellStyle name="20% - Accent6 6 2 2 3" xfId="11847" xr:uid="{00000000-0005-0000-0000-0000022C0000}"/>
    <cellStyle name="20% - Accent6 6 2 2 4" xfId="11848" xr:uid="{00000000-0005-0000-0000-0000032C0000}"/>
    <cellStyle name="20% - Accent6 6 2 2 5" xfId="11849" xr:uid="{00000000-0005-0000-0000-0000042C0000}"/>
    <cellStyle name="20% - Accent6 6 2 2 6" xfId="11850" xr:uid="{00000000-0005-0000-0000-0000052C0000}"/>
    <cellStyle name="20% - Accent6 6 2 3" xfId="11851" xr:uid="{00000000-0005-0000-0000-0000062C0000}"/>
    <cellStyle name="20% - Accent6 6 2 3 2" xfId="11852" xr:uid="{00000000-0005-0000-0000-0000072C0000}"/>
    <cellStyle name="20% - Accent6 6 2 3 2 2" xfId="11853" xr:uid="{00000000-0005-0000-0000-0000082C0000}"/>
    <cellStyle name="20% - Accent6 6 2 3 2 3" xfId="11854" xr:uid="{00000000-0005-0000-0000-0000092C0000}"/>
    <cellStyle name="20% - Accent6 6 2 3 3" xfId="11855" xr:uid="{00000000-0005-0000-0000-00000A2C0000}"/>
    <cellStyle name="20% - Accent6 6 2 3 4" xfId="11856" xr:uid="{00000000-0005-0000-0000-00000B2C0000}"/>
    <cellStyle name="20% - Accent6 6 2 3 5" xfId="11857" xr:uid="{00000000-0005-0000-0000-00000C2C0000}"/>
    <cellStyle name="20% - Accent6 6 2 3 6" xfId="11858" xr:uid="{00000000-0005-0000-0000-00000D2C0000}"/>
    <cellStyle name="20% - Accent6 6 2 4" xfId="11859" xr:uid="{00000000-0005-0000-0000-00000E2C0000}"/>
    <cellStyle name="20% - Accent6 6 2 4 2" xfId="11860" xr:uid="{00000000-0005-0000-0000-00000F2C0000}"/>
    <cellStyle name="20% - Accent6 6 2 4 3" xfId="11861" xr:uid="{00000000-0005-0000-0000-0000102C0000}"/>
    <cellStyle name="20% - Accent6 6 2 5" xfId="11862" xr:uid="{00000000-0005-0000-0000-0000112C0000}"/>
    <cellStyle name="20% - Accent6 6 2 6" xfId="11863" xr:uid="{00000000-0005-0000-0000-0000122C0000}"/>
    <cellStyle name="20% - Accent6 6 2 7" xfId="11864" xr:uid="{00000000-0005-0000-0000-0000132C0000}"/>
    <cellStyle name="20% - Accent6 6 2 8" xfId="11865" xr:uid="{00000000-0005-0000-0000-0000142C0000}"/>
    <cellStyle name="20% - Accent6 6 3" xfId="11866" xr:uid="{00000000-0005-0000-0000-0000152C0000}"/>
    <cellStyle name="20% - Accent6 6 3 2" xfId="11867" xr:uid="{00000000-0005-0000-0000-0000162C0000}"/>
    <cellStyle name="20% - Accent6 6 3 2 2" xfId="11868" xr:uid="{00000000-0005-0000-0000-0000172C0000}"/>
    <cellStyle name="20% - Accent6 6 3 2 2 2" xfId="11869" xr:uid="{00000000-0005-0000-0000-0000182C0000}"/>
    <cellStyle name="20% - Accent6 6 3 2 2 3" xfId="11870" xr:uid="{00000000-0005-0000-0000-0000192C0000}"/>
    <cellStyle name="20% - Accent6 6 3 2 3" xfId="11871" xr:uid="{00000000-0005-0000-0000-00001A2C0000}"/>
    <cellStyle name="20% - Accent6 6 3 2 4" xfId="11872" xr:uid="{00000000-0005-0000-0000-00001B2C0000}"/>
    <cellStyle name="20% - Accent6 6 3 2 5" xfId="11873" xr:uid="{00000000-0005-0000-0000-00001C2C0000}"/>
    <cellStyle name="20% - Accent6 6 3 2 6" xfId="11874" xr:uid="{00000000-0005-0000-0000-00001D2C0000}"/>
    <cellStyle name="20% - Accent6 6 3 3" xfId="11875" xr:uid="{00000000-0005-0000-0000-00001E2C0000}"/>
    <cellStyle name="20% - Accent6 6 3 3 2" xfId="11876" xr:uid="{00000000-0005-0000-0000-00001F2C0000}"/>
    <cellStyle name="20% - Accent6 6 3 3 3" xfId="11877" xr:uid="{00000000-0005-0000-0000-0000202C0000}"/>
    <cellStyle name="20% - Accent6 6 3 4" xfId="11878" xr:uid="{00000000-0005-0000-0000-0000212C0000}"/>
    <cellStyle name="20% - Accent6 6 3 5" xfId="11879" xr:uid="{00000000-0005-0000-0000-0000222C0000}"/>
    <cellStyle name="20% - Accent6 6 3 6" xfId="11880" xr:uid="{00000000-0005-0000-0000-0000232C0000}"/>
    <cellStyle name="20% - Accent6 6 3 7" xfId="11881" xr:uid="{00000000-0005-0000-0000-0000242C0000}"/>
    <cellStyle name="20% - Accent6 6 4" xfId="11882" xr:uid="{00000000-0005-0000-0000-0000252C0000}"/>
    <cellStyle name="20% - Accent6 6 4 2" xfId="11883" xr:uid="{00000000-0005-0000-0000-0000262C0000}"/>
    <cellStyle name="20% - Accent6 6 4 2 2" xfId="11884" xr:uid="{00000000-0005-0000-0000-0000272C0000}"/>
    <cellStyle name="20% - Accent6 6 4 2 3" xfId="11885" xr:uid="{00000000-0005-0000-0000-0000282C0000}"/>
    <cellStyle name="20% - Accent6 6 4 3" xfId="11886" xr:uid="{00000000-0005-0000-0000-0000292C0000}"/>
    <cellStyle name="20% - Accent6 6 4 4" xfId="11887" xr:uid="{00000000-0005-0000-0000-00002A2C0000}"/>
    <cellStyle name="20% - Accent6 6 4 5" xfId="11888" xr:uid="{00000000-0005-0000-0000-00002B2C0000}"/>
    <cellStyle name="20% - Accent6 6 4 6" xfId="11889" xr:uid="{00000000-0005-0000-0000-00002C2C0000}"/>
    <cellStyle name="20% - Accent6 6 5" xfId="11890" xr:uid="{00000000-0005-0000-0000-00002D2C0000}"/>
    <cellStyle name="20% - Accent6 6 5 2" xfId="11891" xr:uid="{00000000-0005-0000-0000-00002E2C0000}"/>
    <cellStyle name="20% - Accent6 6 5 2 2" xfId="11892" xr:uid="{00000000-0005-0000-0000-00002F2C0000}"/>
    <cellStyle name="20% - Accent6 6 5 2 3" xfId="11893" xr:uid="{00000000-0005-0000-0000-0000302C0000}"/>
    <cellStyle name="20% - Accent6 6 5 3" xfId="11894" xr:uid="{00000000-0005-0000-0000-0000312C0000}"/>
    <cellStyle name="20% - Accent6 6 5 4" xfId="11895" xr:uid="{00000000-0005-0000-0000-0000322C0000}"/>
    <cellStyle name="20% - Accent6 6 5 5" xfId="11896" xr:uid="{00000000-0005-0000-0000-0000332C0000}"/>
    <cellStyle name="20% - Accent6 6 5 6" xfId="11897" xr:uid="{00000000-0005-0000-0000-0000342C0000}"/>
    <cellStyle name="20% - Accent6 6 6" xfId="11898" xr:uid="{00000000-0005-0000-0000-0000352C0000}"/>
    <cellStyle name="20% - Accent6 6 6 2" xfId="11899" xr:uid="{00000000-0005-0000-0000-0000362C0000}"/>
    <cellStyle name="20% - Accent6 6 6 2 2" xfId="11900" xr:uid="{00000000-0005-0000-0000-0000372C0000}"/>
    <cellStyle name="20% - Accent6 6 6 2 3" xfId="11901" xr:uid="{00000000-0005-0000-0000-0000382C0000}"/>
    <cellStyle name="20% - Accent6 6 6 3" xfId="11902" xr:uid="{00000000-0005-0000-0000-0000392C0000}"/>
    <cellStyle name="20% - Accent6 6 6 4" xfId="11903" xr:uid="{00000000-0005-0000-0000-00003A2C0000}"/>
    <cellStyle name="20% - Accent6 6 6 5" xfId="11904" xr:uid="{00000000-0005-0000-0000-00003B2C0000}"/>
    <cellStyle name="20% - Accent6 6 6 6" xfId="11905" xr:uid="{00000000-0005-0000-0000-00003C2C0000}"/>
    <cellStyle name="20% - Accent6 6 7" xfId="11906" xr:uid="{00000000-0005-0000-0000-00003D2C0000}"/>
    <cellStyle name="20% - Accent6 6 7 2" xfId="11907" xr:uid="{00000000-0005-0000-0000-00003E2C0000}"/>
    <cellStyle name="20% - Accent6 6 7 3" xfId="11908" xr:uid="{00000000-0005-0000-0000-00003F2C0000}"/>
    <cellStyle name="20% - Accent6 6 8" xfId="11909" xr:uid="{00000000-0005-0000-0000-0000402C0000}"/>
    <cellStyle name="20% - Accent6 6 9" xfId="11910" xr:uid="{00000000-0005-0000-0000-0000412C0000}"/>
    <cellStyle name="20% - Accent6 7" xfId="11911" xr:uid="{00000000-0005-0000-0000-0000422C0000}"/>
    <cellStyle name="20% - Accent6 7 2" xfId="11912" xr:uid="{00000000-0005-0000-0000-0000432C0000}"/>
    <cellStyle name="20% - Accent6 7 2 2" xfId="11913" xr:uid="{00000000-0005-0000-0000-0000442C0000}"/>
    <cellStyle name="20% - Accent6 7 2 3" xfId="11914" xr:uid="{00000000-0005-0000-0000-0000452C0000}"/>
    <cellStyle name="20% - Accent6 7 3" xfId="11915" xr:uid="{00000000-0005-0000-0000-0000462C0000}"/>
    <cellStyle name="20% - Accent6 7 4" xfId="11916" xr:uid="{00000000-0005-0000-0000-0000472C0000}"/>
    <cellStyle name="20% - Accent6 7 5" xfId="11917" xr:uid="{00000000-0005-0000-0000-0000482C0000}"/>
    <cellStyle name="20% - Accent6 7 6" xfId="11918" xr:uid="{00000000-0005-0000-0000-0000492C0000}"/>
    <cellStyle name="20% - Accent6 8" xfId="11919" xr:uid="{00000000-0005-0000-0000-00004A2C0000}"/>
    <cellStyle name="20% - Accent6 8 2" xfId="11920" xr:uid="{00000000-0005-0000-0000-00004B2C0000}"/>
    <cellStyle name="20% - Accent6 8 2 2" xfId="11921" xr:uid="{00000000-0005-0000-0000-00004C2C0000}"/>
    <cellStyle name="20% - Accent6 8 2 3" xfId="11922" xr:uid="{00000000-0005-0000-0000-00004D2C0000}"/>
    <cellStyle name="20% - Accent6 8 3" xfId="11923" xr:uid="{00000000-0005-0000-0000-00004E2C0000}"/>
    <cellStyle name="20% - Accent6 8 4" xfId="11924" xr:uid="{00000000-0005-0000-0000-00004F2C0000}"/>
    <cellStyle name="20% - Accent6 8 5" xfId="11925" xr:uid="{00000000-0005-0000-0000-0000502C0000}"/>
    <cellStyle name="20% - Accent6 8 6" xfId="11926" xr:uid="{00000000-0005-0000-0000-0000512C0000}"/>
    <cellStyle name="20% - Accent6 9" xfId="11927" xr:uid="{00000000-0005-0000-0000-0000522C0000}"/>
    <cellStyle name="20% - Accent6 9 2" xfId="11928" xr:uid="{00000000-0005-0000-0000-0000532C0000}"/>
    <cellStyle name="20% - Accent6 9 2 2" xfId="11929" xr:uid="{00000000-0005-0000-0000-0000542C0000}"/>
    <cellStyle name="20% - Accent6 9 2 3" xfId="11930" xr:uid="{00000000-0005-0000-0000-0000552C0000}"/>
    <cellStyle name="20% - Accent6 9 3" xfId="11931" xr:uid="{00000000-0005-0000-0000-0000562C0000}"/>
    <cellStyle name="20% - Accent6 9 4" xfId="11932" xr:uid="{00000000-0005-0000-0000-0000572C0000}"/>
    <cellStyle name="20% - Accent6 9 5" xfId="11933" xr:uid="{00000000-0005-0000-0000-0000582C0000}"/>
    <cellStyle name="20% - Accent6 9 6" xfId="11934" xr:uid="{00000000-0005-0000-0000-0000592C0000}"/>
    <cellStyle name="40% - Accent1" xfId="22" builtinId="31" customBuiltin="1"/>
    <cellStyle name="40% - Accent1 10" xfId="11935" xr:uid="{00000000-0005-0000-0000-00005B2C0000}"/>
    <cellStyle name="40% - Accent1 10 2" xfId="11936" xr:uid="{00000000-0005-0000-0000-00005C2C0000}"/>
    <cellStyle name="40% - Accent1 10 2 2" xfId="11937" xr:uid="{00000000-0005-0000-0000-00005D2C0000}"/>
    <cellStyle name="40% - Accent1 10 2 3" xfId="11938" xr:uid="{00000000-0005-0000-0000-00005E2C0000}"/>
    <cellStyle name="40% - Accent1 10 3" xfId="11939" xr:uid="{00000000-0005-0000-0000-00005F2C0000}"/>
    <cellStyle name="40% - Accent1 10 4" xfId="11940" xr:uid="{00000000-0005-0000-0000-0000602C0000}"/>
    <cellStyle name="40% - Accent1 10 5" xfId="11941" xr:uid="{00000000-0005-0000-0000-0000612C0000}"/>
    <cellStyle name="40% - Accent1 10 6" xfId="11942" xr:uid="{00000000-0005-0000-0000-0000622C0000}"/>
    <cellStyle name="40% - Accent1 11" xfId="11943" xr:uid="{00000000-0005-0000-0000-0000632C0000}"/>
    <cellStyle name="40% - Accent1 11 2" xfId="11944" xr:uid="{00000000-0005-0000-0000-0000642C0000}"/>
    <cellStyle name="40% - Accent1 11 2 2" xfId="11945" xr:uid="{00000000-0005-0000-0000-0000652C0000}"/>
    <cellStyle name="40% - Accent1 11 2 3" xfId="11946" xr:uid="{00000000-0005-0000-0000-0000662C0000}"/>
    <cellStyle name="40% - Accent1 11 3" xfId="11947" xr:uid="{00000000-0005-0000-0000-0000672C0000}"/>
    <cellStyle name="40% - Accent1 11 4" xfId="11948" xr:uid="{00000000-0005-0000-0000-0000682C0000}"/>
    <cellStyle name="40% - Accent1 11 5" xfId="11949" xr:uid="{00000000-0005-0000-0000-0000692C0000}"/>
    <cellStyle name="40% - Accent1 11 6" xfId="11950" xr:uid="{00000000-0005-0000-0000-00006A2C0000}"/>
    <cellStyle name="40% - Accent1 12" xfId="11951" xr:uid="{00000000-0005-0000-0000-00006B2C0000}"/>
    <cellStyle name="40% - Accent1 12 2" xfId="11952" xr:uid="{00000000-0005-0000-0000-00006C2C0000}"/>
    <cellStyle name="40% - Accent1 12 2 2" xfId="11953" xr:uid="{00000000-0005-0000-0000-00006D2C0000}"/>
    <cellStyle name="40% - Accent1 12 2 3" xfId="11954" xr:uid="{00000000-0005-0000-0000-00006E2C0000}"/>
    <cellStyle name="40% - Accent1 12 3" xfId="11955" xr:uid="{00000000-0005-0000-0000-00006F2C0000}"/>
    <cellStyle name="40% - Accent1 12 4" xfId="11956" xr:uid="{00000000-0005-0000-0000-0000702C0000}"/>
    <cellStyle name="40% - Accent1 12 5" xfId="11957" xr:uid="{00000000-0005-0000-0000-0000712C0000}"/>
    <cellStyle name="40% - Accent1 12 6" xfId="11958" xr:uid="{00000000-0005-0000-0000-0000722C0000}"/>
    <cellStyle name="40% - Accent1 13" xfId="11959" xr:uid="{00000000-0005-0000-0000-0000732C0000}"/>
    <cellStyle name="40% - Accent1 13 2" xfId="11960" xr:uid="{00000000-0005-0000-0000-0000742C0000}"/>
    <cellStyle name="40% - Accent1 13 3" xfId="11961" xr:uid="{00000000-0005-0000-0000-0000752C0000}"/>
    <cellStyle name="40% - Accent1 14" xfId="11962" xr:uid="{00000000-0005-0000-0000-0000762C0000}"/>
    <cellStyle name="40% - Accent1 15" xfId="11963" xr:uid="{00000000-0005-0000-0000-0000772C0000}"/>
    <cellStyle name="40% - Accent1 16" xfId="11964" xr:uid="{00000000-0005-0000-0000-0000782C0000}"/>
    <cellStyle name="40% - Accent1 17" xfId="11965" xr:uid="{00000000-0005-0000-0000-0000792C0000}"/>
    <cellStyle name="40% - Accent1 18" xfId="11966" xr:uid="{00000000-0005-0000-0000-00007A2C0000}"/>
    <cellStyle name="40% - Accent1 2" xfId="58" xr:uid="{00000000-0005-0000-0000-00007B2C0000}"/>
    <cellStyle name="40% - Accent1 2 2" xfId="297" xr:uid="{00000000-0005-0000-0000-00007C2C0000}"/>
    <cellStyle name="40% - Accent1 2 3" xfId="298" xr:uid="{00000000-0005-0000-0000-00007D2C0000}"/>
    <cellStyle name="40% - Accent1 3" xfId="299" xr:uid="{00000000-0005-0000-0000-00007E2C0000}"/>
    <cellStyle name="40% - Accent1 3 10" xfId="11967" xr:uid="{00000000-0005-0000-0000-00007F2C0000}"/>
    <cellStyle name="40% - Accent1 3 10 2" xfId="11968" xr:uid="{00000000-0005-0000-0000-0000802C0000}"/>
    <cellStyle name="40% - Accent1 3 10 2 2" xfId="11969" xr:uid="{00000000-0005-0000-0000-0000812C0000}"/>
    <cellStyle name="40% - Accent1 3 10 2 3" xfId="11970" xr:uid="{00000000-0005-0000-0000-0000822C0000}"/>
    <cellStyle name="40% - Accent1 3 10 3" xfId="11971" xr:uid="{00000000-0005-0000-0000-0000832C0000}"/>
    <cellStyle name="40% - Accent1 3 10 4" xfId="11972" xr:uid="{00000000-0005-0000-0000-0000842C0000}"/>
    <cellStyle name="40% - Accent1 3 10 5" xfId="11973" xr:uid="{00000000-0005-0000-0000-0000852C0000}"/>
    <cellStyle name="40% - Accent1 3 10 6" xfId="11974" xr:uid="{00000000-0005-0000-0000-0000862C0000}"/>
    <cellStyle name="40% - Accent1 3 11" xfId="11975" xr:uid="{00000000-0005-0000-0000-0000872C0000}"/>
    <cellStyle name="40% - Accent1 3 11 2" xfId="11976" xr:uid="{00000000-0005-0000-0000-0000882C0000}"/>
    <cellStyle name="40% - Accent1 3 11 2 2" xfId="11977" xr:uid="{00000000-0005-0000-0000-0000892C0000}"/>
    <cellStyle name="40% - Accent1 3 11 2 3" xfId="11978" xr:uid="{00000000-0005-0000-0000-00008A2C0000}"/>
    <cellStyle name="40% - Accent1 3 11 3" xfId="11979" xr:uid="{00000000-0005-0000-0000-00008B2C0000}"/>
    <cellStyle name="40% - Accent1 3 11 4" xfId="11980" xr:uid="{00000000-0005-0000-0000-00008C2C0000}"/>
    <cellStyle name="40% - Accent1 3 11 5" xfId="11981" xr:uid="{00000000-0005-0000-0000-00008D2C0000}"/>
    <cellStyle name="40% - Accent1 3 11 6" xfId="11982" xr:uid="{00000000-0005-0000-0000-00008E2C0000}"/>
    <cellStyle name="40% - Accent1 3 12" xfId="11983" xr:uid="{00000000-0005-0000-0000-00008F2C0000}"/>
    <cellStyle name="40% - Accent1 3 12 2" xfId="11984" xr:uid="{00000000-0005-0000-0000-0000902C0000}"/>
    <cellStyle name="40% - Accent1 3 12 3" xfId="11985" xr:uid="{00000000-0005-0000-0000-0000912C0000}"/>
    <cellStyle name="40% - Accent1 3 13" xfId="11986" xr:uid="{00000000-0005-0000-0000-0000922C0000}"/>
    <cellStyle name="40% - Accent1 3 14" xfId="11987" xr:uid="{00000000-0005-0000-0000-0000932C0000}"/>
    <cellStyle name="40% - Accent1 3 15" xfId="11988" xr:uid="{00000000-0005-0000-0000-0000942C0000}"/>
    <cellStyle name="40% - Accent1 3 16" xfId="11989" xr:uid="{00000000-0005-0000-0000-0000952C0000}"/>
    <cellStyle name="40% - Accent1 3 2" xfId="11990" xr:uid="{00000000-0005-0000-0000-0000962C0000}"/>
    <cellStyle name="40% - Accent1 3 2 10" xfId="11991" xr:uid="{00000000-0005-0000-0000-0000972C0000}"/>
    <cellStyle name="40% - Accent1 3 2 10 2" xfId="11992" xr:uid="{00000000-0005-0000-0000-0000982C0000}"/>
    <cellStyle name="40% - Accent1 3 2 10 3" xfId="11993" xr:uid="{00000000-0005-0000-0000-0000992C0000}"/>
    <cellStyle name="40% - Accent1 3 2 11" xfId="11994" xr:uid="{00000000-0005-0000-0000-00009A2C0000}"/>
    <cellStyle name="40% - Accent1 3 2 12" xfId="11995" xr:uid="{00000000-0005-0000-0000-00009B2C0000}"/>
    <cellStyle name="40% - Accent1 3 2 13" xfId="11996" xr:uid="{00000000-0005-0000-0000-00009C2C0000}"/>
    <cellStyle name="40% - Accent1 3 2 14" xfId="11997" xr:uid="{00000000-0005-0000-0000-00009D2C0000}"/>
    <cellStyle name="40% - Accent1 3 2 2" xfId="11998" xr:uid="{00000000-0005-0000-0000-00009E2C0000}"/>
    <cellStyle name="40% - Accent1 3 2 2 10" xfId="11999" xr:uid="{00000000-0005-0000-0000-00009F2C0000}"/>
    <cellStyle name="40% - Accent1 3 2 2 11" xfId="12000" xr:uid="{00000000-0005-0000-0000-0000A02C0000}"/>
    <cellStyle name="40% - Accent1 3 2 2 12" xfId="12001" xr:uid="{00000000-0005-0000-0000-0000A12C0000}"/>
    <cellStyle name="40% - Accent1 3 2 2 13" xfId="12002" xr:uid="{00000000-0005-0000-0000-0000A22C0000}"/>
    <cellStyle name="40% - Accent1 3 2 2 2" xfId="12003" xr:uid="{00000000-0005-0000-0000-0000A32C0000}"/>
    <cellStyle name="40% - Accent1 3 2 2 2 10" xfId="12004" xr:uid="{00000000-0005-0000-0000-0000A42C0000}"/>
    <cellStyle name="40% - Accent1 3 2 2 2 2" xfId="12005" xr:uid="{00000000-0005-0000-0000-0000A52C0000}"/>
    <cellStyle name="40% - Accent1 3 2 2 2 2 2" xfId="12006" xr:uid="{00000000-0005-0000-0000-0000A62C0000}"/>
    <cellStyle name="40% - Accent1 3 2 2 2 2 2 2" xfId="12007" xr:uid="{00000000-0005-0000-0000-0000A72C0000}"/>
    <cellStyle name="40% - Accent1 3 2 2 2 2 2 2 2" xfId="12008" xr:uid="{00000000-0005-0000-0000-0000A82C0000}"/>
    <cellStyle name="40% - Accent1 3 2 2 2 2 2 2 3" xfId="12009" xr:uid="{00000000-0005-0000-0000-0000A92C0000}"/>
    <cellStyle name="40% - Accent1 3 2 2 2 2 2 3" xfId="12010" xr:uid="{00000000-0005-0000-0000-0000AA2C0000}"/>
    <cellStyle name="40% - Accent1 3 2 2 2 2 2 4" xfId="12011" xr:uid="{00000000-0005-0000-0000-0000AB2C0000}"/>
    <cellStyle name="40% - Accent1 3 2 2 2 2 2 5" xfId="12012" xr:uid="{00000000-0005-0000-0000-0000AC2C0000}"/>
    <cellStyle name="40% - Accent1 3 2 2 2 2 2 6" xfId="12013" xr:uid="{00000000-0005-0000-0000-0000AD2C0000}"/>
    <cellStyle name="40% - Accent1 3 2 2 2 2 3" xfId="12014" xr:uid="{00000000-0005-0000-0000-0000AE2C0000}"/>
    <cellStyle name="40% - Accent1 3 2 2 2 2 3 2" xfId="12015" xr:uid="{00000000-0005-0000-0000-0000AF2C0000}"/>
    <cellStyle name="40% - Accent1 3 2 2 2 2 3 2 2" xfId="12016" xr:uid="{00000000-0005-0000-0000-0000B02C0000}"/>
    <cellStyle name="40% - Accent1 3 2 2 2 2 3 2 3" xfId="12017" xr:uid="{00000000-0005-0000-0000-0000B12C0000}"/>
    <cellStyle name="40% - Accent1 3 2 2 2 2 3 3" xfId="12018" xr:uid="{00000000-0005-0000-0000-0000B22C0000}"/>
    <cellStyle name="40% - Accent1 3 2 2 2 2 3 4" xfId="12019" xr:uid="{00000000-0005-0000-0000-0000B32C0000}"/>
    <cellStyle name="40% - Accent1 3 2 2 2 2 3 5" xfId="12020" xr:uid="{00000000-0005-0000-0000-0000B42C0000}"/>
    <cellStyle name="40% - Accent1 3 2 2 2 2 3 6" xfId="12021" xr:uid="{00000000-0005-0000-0000-0000B52C0000}"/>
    <cellStyle name="40% - Accent1 3 2 2 2 2 4" xfId="12022" xr:uid="{00000000-0005-0000-0000-0000B62C0000}"/>
    <cellStyle name="40% - Accent1 3 2 2 2 2 4 2" xfId="12023" xr:uid="{00000000-0005-0000-0000-0000B72C0000}"/>
    <cellStyle name="40% - Accent1 3 2 2 2 2 4 3" xfId="12024" xr:uid="{00000000-0005-0000-0000-0000B82C0000}"/>
    <cellStyle name="40% - Accent1 3 2 2 2 2 5" xfId="12025" xr:uid="{00000000-0005-0000-0000-0000B92C0000}"/>
    <cellStyle name="40% - Accent1 3 2 2 2 2 6" xfId="12026" xr:uid="{00000000-0005-0000-0000-0000BA2C0000}"/>
    <cellStyle name="40% - Accent1 3 2 2 2 2 7" xfId="12027" xr:uid="{00000000-0005-0000-0000-0000BB2C0000}"/>
    <cellStyle name="40% - Accent1 3 2 2 2 2 8" xfId="12028" xr:uid="{00000000-0005-0000-0000-0000BC2C0000}"/>
    <cellStyle name="40% - Accent1 3 2 2 2 3" xfId="12029" xr:uid="{00000000-0005-0000-0000-0000BD2C0000}"/>
    <cellStyle name="40% - Accent1 3 2 2 2 3 2" xfId="12030" xr:uid="{00000000-0005-0000-0000-0000BE2C0000}"/>
    <cellStyle name="40% - Accent1 3 2 2 2 3 2 2" xfId="12031" xr:uid="{00000000-0005-0000-0000-0000BF2C0000}"/>
    <cellStyle name="40% - Accent1 3 2 2 2 3 2 2 2" xfId="12032" xr:uid="{00000000-0005-0000-0000-0000C02C0000}"/>
    <cellStyle name="40% - Accent1 3 2 2 2 3 2 2 3" xfId="12033" xr:uid="{00000000-0005-0000-0000-0000C12C0000}"/>
    <cellStyle name="40% - Accent1 3 2 2 2 3 2 3" xfId="12034" xr:uid="{00000000-0005-0000-0000-0000C22C0000}"/>
    <cellStyle name="40% - Accent1 3 2 2 2 3 2 4" xfId="12035" xr:uid="{00000000-0005-0000-0000-0000C32C0000}"/>
    <cellStyle name="40% - Accent1 3 2 2 2 3 2 5" xfId="12036" xr:uid="{00000000-0005-0000-0000-0000C42C0000}"/>
    <cellStyle name="40% - Accent1 3 2 2 2 3 2 6" xfId="12037" xr:uid="{00000000-0005-0000-0000-0000C52C0000}"/>
    <cellStyle name="40% - Accent1 3 2 2 2 3 3" xfId="12038" xr:uid="{00000000-0005-0000-0000-0000C62C0000}"/>
    <cellStyle name="40% - Accent1 3 2 2 2 3 3 2" xfId="12039" xr:uid="{00000000-0005-0000-0000-0000C72C0000}"/>
    <cellStyle name="40% - Accent1 3 2 2 2 3 3 3" xfId="12040" xr:uid="{00000000-0005-0000-0000-0000C82C0000}"/>
    <cellStyle name="40% - Accent1 3 2 2 2 3 4" xfId="12041" xr:uid="{00000000-0005-0000-0000-0000C92C0000}"/>
    <cellStyle name="40% - Accent1 3 2 2 2 3 5" xfId="12042" xr:uid="{00000000-0005-0000-0000-0000CA2C0000}"/>
    <cellStyle name="40% - Accent1 3 2 2 2 3 6" xfId="12043" xr:uid="{00000000-0005-0000-0000-0000CB2C0000}"/>
    <cellStyle name="40% - Accent1 3 2 2 2 3 7" xfId="12044" xr:uid="{00000000-0005-0000-0000-0000CC2C0000}"/>
    <cellStyle name="40% - Accent1 3 2 2 2 4" xfId="12045" xr:uid="{00000000-0005-0000-0000-0000CD2C0000}"/>
    <cellStyle name="40% - Accent1 3 2 2 2 4 2" xfId="12046" xr:uid="{00000000-0005-0000-0000-0000CE2C0000}"/>
    <cellStyle name="40% - Accent1 3 2 2 2 4 2 2" xfId="12047" xr:uid="{00000000-0005-0000-0000-0000CF2C0000}"/>
    <cellStyle name="40% - Accent1 3 2 2 2 4 2 3" xfId="12048" xr:uid="{00000000-0005-0000-0000-0000D02C0000}"/>
    <cellStyle name="40% - Accent1 3 2 2 2 4 3" xfId="12049" xr:uid="{00000000-0005-0000-0000-0000D12C0000}"/>
    <cellStyle name="40% - Accent1 3 2 2 2 4 4" xfId="12050" xr:uid="{00000000-0005-0000-0000-0000D22C0000}"/>
    <cellStyle name="40% - Accent1 3 2 2 2 4 5" xfId="12051" xr:uid="{00000000-0005-0000-0000-0000D32C0000}"/>
    <cellStyle name="40% - Accent1 3 2 2 2 4 6" xfId="12052" xr:uid="{00000000-0005-0000-0000-0000D42C0000}"/>
    <cellStyle name="40% - Accent1 3 2 2 2 5" xfId="12053" xr:uid="{00000000-0005-0000-0000-0000D52C0000}"/>
    <cellStyle name="40% - Accent1 3 2 2 2 5 2" xfId="12054" xr:uid="{00000000-0005-0000-0000-0000D62C0000}"/>
    <cellStyle name="40% - Accent1 3 2 2 2 5 2 2" xfId="12055" xr:uid="{00000000-0005-0000-0000-0000D72C0000}"/>
    <cellStyle name="40% - Accent1 3 2 2 2 5 2 3" xfId="12056" xr:uid="{00000000-0005-0000-0000-0000D82C0000}"/>
    <cellStyle name="40% - Accent1 3 2 2 2 5 3" xfId="12057" xr:uid="{00000000-0005-0000-0000-0000D92C0000}"/>
    <cellStyle name="40% - Accent1 3 2 2 2 5 4" xfId="12058" xr:uid="{00000000-0005-0000-0000-0000DA2C0000}"/>
    <cellStyle name="40% - Accent1 3 2 2 2 5 5" xfId="12059" xr:uid="{00000000-0005-0000-0000-0000DB2C0000}"/>
    <cellStyle name="40% - Accent1 3 2 2 2 5 6" xfId="12060" xr:uid="{00000000-0005-0000-0000-0000DC2C0000}"/>
    <cellStyle name="40% - Accent1 3 2 2 2 6" xfId="12061" xr:uid="{00000000-0005-0000-0000-0000DD2C0000}"/>
    <cellStyle name="40% - Accent1 3 2 2 2 6 2" xfId="12062" xr:uid="{00000000-0005-0000-0000-0000DE2C0000}"/>
    <cellStyle name="40% - Accent1 3 2 2 2 6 3" xfId="12063" xr:uid="{00000000-0005-0000-0000-0000DF2C0000}"/>
    <cellStyle name="40% - Accent1 3 2 2 2 7" xfId="12064" xr:uid="{00000000-0005-0000-0000-0000E02C0000}"/>
    <cellStyle name="40% - Accent1 3 2 2 2 8" xfId="12065" xr:uid="{00000000-0005-0000-0000-0000E12C0000}"/>
    <cellStyle name="40% - Accent1 3 2 2 2 9" xfId="12066" xr:uid="{00000000-0005-0000-0000-0000E22C0000}"/>
    <cellStyle name="40% - Accent1 3 2 2 3" xfId="12067" xr:uid="{00000000-0005-0000-0000-0000E32C0000}"/>
    <cellStyle name="40% - Accent1 3 2 2 3 2" xfId="12068" xr:uid="{00000000-0005-0000-0000-0000E42C0000}"/>
    <cellStyle name="40% - Accent1 3 2 2 3 2 2" xfId="12069" xr:uid="{00000000-0005-0000-0000-0000E52C0000}"/>
    <cellStyle name="40% - Accent1 3 2 2 3 2 2 2" xfId="12070" xr:uid="{00000000-0005-0000-0000-0000E62C0000}"/>
    <cellStyle name="40% - Accent1 3 2 2 3 2 2 2 2" xfId="12071" xr:uid="{00000000-0005-0000-0000-0000E72C0000}"/>
    <cellStyle name="40% - Accent1 3 2 2 3 2 2 2 3" xfId="12072" xr:uid="{00000000-0005-0000-0000-0000E82C0000}"/>
    <cellStyle name="40% - Accent1 3 2 2 3 2 2 3" xfId="12073" xr:uid="{00000000-0005-0000-0000-0000E92C0000}"/>
    <cellStyle name="40% - Accent1 3 2 2 3 2 2 4" xfId="12074" xr:uid="{00000000-0005-0000-0000-0000EA2C0000}"/>
    <cellStyle name="40% - Accent1 3 2 2 3 2 2 5" xfId="12075" xr:uid="{00000000-0005-0000-0000-0000EB2C0000}"/>
    <cellStyle name="40% - Accent1 3 2 2 3 2 2 6" xfId="12076" xr:uid="{00000000-0005-0000-0000-0000EC2C0000}"/>
    <cellStyle name="40% - Accent1 3 2 2 3 2 3" xfId="12077" xr:uid="{00000000-0005-0000-0000-0000ED2C0000}"/>
    <cellStyle name="40% - Accent1 3 2 2 3 2 3 2" xfId="12078" xr:uid="{00000000-0005-0000-0000-0000EE2C0000}"/>
    <cellStyle name="40% - Accent1 3 2 2 3 2 3 3" xfId="12079" xr:uid="{00000000-0005-0000-0000-0000EF2C0000}"/>
    <cellStyle name="40% - Accent1 3 2 2 3 2 4" xfId="12080" xr:uid="{00000000-0005-0000-0000-0000F02C0000}"/>
    <cellStyle name="40% - Accent1 3 2 2 3 2 5" xfId="12081" xr:uid="{00000000-0005-0000-0000-0000F12C0000}"/>
    <cellStyle name="40% - Accent1 3 2 2 3 2 6" xfId="12082" xr:uid="{00000000-0005-0000-0000-0000F22C0000}"/>
    <cellStyle name="40% - Accent1 3 2 2 3 2 7" xfId="12083" xr:uid="{00000000-0005-0000-0000-0000F32C0000}"/>
    <cellStyle name="40% - Accent1 3 2 2 3 3" xfId="12084" xr:uid="{00000000-0005-0000-0000-0000F42C0000}"/>
    <cellStyle name="40% - Accent1 3 2 2 3 3 2" xfId="12085" xr:uid="{00000000-0005-0000-0000-0000F52C0000}"/>
    <cellStyle name="40% - Accent1 3 2 2 3 3 2 2" xfId="12086" xr:uid="{00000000-0005-0000-0000-0000F62C0000}"/>
    <cellStyle name="40% - Accent1 3 2 2 3 3 2 3" xfId="12087" xr:uid="{00000000-0005-0000-0000-0000F72C0000}"/>
    <cellStyle name="40% - Accent1 3 2 2 3 3 3" xfId="12088" xr:uid="{00000000-0005-0000-0000-0000F82C0000}"/>
    <cellStyle name="40% - Accent1 3 2 2 3 3 4" xfId="12089" xr:uid="{00000000-0005-0000-0000-0000F92C0000}"/>
    <cellStyle name="40% - Accent1 3 2 2 3 3 5" xfId="12090" xr:uid="{00000000-0005-0000-0000-0000FA2C0000}"/>
    <cellStyle name="40% - Accent1 3 2 2 3 3 6" xfId="12091" xr:uid="{00000000-0005-0000-0000-0000FB2C0000}"/>
    <cellStyle name="40% - Accent1 3 2 2 3 4" xfId="12092" xr:uid="{00000000-0005-0000-0000-0000FC2C0000}"/>
    <cellStyle name="40% - Accent1 3 2 2 3 4 2" xfId="12093" xr:uid="{00000000-0005-0000-0000-0000FD2C0000}"/>
    <cellStyle name="40% - Accent1 3 2 2 3 4 2 2" xfId="12094" xr:uid="{00000000-0005-0000-0000-0000FE2C0000}"/>
    <cellStyle name="40% - Accent1 3 2 2 3 4 2 3" xfId="12095" xr:uid="{00000000-0005-0000-0000-0000FF2C0000}"/>
    <cellStyle name="40% - Accent1 3 2 2 3 4 3" xfId="12096" xr:uid="{00000000-0005-0000-0000-0000002D0000}"/>
    <cellStyle name="40% - Accent1 3 2 2 3 4 4" xfId="12097" xr:uid="{00000000-0005-0000-0000-0000012D0000}"/>
    <cellStyle name="40% - Accent1 3 2 2 3 4 5" xfId="12098" xr:uid="{00000000-0005-0000-0000-0000022D0000}"/>
    <cellStyle name="40% - Accent1 3 2 2 3 4 6" xfId="12099" xr:uid="{00000000-0005-0000-0000-0000032D0000}"/>
    <cellStyle name="40% - Accent1 3 2 2 3 5" xfId="12100" xr:uid="{00000000-0005-0000-0000-0000042D0000}"/>
    <cellStyle name="40% - Accent1 3 2 2 3 5 2" xfId="12101" xr:uid="{00000000-0005-0000-0000-0000052D0000}"/>
    <cellStyle name="40% - Accent1 3 2 2 3 5 3" xfId="12102" xr:uid="{00000000-0005-0000-0000-0000062D0000}"/>
    <cellStyle name="40% - Accent1 3 2 2 3 6" xfId="12103" xr:uid="{00000000-0005-0000-0000-0000072D0000}"/>
    <cellStyle name="40% - Accent1 3 2 2 3 7" xfId="12104" xr:uid="{00000000-0005-0000-0000-0000082D0000}"/>
    <cellStyle name="40% - Accent1 3 2 2 3 8" xfId="12105" xr:uid="{00000000-0005-0000-0000-0000092D0000}"/>
    <cellStyle name="40% - Accent1 3 2 2 3 9" xfId="12106" xr:uid="{00000000-0005-0000-0000-00000A2D0000}"/>
    <cellStyle name="40% - Accent1 3 2 2 4" xfId="12107" xr:uid="{00000000-0005-0000-0000-00000B2D0000}"/>
    <cellStyle name="40% - Accent1 3 2 2 4 2" xfId="12108" xr:uid="{00000000-0005-0000-0000-00000C2D0000}"/>
    <cellStyle name="40% - Accent1 3 2 2 4 2 2" xfId="12109" xr:uid="{00000000-0005-0000-0000-00000D2D0000}"/>
    <cellStyle name="40% - Accent1 3 2 2 4 2 2 2" xfId="12110" xr:uid="{00000000-0005-0000-0000-00000E2D0000}"/>
    <cellStyle name="40% - Accent1 3 2 2 4 2 2 3" xfId="12111" xr:uid="{00000000-0005-0000-0000-00000F2D0000}"/>
    <cellStyle name="40% - Accent1 3 2 2 4 2 3" xfId="12112" xr:uid="{00000000-0005-0000-0000-0000102D0000}"/>
    <cellStyle name="40% - Accent1 3 2 2 4 2 4" xfId="12113" xr:uid="{00000000-0005-0000-0000-0000112D0000}"/>
    <cellStyle name="40% - Accent1 3 2 2 4 2 5" xfId="12114" xr:uid="{00000000-0005-0000-0000-0000122D0000}"/>
    <cellStyle name="40% - Accent1 3 2 2 4 2 6" xfId="12115" xr:uid="{00000000-0005-0000-0000-0000132D0000}"/>
    <cellStyle name="40% - Accent1 3 2 2 4 3" xfId="12116" xr:uid="{00000000-0005-0000-0000-0000142D0000}"/>
    <cellStyle name="40% - Accent1 3 2 2 4 3 2" xfId="12117" xr:uid="{00000000-0005-0000-0000-0000152D0000}"/>
    <cellStyle name="40% - Accent1 3 2 2 4 3 3" xfId="12118" xr:uid="{00000000-0005-0000-0000-0000162D0000}"/>
    <cellStyle name="40% - Accent1 3 2 2 4 4" xfId="12119" xr:uid="{00000000-0005-0000-0000-0000172D0000}"/>
    <cellStyle name="40% - Accent1 3 2 2 4 5" xfId="12120" xr:uid="{00000000-0005-0000-0000-0000182D0000}"/>
    <cellStyle name="40% - Accent1 3 2 2 4 6" xfId="12121" xr:uid="{00000000-0005-0000-0000-0000192D0000}"/>
    <cellStyle name="40% - Accent1 3 2 2 4 7" xfId="12122" xr:uid="{00000000-0005-0000-0000-00001A2D0000}"/>
    <cellStyle name="40% - Accent1 3 2 2 5" xfId="12123" xr:uid="{00000000-0005-0000-0000-00001B2D0000}"/>
    <cellStyle name="40% - Accent1 3 2 2 5 2" xfId="12124" xr:uid="{00000000-0005-0000-0000-00001C2D0000}"/>
    <cellStyle name="40% - Accent1 3 2 2 5 2 2" xfId="12125" xr:uid="{00000000-0005-0000-0000-00001D2D0000}"/>
    <cellStyle name="40% - Accent1 3 2 2 5 2 3" xfId="12126" xr:uid="{00000000-0005-0000-0000-00001E2D0000}"/>
    <cellStyle name="40% - Accent1 3 2 2 5 3" xfId="12127" xr:uid="{00000000-0005-0000-0000-00001F2D0000}"/>
    <cellStyle name="40% - Accent1 3 2 2 5 4" xfId="12128" xr:uid="{00000000-0005-0000-0000-0000202D0000}"/>
    <cellStyle name="40% - Accent1 3 2 2 5 5" xfId="12129" xr:uid="{00000000-0005-0000-0000-0000212D0000}"/>
    <cellStyle name="40% - Accent1 3 2 2 5 6" xfId="12130" xr:uid="{00000000-0005-0000-0000-0000222D0000}"/>
    <cellStyle name="40% - Accent1 3 2 2 6" xfId="12131" xr:uid="{00000000-0005-0000-0000-0000232D0000}"/>
    <cellStyle name="40% - Accent1 3 2 2 6 2" xfId="12132" xr:uid="{00000000-0005-0000-0000-0000242D0000}"/>
    <cellStyle name="40% - Accent1 3 2 2 6 2 2" xfId="12133" xr:uid="{00000000-0005-0000-0000-0000252D0000}"/>
    <cellStyle name="40% - Accent1 3 2 2 6 2 3" xfId="12134" xr:uid="{00000000-0005-0000-0000-0000262D0000}"/>
    <cellStyle name="40% - Accent1 3 2 2 6 3" xfId="12135" xr:uid="{00000000-0005-0000-0000-0000272D0000}"/>
    <cellStyle name="40% - Accent1 3 2 2 6 4" xfId="12136" xr:uid="{00000000-0005-0000-0000-0000282D0000}"/>
    <cellStyle name="40% - Accent1 3 2 2 6 5" xfId="12137" xr:uid="{00000000-0005-0000-0000-0000292D0000}"/>
    <cellStyle name="40% - Accent1 3 2 2 6 6" xfId="12138" xr:uid="{00000000-0005-0000-0000-00002A2D0000}"/>
    <cellStyle name="40% - Accent1 3 2 2 7" xfId="12139" xr:uid="{00000000-0005-0000-0000-00002B2D0000}"/>
    <cellStyle name="40% - Accent1 3 2 2 7 2" xfId="12140" xr:uid="{00000000-0005-0000-0000-00002C2D0000}"/>
    <cellStyle name="40% - Accent1 3 2 2 7 2 2" xfId="12141" xr:uid="{00000000-0005-0000-0000-00002D2D0000}"/>
    <cellStyle name="40% - Accent1 3 2 2 7 2 3" xfId="12142" xr:uid="{00000000-0005-0000-0000-00002E2D0000}"/>
    <cellStyle name="40% - Accent1 3 2 2 7 3" xfId="12143" xr:uid="{00000000-0005-0000-0000-00002F2D0000}"/>
    <cellStyle name="40% - Accent1 3 2 2 7 4" xfId="12144" xr:uid="{00000000-0005-0000-0000-0000302D0000}"/>
    <cellStyle name="40% - Accent1 3 2 2 7 5" xfId="12145" xr:uid="{00000000-0005-0000-0000-0000312D0000}"/>
    <cellStyle name="40% - Accent1 3 2 2 7 6" xfId="12146" xr:uid="{00000000-0005-0000-0000-0000322D0000}"/>
    <cellStyle name="40% - Accent1 3 2 2 8" xfId="12147" xr:uid="{00000000-0005-0000-0000-0000332D0000}"/>
    <cellStyle name="40% - Accent1 3 2 2 8 2" xfId="12148" xr:uid="{00000000-0005-0000-0000-0000342D0000}"/>
    <cellStyle name="40% - Accent1 3 2 2 8 2 2" xfId="12149" xr:uid="{00000000-0005-0000-0000-0000352D0000}"/>
    <cellStyle name="40% - Accent1 3 2 2 8 2 3" xfId="12150" xr:uid="{00000000-0005-0000-0000-0000362D0000}"/>
    <cellStyle name="40% - Accent1 3 2 2 8 3" xfId="12151" xr:uid="{00000000-0005-0000-0000-0000372D0000}"/>
    <cellStyle name="40% - Accent1 3 2 2 8 4" xfId="12152" xr:uid="{00000000-0005-0000-0000-0000382D0000}"/>
    <cellStyle name="40% - Accent1 3 2 2 8 5" xfId="12153" xr:uid="{00000000-0005-0000-0000-0000392D0000}"/>
    <cellStyle name="40% - Accent1 3 2 2 8 6" xfId="12154" xr:uid="{00000000-0005-0000-0000-00003A2D0000}"/>
    <cellStyle name="40% - Accent1 3 2 2 9" xfId="12155" xr:uid="{00000000-0005-0000-0000-00003B2D0000}"/>
    <cellStyle name="40% - Accent1 3 2 2 9 2" xfId="12156" xr:uid="{00000000-0005-0000-0000-00003C2D0000}"/>
    <cellStyle name="40% - Accent1 3 2 2 9 3" xfId="12157" xr:uid="{00000000-0005-0000-0000-00003D2D0000}"/>
    <cellStyle name="40% - Accent1 3 2 3" xfId="12158" xr:uid="{00000000-0005-0000-0000-00003E2D0000}"/>
    <cellStyle name="40% - Accent1 3 2 3 10" xfId="12159" xr:uid="{00000000-0005-0000-0000-00003F2D0000}"/>
    <cellStyle name="40% - Accent1 3 2 3 2" xfId="12160" xr:uid="{00000000-0005-0000-0000-0000402D0000}"/>
    <cellStyle name="40% - Accent1 3 2 3 2 2" xfId="12161" xr:uid="{00000000-0005-0000-0000-0000412D0000}"/>
    <cellStyle name="40% - Accent1 3 2 3 2 2 2" xfId="12162" xr:uid="{00000000-0005-0000-0000-0000422D0000}"/>
    <cellStyle name="40% - Accent1 3 2 3 2 2 2 2" xfId="12163" xr:uid="{00000000-0005-0000-0000-0000432D0000}"/>
    <cellStyle name="40% - Accent1 3 2 3 2 2 2 3" xfId="12164" xr:uid="{00000000-0005-0000-0000-0000442D0000}"/>
    <cellStyle name="40% - Accent1 3 2 3 2 2 3" xfId="12165" xr:uid="{00000000-0005-0000-0000-0000452D0000}"/>
    <cellStyle name="40% - Accent1 3 2 3 2 2 4" xfId="12166" xr:uid="{00000000-0005-0000-0000-0000462D0000}"/>
    <cellStyle name="40% - Accent1 3 2 3 2 2 5" xfId="12167" xr:uid="{00000000-0005-0000-0000-0000472D0000}"/>
    <cellStyle name="40% - Accent1 3 2 3 2 2 6" xfId="12168" xr:uid="{00000000-0005-0000-0000-0000482D0000}"/>
    <cellStyle name="40% - Accent1 3 2 3 2 3" xfId="12169" xr:uid="{00000000-0005-0000-0000-0000492D0000}"/>
    <cellStyle name="40% - Accent1 3 2 3 2 3 2" xfId="12170" xr:uid="{00000000-0005-0000-0000-00004A2D0000}"/>
    <cellStyle name="40% - Accent1 3 2 3 2 3 2 2" xfId="12171" xr:uid="{00000000-0005-0000-0000-00004B2D0000}"/>
    <cellStyle name="40% - Accent1 3 2 3 2 3 2 3" xfId="12172" xr:uid="{00000000-0005-0000-0000-00004C2D0000}"/>
    <cellStyle name="40% - Accent1 3 2 3 2 3 3" xfId="12173" xr:uid="{00000000-0005-0000-0000-00004D2D0000}"/>
    <cellStyle name="40% - Accent1 3 2 3 2 3 4" xfId="12174" xr:uid="{00000000-0005-0000-0000-00004E2D0000}"/>
    <cellStyle name="40% - Accent1 3 2 3 2 3 5" xfId="12175" xr:uid="{00000000-0005-0000-0000-00004F2D0000}"/>
    <cellStyle name="40% - Accent1 3 2 3 2 3 6" xfId="12176" xr:uid="{00000000-0005-0000-0000-0000502D0000}"/>
    <cellStyle name="40% - Accent1 3 2 3 2 4" xfId="12177" xr:uid="{00000000-0005-0000-0000-0000512D0000}"/>
    <cellStyle name="40% - Accent1 3 2 3 2 4 2" xfId="12178" xr:uid="{00000000-0005-0000-0000-0000522D0000}"/>
    <cellStyle name="40% - Accent1 3 2 3 2 4 3" xfId="12179" xr:uid="{00000000-0005-0000-0000-0000532D0000}"/>
    <cellStyle name="40% - Accent1 3 2 3 2 5" xfId="12180" xr:uid="{00000000-0005-0000-0000-0000542D0000}"/>
    <cellStyle name="40% - Accent1 3 2 3 2 6" xfId="12181" xr:uid="{00000000-0005-0000-0000-0000552D0000}"/>
    <cellStyle name="40% - Accent1 3 2 3 2 7" xfId="12182" xr:uid="{00000000-0005-0000-0000-0000562D0000}"/>
    <cellStyle name="40% - Accent1 3 2 3 2 8" xfId="12183" xr:uid="{00000000-0005-0000-0000-0000572D0000}"/>
    <cellStyle name="40% - Accent1 3 2 3 3" xfId="12184" xr:uid="{00000000-0005-0000-0000-0000582D0000}"/>
    <cellStyle name="40% - Accent1 3 2 3 3 2" xfId="12185" xr:uid="{00000000-0005-0000-0000-0000592D0000}"/>
    <cellStyle name="40% - Accent1 3 2 3 3 2 2" xfId="12186" xr:uid="{00000000-0005-0000-0000-00005A2D0000}"/>
    <cellStyle name="40% - Accent1 3 2 3 3 2 2 2" xfId="12187" xr:uid="{00000000-0005-0000-0000-00005B2D0000}"/>
    <cellStyle name="40% - Accent1 3 2 3 3 2 2 3" xfId="12188" xr:uid="{00000000-0005-0000-0000-00005C2D0000}"/>
    <cellStyle name="40% - Accent1 3 2 3 3 2 3" xfId="12189" xr:uid="{00000000-0005-0000-0000-00005D2D0000}"/>
    <cellStyle name="40% - Accent1 3 2 3 3 2 4" xfId="12190" xr:uid="{00000000-0005-0000-0000-00005E2D0000}"/>
    <cellStyle name="40% - Accent1 3 2 3 3 2 5" xfId="12191" xr:uid="{00000000-0005-0000-0000-00005F2D0000}"/>
    <cellStyle name="40% - Accent1 3 2 3 3 2 6" xfId="12192" xr:uid="{00000000-0005-0000-0000-0000602D0000}"/>
    <cellStyle name="40% - Accent1 3 2 3 3 3" xfId="12193" xr:uid="{00000000-0005-0000-0000-0000612D0000}"/>
    <cellStyle name="40% - Accent1 3 2 3 3 3 2" xfId="12194" xr:uid="{00000000-0005-0000-0000-0000622D0000}"/>
    <cellStyle name="40% - Accent1 3 2 3 3 3 3" xfId="12195" xr:uid="{00000000-0005-0000-0000-0000632D0000}"/>
    <cellStyle name="40% - Accent1 3 2 3 3 4" xfId="12196" xr:uid="{00000000-0005-0000-0000-0000642D0000}"/>
    <cellStyle name="40% - Accent1 3 2 3 3 5" xfId="12197" xr:uid="{00000000-0005-0000-0000-0000652D0000}"/>
    <cellStyle name="40% - Accent1 3 2 3 3 6" xfId="12198" xr:uid="{00000000-0005-0000-0000-0000662D0000}"/>
    <cellStyle name="40% - Accent1 3 2 3 3 7" xfId="12199" xr:uid="{00000000-0005-0000-0000-0000672D0000}"/>
    <cellStyle name="40% - Accent1 3 2 3 4" xfId="12200" xr:uid="{00000000-0005-0000-0000-0000682D0000}"/>
    <cellStyle name="40% - Accent1 3 2 3 4 2" xfId="12201" xr:uid="{00000000-0005-0000-0000-0000692D0000}"/>
    <cellStyle name="40% - Accent1 3 2 3 4 2 2" xfId="12202" xr:uid="{00000000-0005-0000-0000-00006A2D0000}"/>
    <cellStyle name="40% - Accent1 3 2 3 4 2 3" xfId="12203" xr:uid="{00000000-0005-0000-0000-00006B2D0000}"/>
    <cellStyle name="40% - Accent1 3 2 3 4 3" xfId="12204" xr:uid="{00000000-0005-0000-0000-00006C2D0000}"/>
    <cellStyle name="40% - Accent1 3 2 3 4 4" xfId="12205" xr:uid="{00000000-0005-0000-0000-00006D2D0000}"/>
    <cellStyle name="40% - Accent1 3 2 3 4 5" xfId="12206" xr:uid="{00000000-0005-0000-0000-00006E2D0000}"/>
    <cellStyle name="40% - Accent1 3 2 3 4 6" xfId="12207" xr:uid="{00000000-0005-0000-0000-00006F2D0000}"/>
    <cellStyle name="40% - Accent1 3 2 3 5" xfId="12208" xr:uid="{00000000-0005-0000-0000-0000702D0000}"/>
    <cellStyle name="40% - Accent1 3 2 3 5 2" xfId="12209" xr:uid="{00000000-0005-0000-0000-0000712D0000}"/>
    <cellStyle name="40% - Accent1 3 2 3 5 2 2" xfId="12210" xr:uid="{00000000-0005-0000-0000-0000722D0000}"/>
    <cellStyle name="40% - Accent1 3 2 3 5 2 3" xfId="12211" xr:uid="{00000000-0005-0000-0000-0000732D0000}"/>
    <cellStyle name="40% - Accent1 3 2 3 5 3" xfId="12212" xr:uid="{00000000-0005-0000-0000-0000742D0000}"/>
    <cellStyle name="40% - Accent1 3 2 3 5 4" xfId="12213" xr:uid="{00000000-0005-0000-0000-0000752D0000}"/>
    <cellStyle name="40% - Accent1 3 2 3 5 5" xfId="12214" xr:uid="{00000000-0005-0000-0000-0000762D0000}"/>
    <cellStyle name="40% - Accent1 3 2 3 5 6" xfId="12215" xr:uid="{00000000-0005-0000-0000-0000772D0000}"/>
    <cellStyle name="40% - Accent1 3 2 3 6" xfId="12216" xr:uid="{00000000-0005-0000-0000-0000782D0000}"/>
    <cellStyle name="40% - Accent1 3 2 3 6 2" xfId="12217" xr:uid="{00000000-0005-0000-0000-0000792D0000}"/>
    <cellStyle name="40% - Accent1 3 2 3 6 3" xfId="12218" xr:uid="{00000000-0005-0000-0000-00007A2D0000}"/>
    <cellStyle name="40% - Accent1 3 2 3 7" xfId="12219" xr:uid="{00000000-0005-0000-0000-00007B2D0000}"/>
    <cellStyle name="40% - Accent1 3 2 3 8" xfId="12220" xr:uid="{00000000-0005-0000-0000-00007C2D0000}"/>
    <cellStyle name="40% - Accent1 3 2 3 9" xfId="12221" xr:uid="{00000000-0005-0000-0000-00007D2D0000}"/>
    <cellStyle name="40% - Accent1 3 2 4" xfId="12222" xr:uid="{00000000-0005-0000-0000-00007E2D0000}"/>
    <cellStyle name="40% - Accent1 3 2 4 2" xfId="12223" xr:uid="{00000000-0005-0000-0000-00007F2D0000}"/>
    <cellStyle name="40% - Accent1 3 2 4 2 2" xfId="12224" xr:uid="{00000000-0005-0000-0000-0000802D0000}"/>
    <cellStyle name="40% - Accent1 3 2 4 2 2 2" xfId="12225" xr:uid="{00000000-0005-0000-0000-0000812D0000}"/>
    <cellStyle name="40% - Accent1 3 2 4 2 2 2 2" xfId="12226" xr:uid="{00000000-0005-0000-0000-0000822D0000}"/>
    <cellStyle name="40% - Accent1 3 2 4 2 2 2 3" xfId="12227" xr:uid="{00000000-0005-0000-0000-0000832D0000}"/>
    <cellStyle name="40% - Accent1 3 2 4 2 2 3" xfId="12228" xr:uid="{00000000-0005-0000-0000-0000842D0000}"/>
    <cellStyle name="40% - Accent1 3 2 4 2 2 4" xfId="12229" xr:uid="{00000000-0005-0000-0000-0000852D0000}"/>
    <cellStyle name="40% - Accent1 3 2 4 2 2 5" xfId="12230" xr:uid="{00000000-0005-0000-0000-0000862D0000}"/>
    <cellStyle name="40% - Accent1 3 2 4 2 2 6" xfId="12231" xr:uid="{00000000-0005-0000-0000-0000872D0000}"/>
    <cellStyle name="40% - Accent1 3 2 4 2 3" xfId="12232" xr:uid="{00000000-0005-0000-0000-0000882D0000}"/>
    <cellStyle name="40% - Accent1 3 2 4 2 3 2" xfId="12233" xr:uid="{00000000-0005-0000-0000-0000892D0000}"/>
    <cellStyle name="40% - Accent1 3 2 4 2 3 3" xfId="12234" xr:uid="{00000000-0005-0000-0000-00008A2D0000}"/>
    <cellStyle name="40% - Accent1 3 2 4 2 4" xfId="12235" xr:uid="{00000000-0005-0000-0000-00008B2D0000}"/>
    <cellStyle name="40% - Accent1 3 2 4 2 5" xfId="12236" xr:uid="{00000000-0005-0000-0000-00008C2D0000}"/>
    <cellStyle name="40% - Accent1 3 2 4 2 6" xfId="12237" xr:uid="{00000000-0005-0000-0000-00008D2D0000}"/>
    <cellStyle name="40% - Accent1 3 2 4 2 7" xfId="12238" xr:uid="{00000000-0005-0000-0000-00008E2D0000}"/>
    <cellStyle name="40% - Accent1 3 2 4 3" xfId="12239" xr:uid="{00000000-0005-0000-0000-00008F2D0000}"/>
    <cellStyle name="40% - Accent1 3 2 4 3 2" xfId="12240" xr:uid="{00000000-0005-0000-0000-0000902D0000}"/>
    <cellStyle name="40% - Accent1 3 2 4 3 2 2" xfId="12241" xr:uid="{00000000-0005-0000-0000-0000912D0000}"/>
    <cellStyle name="40% - Accent1 3 2 4 3 2 3" xfId="12242" xr:uid="{00000000-0005-0000-0000-0000922D0000}"/>
    <cellStyle name="40% - Accent1 3 2 4 3 3" xfId="12243" xr:uid="{00000000-0005-0000-0000-0000932D0000}"/>
    <cellStyle name="40% - Accent1 3 2 4 3 4" xfId="12244" xr:uid="{00000000-0005-0000-0000-0000942D0000}"/>
    <cellStyle name="40% - Accent1 3 2 4 3 5" xfId="12245" xr:uid="{00000000-0005-0000-0000-0000952D0000}"/>
    <cellStyle name="40% - Accent1 3 2 4 3 6" xfId="12246" xr:uid="{00000000-0005-0000-0000-0000962D0000}"/>
    <cellStyle name="40% - Accent1 3 2 4 4" xfId="12247" xr:uid="{00000000-0005-0000-0000-0000972D0000}"/>
    <cellStyle name="40% - Accent1 3 2 4 4 2" xfId="12248" xr:uid="{00000000-0005-0000-0000-0000982D0000}"/>
    <cellStyle name="40% - Accent1 3 2 4 4 2 2" xfId="12249" xr:uid="{00000000-0005-0000-0000-0000992D0000}"/>
    <cellStyle name="40% - Accent1 3 2 4 4 2 3" xfId="12250" xr:uid="{00000000-0005-0000-0000-00009A2D0000}"/>
    <cellStyle name="40% - Accent1 3 2 4 4 3" xfId="12251" xr:uid="{00000000-0005-0000-0000-00009B2D0000}"/>
    <cellStyle name="40% - Accent1 3 2 4 4 4" xfId="12252" xr:uid="{00000000-0005-0000-0000-00009C2D0000}"/>
    <cellStyle name="40% - Accent1 3 2 4 4 5" xfId="12253" xr:uid="{00000000-0005-0000-0000-00009D2D0000}"/>
    <cellStyle name="40% - Accent1 3 2 4 4 6" xfId="12254" xr:uid="{00000000-0005-0000-0000-00009E2D0000}"/>
    <cellStyle name="40% - Accent1 3 2 4 5" xfId="12255" xr:uid="{00000000-0005-0000-0000-00009F2D0000}"/>
    <cellStyle name="40% - Accent1 3 2 4 5 2" xfId="12256" xr:uid="{00000000-0005-0000-0000-0000A02D0000}"/>
    <cellStyle name="40% - Accent1 3 2 4 5 3" xfId="12257" xr:uid="{00000000-0005-0000-0000-0000A12D0000}"/>
    <cellStyle name="40% - Accent1 3 2 4 6" xfId="12258" xr:uid="{00000000-0005-0000-0000-0000A22D0000}"/>
    <cellStyle name="40% - Accent1 3 2 4 7" xfId="12259" xr:uid="{00000000-0005-0000-0000-0000A32D0000}"/>
    <cellStyle name="40% - Accent1 3 2 4 8" xfId="12260" xr:uid="{00000000-0005-0000-0000-0000A42D0000}"/>
    <cellStyle name="40% - Accent1 3 2 4 9" xfId="12261" xr:uid="{00000000-0005-0000-0000-0000A52D0000}"/>
    <cellStyle name="40% - Accent1 3 2 5" xfId="12262" xr:uid="{00000000-0005-0000-0000-0000A62D0000}"/>
    <cellStyle name="40% - Accent1 3 2 5 2" xfId="12263" xr:uid="{00000000-0005-0000-0000-0000A72D0000}"/>
    <cellStyle name="40% - Accent1 3 2 5 2 2" xfId="12264" xr:uid="{00000000-0005-0000-0000-0000A82D0000}"/>
    <cellStyle name="40% - Accent1 3 2 5 2 2 2" xfId="12265" xr:uid="{00000000-0005-0000-0000-0000A92D0000}"/>
    <cellStyle name="40% - Accent1 3 2 5 2 2 3" xfId="12266" xr:uid="{00000000-0005-0000-0000-0000AA2D0000}"/>
    <cellStyle name="40% - Accent1 3 2 5 2 3" xfId="12267" xr:uid="{00000000-0005-0000-0000-0000AB2D0000}"/>
    <cellStyle name="40% - Accent1 3 2 5 2 4" xfId="12268" xr:uid="{00000000-0005-0000-0000-0000AC2D0000}"/>
    <cellStyle name="40% - Accent1 3 2 5 2 5" xfId="12269" xr:uid="{00000000-0005-0000-0000-0000AD2D0000}"/>
    <cellStyle name="40% - Accent1 3 2 5 2 6" xfId="12270" xr:uid="{00000000-0005-0000-0000-0000AE2D0000}"/>
    <cellStyle name="40% - Accent1 3 2 5 3" xfId="12271" xr:uid="{00000000-0005-0000-0000-0000AF2D0000}"/>
    <cellStyle name="40% - Accent1 3 2 5 3 2" xfId="12272" xr:uid="{00000000-0005-0000-0000-0000B02D0000}"/>
    <cellStyle name="40% - Accent1 3 2 5 3 3" xfId="12273" xr:uid="{00000000-0005-0000-0000-0000B12D0000}"/>
    <cellStyle name="40% - Accent1 3 2 5 4" xfId="12274" xr:uid="{00000000-0005-0000-0000-0000B22D0000}"/>
    <cellStyle name="40% - Accent1 3 2 5 5" xfId="12275" xr:uid="{00000000-0005-0000-0000-0000B32D0000}"/>
    <cellStyle name="40% - Accent1 3 2 5 6" xfId="12276" xr:uid="{00000000-0005-0000-0000-0000B42D0000}"/>
    <cellStyle name="40% - Accent1 3 2 5 7" xfId="12277" xr:uid="{00000000-0005-0000-0000-0000B52D0000}"/>
    <cellStyle name="40% - Accent1 3 2 6" xfId="12278" xr:uid="{00000000-0005-0000-0000-0000B62D0000}"/>
    <cellStyle name="40% - Accent1 3 2 6 2" xfId="12279" xr:uid="{00000000-0005-0000-0000-0000B72D0000}"/>
    <cellStyle name="40% - Accent1 3 2 6 2 2" xfId="12280" xr:uid="{00000000-0005-0000-0000-0000B82D0000}"/>
    <cellStyle name="40% - Accent1 3 2 6 2 3" xfId="12281" xr:uid="{00000000-0005-0000-0000-0000B92D0000}"/>
    <cellStyle name="40% - Accent1 3 2 6 3" xfId="12282" xr:uid="{00000000-0005-0000-0000-0000BA2D0000}"/>
    <cellStyle name="40% - Accent1 3 2 6 4" xfId="12283" xr:uid="{00000000-0005-0000-0000-0000BB2D0000}"/>
    <cellStyle name="40% - Accent1 3 2 6 5" xfId="12284" xr:uid="{00000000-0005-0000-0000-0000BC2D0000}"/>
    <cellStyle name="40% - Accent1 3 2 6 6" xfId="12285" xr:uid="{00000000-0005-0000-0000-0000BD2D0000}"/>
    <cellStyle name="40% - Accent1 3 2 7" xfId="12286" xr:uid="{00000000-0005-0000-0000-0000BE2D0000}"/>
    <cellStyle name="40% - Accent1 3 2 7 2" xfId="12287" xr:uid="{00000000-0005-0000-0000-0000BF2D0000}"/>
    <cellStyle name="40% - Accent1 3 2 7 2 2" xfId="12288" xr:uid="{00000000-0005-0000-0000-0000C02D0000}"/>
    <cellStyle name="40% - Accent1 3 2 7 2 3" xfId="12289" xr:uid="{00000000-0005-0000-0000-0000C12D0000}"/>
    <cellStyle name="40% - Accent1 3 2 7 3" xfId="12290" xr:uid="{00000000-0005-0000-0000-0000C22D0000}"/>
    <cellStyle name="40% - Accent1 3 2 7 4" xfId="12291" xr:uid="{00000000-0005-0000-0000-0000C32D0000}"/>
    <cellStyle name="40% - Accent1 3 2 7 5" xfId="12292" xr:uid="{00000000-0005-0000-0000-0000C42D0000}"/>
    <cellStyle name="40% - Accent1 3 2 7 6" xfId="12293" xr:uid="{00000000-0005-0000-0000-0000C52D0000}"/>
    <cellStyle name="40% - Accent1 3 2 8" xfId="12294" xr:uid="{00000000-0005-0000-0000-0000C62D0000}"/>
    <cellStyle name="40% - Accent1 3 2 8 2" xfId="12295" xr:uid="{00000000-0005-0000-0000-0000C72D0000}"/>
    <cellStyle name="40% - Accent1 3 2 8 2 2" xfId="12296" xr:uid="{00000000-0005-0000-0000-0000C82D0000}"/>
    <cellStyle name="40% - Accent1 3 2 8 2 3" xfId="12297" xr:uid="{00000000-0005-0000-0000-0000C92D0000}"/>
    <cellStyle name="40% - Accent1 3 2 8 3" xfId="12298" xr:uid="{00000000-0005-0000-0000-0000CA2D0000}"/>
    <cellStyle name="40% - Accent1 3 2 8 4" xfId="12299" xr:uid="{00000000-0005-0000-0000-0000CB2D0000}"/>
    <cellStyle name="40% - Accent1 3 2 8 5" xfId="12300" xr:uid="{00000000-0005-0000-0000-0000CC2D0000}"/>
    <cellStyle name="40% - Accent1 3 2 8 6" xfId="12301" xr:uid="{00000000-0005-0000-0000-0000CD2D0000}"/>
    <cellStyle name="40% - Accent1 3 2 9" xfId="12302" xr:uid="{00000000-0005-0000-0000-0000CE2D0000}"/>
    <cellStyle name="40% - Accent1 3 2 9 2" xfId="12303" xr:uid="{00000000-0005-0000-0000-0000CF2D0000}"/>
    <cellStyle name="40% - Accent1 3 2 9 2 2" xfId="12304" xr:uid="{00000000-0005-0000-0000-0000D02D0000}"/>
    <cellStyle name="40% - Accent1 3 2 9 2 3" xfId="12305" xr:uid="{00000000-0005-0000-0000-0000D12D0000}"/>
    <cellStyle name="40% - Accent1 3 2 9 3" xfId="12306" xr:uid="{00000000-0005-0000-0000-0000D22D0000}"/>
    <cellStyle name="40% - Accent1 3 2 9 4" xfId="12307" xr:uid="{00000000-0005-0000-0000-0000D32D0000}"/>
    <cellStyle name="40% - Accent1 3 2 9 5" xfId="12308" xr:uid="{00000000-0005-0000-0000-0000D42D0000}"/>
    <cellStyle name="40% - Accent1 3 2 9 6" xfId="12309" xr:uid="{00000000-0005-0000-0000-0000D52D0000}"/>
    <cellStyle name="40% - Accent1 3 3" xfId="12310" xr:uid="{00000000-0005-0000-0000-0000D62D0000}"/>
    <cellStyle name="40% - Accent1 3 3 10" xfId="12311" xr:uid="{00000000-0005-0000-0000-0000D72D0000}"/>
    <cellStyle name="40% - Accent1 3 3 10 2" xfId="12312" xr:uid="{00000000-0005-0000-0000-0000D82D0000}"/>
    <cellStyle name="40% - Accent1 3 3 10 3" xfId="12313" xr:uid="{00000000-0005-0000-0000-0000D92D0000}"/>
    <cellStyle name="40% - Accent1 3 3 11" xfId="12314" xr:uid="{00000000-0005-0000-0000-0000DA2D0000}"/>
    <cellStyle name="40% - Accent1 3 3 12" xfId="12315" xr:uid="{00000000-0005-0000-0000-0000DB2D0000}"/>
    <cellStyle name="40% - Accent1 3 3 13" xfId="12316" xr:uid="{00000000-0005-0000-0000-0000DC2D0000}"/>
    <cellStyle name="40% - Accent1 3 3 14" xfId="12317" xr:uid="{00000000-0005-0000-0000-0000DD2D0000}"/>
    <cellStyle name="40% - Accent1 3 3 2" xfId="12318" xr:uid="{00000000-0005-0000-0000-0000DE2D0000}"/>
    <cellStyle name="40% - Accent1 3 3 2 10" xfId="12319" xr:uid="{00000000-0005-0000-0000-0000DF2D0000}"/>
    <cellStyle name="40% - Accent1 3 3 2 11" xfId="12320" xr:uid="{00000000-0005-0000-0000-0000E02D0000}"/>
    <cellStyle name="40% - Accent1 3 3 2 12" xfId="12321" xr:uid="{00000000-0005-0000-0000-0000E12D0000}"/>
    <cellStyle name="40% - Accent1 3 3 2 13" xfId="12322" xr:uid="{00000000-0005-0000-0000-0000E22D0000}"/>
    <cellStyle name="40% - Accent1 3 3 2 2" xfId="12323" xr:uid="{00000000-0005-0000-0000-0000E32D0000}"/>
    <cellStyle name="40% - Accent1 3 3 2 2 10" xfId="12324" xr:uid="{00000000-0005-0000-0000-0000E42D0000}"/>
    <cellStyle name="40% - Accent1 3 3 2 2 2" xfId="12325" xr:uid="{00000000-0005-0000-0000-0000E52D0000}"/>
    <cellStyle name="40% - Accent1 3 3 2 2 2 2" xfId="12326" xr:uid="{00000000-0005-0000-0000-0000E62D0000}"/>
    <cellStyle name="40% - Accent1 3 3 2 2 2 2 2" xfId="12327" xr:uid="{00000000-0005-0000-0000-0000E72D0000}"/>
    <cellStyle name="40% - Accent1 3 3 2 2 2 2 2 2" xfId="12328" xr:uid="{00000000-0005-0000-0000-0000E82D0000}"/>
    <cellStyle name="40% - Accent1 3 3 2 2 2 2 2 3" xfId="12329" xr:uid="{00000000-0005-0000-0000-0000E92D0000}"/>
    <cellStyle name="40% - Accent1 3 3 2 2 2 2 3" xfId="12330" xr:uid="{00000000-0005-0000-0000-0000EA2D0000}"/>
    <cellStyle name="40% - Accent1 3 3 2 2 2 2 4" xfId="12331" xr:uid="{00000000-0005-0000-0000-0000EB2D0000}"/>
    <cellStyle name="40% - Accent1 3 3 2 2 2 2 5" xfId="12332" xr:uid="{00000000-0005-0000-0000-0000EC2D0000}"/>
    <cellStyle name="40% - Accent1 3 3 2 2 2 2 6" xfId="12333" xr:uid="{00000000-0005-0000-0000-0000ED2D0000}"/>
    <cellStyle name="40% - Accent1 3 3 2 2 2 3" xfId="12334" xr:uid="{00000000-0005-0000-0000-0000EE2D0000}"/>
    <cellStyle name="40% - Accent1 3 3 2 2 2 3 2" xfId="12335" xr:uid="{00000000-0005-0000-0000-0000EF2D0000}"/>
    <cellStyle name="40% - Accent1 3 3 2 2 2 3 2 2" xfId="12336" xr:uid="{00000000-0005-0000-0000-0000F02D0000}"/>
    <cellStyle name="40% - Accent1 3 3 2 2 2 3 2 3" xfId="12337" xr:uid="{00000000-0005-0000-0000-0000F12D0000}"/>
    <cellStyle name="40% - Accent1 3 3 2 2 2 3 3" xfId="12338" xr:uid="{00000000-0005-0000-0000-0000F22D0000}"/>
    <cellStyle name="40% - Accent1 3 3 2 2 2 3 4" xfId="12339" xr:uid="{00000000-0005-0000-0000-0000F32D0000}"/>
    <cellStyle name="40% - Accent1 3 3 2 2 2 3 5" xfId="12340" xr:uid="{00000000-0005-0000-0000-0000F42D0000}"/>
    <cellStyle name="40% - Accent1 3 3 2 2 2 3 6" xfId="12341" xr:uid="{00000000-0005-0000-0000-0000F52D0000}"/>
    <cellStyle name="40% - Accent1 3 3 2 2 2 4" xfId="12342" xr:uid="{00000000-0005-0000-0000-0000F62D0000}"/>
    <cellStyle name="40% - Accent1 3 3 2 2 2 4 2" xfId="12343" xr:uid="{00000000-0005-0000-0000-0000F72D0000}"/>
    <cellStyle name="40% - Accent1 3 3 2 2 2 4 3" xfId="12344" xr:uid="{00000000-0005-0000-0000-0000F82D0000}"/>
    <cellStyle name="40% - Accent1 3 3 2 2 2 5" xfId="12345" xr:uid="{00000000-0005-0000-0000-0000F92D0000}"/>
    <cellStyle name="40% - Accent1 3 3 2 2 2 6" xfId="12346" xr:uid="{00000000-0005-0000-0000-0000FA2D0000}"/>
    <cellStyle name="40% - Accent1 3 3 2 2 2 7" xfId="12347" xr:uid="{00000000-0005-0000-0000-0000FB2D0000}"/>
    <cellStyle name="40% - Accent1 3 3 2 2 2 8" xfId="12348" xr:uid="{00000000-0005-0000-0000-0000FC2D0000}"/>
    <cellStyle name="40% - Accent1 3 3 2 2 3" xfId="12349" xr:uid="{00000000-0005-0000-0000-0000FD2D0000}"/>
    <cellStyle name="40% - Accent1 3 3 2 2 3 2" xfId="12350" xr:uid="{00000000-0005-0000-0000-0000FE2D0000}"/>
    <cellStyle name="40% - Accent1 3 3 2 2 3 2 2" xfId="12351" xr:uid="{00000000-0005-0000-0000-0000FF2D0000}"/>
    <cellStyle name="40% - Accent1 3 3 2 2 3 2 2 2" xfId="12352" xr:uid="{00000000-0005-0000-0000-0000002E0000}"/>
    <cellStyle name="40% - Accent1 3 3 2 2 3 2 2 3" xfId="12353" xr:uid="{00000000-0005-0000-0000-0000012E0000}"/>
    <cellStyle name="40% - Accent1 3 3 2 2 3 2 3" xfId="12354" xr:uid="{00000000-0005-0000-0000-0000022E0000}"/>
    <cellStyle name="40% - Accent1 3 3 2 2 3 2 4" xfId="12355" xr:uid="{00000000-0005-0000-0000-0000032E0000}"/>
    <cellStyle name="40% - Accent1 3 3 2 2 3 2 5" xfId="12356" xr:uid="{00000000-0005-0000-0000-0000042E0000}"/>
    <cellStyle name="40% - Accent1 3 3 2 2 3 2 6" xfId="12357" xr:uid="{00000000-0005-0000-0000-0000052E0000}"/>
    <cellStyle name="40% - Accent1 3 3 2 2 3 3" xfId="12358" xr:uid="{00000000-0005-0000-0000-0000062E0000}"/>
    <cellStyle name="40% - Accent1 3 3 2 2 3 3 2" xfId="12359" xr:uid="{00000000-0005-0000-0000-0000072E0000}"/>
    <cellStyle name="40% - Accent1 3 3 2 2 3 3 3" xfId="12360" xr:uid="{00000000-0005-0000-0000-0000082E0000}"/>
    <cellStyle name="40% - Accent1 3 3 2 2 3 4" xfId="12361" xr:uid="{00000000-0005-0000-0000-0000092E0000}"/>
    <cellStyle name="40% - Accent1 3 3 2 2 3 5" xfId="12362" xr:uid="{00000000-0005-0000-0000-00000A2E0000}"/>
    <cellStyle name="40% - Accent1 3 3 2 2 3 6" xfId="12363" xr:uid="{00000000-0005-0000-0000-00000B2E0000}"/>
    <cellStyle name="40% - Accent1 3 3 2 2 3 7" xfId="12364" xr:uid="{00000000-0005-0000-0000-00000C2E0000}"/>
    <cellStyle name="40% - Accent1 3 3 2 2 4" xfId="12365" xr:uid="{00000000-0005-0000-0000-00000D2E0000}"/>
    <cellStyle name="40% - Accent1 3 3 2 2 4 2" xfId="12366" xr:uid="{00000000-0005-0000-0000-00000E2E0000}"/>
    <cellStyle name="40% - Accent1 3 3 2 2 4 2 2" xfId="12367" xr:uid="{00000000-0005-0000-0000-00000F2E0000}"/>
    <cellStyle name="40% - Accent1 3 3 2 2 4 2 3" xfId="12368" xr:uid="{00000000-0005-0000-0000-0000102E0000}"/>
    <cellStyle name="40% - Accent1 3 3 2 2 4 3" xfId="12369" xr:uid="{00000000-0005-0000-0000-0000112E0000}"/>
    <cellStyle name="40% - Accent1 3 3 2 2 4 4" xfId="12370" xr:uid="{00000000-0005-0000-0000-0000122E0000}"/>
    <cellStyle name="40% - Accent1 3 3 2 2 4 5" xfId="12371" xr:uid="{00000000-0005-0000-0000-0000132E0000}"/>
    <cellStyle name="40% - Accent1 3 3 2 2 4 6" xfId="12372" xr:uid="{00000000-0005-0000-0000-0000142E0000}"/>
    <cellStyle name="40% - Accent1 3 3 2 2 5" xfId="12373" xr:uid="{00000000-0005-0000-0000-0000152E0000}"/>
    <cellStyle name="40% - Accent1 3 3 2 2 5 2" xfId="12374" xr:uid="{00000000-0005-0000-0000-0000162E0000}"/>
    <cellStyle name="40% - Accent1 3 3 2 2 5 2 2" xfId="12375" xr:uid="{00000000-0005-0000-0000-0000172E0000}"/>
    <cellStyle name="40% - Accent1 3 3 2 2 5 2 3" xfId="12376" xr:uid="{00000000-0005-0000-0000-0000182E0000}"/>
    <cellStyle name="40% - Accent1 3 3 2 2 5 3" xfId="12377" xr:uid="{00000000-0005-0000-0000-0000192E0000}"/>
    <cellStyle name="40% - Accent1 3 3 2 2 5 4" xfId="12378" xr:uid="{00000000-0005-0000-0000-00001A2E0000}"/>
    <cellStyle name="40% - Accent1 3 3 2 2 5 5" xfId="12379" xr:uid="{00000000-0005-0000-0000-00001B2E0000}"/>
    <cellStyle name="40% - Accent1 3 3 2 2 5 6" xfId="12380" xr:uid="{00000000-0005-0000-0000-00001C2E0000}"/>
    <cellStyle name="40% - Accent1 3 3 2 2 6" xfId="12381" xr:uid="{00000000-0005-0000-0000-00001D2E0000}"/>
    <cellStyle name="40% - Accent1 3 3 2 2 6 2" xfId="12382" xr:uid="{00000000-0005-0000-0000-00001E2E0000}"/>
    <cellStyle name="40% - Accent1 3 3 2 2 6 3" xfId="12383" xr:uid="{00000000-0005-0000-0000-00001F2E0000}"/>
    <cellStyle name="40% - Accent1 3 3 2 2 7" xfId="12384" xr:uid="{00000000-0005-0000-0000-0000202E0000}"/>
    <cellStyle name="40% - Accent1 3 3 2 2 8" xfId="12385" xr:uid="{00000000-0005-0000-0000-0000212E0000}"/>
    <cellStyle name="40% - Accent1 3 3 2 2 9" xfId="12386" xr:uid="{00000000-0005-0000-0000-0000222E0000}"/>
    <cellStyle name="40% - Accent1 3 3 2 3" xfId="12387" xr:uid="{00000000-0005-0000-0000-0000232E0000}"/>
    <cellStyle name="40% - Accent1 3 3 2 3 2" xfId="12388" xr:uid="{00000000-0005-0000-0000-0000242E0000}"/>
    <cellStyle name="40% - Accent1 3 3 2 3 2 2" xfId="12389" xr:uid="{00000000-0005-0000-0000-0000252E0000}"/>
    <cellStyle name="40% - Accent1 3 3 2 3 2 2 2" xfId="12390" xr:uid="{00000000-0005-0000-0000-0000262E0000}"/>
    <cellStyle name="40% - Accent1 3 3 2 3 2 2 2 2" xfId="12391" xr:uid="{00000000-0005-0000-0000-0000272E0000}"/>
    <cellStyle name="40% - Accent1 3 3 2 3 2 2 2 3" xfId="12392" xr:uid="{00000000-0005-0000-0000-0000282E0000}"/>
    <cellStyle name="40% - Accent1 3 3 2 3 2 2 3" xfId="12393" xr:uid="{00000000-0005-0000-0000-0000292E0000}"/>
    <cellStyle name="40% - Accent1 3 3 2 3 2 2 4" xfId="12394" xr:uid="{00000000-0005-0000-0000-00002A2E0000}"/>
    <cellStyle name="40% - Accent1 3 3 2 3 2 2 5" xfId="12395" xr:uid="{00000000-0005-0000-0000-00002B2E0000}"/>
    <cellStyle name="40% - Accent1 3 3 2 3 2 2 6" xfId="12396" xr:uid="{00000000-0005-0000-0000-00002C2E0000}"/>
    <cellStyle name="40% - Accent1 3 3 2 3 2 3" xfId="12397" xr:uid="{00000000-0005-0000-0000-00002D2E0000}"/>
    <cellStyle name="40% - Accent1 3 3 2 3 2 3 2" xfId="12398" xr:uid="{00000000-0005-0000-0000-00002E2E0000}"/>
    <cellStyle name="40% - Accent1 3 3 2 3 2 3 3" xfId="12399" xr:uid="{00000000-0005-0000-0000-00002F2E0000}"/>
    <cellStyle name="40% - Accent1 3 3 2 3 2 4" xfId="12400" xr:uid="{00000000-0005-0000-0000-0000302E0000}"/>
    <cellStyle name="40% - Accent1 3 3 2 3 2 5" xfId="12401" xr:uid="{00000000-0005-0000-0000-0000312E0000}"/>
    <cellStyle name="40% - Accent1 3 3 2 3 2 6" xfId="12402" xr:uid="{00000000-0005-0000-0000-0000322E0000}"/>
    <cellStyle name="40% - Accent1 3 3 2 3 2 7" xfId="12403" xr:uid="{00000000-0005-0000-0000-0000332E0000}"/>
    <cellStyle name="40% - Accent1 3 3 2 3 3" xfId="12404" xr:uid="{00000000-0005-0000-0000-0000342E0000}"/>
    <cellStyle name="40% - Accent1 3 3 2 3 3 2" xfId="12405" xr:uid="{00000000-0005-0000-0000-0000352E0000}"/>
    <cellStyle name="40% - Accent1 3 3 2 3 3 2 2" xfId="12406" xr:uid="{00000000-0005-0000-0000-0000362E0000}"/>
    <cellStyle name="40% - Accent1 3 3 2 3 3 2 3" xfId="12407" xr:uid="{00000000-0005-0000-0000-0000372E0000}"/>
    <cellStyle name="40% - Accent1 3 3 2 3 3 3" xfId="12408" xr:uid="{00000000-0005-0000-0000-0000382E0000}"/>
    <cellStyle name="40% - Accent1 3 3 2 3 3 4" xfId="12409" xr:uid="{00000000-0005-0000-0000-0000392E0000}"/>
    <cellStyle name="40% - Accent1 3 3 2 3 3 5" xfId="12410" xr:uid="{00000000-0005-0000-0000-00003A2E0000}"/>
    <cellStyle name="40% - Accent1 3 3 2 3 3 6" xfId="12411" xr:uid="{00000000-0005-0000-0000-00003B2E0000}"/>
    <cellStyle name="40% - Accent1 3 3 2 3 4" xfId="12412" xr:uid="{00000000-0005-0000-0000-00003C2E0000}"/>
    <cellStyle name="40% - Accent1 3 3 2 3 4 2" xfId="12413" xr:uid="{00000000-0005-0000-0000-00003D2E0000}"/>
    <cellStyle name="40% - Accent1 3 3 2 3 4 2 2" xfId="12414" xr:uid="{00000000-0005-0000-0000-00003E2E0000}"/>
    <cellStyle name="40% - Accent1 3 3 2 3 4 2 3" xfId="12415" xr:uid="{00000000-0005-0000-0000-00003F2E0000}"/>
    <cellStyle name="40% - Accent1 3 3 2 3 4 3" xfId="12416" xr:uid="{00000000-0005-0000-0000-0000402E0000}"/>
    <cellStyle name="40% - Accent1 3 3 2 3 4 4" xfId="12417" xr:uid="{00000000-0005-0000-0000-0000412E0000}"/>
    <cellStyle name="40% - Accent1 3 3 2 3 4 5" xfId="12418" xr:uid="{00000000-0005-0000-0000-0000422E0000}"/>
    <cellStyle name="40% - Accent1 3 3 2 3 4 6" xfId="12419" xr:uid="{00000000-0005-0000-0000-0000432E0000}"/>
    <cellStyle name="40% - Accent1 3 3 2 3 5" xfId="12420" xr:uid="{00000000-0005-0000-0000-0000442E0000}"/>
    <cellStyle name="40% - Accent1 3 3 2 3 5 2" xfId="12421" xr:uid="{00000000-0005-0000-0000-0000452E0000}"/>
    <cellStyle name="40% - Accent1 3 3 2 3 5 3" xfId="12422" xr:uid="{00000000-0005-0000-0000-0000462E0000}"/>
    <cellStyle name="40% - Accent1 3 3 2 3 6" xfId="12423" xr:uid="{00000000-0005-0000-0000-0000472E0000}"/>
    <cellStyle name="40% - Accent1 3 3 2 3 7" xfId="12424" xr:uid="{00000000-0005-0000-0000-0000482E0000}"/>
    <cellStyle name="40% - Accent1 3 3 2 3 8" xfId="12425" xr:uid="{00000000-0005-0000-0000-0000492E0000}"/>
    <cellStyle name="40% - Accent1 3 3 2 3 9" xfId="12426" xr:uid="{00000000-0005-0000-0000-00004A2E0000}"/>
    <cellStyle name="40% - Accent1 3 3 2 4" xfId="12427" xr:uid="{00000000-0005-0000-0000-00004B2E0000}"/>
    <cellStyle name="40% - Accent1 3 3 2 4 2" xfId="12428" xr:uid="{00000000-0005-0000-0000-00004C2E0000}"/>
    <cellStyle name="40% - Accent1 3 3 2 4 2 2" xfId="12429" xr:uid="{00000000-0005-0000-0000-00004D2E0000}"/>
    <cellStyle name="40% - Accent1 3 3 2 4 2 2 2" xfId="12430" xr:uid="{00000000-0005-0000-0000-00004E2E0000}"/>
    <cellStyle name="40% - Accent1 3 3 2 4 2 2 3" xfId="12431" xr:uid="{00000000-0005-0000-0000-00004F2E0000}"/>
    <cellStyle name="40% - Accent1 3 3 2 4 2 3" xfId="12432" xr:uid="{00000000-0005-0000-0000-0000502E0000}"/>
    <cellStyle name="40% - Accent1 3 3 2 4 2 4" xfId="12433" xr:uid="{00000000-0005-0000-0000-0000512E0000}"/>
    <cellStyle name="40% - Accent1 3 3 2 4 2 5" xfId="12434" xr:uid="{00000000-0005-0000-0000-0000522E0000}"/>
    <cellStyle name="40% - Accent1 3 3 2 4 2 6" xfId="12435" xr:uid="{00000000-0005-0000-0000-0000532E0000}"/>
    <cellStyle name="40% - Accent1 3 3 2 4 3" xfId="12436" xr:uid="{00000000-0005-0000-0000-0000542E0000}"/>
    <cellStyle name="40% - Accent1 3 3 2 4 3 2" xfId="12437" xr:uid="{00000000-0005-0000-0000-0000552E0000}"/>
    <cellStyle name="40% - Accent1 3 3 2 4 3 3" xfId="12438" xr:uid="{00000000-0005-0000-0000-0000562E0000}"/>
    <cellStyle name="40% - Accent1 3 3 2 4 4" xfId="12439" xr:uid="{00000000-0005-0000-0000-0000572E0000}"/>
    <cellStyle name="40% - Accent1 3 3 2 4 5" xfId="12440" xr:uid="{00000000-0005-0000-0000-0000582E0000}"/>
    <cellStyle name="40% - Accent1 3 3 2 4 6" xfId="12441" xr:uid="{00000000-0005-0000-0000-0000592E0000}"/>
    <cellStyle name="40% - Accent1 3 3 2 4 7" xfId="12442" xr:uid="{00000000-0005-0000-0000-00005A2E0000}"/>
    <cellStyle name="40% - Accent1 3 3 2 5" xfId="12443" xr:uid="{00000000-0005-0000-0000-00005B2E0000}"/>
    <cellStyle name="40% - Accent1 3 3 2 5 2" xfId="12444" xr:uid="{00000000-0005-0000-0000-00005C2E0000}"/>
    <cellStyle name="40% - Accent1 3 3 2 5 2 2" xfId="12445" xr:uid="{00000000-0005-0000-0000-00005D2E0000}"/>
    <cellStyle name="40% - Accent1 3 3 2 5 2 3" xfId="12446" xr:uid="{00000000-0005-0000-0000-00005E2E0000}"/>
    <cellStyle name="40% - Accent1 3 3 2 5 3" xfId="12447" xr:uid="{00000000-0005-0000-0000-00005F2E0000}"/>
    <cellStyle name="40% - Accent1 3 3 2 5 4" xfId="12448" xr:uid="{00000000-0005-0000-0000-0000602E0000}"/>
    <cellStyle name="40% - Accent1 3 3 2 5 5" xfId="12449" xr:uid="{00000000-0005-0000-0000-0000612E0000}"/>
    <cellStyle name="40% - Accent1 3 3 2 5 6" xfId="12450" xr:uid="{00000000-0005-0000-0000-0000622E0000}"/>
    <cellStyle name="40% - Accent1 3 3 2 6" xfId="12451" xr:uid="{00000000-0005-0000-0000-0000632E0000}"/>
    <cellStyle name="40% - Accent1 3 3 2 6 2" xfId="12452" xr:uid="{00000000-0005-0000-0000-0000642E0000}"/>
    <cellStyle name="40% - Accent1 3 3 2 6 2 2" xfId="12453" xr:uid="{00000000-0005-0000-0000-0000652E0000}"/>
    <cellStyle name="40% - Accent1 3 3 2 6 2 3" xfId="12454" xr:uid="{00000000-0005-0000-0000-0000662E0000}"/>
    <cellStyle name="40% - Accent1 3 3 2 6 3" xfId="12455" xr:uid="{00000000-0005-0000-0000-0000672E0000}"/>
    <cellStyle name="40% - Accent1 3 3 2 6 4" xfId="12456" xr:uid="{00000000-0005-0000-0000-0000682E0000}"/>
    <cellStyle name="40% - Accent1 3 3 2 6 5" xfId="12457" xr:uid="{00000000-0005-0000-0000-0000692E0000}"/>
    <cellStyle name="40% - Accent1 3 3 2 6 6" xfId="12458" xr:uid="{00000000-0005-0000-0000-00006A2E0000}"/>
    <cellStyle name="40% - Accent1 3 3 2 7" xfId="12459" xr:uid="{00000000-0005-0000-0000-00006B2E0000}"/>
    <cellStyle name="40% - Accent1 3 3 2 7 2" xfId="12460" xr:uid="{00000000-0005-0000-0000-00006C2E0000}"/>
    <cellStyle name="40% - Accent1 3 3 2 7 2 2" xfId="12461" xr:uid="{00000000-0005-0000-0000-00006D2E0000}"/>
    <cellStyle name="40% - Accent1 3 3 2 7 2 3" xfId="12462" xr:uid="{00000000-0005-0000-0000-00006E2E0000}"/>
    <cellStyle name="40% - Accent1 3 3 2 7 3" xfId="12463" xr:uid="{00000000-0005-0000-0000-00006F2E0000}"/>
    <cellStyle name="40% - Accent1 3 3 2 7 4" xfId="12464" xr:uid="{00000000-0005-0000-0000-0000702E0000}"/>
    <cellStyle name="40% - Accent1 3 3 2 7 5" xfId="12465" xr:uid="{00000000-0005-0000-0000-0000712E0000}"/>
    <cellStyle name="40% - Accent1 3 3 2 7 6" xfId="12466" xr:uid="{00000000-0005-0000-0000-0000722E0000}"/>
    <cellStyle name="40% - Accent1 3 3 2 8" xfId="12467" xr:uid="{00000000-0005-0000-0000-0000732E0000}"/>
    <cellStyle name="40% - Accent1 3 3 2 8 2" xfId="12468" xr:uid="{00000000-0005-0000-0000-0000742E0000}"/>
    <cellStyle name="40% - Accent1 3 3 2 8 2 2" xfId="12469" xr:uid="{00000000-0005-0000-0000-0000752E0000}"/>
    <cellStyle name="40% - Accent1 3 3 2 8 2 3" xfId="12470" xr:uid="{00000000-0005-0000-0000-0000762E0000}"/>
    <cellStyle name="40% - Accent1 3 3 2 8 3" xfId="12471" xr:uid="{00000000-0005-0000-0000-0000772E0000}"/>
    <cellStyle name="40% - Accent1 3 3 2 8 4" xfId="12472" xr:uid="{00000000-0005-0000-0000-0000782E0000}"/>
    <cellStyle name="40% - Accent1 3 3 2 8 5" xfId="12473" xr:uid="{00000000-0005-0000-0000-0000792E0000}"/>
    <cellStyle name="40% - Accent1 3 3 2 8 6" xfId="12474" xr:uid="{00000000-0005-0000-0000-00007A2E0000}"/>
    <cellStyle name="40% - Accent1 3 3 2 9" xfId="12475" xr:uid="{00000000-0005-0000-0000-00007B2E0000}"/>
    <cellStyle name="40% - Accent1 3 3 2 9 2" xfId="12476" xr:uid="{00000000-0005-0000-0000-00007C2E0000}"/>
    <cellStyle name="40% - Accent1 3 3 2 9 3" xfId="12477" xr:uid="{00000000-0005-0000-0000-00007D2E0000}"/>
    <cellStyle name="40% - Accent1 3 3 3" xfId="12478" xr:uid="{00000000-0005-0000-0000-00007E2E0000}"/>
    <cellStyle name="40% - Accent1 3 3 3 10" xfId="12479" xr:uid="{00000000-0005-0000-0000-00007F2E0000}"/>
    <cellStyle name="40% - Accent1 3 3 3 2" xfId="12480" xr:uid="{00000000-0005-0000-0000-0000802E0000}"/>
    <cellStyle name="40% - Accent1 3 3 3 2 2" xfId="12481" xr:uid="{00000000-0005-0000-0000-0000812E0000}"/>
    <cellStyle name="40% - Accent1 3 3 3 2 2 2" xfId="12482" xr:uid="{00000000-0005-0000-0000-0000822E0000}"/>
    <cellStyle name="40% - Accent1 3 3 3 2 2 2 2" xfId="12483" xr:uid="{00000000-0005-0000-0000-0000832E0000}"/>
    <cellStyle name="40% - Accent1 3 3 3 2 2 2 3" xfId="12484" xr:uid="{00000000-0005-0000-0000-0000842E0000}"/>
    <cellStyle name="40% - Accent1 3 3 3 2 2 3" xfId="12485" xr:uid="{00000000-0005-0000-0000-0000852E0000}"/>
    <cellStyle name="40% - Accent1 3 3 3 2 2 4" xfId="12486" xr:uid="{00000000-0005-0000-0000-0000862E0000}"/>
    <cellStyle name="40% - Accent1 3 3 3 2 2 5" xfId="12487" xr:uid="{00000000-0005-0000-0000-0000872E0000}"/>
    <cellStyle name="40% - Accent1 3 3 3 2 2 6" xfId="12488" xr:uid="{00000000-0005-0000-0000-0000882E0000}"/>
    <cellStyle name="40% - Accent1 3 3 3 2 3" xfId="12489" xr:uid="{00000000-0005-0000-0000-0000892E0000}"/>
    <cellStyle name="40% - Accent1 3 3 3 2 3 2" xfId="12490" xr:uid="{00000000-0005-0000-0000-00008A2E0000}"/>
    <cellStyle name="40% - Accent1 3 3 3 2 3 2 2" xfId="12491" xr:uid="{00000000-0005-0000-0000-00008B2E0000}"/>
    <cellStyle name="40% - Accent1 3 3 3 2 3 2 3" xfId="12492" xr:uid="{00000000-0005-0000-0000-00008C2E0000}"/>
    <cellStyle name="40% - Accent1 3 3 3 2 3 3" xfId="12493" xr:uid="{00000000-0005-0000-0000-00008D2E0000}"/>
    <cellStyle name="40% - Accent1 3 3 3 2 3 4" xfId="12494" xr:uid="{00000000-0005-0000-0000-00008E2E0000}"/>
    <cellStyle name="40% - Accent1 3 3 3 2 3 5" xfId="12495" xr:uid="{00000000-0005-0000-0000-00008F2E0000}"/>
    <cellStyle name="40% - Accent1 3 3 3 2 3 6" xfId="12496" xr:uid="{00000000-0005-0000-0000-0000902E0000}"/>
    <cellStyle name="40% - Accent1 3 3 3 2 4" xfId="12497" xr:uid="{00000000-0005-0000-0000-0000912E0000}"/>
    <cellStyle name="40% - Accent1 3 3 3 2 4 2" xfId="12498" xr:uid="{00000000-0005-0000-0000-0000922E0000}"/>
    <cellStyle name="40% - Accent1 3 3 3 2 4 3" xfId="12499" xr:uid="{00000000-0005-0000-0000-0000932E0000}"/>
    <cellStyle name="40% - Accent1 3 3 3 2 5" xfId="12500" xr:uid="{00000000-0005-0000-0000-0000942E0000}"/>
    <cellStyle name="40% - Accent1 3 3 3 2 6" xfId="12501" xr:uid="{00000000-0005-0000-0000-0000952E0000}"/>
    <cellStyle name="40% - Accent1 3 3 3 2 7" xfId="12502" xr:uid="{00000000-0005-0000-0000-0000962E0000}"/>
    <cellStyle name="40% - Accent1 3 3 3 2 8" xfId="12503" xr:uid="{00000000-0005-0000-0000-0000972E0000}"/>
    <cellStyle name="40% - Accent1 3 3 3 3" xfId="12504" xr:uid="{00000000-0005-0000-0000-0000982E0000}"/>
    <cellStyle name="40% - Accent1 3 3 3 3 2" xfId="12505" xr:uid="{00000000-0005-0000-0000-0000992E0000}"/>
    <cellStyle name="40% - Accent1 3 3 3 3 2 2" xfId="12506" xr:uid="{00000000-0005-0000-0000-00009A2E0000}"/>
    <cellStyle name="40% - Accent1 3 3 3 3 2 2 2" xfId="12507" xr:uid="{00000000-0005-0000-0000-00009B2E0000}"/>
    <cellStyle name="40% - Accent1 3 3 3 3 2 2 3" xfId="12508" xr:uid="{00000000-0005-0000-0000-00009C2E0000}"/>
    <cellStyle name="40% - Accent1 3 3 3 3 2 3" xfId="12509" xr:uid="{00000000-0005-0000-0000-00009D2E0000}"/>
    <cellStyle name="40% - Accent1 3 3 3 3 2 4" xfId="12510" xr:uid="{00000000-0005-0000-0000-00009E2E0000}"/>
    <cellStyle name="40% - Accent1 3 3 3 3 2 5" xfId="12511" xr:uid="{00000000-0005-0000-0000-00009F2E0000}"/>
    <cellStyle name="40% - Accent1 3 3 3 3 2 6" xfId="12512" xr:uid="{00000000-0005-0000-0000-0000A02E0000}"/>
    <cellStyle name="40% - Accent1 3 3 3 3 3" xfId="12513" xr:uid="{00000000-0005-0000-0000-0000A12E0000}"/>
    <cellStyle name="40% - Accent1 3 3 3 3 3 2" xfId="12514" xr:uid="{00000000-0005-0000-0000-0000A22E0000}"/>
    <cellStyle name="40% - Accent1 3 3 3 3 3 3" xfId="12515" xr:uid="{00000000-0005-0000-0000-0000A32E0000}"/>
    <cellStyle name="40% - Accent1 3 3 3 3 4" xfId="12516" xr:uid="{00000000-0005-0000-0000-0000A42E0000}"/>
    <cellStyle name="40% - Accent1 3 3 3 3 5" xfId="12517" xr:uid="{00000000-0005-0000-0000-0000A52E0000}"/>
    <cellStyle name="40% - Accent1 3 3 3 3 6" xfId="12518" xr:uid="{00000000-0005-0000-0000-0000A62E0000}"/>
    <cellStyle name="40% - Accent1 3 3 3 3 7" xfId="12519" xr:uid="{00000000-0005-0000-0000-0000A72E0000}"/>
    <cellStyle name="40% - Accent1 3 3 3 4" xfId="12520" xr:uid="{00000000-0005-0000-0000-0000A82E0000}"/>
    <cellStyle name="40% - Accent1 3 3 3 4 2" xfId="12521" xr:uid="{00000000-0005-0000-0000-0000A92E0000}"/>
    <cellStyle name="40% - Accent1 3 3 3 4 2 2" xfId="12522" xr:uid="{00000000-0005-0000-0000-0000AA2E0000}"/>
    <cellStyle name="40% - Accent1 3 3 3 4 2 3" xfId="12523" xr:uid="{00000000-0005-0000-0000-0000AB2E0000}"/>
    <cellStyle name="40% - Accent1 3 3 3 4 3" xfId="12524" xr:uid="{00000000-0005-0000-0000-0000AC2E0000}"/>
    <cellStyle name="40% - Accent1 3 3 3 4 4" xfId="12525" xr:uid="{00000000-0005-0000-0000-0000AD2E0000}"/>
    <cellStyle name="40% - Accent1 3 3 3 4 5" xfId="12526" xr:uid="{00000000-0005-0000-0000-0000AE2E0000}"/>
    <cellStyle name="40% - Accent1 3 3 3 4 6" xfId="12527" xr:uid="{00000000-0005-0000-0000-0000AF2E0000}"/>
    <cellStyle name="40% - Accent1 3 3 3 5" xfId="12528" xr:uid="{00000000-0005-0000-0000-0000B02E0000}"/>
    <cellStyle name="40% - Accent1 3 3 3 5 2" xfId="12529" xr:uid="{00000000-0005-0000-0000-0000B12E0000}"/>
    <cellStyle name="40% - Accent1 3 3 3 5 2 2" xfId="12530" xr:uid="{00000000-0005-0000-0000-0000B22E0000}"/>
    <cellStyle name="40% - Accent1 3 3 3 5 2 3" xfId="12531" xr:uid="{00000000-0005-0000-0000-0000B32E0000}"/>
    <cellStyle name="40% - Accent1 3 3 3 5 3" xfId="12532" xr:uid="{00000000-0005-0000-0000-0000B42E0000}"/>
    <cellStyle name="40% - Accent1 3 3 3 5 4" xfId="12533" xr:uid="{00000000-0005-0000-0000-0000B52E0000}"/>
    <cellStyle name="40% - Accent1 3 3 3 5 5" xfId="12534" xr:uid="{00000000-0005-0000-0000-0000B62E0000}"/>
    <cellStyle name="40% - Accent1 3 3 3 5 6" xfId="12535" xr:uid="{00000000-0005-0000-0000-0000B72E0000}"/>
    <cellStyle name="40% - Accent1 3 3 3 6" xfId="12536" xr:uid="{00000000-0005-0000-0000-0000B82E0000}"/>
    <cellStyle name="40% - Accent1 3 3 3 6 2" xfId="12537" xr:uid="{00000000-0005-0000-0000-0000B92E0000}"/>
    <cellStyle name="40% - Accent1 3 3 3 6 3" xfId="12538" xr:uid="{00000000-0005-0000-0000-0000BA2E0000}"/>
    <cellStyle name="40% - Accent1 3 3 3 7" xfId="12539" xr:uid="{00000000-0005-0000-0000-0000BB2E0000}"/>
    <cellStyle name="40% - Accent1 3 3 3 8" xfId="12540" xr:uid="{00000000-0005-0000-0000-0000BC2E0000}"/>
    <cellStyle name="40% - Accent1 3 3 3 9" xfId="12541" xr:uid="{00000000-0005-0000-0000-0000BD2E0000}"/>
    <cellStyle name="40% - Accent1 3 3 4" xfId="12542" xr:uid="{00000000-0005-0000-0000-0000BE2E0000}"/>
    <cellStyle name="40% - Accent1 3 3 4 2" xfId="12543" xr:uid="{00000000-0005-0000-0000-0000BF2E0000}"/>
    <cellStyle name="40% - Accent1 3 3 4 2 2" xfId="12544" xr:uid="{00000000-0005-0000-0000-0000C02E0000}"/>
    <cellStyle name="40% - Accent1 3 3 4 2 2 2" xfId="12545" xr:uid="{00000000-0005-0000-0000-0000C12E0000}"/>
    <cellStyle name="40% - Accent1 3 3 4 2 2 2 2" xfId="12546" xr:uid="{00000000-0005-0000-0000-0000C22E0000}"/>
    <cellStyle name="40% - Accent1 3 3 4 2 2 2 3" xfId="12547" xr:uid="{00000000-0005-0000-0000-0000C32E0000}"/>
    <cellStyle name="40% - Accent1 3 3 4 2 2 3" xfId="12548" xr:uid="{00000000-0005-0000-0000-0000C42E0000}"/>
    <cellStyle name="40% - Accent1 3 3 4 2 2 4" xfId="12549" xr:uid="{00000000-0005-0000-0000-0000C52E0000}"/>
    <cellStyle name="40% - Accent1 3 3 4 2 2 5" xfId="12550" xr:uid="{00000000-0005-0000-0000-0000C62E0000}"/>
    <cellStyle name="40% - Accent1 3 3 4 2 2 6" xfId="12551" xr:uid="{00000000-0005-0000-0000-0000C72E0000}"/>
    <cellStyle name="40% - Accent1 3 3 4 2 3" xfId="12552" xr:uid="{00000000-0005-0000-0000-0000C82E0000}"/>
    <cellStyle name="40% - Accent1 3 3 4 2 3 2" xfId="12553" xr:uid="{00000000-0005-0000-0000-0000C92E0000}"/>
    <cellStyle name="40% - Accent1 3 3 4 2 3 3" xfId="12554" xr:uid="{00000000-0005-0000-0000-0000CA2E0000}"/>
    <cellStyle name="40% - Accent1 3 3 4 2 4" xfId="12555" xr:uid="{00000000-0005-0000-0000-0000CB2E0000}"/>
    <cellStyle name="40% - Accent1 3 3 4 2 5" xfId="12556" xr:uid="{00000000-0005-0000-0000-0000CC2E0000}"/>
    <cellStyle name="40% - Accent1 3 3 4 2 6" xfId="12557" xr:uid="{00000000-0005-0000-0000-0000CD2E0000}"/>
    <cellStyle name="40% - Accent1 3 3 4 2 7" xfId="12558" xr:uid="{00000000-0005-0000-0000-0000CE2E0000}"/>
    <cellStyle name="40% - Accent1 3 3 4 3" xfId="12559" xr:uid="{00000000-0005-0000-0000-0000CF2E0000}"/>
    <cellStyle name="40% - Accent1 3 3 4 3 2" xfId="12560" xr:uid="{00000000-0005-0000-0000-0000D02E0000}"/>
    <cellStyle name="40% - Accent1 3 3 4 3 2 2" xfId="12561" xr:uid="{00000000-0005-0000-0000-0000D12E0000}"/>
    <cellStyle name="40% - Accent1 3 3 4 3 2 3" xfId="12562" xr:uid="{00000000-0005-0000-0000-0000D22E0000}"/>
    <cellStyle name="40% - Accent1 3 3 4 3 3" xfId="12563" xr:uid="{00000000-0005-0000-0000-0000D32E0000}"/>
    <cellStyle name="40% - Accent1 3 3 4 3 4" xfId="12564" xr:uid="{00000000-0005-0000-0000-0000D42E0000}"/>
    <cellStyle name="40% - Accent1 3 3 4 3 5" xfId="12565" xr:uid="{00000000-0005-0000-0000-0000D52E0000}"/>
    <cellStyle name="40% - Accent1 3 3 4 3 6" xfId="12566" xr:uid="{00000000-0005-0000-0000-0000D62E0000}"/>
    <cellStyle name="40% - Accent1 3 3 4 4" xfId="12567" xr:uid="{00000000-0005-0000-0000-0000D72E0000}"/>
    <cellStyle name="40% - Accent1 3 3 4 4 2" xfId="12568" xr:uid="{00000000-0005-0000-0000-0000D82E0000}"/>
    <cellStyle name="40% - Accent1 3 3 4 4 2 2" xfId="12569" xr:uid="{00000000-0005-0000-0000-0000D92E0000}"/>
    <cellStyle name="40% - Accent1 3 3 4 4 2 3" xfId="12570" xr:uid="{00000000-0005-0000-0000-0000DA2E0000}"/>
    <cellStyle name="40% - Accent1 3 3 4 4 3" xfId="12571" xr:uid="{00000000-0005-0000-0000-0000DB2E0000}"/>
    <cellStyle name="40% - Accent1 3 3 4 4 4" xfId="12572" xr:uid="{00000000-0005-0000-0000-0000DC2E0000}"/>
    <cellStyle name="40% - Accent1 3 3 4 4 5" xfId="12573" xr:uid="{00000000-0005-0000-0000-0000DD2E0000}"/>
    <cellStyle name="40% - Accent1 3 3 4 4 6" xfId="12574" xr:uid="{00000000-0005-0000-0000-0000DE2E0000}"/>
    <cellStyle name="40% - Accent1 3 3 4 5" xfId="12575" xr:uid="{00000000-0005-0000-0000-0000DF2E0000}"/>
    <cellStyle name="40% - Accent1 3 3 4 5 2" xfId="12576" xr:uid="{00000000-0005-0000-0000-0000E02E0000}"/>
    <cellStyle name="40% - Accent1 3 3 4 5 3" xfId="12577" xr:uid="{00000000-0005-0000-0000-0000E12E0000}"/>
    <cellStyle name="40% - Accent1 3 3 4 6" xfId="12578" xr:uid="{00000000-0005-0000-0000-0000E22E0000}"/>
    <cellStyle name="40% - Accent1 3 3 4 7" xfId="12579" xr:uid="{00000000-0005-0000-0000-0000E32E0000}"/>
    <cellStyle name="40% - Accent1 3 3 4 8" xfId="12580" xr:uid="{00000000-0005-0000-0000-0000E42E0000}"/>
    <cellStyle name="40% - Accent1 3 3 4 9" xfId="12581" xr:uid="{00000000-0005-0000-0000-0000E52E0000}"/>
    <cellStyle name="40% - Accent1 3 3 5" xfId="12582" xr:uid="{00000000-0005-0000-0000-0000E62E0000}"/>
    <cellStyle name="40% - Accent1 3 3 5 2" xfId="12583" xr:uid="{00000000-0005-0000-0000-0000E72E0000}"/>
    <cellStyle name="40% - Accent1 3 3 5 2 2" xfId="12584" xr:uid="{00000000-0005-0000-0000-0000E82E0000}"/>
    <cellStyle name="40% - Accent1 3 3 5 2 2 2" xfId="12585" xr:uid="{00000000-0005-0000-0000-0000E92E0000}"/>
    <cellStyle name="40% - Accent1 3 3 5 2 2 3" xfId="12586" xr:uid="{00000000-0005-0000-0000-0000EA2E0000}"/>
    <cellStyle name="40% - Accent1 3 3 5 2 3" xfId="12587" xr:uid="{00000000-0005-0000-0000-0000EB2E0000}"/>
    <cellStyle name="40% - Accent1 3 3 5 2 4" xfId="12588" xr:uid="{00000000-0005-0000-0000-0000EC2E0000}"/>
    <cellStyle name="40% - Accent1 3 3 5 2 5" xfId="12589" xr:uid="{00000000-0005-0000-0000-0000ED2E0000}"/>
    <cellStyle name="40% - Accent1 3 3 5 2 6" xfId="12590" xr:uid="{00000000-0005-0000-0000-0000EE2E0000}"/>
    <cellStyle name="40% - Accent1 3 3 5 3" xfId="12591" xr:uid="{00000000-0005-0000-0000-0000EF2E0000}"/>
    <cellStyle name="40% - Accent1 3 3 5 3 2" xfId="12592" xr:uid="{00000000-0005-0000-0000-0000F02E0000}"/>
    <cellStyle name="40% - Accent1 3 3 5 3 3" xfId="12593" xr:uid="{00000000-0005-0000-0000-0000F12E0000}"/>
    <cellStyle name="40% - Accent1 3 3 5 4" xfId="12594" xr:uid="{00000000-0005-0000-0000-0000F22E0000}"/>
    <cellStyle name="40% - Accent1 3 3 5 5" xfId="12595" xr:uid="{00000000-0005-0000-0000-0000F32E0000}"/>
    <cellStyle name="40% - Accent1 3 3 5 6" xfId="12596" xr:uid="{00000000-0005-0000-0000-0000F42E0000}"/>
    <cellStyle name="40% - Accent1 3 3 5 7" xfId="12597" xr:uid="{00000000-0005-0000-0000-0000F52E0000}"/>
    <cellStyle name="40% - Accent1 3 3 6" xfId="12598" xr:uid="{00000000-0005-0000-0000-0000F62E0000}"/>
    <cellStyle name="40% - Accent1 3 3 6 2" xfId="12599" xr:uid="{00000000-0005-0000-0000-0000F72E0000}"/>
    <cellStyle name="40% - Accent1 3 3 6 2 2" xfId="12600" xr:uid="{00000000-0005-0000-0000-0000F82E0000}"/>
    <cellStyle name="40% - Accent1 3 3 6 2 3" xfId="12601" xr:uid="{00000000-0005-0000-0000-0000F92E0000}"/>
    <cellStyle name="40% - Accent1 3 3 6 3" xfId="12602" xr:uid="{00000000-0005-0000-0000-0000FA2E0000}"/>
    <cellStyle name="40% - Accent1 3 3 6 4" xfId="12603" xr:uid="{00000000-0005-0000-0000-0000FB2E0000}"/>
    <cellStyle name="40% - Accent1 3 3 6 5" xfId="12604" xr:uid="{00000000-0005-0000-0000-0000FC2E0000}"/>
    <cellStyle name="40% - Accent1 3 3 6 6" xfId="12605" xr:uid="{00000000-0005-0000-0000-0000FD2E0000}"/>
    <cellStyle name="40% - Accent1 3 3 7" xfId="12606" xr:uid="{00000000-0005-0000-0000-0000FE2E0000}"/>
    <cellStyle name="40% - Accent1 3 3 7 2" xfId="12607" xr:uid="{00000000-0005-0000-0000-0000FF2E0000}"/>
    <cellStyle name="40% - Accent1 3 3 7 2 2" xfId="12608" xr:uid="{00000000-0005-0000-0000-0000002F0000}"/>
    <cellStyle name="40% - Accent1 3 3 7 2 3" xfId="12609" xr:uid="{00000000-0005-0000-0000-0000012F0000}"/>
    <cellStyle name="40% - Accent1 3 3 7 3" xfId="12610" xr:uid="{00000000-0005-0000-0000-0000022F0000}"/>
    <cellStyle name="40% - Accent1 3 3 7 4" xfId="12611" xr:uid="{00000000-0005-0000-0000-0000032F0000}"/>
    <cellStyle name="40% - Accent1 3 3 7 5" xfId="12612" xr:uid="{00000000-0005-0000-0000-0000042F0000}"/>
    <cellStyle name="40% - Accent1 3 3 7 6" xfId="12613" xr:uid="{00000000-0005-0000-0000-0000052F0000}"/>
    <cellStyle name="40% - Accent1 3 3 8" xfId="12614" xr:uid="{00000000-0005-0000-0000-0000062F0000}"/>
    <cellStyle name="40% - Accent1 3 3 8 2" xfId="12615" xr:uid="{00000000-0005-0000-0000-0000072F0000}"/>
    <cellStyle name="40% - Accent1 3 3 8 2 2" xfId="12616" xr:uid="{00000000-0005-0000-0000-0000082F0000}"/>
    <cellStyle name="40% - Accent1 3 3 8 2 3" xfId="12617" xr:uid="{00000000-0005-0000-0000-0000092F0000}"/>
    <cellStyle name="40% - Accent1 3 3 8 3" xfId="12618" xr:uid="{00000000-0005-0000-0000-00000A2F0000}"/>
    <cellStyle name="40% - Accent1 3 3 8 4" xfId="12619" xr:uid="{00000000-0005-0000-0000-00000B2F0000}"/>
    <cellStyle name="40% - Accent1 3 3 8 5" xfId="12620" xr:uid="{00000000-0005-0000-0000-00000C2F0000}"/>
    <cellStyle name="40% - Accent1 3 3 8 6" xfId="12621" xr:uid="{00000000-0005-0000-0000-00000D2F0000}"/>
    <cellStyle name="40% - Accent1 3 3 9" xfId="12622" xr:uid="{00000000-0005-0000-0000-00000E2F0000}"/>
    <cellStyle name="40% - Accent1 3 3 9 2" xfId="12623" xr:uid="{00000000-0005-0000-0000-00000F2F0000}"/>
    <cellStyle name="40% - Accent1 3 3 9 2 2" xfId="12624" xr:uid="{00000000-0005-0000-0000-0000102F0000}"/>
    <cellStyle name="40% - Accent1 3 3 9 2 3" xfId="12625" xr:uid="{00000000-0005-0000-0000-0000112F0000}"/>
    <cellStyle name="40% - Accent1 3 3 9 3" xfId="12626" xr:uid="{00000000-0005-0000-0000-0000122F0000}"/>
    <cellStyle name="40% - Accent1 3 3 9 4" xfId="12627" xr:uid="{00000000-0005-0000-0000-0000132F0000}"/>
    <cellStyle name="40% - Accent1 3 3 9 5" xfId="12628" xr:uid="{00000000-0005-0000-0000-0000142F0000}"/>
    <cellStyle name="40% - Accent1 3 3 9 6" xfId="12629" xr:uid="{00000000-0005-0000-0000-0000152F0000}"/>
    <cellStyle name="40% - Accent1 3 4" xfId="12630" xr:uid="{00000000-0005-0000-0000-0000162F0000}"/>
    <cellStyle name="40% - Accent1 3 4 10" xfId="12631" xr:uid="{00000000-0005-0000-0000-0000172F0000}"/>
    <cellStyle name="40% - Accent1 3 4 11" xfId="12632" xr:uid="{00000000-0005-0000-0000-0000182F0000}"/>
    <cellStyle name="40% - Accent1 3 4 12" xfId="12633" xr:uid="{00000000-0005-0000-0000-0000192F0000}"/>
    <cellStyle name="40% - Accent1 3 4 13" xfId="12634" xr:uid="{00000000-0005-0000-0000-00001A2F0000}"/>
    <cellStyle name="40% - Accent1 3 4 2" xfId="12635" xr:uid="{00000000-0005-0000-0000-00001B2F0000}"/>
    <cellStyle name="40% - Accent1 3 4 2 10" xfId="12636" xr:uid="{00000000-0005-0000-0000-00001C2F0000}"/>
    <cellStyle name="40% - Accent1 3 4 2 2" xfId="12637" xr:uid="{00000000-0005-0000-0000-00001D2F0000}"/>
    <cellStyle name="40% - Accent1 3 4 2 2 2" xfId="12638" xr:uid="{00000000-0005-0000-0000-00001E2F0000}"/>
    <cellStyle name="40% - Accent1 3 4 2 2 2 2" xfId="12639" xr:uid="{00000000-0005-0000-0000-00001F2F0000}"/>
    <cellStyle name="40% - Accent1 3 4 2 2 2 2 2" xfId="12640" xr:uid="{00000000-0005-0000-0000-0000202F0000}"/>
    <cellStyle name="40% - Accent1 3 4 2 2 2 2 3" xfId="12641" xr:uid="{00000000-0005-0000-0000-0000212F0000}"/>
    <cellStyle name="40% - Accent1 3 4 2 2 2 3" xfId="12642" xr:uid="{00000000-0005-0000-0000-0000222F0000}"/>
    <cellStyle name="40% - Accent1 3 4 2 2 2 4" xfId="12643" xr:uid="{00000000-0005-0000-0000-0000232F0000}"/>
    <cellStyle name="40% - Accent1 3 4 2 2 2 5" xfId="12644" xr:uid="{00000000-0005-0000-0000-0000242F0000}"/>
    <cellStyle name="40% - Accent1 3 4 2 2 2 6" xfId="12645" xr:uid="{00000000-0005-0000-0000-0000252F0000}"/>
    <cellStyle name="40% - Accent1 3 4 2 2 3" xfId="12646" xr:uid="{00000000-0005-0000-0000-0000262F0000}"/>
    <cellStyle name="40% - Accent1 3 4 2 2 3 2" xfId="12647" xr:uid="{00000000-0005-0000-0000-0000272F0000}"/>
    <cellStyle name="40% - Accent1 3 4 2 2 3 2 2" xfId="12648" xr:uid="{00000000-0005-0000-0000-0000282F0000}"/>
    <cellStyle name="40% - Accent1 3 4 2 2 3 2 3" xfId="12649" xr:uid="{00000000-0005-0000-0000-0000292F0000}"/>
    <cellStyle name="40% - Accent1 3 4 2 2 3 3" xfId="12650" xr:uid="{00000000-0005-0000-0000-00002A2F0000}"/>
    <cellStyle name="40% - Accent1 3 4 2 2 3 4" xfId="12651" xr:uid="{00000000-0005-0000-0000-00002B2F0000}"/>
    <cellStyle name="40% - Accent1 3 4 2 2 3 5" xfId="12652" xr:uid="{00000000-0005-0000-0000-00002C2F0000}"/>
    <cellStyle name="40% - Accent1 3 4 2 2 3 6" xfId="12653" xr:uid="{00000000-0005-0000-0000-00002D2F0000}"/>
    <cellStyle name="40% - Accent1 3 4 2 2 4" xfId="12654" xr:uid="{00000000-0005-0000-0000-00002E2F0000}"/>
    <cellStyle name="40% - Accent1 3 4 2 2 4 2" xfId="12655" xr:uid="{00000000-0005-0000-0000-00002F2F0000}"/>
    <cellStyle name="40% - Accent1 3 4 2 2 4 3" xfId="12656" xr:uid="{00000000-0005-0000-0000-0000302F0000}"/>
    <cellStyle name="40% - Accent1 3 4 2 2 5" xfId="12657" xr:uid="{00000000-0005-0000-0000-0000312F0000}"/>
    <cellStyle name="40% - Accent1 3 4 2 2 6" xfId="12658" xr:uid="{00000000-0005-0000-0000-0000322F0000}"/>
    <cellStyle name="40% - Accent1 3 4 2 2 7" xfId="12659" xr:uid="{00000000-0005-0000-0000-0000332F0000}"/>
    <cellStyle name="40% - Accent1 3 4 2 2 8" xfId="12660" xr:uid="{00000000-0005-0000-0000-0000342F0000}"/>
    <cellStyle name="40% - Accent1 3 4 2 3" xfId="12661" xr:uid="{00000000-0005-0000-0000-0000352F0000}"/>
    <cellStyle name="40% - Accent1 3 4 2 3 2" xfId="12662" xr:uid="{00000000-0005-0000-0000-0000362F0000}"/>
    <cellStyle name="40% - Accent1 3 4 2 3 2 2" xfId="12663" xr:uid="{00000000-0005-0000-0000-0000372F0000}"/>
    <cellStyle name="40% - Accent1 3 4 2 3 2 2 2" xfId="12664" xr:uid="{00000000-0005-0000-0000-0000382F0000}"/>
    <cellStyle name="40% - Accent1 3 4 2 3 2 2 3" xfId="12665" xr:uid="{00000000-0005-0000-0000-0000392F0000}"/>
    <cellStyle name="40% - Accent1 3 4 2 3 2 3" xfId="12666" xr:uid="{00000000-0005-0000-0000-00003A2F0000}"/>
    <cellStyle name="40% - Accent1 3 4 2 3 2 4" xfId="12667" xr:uid="{00000000-0005-0000-0000-00003B2F0000}"/>
    <cellStyle name="40% - Accent1 3 4 2 3 2 5" xfId="12668" xr:uid="{00000000-0005-0000-0000-00003C2F0000}"/>
    <cellStyle name="40% - Accent1 3 4 2 3 2 6" xfId="12669" xr:uid="{00000000-0005-0000-0000-00003D2F0000}"/>
    <cellStyle name="40% - Accent1 3 4 2 3 3" xfId="12670" xr:uid="{00000000-0005-0000-0000-00003E2F0000}"/>
    <cellStyle name="40% - Accent1 3 4 2 3 3 2" xfId="12671" xr:uid="{00000000-0005-0000-0000-00003F2F0000}"/>
    <cellStyle name="40% - Accent1 3 4 2 3 3 3" xfId="12672" xr:uid="{00000000-0005-0000-0000-0000402F0000}"/>
    <cellStyle name="40% - Accent1 3 4 2 3 4" xfId="12673" xr:uid="{00000000-0005-0000-0000-0000412F0000}"/>
    <cellStyle name="40% - Accent1 3 4 2 3 5" xfId="12674" xr:uid="{00000000-0005-0000-0000-0000422F0000}"/>
    <cellStyle name="40% - Accent1 3 4 2 3 6" xfId="12675" xr:uid="{00000000-0005-0000-0000-0000432F0000}"/>
    <cellStyle name="40% - Accent1 3 4 2 3 7" xfId="12676" xr:uid="{00000000-0005-0000-0000-0000442F0000}"/>
    <cellStyle name="40% - Accent1 3 4 2 4" xfId="12677" xr:uid="{00000000-0005-0000-0000-0000452F0000}"/>
    <cellStyle name="40% - Accent1 3 4 2 4 2" xfId="12678" xr:uid="{00000000-0005-0000-0000-0000462F0000}"/>
    <cellStyle name="40% - Accent1 3 4 2 4 2 2" xfId="12679" xr:uid="{00000000-0005-0000-0000-0000472F0000}"/>
    <cellStyle name="40% - Accent1 3 4 2 4 2 3" xfId="12680" xr:uid="{00000000-0005-0000-0000-0000482F0000}"/>
    <cellStyle name="40% - Accent1 3 4 2 4 3" xfId="12681" xr:uid="{00000000-0005-0000-0000-0000492F0000}"/>
    <cellStyle name="40% - Accent1 3 4 2 4 4" xfId="12682" xr:uid="{00000000-0005-0000-0000-00004A2F0000}"/>
    <cellStyle name="40% - Accent1 3 4 2 4 5" xfId="12683" xr:uid="{00000000-0005-0000-0000-00004B2F0000}"/>
    <cellStyle name="40% - Accent1 3 4 2 4 6" xfId="12684" xr:uid="{00000000-0005-0000-0000-00004C2F0000}"/>
    <cellStyle name="40% - Accent1 3 4 2 5" xfId="12685" xr:uid="{00000000-0005-0000-0000-00004D2F0000}"/>
    <cellStyle name="40% - Accent1 3 4 2 5 2" xfId="12686" xr:uid="{00000000-0005-0000-0000-00004E2F0000}"/>
    <cellStyle name="40% - Accent1 3 4 2 5 2 2" xfId="12687" xr:uid="{00000000-0005-0000-0000-00004F2F0000}"/>
    <cellStyle name="40% - Accent1 3 4 2 5 2 3" xfId="12688" xr:uid="{00000000-0005-0000-0000-0000502F0000}"/>
    <cellStyle name="40% - Accent1 3 4 2 5 3" xfId="12689" xr:uid="{00000000-0005-0000-0000-0000512F0000}"/>
    <cellStyle name="40% - Accent1 3 4 2 5 4" xfId="12690" xr:uid="{00000000-0005-0000-0000-0000522F0000}"/>
    <cellStyle name="40% - Accent1 3 4 2 5 5" xfId="12691" xr:uid="{00000000-0005-0000-0000-0000532F0000}"/>
    <cellStyle name="40% - Accent1 3 4 2 5 6" xfId="12692" xr:uid="{00000000-0005-0000-0000-0000542F0000}"/>
    <cellStyle name="40% - Accent1 3 4 2 6" xfId="12693" xr:uid="{00000000-0005-0000-0000-0000552F0000}"/>
    <cellStyle name="40% - Accent1 3 4 2 6 2" xfId="12694" xr:uid="{00000000-0005-0000-0000-0000562F0000}"/>
    <cellStyle name="40% - Accent1 3 4 2 6 3" xfId="12695" xr:uid="{00000000-0005-0000-0000-0000572F0000}"/>
    <cellStyle name="40% - Accent1 3 4 2 7" xfId="12696" xr:uid="{00000000-0005-0000-0000-0000582F0000}"/>
    <cellStyle name="40% - Accent1 3 4 2 8" xfId="12697" xr:uid="{00000000-0005-0000-0000-0000592F0000}"/>
    <cellStyle name="40% - Accent1 3 4 2 9" xfId="12698" xr:uid="{00000000-0005-0000-0000-00005A2F0000}"/>
    <cellStyle name="40% - Accent1 3 4 3" xfId="12699" xr:uid="{00000000-0005-0000-0000-00005B2F0000}"/>
    <cellStyle name="40% - Accent1 3 4 3 2" xfId="12700" xr:uid="{00000000-0005-0000-0000-00005C2F0000}"/>
    <cellStyle name="40% - Accent1 3 4 3 2 2" xfId="12701" xr:uid="{00000000-0005-0000-0000-00005D2F0000}"/>
    <cellStyle name="40% - Accent1 3 4 3 2 2 2" xfId="12702" xr:uid="{00000000-0005-0000-0000-00005E2F0000}"/>
    <cellStyle name="40% - Accent1 3 4 3 2 2 2 2" xfId="12703" xr:uid="{00000000-0005-0000-0000-00005F2F0000}"/>
    <cellStyle name="40% - Accent1 3 4 3 2 2 2 3" xfId="12704" xr:uid="{00000000-0005-0000-0000-0000602F0000}"/>
    <cellStyle name="40% - Accent1 3 4 3 2 2 3" xfId="12705" xr:uid="{00000000-0005-0000-0000-0000612F0000}"/>
    <cellStyle name="40% - Accent1 3 4 3 2 2 4" xfId="12706" xr:uid="{00000000-0005-0000-0000-0000622F0000}"/>
    <cellStyle name="40% - Accent1 3 4 3 2 2 5" xfId="12707" xr:uid="{00000000-0005-0000-0000-0000632F0000}"/>
    <cellStyle name="40% - Accent1 3 4 3 2 2 6" xfId="12708" xr:uid="{00000000-0005-0000-0000-0000642F0000}"/>
    <cellStyle name="40% - Accent1 3 4 3 2 3" xfId="12709" xr:uid="{00000000-0005-0000-0000-0000652F0000}"/>
    <cellStyle name="40% - Accent1 3 4 3 2 3 2" xfId="12710" xr:uid="{00000000-0005-0000-0000-0000662F0000}"/>
    <cellStyle name="40% - Accent1 3 4 3 2 3 3" xfId="12711" xr:uid="{00000000-0005-0000-0000-0000672F0000}"/>
    <cellStyle name="40% - Accent1 3 4 3 2 4" xfId="12712" xr:uid="{00000000-0005-0000-0000-0000682F0000}"/>
    <cellStyle name="40% - Accent1 3 4 3 2 5" xfId="12713" xr:uid="{00000000-0005-0000-0000-0000692F0000}"/>
    <cellStyle name="40% - Accent1 3 4 3 2 6" xfId="12714" xr:uid="{00000000-0005-0000-0000-00006A2F0000}"/>
    <cellStyle name="40% - Accent1 3 4 3 2 7" xfId="12715" xr:uid="{00000000-0005-0000-0000-00006B2F0000}"/>
    <cellStyle name="40% - Accent1 3 4 3 3" xfId="12716" xr:uid="{00000000-0005-0000-0000-00006C2F0000}"/>
    <cellStyle name="40% - Accent1 3 4 3 3 2" xfId="12717" xr:uid="{00000000-0005-0000-0000-00006D2F0000}"/>
    <cellStyle name="40% - Accent1 3 4 3 3 2 2" xfId="12718" xr:uid="{00000000-0005-0000-0000-00006E2F0000}"/>
    <cellStyle name="40% - Accent1 3 4 3 3 2 3" xfId="12719" xr:uid="{00000000-0005-0000-0000-00006F2F0000}"/>
    <cellStyle name="40% - Accent1 3 4 3 3 3" xfId="12720" xr:uid="{00000000-0005-0000-0000-0000702F0000}"/>
    <cellStyle name="40% - Accent1 3 4 3 3 4" xfId="12721" xr:uid="{00000000-0005-0000-0000-0000712F0000}"/>
    <cellStyle name="40% - Accent1 3 4 3 3 5" xfId="12722" xr:uid="{00000000-0005-0000-0000-0000722F0000}"/>
    <cellStyle name="40% - Accent1 3 4 3 3 6" xfId="12723" xr:uid="{00000000-0005-0000-0000-0000732F0000}"/>
    <cellStyle name="40% - Accent1 3 4 3 4" xfId="12724" xr:uid="{00000000-0005-0000-0000-0000742F0000}"/>
    <cellStyle name="40% - Accent1 3 4 3 4 2" xfId="12725" xr:uid="{00000000-0005-0000-0000-0000752F0000}"/>
    <cellStyle name="40% - Accent1 3 4 3 4 2 2" xfId="12726" xr:uid="{00000000-0005-0000-0000-0000762F0000}"/>
    <cellStyle name="40% - Accent1 3 4 3 4 2 3" xfId="12727" xr:uid="{00000000-0005-0000-0000-0000772F0000}"/>
    <cellStyle name="40% - Accent1 3 4 3 4 3" xfId="12728" xr:uid="{00000000-0005-0000-0000-0000782F0000}"/>
    <cellStyle name="40% - Accent1 3 4 3 4 4" xfId="12729" xr:uid="{00000000-0005-0000-0000-0000792F0000}"/>
    <cellStyle name="40% - Accent1 3 4 3 4 5" xfId="12730" xr:uid="{00000000-0005-0000-0000-00007A2F0000}"/>
    <cellStyle name="40% - Accent1 3 4 3 4 6" xfId="12731" xr:uid="{00000000-0005-0000-0000-00007B2F0000}"/>
    <cellStyle name="40% - Accent1 3 4 3 5" xfId="12732" xr:uid="{00000000-0005-0000-0000-00007C2F0000}"/>
    <cellStyle name="40% - Accent1 3 4 3 5 2" xfId="12733" xr:uid="{00000000-0005-0000-0000-00007D2F0000}"/>
    <cellStyle name="40% - Accent1 3 4 3 5 3" xfId="12734" xr:uid="{00000000-0005-0000-0000-00007E2F0000}"/>
    <cellStyle name="40% - Accent1 3 4 3 6" xfId="12735" xr:uid="{00000000-0005-0000-0000-00007F2F0000}"/>
    <cellStyle name="40% - Accent1 3 4 3 7" xfId="12736" xr:uid="{00000000-0005-0000-0000-0000802F0000}"/>
    <cellStyle name="40% - Accent1 3 4 3 8" xfId="12737" xr:uid="{00000000-0005-0000-0000-0000812F0000}"/>
    <cellStyle name="40% - Accent1 3 4 3 9" xfId="12738" xr:uid="{00000000-0005-0000-0000-0000822F0000}"/>
    <cellStyle name="40% - Accent1 3 4 4" xfId="12739" xr:uid="{00000000-0005-0000-0000-0000832F0000}"/>
    <cellStyle name="40% - Accent1 3 4 4 2" xfId="12740" xr:uid="{00000000-0005-0000-0000-0000842F0000}"/>
    <cellStyle name="40% - Accent1 3 4 4 2 2" xfId="12741" xr:uid="{00000000-0005-0000-0000-0000852F0000}"/>
    <cellStyle name="40% - Accent1 3 4 4 2 2 2" xfId="12742" xr:uid="{00000000-0005-0000-0000-0000862F0000}"/>
    <cellStyle name="40% - Accent1 3 4 4 2 2 3" xfId="12743" xr:uid="{00000000-0005-0000-0000-0000872F0000}"/>
    <cellStyle name="40% - Accent1 3 4 4 2 3" xfId="12744" xr:uid="{00000000-0005-0000-0000-0000882F0000}"/>
    <cellStyle name="40% - Accent1 3 4 4 2 4" xfId="12745" xr:uid="{00000000-0005-0000-0000-0000892F0000}"/>
    <cellStyle name="40% - Accent1 3 4 4 2 5" xfId="12746" xr:uid="{00000000-0005-0000-0000-00008A2F0000}"/>
    <cellStyle name="40% - Accent1 3 4 4 2 6" xfId="12747" xr:uid="{00000000-0005-0000-0000-00008B2F0000}"/>
    <cellStyle name="40% - Accent1 3 4 4 3" xfId="12748" xr:uid="{00000000-0005-0000-0000-00008C2F0000}"/>
    <cellStyle name="40% - Accent1 3 4 4 3 2" xfId="12749" xr:uid="{00000000-0005-0000-0000-00008D2F0000}"/>
    <cellStyle name="40% - Accent1 3 4 4 3 3" xfId="12750" xr:uid="{00000000-0005-0000-0000-00008E2F0000}"/>
    <cellStyle name="40% - Accent1 3 4 4 4" xfId="12751" xr:uid="{00000000-0005-0000-0000-00008F2F0000}"/>
    <cellStyle name="40% - Accent1 3 4 4 5" xfId="12752" xr:uid="{00000000-0005-0000-0000-0000902F0000}"/>
    <cellStyle name="40% - Accent1 3 4 4 6" xfId="12753" xr:uid="{00000000-0005-0000-0000-0000912F0000}"/>
    <cellStyle name="40% - Accent1 3 4 4 7" xfId="12754" xr:uid="{00000000-0005-0000-0000-0000922F0000}"/>
    <cellStyle name="40% - Accent1 3 4 5" xfId="12755" xr:uid="{00000000-0005-0000-0000-0000932F0000}"/>
    <cellStyle name="40% - Accent1 3 4 5 2" xfId="12756" xr:uid="{00000000-0005-0000-0000-0000942F0000}"/>
    <cellStyle name="40% - Accent1 3 4 5 2 2" xfId="12757" xr:uid="{00000000-0005-0000-0000-0000952F0000}"/>
    <cellStyle name="40% - Accent1 3 4 5 2 3" xfId="12758" xr:uid="{00000000-0005-0000-0000-0000962F0000}"/>
    <cellStyle name="40% - Accent1 3 4 5 3" xfId="12759" xr:uid="{00000000-0005-0000-0000-0000972F0000}"/>
    <cellStyle name="40% - Accent1 3 4 5 4" xfId="12760" xr:uid="{00000000-0005-0000-0000-0000982F0000}"/>
    <cellStyle name="40% - Accent1 3 4 5 5" xfId="12761" xr:uid="{00000000-0005-0000-0000-0000992F0000}"/>
    <cellStyle name="40% - Accent1 3 4 5 6" xfId="12762" xr:uid="{00000000-0005-0000-0000-00009A2F0000}"/>
    <cellStyle name="40% - Accent1 3 4 6" xfId="12763" xr:uid="{00000000-0005-0000-0000-00009B2F0000}"/>
    <cellStyle name="40% - Accent1 3 4 6 2" xfId="12764" xr:uid="{00000000-0005-0000-0000-00009C2F0000}"/>
    <cellStyle name="40% - Accent1 3 4 6 2 2" xfId="12765" xr:uid="{00000000-0005-0000-0000-00009D2F0000}"/>
    <cellStyle name="40% - Accent1 3 4 6 2 3" xfId="12766" xr:uid="{00000000-0005-0000-0000-00009E2F0000}"/>
    <cellStyle name="40% - Accent1 3 4 6 3" xfId="12767" xr:uid="{00000000-0005-0000-0000-00009F2F0000}"/>
    <cellStyle name="40% - Accent1 3 4 6 4" xfId="12768" xr:uid="{00000000-0005-0000-0000-0000A02F0000}"/>
    <cellStyle name="40% - Accent1 3 4 6 5" xfId="12769" xr:uid="{00000000-0005-0000-0000-0000A12F0000}"/>
    <cellStyle name="40% - Accent1 3 4 6 6" xfId="12770" xr:uid="{00000000-0005-0000-0000-0000A22F0000}"/>
    <cellStyle name="40% - Accent1 3 4 7" xfId="12771" xr:uid="{00000000-0005-0000-0000-0000A32F0000}"/>
    <cellStyle name="40% - Accent1 3 4 7 2" xfId="12772" xr:uid="{00000000-0005-0000-0000-0000A42F0000}"/>
    <cellStyle name="40% - Accent1 3 4 7 2 2" xfId="12773" xr:uid="{00000000-0005-0000-0000-0000A52F0000}"/>
    <cellStyle name="40% - Accent1 3 4 7 2 3" xfId="12774" xr:uid="{00000000-0005-0000-0000-0000A62F0000}"/>
    <cellStyle name="40% - Accent1 3 4 7 3" xfId="12775" xr:uid="{00000000-0005-0000-0000-0000A72F0000}"/>
    <cellStyle name="40% - Accent1 3 4 7 4" xfId="12776" xr:uid="{00000000-0005-0000-0000-0000A82F0000}"/>
    <cellStyle name="40% - Accent1 3 4 7 5" xfId="12777" xr:uid="{00000000-0005-0000-0000-0000A92F0000}"/>
    <cellStyle name="40% - Accent1 3 4 7 6" xfId="12778" xr:uid="{00000000-0005-0000-0000-0000AA2F0000}"/>
    <cellStyle name="40% - Accent1 3 4 8" xfId="12779" xr:uid="{00000000-0005-0000-0000-0000AB2F0000}"/>
    <cellStyle name="40% - Accent1 3 4 8 2" xfId="12780" xr:uid="{00000000-0005-0000-0000-0000AC2F0000}"/>
    <cellStyle name="40% - Accent1 3 4 8 2 2" xfId="12781" xr:uid="{00000000-0005-0000-0000-0000AD2F0000}"/>
    <cellStyle name="40% - Accent1 3 4 8 2 3" xfId="12782" xr:uid="{00000000-0005-0000-0000-0000AE2F0000}"/>
    <cellStyle name="40% - Accent1 3 4 8 3" xfId="12783" xr:uid="{00000000-0005-0000-0000-0000AF2F0000}"/>
    <cellStyle name="40% - Accent1 3 4 8 4" xfId="12784" xr:uid="{00000000-0005-0000-0000-0000B02F0000}"/>
    <cellStyle name="40% - Accent1 3 4 8 5" xfId="12785" xr:uid="{00000000-0005-0000-0000-0000B12F0000}"/>
    <cellStyle name="40% - Accent1 3 4 8 6" xfId="12786" xr:uid="{00000000-0005-0000-0000-0000B22F0000}"/>
    <cellStyle name="40% - Accent1 3 4 9" xfId="12787" xr:uid="{00000000-0005-0000-0000-0000B32F0000}"/>
    <cellStyle name="40% - Accent1 3 4 9 2" xfId="12788" xr:uid="{00000000-0005-0000-0000-0000B42F0000}"/>
    <cellStyle name="40% - Accent1 3 4 9 3" xfId="12789" xr:uid="{00000000-0005-0000-0000-0000B52F0000}"/>
    <cellStyle name="40% - Accent1 3 5" xfId="12790" xr:uid="{00000000-0005-0000-0000-0000B62F0000}"/>
    <cellStyle name="40% - Accent1 3 5 10" xfId="12791" xr:uid="{00000000-0005-0000-0000-0000B72F0000}"/>
    <cellStyle name="40% - Accent1 3 5 2" xfId="12792" xr:uid="{00000000-0005-0000-0000-0000B82F0000}"/>
    <cellStyle name="40% - Accent1 3 5 2 2" xfId="12793" xr:uid="{00000000-0005-0000-0000-0000B92F0000}"/>
    <cellStyle name="40% - Accent1 3 5 2 2 2" xfId="12794" xr:uid="{00000000-0005-0000-0000-0000BA2F0000}"/>
    <cellStyle name="40% - Accent1 3 5 2 2 2 2" xfId="12795" xr:uid="{00000000-0005-0000-0000-0000BB2F0000}"/>
    <cellStyle name="40% - Accent1 3 5 2 2 2 3" xfId="12796" xr:uid="{00000000-0005-0000-0000-0000BC2F0000}"/>
    <cellStyle name="40% - Accent1 3 5 2 2 3" xfId="12797" xr:uid="{00000000-0005-0000-0000-0000BD2F0000}"/>
    <cellStyle name="40% - Accent1 3 5 2 2 4" xfId="12798" xr:uid="{00000000-0005-0000-0000-0000BE2F0000}"/>
    <cellStyle name="40% - Accent1 3 5 2 2 5" xfId="12799" xr:uid="{00000000-0005-0000-0000-0000BF2F0000}"/>
    <cellStyle name="40% - Accent1 3 5 2 2 6" xfId="12800" xr:uid="{00000000-0005-0000-0000-0000C02F0000}"/>
    <cellStyle name="40% - Accent1 3 5 2 3" xfId="12801" xr:uid="{00000000-0005-0000-0000-0000C12F0000}"/>
    <cellStyle name="40% - Accent1 3 5 2 3 2" xfId="12802" xr:uid="{00000000-0005-0000-0000-0000C22F0000}"/>
    <cellStyle name="40% - Accent1 3 5 2 3 2 2" xfId="12803" xr:uid="{00000000-0005-0000-0000-0000C32F0000}"/>
    <cellStyle name="40% - Accent1 3 5 2 3 2 3" xfId="12804" xr:uid="{00000000-0005-0000-0000-0000C42F0000}"/>
    <cellStyle name="40% - Accent1 3 5 2 3 3" xfId="12805" xr:uid="{00000000-0005-0000-0000-0000C52F0000}"/>
    <cellStyle name="40% - Accent1 3 5 2 3 4" xfId="12806" xr:uid="{00000000-0005-0000-0000-0000C62F0000}"/>
    <cellStyle name="40% - Accent1 3 5 2 3 5" xfId="12807" xr:uid="{00000000-0005-0000-0000-0000C72F0000}"/>
    <cellStyle name="40% - Accent1 3 5 2 3 6" xfId="12808" xr:uid="{00000000-0005-0000-0000-0000C82F0000}"/>
    <cellStyle name="40% - Accent1 3 5 2 4" xfId="12809" xr:uid="{00000000-0005-0000-0000-0000C92F0000}"/>
    <cellStyle name="40% - Accent1 3 5 2 4 2" xfId="12810" xr:uid="{00000000-0005-0000-0000-0000CA2F0000}"/>
    <cellStyle name="40% - Accent1 3 5 2 4 3" xfId="12811" xr:uid="{00000000-0005-0000-0000-0000CB2F0000}"/>
    <cellStyle name="40% - Accent1 3 5 2 5" xfId="12812" xr:uid="{00000000-0005-0000-0000-0000CC2F0000}"/>
    <cellStyle name="40% - Accent1 3 5 2 6" xfId="12813" xr:uid="{00000000-0005-0000-0000-0000CD2F0000}"/>
    <cellStyle name="40% - Accent1 3 5 2 7" xfId="12814" xr:uid="{00000000-0005-0000-0000-0000CE2F0000}"/>
    <cellStyle name="40% - Accent1 3 5 2 8" xfId="12815" xr:uid="{00000000-0005-0000-0000-0000CF2F0000}"/>
    <cellStyle name="40% - Accent1 3 5 3" xfId="12816" xr:uid="{00000000-0005-0000-0000-0000D02F0000}"/>
    <cellStyle name="40% - Accent1 3 5 3 2" xfId="12817" xr:uid="{00000000-0005-0000-0000-0000D12F0000}"/>
    <cellStyle name="40% - Accent1 3 5 3 2 2" xfId="12818" xr:uid="{00000000-0005-0000-0000-0000D22F0000}"/>
    <cellStyle name="40% - Accent1 3 5 3 2 2 2" xfId="12819" xr:uid="{00000000-0005-0000-0000-0000D32F0000}"/>
    <cellStyle name="40% - Accent1 3 5 3 2 2 3" xfId="12820" xr:uid="{00000000-0005-0000-0000-0000D42F0000}"/>
    <cellStyle name="40% - Accent1 3 5 3 2 3" xfId="12821" xr:uid="{00000000-0005-0000-0000-0000D52F0000}"/>
    <cellStyle name="40% - Accent1 3 5 3 2 4" xfId="12822" xr:uid="{00000000-0005-0000-0000-0000D62F0000}"/>
    <cellStyle name="40% - Accent1 3 5 3 2 5" xfId="12823" xr:uid="{00000000-0005-0000-0000-0000D72F0000}"/>
    <cellStyle name="40% - Accent1 3 5 3 2 6" xfId="12824" xr:uid="{00000000-0005-0000-0000-0000D82F0000}"/>
    <cellStyle name="40% - Accent1 3 5 3 3" xfId="12825" xr:uid="{00000000-0005-0000-0000-0000D92F0000}"/>
    <cellStyle name="40% - Accent1 3 5 3 3 2" xfId="12826" xr:uid="{00000000-0005-0000-0000-0000DA2F0000}"/>
    <cellStyle name="40% - Accent1 3 5 3 3 3" xfId="12827" xr:uid="{00000000-0005-0000-0000-0000DB2F0000}"/>
    <cellStyle name="40% - Accent1 3 5 3 4" xfId="12828" xr:uid="{00000000-0005-0000-0000-0000DC2F0000}"/>
    <cellStyle name="40% - Accent1 3 5 3 5" xfId="12829" xr:uid="{00000000-0005-0000-0000-0000DD2F0000}"/>
    <cellStyle name="40% - Accent1 3 5 3 6" xfId="12830" xr:uid="{00000000-0005-0000-0000-0000DE2F0000}"/>
    <cellStyle name="40% - Accent1 3 5 3 7" xfId="12831" xr:uid="{00000000-0005-0000-0000-0000DF2F0000}"/>
    <cellStyle name="40% - Accent1 3 5 4" xfId="12832" xr:uid="{00000000-0005-0000-0000-0000E02F0000}"/>
    <cellStyle name="40% - Accent1 3 5 4 2" xfId="12833" xr:uid="{00000000-0005-0000-0000-0000E12F0000}"/>
    <cellStyle name="40% - Accent1 3 5 4 2 2" xfId="12834" xr:uid="{00000000-0005-0000-0000-0000E22F0000}"/>
    <cellStyle name="40% - Accent1 3 5 4 2 3" xfId="12835" xr:uid="{00000000-0005-0000-0000-0000E32F0000}"/>
    <cellStyle name="40% - Accent1 3 5 4 3" xfId="12836" xr:uid="{00000000-0005-0000-0000-0000E42F0000}"/>
    <cellStyle name="40% - Accent1 3 5 4 4" xfId="12837" xr:uid="{00000000-0005-0000-0000-0000E52F0000}"/>
    <cellStyle name="40% - Accent1 3 5 4 5" xfId="12838" xr:uid="{00000000-0005-0000-0000-0000E62F0000}"/>
    <cellStyle name="40% - Accent1 3 5 4 6" xfId="12839" xr:uid="{00000000-0005-0000-0000-0000E72F0000}"/>
    <cellStyle name="40% - Accent1 3 5 5" xfId="12840" xr:uid="{00000000-0005-0000-0000-0000E82F0000}"/>
    <cellStyle name="40% - Accent1 3 5 5 2" xfId="12841" xr:uid="{00000000-0005-0000-0000-0000E92F0000}"/>
    <cellStyle name="40% - Accent1 3 5 5 2 2" xfId="12842" xr:uid="{00000000-0005-0000-0000-0000EA2F0000}"/>
    <cellStyle name="40% - Accent1 3 5 5 2 3" xfId="12843" xr:uid="{00000000-0005-0000-0000-0000EB2F0000}"/>
    <cellStyle name="40% - Accent1 3 5 5 3" xfId="12844" xr:uid="{00000000-0005-0000-0000-0000EC2F0000}"/>
    <cellStyle name="40% - Accent1 3 5 5 4" xfId="12845" xr:uid="{00000000-0005-0000-0000-0000ED2F0000}"/>
    <cellStyle name="40% - Accent1 3 5 5 5" xfId="12846" xr:uid="{00000000-0005-0000-0000-0000EE2F0000}"/>
    <cellStyle name="40% - Accent1 3 5 5 6" xfId="12847" xr:uid="{00000000-0005-0000-0000-0000EF2F0000}"/>
    <cellStyle name="40% - Accent1 3 5 6" xfId="12848" xr:uid="{00000000-0005-0000-0000-0000F02F0000}"/>
    <cellStyle name="40% - Accent1 3 5 6 2" xfId="12849" xr:uid="{00000000-0005-0000-0000-0000F12F0000}"/>
    <cellStyle name="40% - Accent1 3 5 6 3" xfId="12850" xr:uid="{00000000-0005-0000-0000-0000F22F0000}"/>
    <cellStyle name="40% - Accent1 3 5 7" xfId="12851" xr:uid="{00000000-0005-0000-0000-0000F32F0000}"/>
    <cellStyle name="40% - Accent1 3 5 8" xfId="12852" xr:uid="{00000000-0005-0000-0000-0000F42F0000}"/>
    <cellStyle name="40% - Accent1 3 5 9" xfId="12853" xr:uid="{00000000-0005-0000-0000-0000F52F0000}"/>
    <cellStyle name="40% - Accent1 3 6" xfId="12854" xr:uid="{00000000-0005-0000-0000-0000F62F0000}"/>
    <cellStyle name="40% - Accent1 3 6 2" xfId="12855" xr:uid="{00000000-0005-0000-0000-0000F72F0000}"/>
    <cellStyle name="40% - Accent1 3 6 2 2" xfId="12856" xr:uid="{00000000-0005-0000-0000-0000F82F0000}"/>
    <cellStyle name="40% - Accent1 3 6 2 2 2" xfId="12857" xr:uid="{00000000-0005-0000-0000-0000F92F0000}"/>
    <cellStyle name="40% - Accent1 3 6 2 2 2 2" xfId="12858" xr:uid="{00000000-0005-0000-0000-0000FA2F0000}"/>
    <cellStyle name="40% - Accent1 3 6 2 2 2 3" xfId="12859" xr:uid="{00000000-0005-0000-0000-0000FB2F0000}"/>
    <cellStyle name="40% - Accent1 3 6 2 2 3" xfId="12860" xr:uid="{00000000-0005-0000-0000-0000FC2F0000}"/>
    <cellStyle name="40% - Accent1 3 6 2 2 4" xfId="12861" xr:uid="{00000000-0005-0000-0000-0000FD2F0000}"/>
    <cellStyle name="40% - Accent1 3 6 2 2 5" xfId="12862" xr:uid="{00000000-0005-0000-0000-0000FE2F0000}"/>
    <cellStyle name="40% - Accent1 3 6 2 2 6" xfId="12863" xr:uid="{00000000-0005-0000-0000-0000FF2F0000}"/>
    <cellStyle name="40% - Accent1 3 6 2 3" xfId="12864" xr:uid="{00000000-0005-0000-0000-000000300000}"/>
    <cellStyle name="40% - Accent1 3 6 2 3 2" xfId="12865" xr:uid="{00000000-0005-0000-0000-000001300000}"/>
    <cellStyle name="40% - Accent1 3 6 2 3 3" xfId="12866" xr:uid="{00000000-0005-0000-0000-000002300000}"/>
    <cellStyle name="40% - Accent1 3 6 2 4" xfId="12867" xr:uid="{00000000-0005-0000-0000-000003300000}"/>
    <cellStyle name="40% - Accent1 3 6 2 5" xfId="12868" xr:uid="{00000000-0005-0000-0000-000004300000}"/>
    <cellStyle name="40% - Accent1 3 6 2 6" xfId="12869" xr:uid="{00000000-0005-0000-0000-000005300000}"/>
    <cellStyle name="40% - Accent1 3 6 2 7" xfId="12870" xr:uid="{00000000-0005-0000-0000-000006300000}"/>
    <cellStyle name="40% - Accent1 3 6 3" xfId="12871" xr:uid="{00000000-0005-0000-0000-000007300000}"/>
    <cellStyle name="40% - Accent1 3 6 3 2" xfId="12872" xr:uid="{00000000-0005-0000-0000-000008300000}"/>
    <cellStyle name="40% - Accent1 3 6 3 2 2" xfId="12873" xr:uid="{00000000-0005-0000-0000-000009300000}"/>
    <cellStyle name="40% - Accent1 3 6 3 2 3" xfId="12874" xr:uid="{00000000-0005-0000-0000-00000A300000}"/>
    <cellStyle name="40% - Accent1 3 6 3 3" xfId="12875" xr:uid="{00000000-0005-0000-0000-00000B300000}"/>
    <cellStyle name="40% - Accent1 3 6 3 4" xfId="12876" xr:uid="{00000000-0005-0000-0000-00000C300000}"/>
    <cellStyle name="40% - Accent1 3 6 3 5" xfId="12877" xr:uid="{00000000-0005-0000-0000-00000D300000}"/>
    <cellStyle name="40% - Accent1 3 6 3 6" xfId="12878" xr:uid="{00000000-0005-0000-0000-00000E300000}"/>
    <cellStyle name="40% - Accent1 3 6 4" xfId="12879" xr:uid="{00000000-0005-0000-0000-00000F300000}"/>
    <cellStyle name="40% - Accent1 3 6 4 2" xfId="12880" xr:uid="{00000000-0005-0000-0000-000010300000}"/>
    <cellStyle name="40% - Accent1 3 6 4 2 2" xfId="12881" xr:uid="{00000000-0005-0000-0000-000011300000}"/>
    <cellStyle name="40% - Accent1 3 6 4 2 3" xfId="12882" xr:uid="{00000000-0005-0000-0000-000012300000}"/>
    <cellStyle name="40% - Accent1 3 6 4 3" xfId="12883" xr:uid="{00000000-0005-0000-0000-000013300000}"/>
    <cellStyle name="40% - Accent1 3 6 4 4" xfId="12884" xr:uid="{00000000-0005-0000-0000-000014300000}"/>
    <cellStyle name="40% - Accent1 3 6 4 5" xfId="12885" xr:uid="{00000000-0005-0000-0000-000015300000}"/>
    <cellStyle name="40% - Accent1 3 6 4 6" xfId="12886" xr:uid="{00000000-0005-0000-0000-000016300000}"/>
    <cellStyle name="40% - Accent1 3 6 5" xfId="12887" xr:uid="{00000000-0005-0000-0000-000017300000}"/>
    <cellStyle name="40% - Accent1 3 6 5 2" xfId="12888" xr:uid="{00000000-0005-0000-0000-000018300000}"/>
    <cellStyle name="40% - Accent1 3 6 5 3" xfId="12889" xr:uid="{00000000-0005-0000-0000-000019300000}"/>
    <cellStyle name="40% - Accent1 3 6 6" xfId="12890" xr:uid="{00000000-0005-0000-0000-00001A300000}"/>
    <cellStyle name="40% - Accent1 3 6 7" xfId="12891" xr:uid="{00000000-0005-0000-0000-00001B300000}"/>
    <cellStyle name="40% - Accent1 3 6 8" xfId="12892" xr:uid="{00000000-0005-0000-0000-00001C300000}"/>
    <cellStyle name="40% - Accent1 3 6 9" xfId="12893" xr:uid="{00000000-0005-0000-0000-00001D300000}"/>
    <cellStyle name="40% - Accent1 3 7" xfId="12894" xr:uid="{00000000-0005-0000-0000-00001E300000}"/>
    <cellStyle name="40% - Accent1 3 7 2" xfId="12895" xr:uid="{00000000-0005-0000-0000-00001F300000}"/>
    <cellStyle name="40% - Accent1 3 7 2 2" xfId="12896" xr:uid="{00000000-0005-0000-0000-000020300000}"/>
    <cellStyle name="40% - Accent1 3 7 2 2 2" xfId="12897" xr:uid="{00000000-0005-0000-0000-000021300000}"/>
    <cellStyle name="40% - Accent1 3 7 2 2 3" xfId="12898" xr:uid="{00000000-0005-0000-0000-000022300000}"/>
    <cellStyle name="40% - Accent1 3 7 2 3" xfId="12899" xr:uid="{00000000-0005-0000-0000-000023300000}"/>
    <cellStyle name="40% - Accent1 3 7 2 4" xfId="12900" xr:uid="{00000000-0005-0000-0000-000024300000}"/>
    <cellStyle name="40% - Accent1 3 7 2 5" xfId="12901" xr:uid="{00000000-0005-0000-0000-000025300000}"/>
    <cellStyle name="40% - Accent1 3 7 2 6" xfId="12902" xr:uid="{00000000-0005-0000-0000-000026300000}"/>
    <cellStyle name="40% - Accent1 3 7 3" xfId="12903" xr:uid="{00000000-0005-0000-0000-000027300000}"/>
    <cellStyle name="40% - Accent1 3 7 3 2" xfId="12904" xr:uid="{00000000-0005-0000-0000-000028300000}"/>
    <cellStyle name="40% - Accent1 3 7 3 3" xfId="12905" xr:uid="{00000000-0005-0000-0000-000029300000}"/>
    <cellStyle name="40% - Accent1 3 7 4" xfId="12906" xr:uid="{00000000-0005-0000-0000-00002A300000}"/>
    <cellStyle name="40% - Accent1 3 7 5" xfId="12907" xr:uid="{00000000-0005-0000-0000-00002B300000}"/>
    <cellStyle name="40% - Accent1 3 7 6" xfId="12908" xr:uid="{00000000-0005-0000-0000-00002C300000}"/>
    <cellStyle name="40% - Accent1 3 7 7" xfId="12909" xr:uid="{00000000-0005-0000-0000-00002D300000}"/>
    <cellStyle name="40% - Accent1 3 8" xfId="12910" xr:uid="{00000000-0005-0000-0000-00002E300000}"/>
    <cellStyle name="40% - Accent1 3 8 2" xfId="12911" xr:uid="{00000000-0005-0000-0000-00002F300000}"/>
    <cellStyle name="40% - Accent1 3 8 2 2" xfId="12912" xr:uid="{00000000-0005-0000-0000-000030300000}"/>
    <cellStyle name="40% - Accent1 3 8 2 3" xfId="12913" xr:uid="{00000000-0005-0000-0000-000031300000}"/>
    <cellStyle name="40% - Accent1 3 8 3" xfId="12914" xr:uid="{00000000-0005-0000-0000-000032300000}"/>
    <cellStyle name="40% - Accent1 3 8 4" xfId="12915" xr:uid="{00000000-0005-0000-0000-000033300000}"/>
    <cellStyle name="40% - Accent1 3 8 5" xfId="12916" xr:uid="{00000000-0005-0000-0000-000034300000}"/>
    <cellStyle name="40% - Accent1 3 8 6" xfId="12917" xr:uid="{00000000-0005-0000-0000-000035300000}"/>
    <cellStyle name="40% - Accent1 3 9" xfId="12918" xr:uid="{00000000-0005-0000-0000-000036300000}"/>
    <cellStyle name="40% - Accent1 3 9 2" xfId="12919" xr:uid="{00000000-0005-0000-0000-000037300000}"/>
    <cellStyle name="40% - Accent1 3 9 2 2" xfId="12920" xr:uid="{00000000-0005-0000-0000-000038300000}"/>
    <cellStyle name="40% - Accent1 3 9 2 3" xfId="12921" xr:uid="{00000000-0005-0000-0000-000039300000}"/>
    <cellStyle name="40% - Accent1 3 9 3" xfId="12922" xr:uid="{00000000-0005-0000-0000-00003A300000}"/>
    <cellStyle name="40% - Accent1 3 9 4" xfId="12923" xr:uid="{00000000-0005-0000-0000-00003B300000}"/>
    <cellStyle name="40% - Accent1 3 9 5" xfId="12924" xr:uid="{00000000-0005-0000-0000-00003C300000}"/>
    <cellStyle name="40% - Accent1 3 9 6" xfId="12925" xr:uid="{00000000-0005-0000-0000-00003D300000}"/>
    <cellStyle name="40% - Accent1 4" xfId="12926" xr:uid="{00000000-0005-0000-0000-00003E300000}"/>
    <cellStyle name="40% - Accent1 4 10" xfId="12927" xr:uid="{00000000-0005-0000-0000-00003F300000}"/>
    <cellStyle name="40% - Accent1 4 10 2" xfId="12928" xr:uid="{00000000-0005-0000-0000-000040300000}"/>
    <cellStyle name="40% - Accent1 4 10 2 2" xfId="12929" xr:uid="{00000000-0005-0000-0000-000041300000}"/>
    <cellStyle name="40% - Accent1 4 10 2 3" xfId="12930" xr:uid="{00000000-0005-0000-0000-000042300000}"/>
    <cellStyle name="40% - Accent1 4 10 3" xfId="12931" xr:uid="{00000000-0005-0000-0000-000043300000}"/>
    <cellStyle name="40% - Accent1 4 10 4" xfId="12932" xr:uid="{00000000-0005-0000-0000-000044300000}"/>
    <cellStyle name="40% - Accent1 4 10 5" xfId="12933" xr:uid="{00000000-0005-0000-0000-000045300000}"/>
    <cellStyle name="40% - Accent1 4 10 6" xfId="12934" xr:uid="{00000000-0005-0000-0000-000046300000}"/>
    <cellStyle name="40% - Accent1 4 11" xfId="12935" xr:uid="{00000000-0005-0000-0000-000047300000}"/>
    <cellStyle name="40% - Accent1 4 11 2" xfId="12936" xr:uid="{00000000-0005-0000-0000-000048300000}"/>
    <cellStyle name="40% - Accent1 4 11 3" xfId="12937" xr:uid="{00000000-0005-0000-0000-000049300000}"/>
    <cellStyle name="40% - Accent1 4 12" xfId="12938" xr:uid="{00000000-0005-0000-0000-00004A300000}"/>
    <cellStyle name="40% - Accent1 4 13" xfId="12939" xr:uid="{00000000-0005-0000-0000-00004B300000}"/>
    <cellStyle name="40% - Accent1 4 14" xfId="12940" xr:uid="{00000000-0005-0000-0000-00004C300000}"/>
    <cellStyle name="40% - Accent1 4 15" xfId="12941" xr:uid="{00000000-0005-0000-0000-00004D300000}"/>
    <cellStyle name="40% - Accent1 4 2" xfId="12942" xr:uid="{00000000-0005-0000-0000-00004E300000}"/>
    <cellStyle name="40% - Accent1 4 2 10" xfId="12943" xr:uid="{00000000-0005-0000-0000-00004F300000}"/>
    <cellStyle name="40% - Accent1 4 2 10 2" xfId="12944" xr:uid="{00000000-0005-0000-0000-000050300000}"/>
    <cellStyle name="40% - Accent1 4 2 10 3" xfId="12945" xr:uid="{00000000-0005-0000-0000-000051300000}"/>
    <cellStyle name="40% - Accent1 4 2 11" xfId="12946" xr:uid="{00000000-0005-0000-0000-000052300000}"/>
    <cellStyle name="40% - Accent1 4 2 12" xfId="12947" xr:uid="{00000000-0005-0000-0000-000053300000}"/>
    <cellStyle name="40% - Accent1 4 2 13" xfId="12948" xr:uid="{00000000-0005-0000-0000-000054300000}"/>
    <cellStyle name="40% - Accent1 4 2 14" xfId="12949" xr:uid="{00000000-0005-0000-0000-000055300000}"/>
    <cellStyle name="40% - Accent1 4 2 2" xfId="12950" xr:uid="{00000000-0005-0000-0000-000056300000}"/>
    <cellStyle name="40% - Accent1 4 2 2 10" xfId="12951" xr:uid="{00000000-0005-0000-0000-000057300000}"/>
    <cellStyle name="40% - Accent1 4 2 2 11" xfId="12952" xr:uid="{00000000-0005-0000-0000-000058300000}"/>
    <cellStyle name="40% - Accent1 4 2 2 12" xfId="12953" xr:uid="{00000000-0005-0000-0000-000059300000}"/>
    <cellStyle name="40% - Accent1 4 2 2 13" xfId="12954" xr:uid="{00000000-0005-0000-0000-00005A300000}"/>
    <cellStyle name="40% - Accent1 4 2 2 2" xfId="12955" xr:uid="{00000000-0005-0000-0000-00005B300000}"/>
    <cellStyle name="40% - Accent1 4 2 2 2 10" xfId="12956" xr:uid="{00000000-0005-0000-0000-00005C300000}"/>
    <cellStyle name="40% - Accent1 4 2 2 2 2" xfId="12957" xr:uid="{00000000-0005-0000-0000-00005D300000}"/>
    <cellStyle name="40% - Accent1 4 2 2 2 2 2" xfId="12958" xr:uid="{00000000-0005-0000-0000-00005E300000}"/>
    <cellStyle name="40% - Accent1 4 2 2 2 2 2 2" xfId="12959" xr:uid="{00000000-0005-0000-0000-00005F300000}"/>
    <cellStyle name="40% - Accent1 4 2 2 2 2 2 2 2" xfId="12960" xr:uid="{00000000-0005-0000-0000-000060300000}"/>
    <cellStyle name="40% - Accent1 4 2 2 2 2 2 2 3" xfId="12961" xr:uid="{00000000-0005-0000-0000-000061300000}"/>
    <cellStyle name="40% - Accent1 4 2 2 2 2 2 3" xfId="12962" xr:uid="{00000000-0005-0000-0000-000062300000}"/>
    <cellStyle name="40% - Accent1 4 2 2 2 2 2 4" xfId="12963" xr:uid="{00000000-0005-0000-0000-000063300000}"/>
    <cellStyle name="40% - Accent1 4 2 2 2 2 2 5" xfId="12964" xr:uid="{00000000-0005-0000-0000-000064300000}"/>
    <cellStyle name="40% - Accent1 4 2 2 2 2 2 6" xfId="12965" xr:uid="{00000000-0005-0000-0000-000065300000}"/>
    <cellStyle name="40% - Accent1 4 2 2 2 2 3" xfId="12966" xr:uid="{00000000-0005-0000-0000-000066300000}"/>
    <cellStyle name="40% - Accent1 4 2 2 2 2 3 2" xfId="12967" xr:uid="{00000000-0005-0000-0000-000067300000}"/>
    <cellStyle name="40% - Accent1 4 2 2 2 2 3 2 2" xfId="12968" xr:uid="{00000000-0005-0000-0000-000068300000}"/>
    <cellStyle name="40% - Accent1 4 2 2 2 2 3 2 3" xfId="12969" xr:uid="{00000000-0005-0000-0000-000069300000}"/>
    <cellStyle name="40% - Accent1 4 2 2 2 2 3 3" xfId="12970" xr:uid="{00000000-0005-0000-0000-00006A300000}"/>
    <cellStyle name="40% - Accent1 4 2 2 2 2 3 4" xfId="12971" xr:uid="{00000000-0005-0000-0000-00006B300000}"/>
    <cellStyle name="40% - Accent1 4 2 2 2 2 3 5" xfId="12972" xr:uid="{00000000-0005-0000-0000-00006C300000}"/>
    <cellStyle name="40% - Accent1 4 2 2 2 2 3 6" xfId="12973" xr:uid="{00000000-0005-0000-0000-00006D300000}"/>
    <cellStyle name="40% - Accent1 4 2 2 2 2 4" xfId="12974" xr:uid="{00000000-0005-0000-0000-00006E300000}"/>
    <cellStyle name="40% - Accent1 4 2 2 2 2 4 2" xfId="12975" xr:uid="{00000000-0005-0000-0000-00006F300000}"/>
    <cellStyle name="40% - Accent1 4 2 2 2 2 4 3" xfId="12976" xr:uid="{00000000-0005-0000-0000-000070300000}"/>
    <cellStyle name="40% - Accent1 4 2 2 2 2 5" xfId="12977" xr:uid="{00000000-0005-0000-0000-000071300000}"/>
    <cellStyle name="40% - Accent1 4 2 2 2 2 6" xfId="12978" xr:uid="{00000000-0005-0000-0000-000072300000}"/>
    <cellStyle name="40% - Accent1 4 2 2 2 2 7" xfId="12979" xr:uid="{00000000-0005-0000-0000-000073300000}"/>
    <cellStyle name="40% - Accent1 4 2 2 2 2 8" xfId="12980" xr:uid="{00000000-0005-0000-0000-000074300000}"/>
    <cellStyle name="40% - Accent1 4 2 2 2 3" xfId="12981" xr:uid="{00000000-0005-0000-0000-000075300000}"/>
    <cellStyle name="40% - Accent1 4 2 2 2 3 2" xfId="12982" xr:uid="{00000000-0005-0000-0000-000076300000}"/>
    <cellStyle name="40% - Accent1 4 2 2 2 3 2 2" xfId="12983" xr:uid="{00000000-0005-0000-0000-000077300000}"/>
    <cellStyle name="40% - Accent1 4 2 2 2 3 2 2 2" xfId="12984" xr:uid="{00000000-0005-0000-0000-000078300000}"/>
    <cellStyle name="40% - Accent1 4 2 2 2 3 2 2 3" xfId="12985" xr:uid="{00000000-0005-0000-0000-000079300000}"/>
    <cellStyle name="40% - Accent1 4 2 2 2 3 2 3" xfId="12986" xr:uid="{00000000-0005-0000-0000-00007A300000}"/>
    <cellStyle name="40% - Accent1 4 2 2 2 3 2 4" xfId="12987" xr:uid="{00000000-0005-0000-0000-00007B300000}"/>
    <cellStyle name="40% - Accent1 4 2 2 2 3 2 5" xfId="12988" xr:uid="{00000000-0005-0000-0000-00007C300000}"/>
    <cellStyle name="40% - Accent1 4 2 2 2 3 2 6" xfId="12989" xr:uid="{00000000-0005-0000-0000-00007D300000}"/>
    <cellStyle name="40% - Accent1 4 2 2 2 3 3" xfId="12990" xr:uid="{00000000-0005-0000-0000-00007E300000}"/>
    <cellStyle name="40% - Accent1 4 2 2 2 3 3 2" xfId="12991" xr:uid="{00000000-0005-0000-0000-00007F300000}"/>
    <cellStyle name="40% - Accent1 4 2 2 2 3 3 3" xfId="12992" xr:uid="{00000000-0005-0000-0000-000080300000}"/>
    <cellStyle name="40% - Accent1 4 2 2 2 3 4" xfId="12993" xr:uid="{00000000-0005-0000-0000-000081300000}"/>
    <cellStyle name="40% - Accent1 4 2 2 2 3 5" xfId="12994" xr:uid="{00000000-0005-0000-0000-000082300000}"/>
    <cellStyle name="40% - Accent1 4 2 2 2 3 6" xfId="12995" xr:uid="{00000000-0005-0000-0000-000083300000}"/>
    <cellStyle name="40% - Accent1 4 2 2 2 3 7" xfId="12996" xr:uid="{00000000-0005-0000-0000-000084300000}"/>
    <cellStyle name="40% - Accent1 4 2 2 2 4" xfId="12997" xr:uid="{00000000-0005-0000-0000-000085300000}"/>
    <cellStyle name="40% - Accent1 4 2 2 2 4 2" xfId="12998" xr:uid="{00000000-0005-0000-0000-000086300000}"/>
    <cellStyle name="40% - Accent1 4 2 2 2 4 2 2" xfId="12999" xr:uid="{00000000-0005-0000-0000-000087300000}"/>
    <cellStyle name="40% - Accent1 4 2 2 2 4 2 3" xfId="13000" xr:uid="{00000000-0005-0000-0000-000088300000}"/>
    <cellStyle name="40% - Accent1 4 2 2 2 4 3" xfId="13001" xr:uid="{00000000-0005-0000-0000-000089300000}"/>
    <cellStyle name="40% - Accent1 4 2 2 2 4 4" xfId="13002" xr:uid="{00000000-0005-0000-0000-00008A300000}"/>
    <cellStyle name="40% - Accent1 4 2 2 2 4 5" xfId="13003" xr:uid="{00000000-0005-0000-0000-00008B300000}"/>
    <cellStyle name="40% - Accent1 4 2 2 2 4 6" xfId="13004" xr:uid="{00000000-0005-0000-0000-00008C300000}"/>
    <cellStyle name="40% - Accent1 4 2 2 2 5" xfId="13005" xr:uid="{00000000-0005-0000-0000-00008D300000}"/>
    <cellStyle name="40% - Accent1 4 2 2 2 5 2" xfId="13006" xr:uid="{00000000-0005-0000-0000-00008E300000}"/>
    <cellStyle name="40% - Accent1 4 2 2 2 5 2 2" xfId="13007" xr:uid="{00000000-0005-0000-0000-00008F300000}"/>
    <cellStyle name="40% - Accent1 4 2 2 2 5 2 3" xfId="13008" xr:uid="{00000000-0005-0000-0000-000090300000}"/>
    <cellStyle name="40% - Accent1 4 2 2 2 5 3" xfId="13009" xr:uid="{00000000-0005-0000-0000-000091300000}"/>
    <cellStyle name="40% - Accent1 4 2 2 2 5 4" xfId="13010" xr:uid="{00000000-0005-0000-0000-000092300000}"/>
    <cellStyle name="40% - Accent1 4 2 2 2 5 5" xfId="13011" xr:uid="{00000000-0005-0000-0000-000093300000}"/>
    <cellStyle name="40% - Accent1 4 2 2 2 5 6" xfId="13012" xr:uid="{00000000-0005-0000-0000-000094300000}"/>
    <cellStyle name="40% - Accent1 4 2 2 2 6" xfId="13013" xr:uid="{00000000-0005-0000-0000-000095300000}"/>
    <cellStyle name="40% - Accent1 4 2 2 2 6 2" xfId="13014" xr:uid="{00000000-0005-0000-0000-000096300000}"/>
    <cellStyle name="40% - Accent1 4 2 2 2 6 3" xfId="13015" xr:uid="{00000000-0005-0000-0000-000097300000}"/>
    <cellStyle name="40% - Accent1 4 2 2 2 7" xfId="13016" xr:uid="{00000000-0005-0000-0000-000098300000}"/>
    <cellStyle name="40% - Accent1 4 2 2 2 8" xfId="13017" xr:uid="{00000000-0005-0000-0000-000099300000}"/>
    <cellStyle name="40% - Accent1 4 2 2 2 9" xfId="13018" xr:uid="{00000000-0005-0000-0000-00009A300000}"/>
    <cellStyle name="40% - Accent1 4 2 2 3" xfId="13019" xr:uid="{00000000-0005-0000-0000-00009B300000}"/>
    <cellStyle name="40% - Accent1 4 2 2 3 2" xfId="13020" xr:uid="{00000000-0005-0000-0000-00009C300000}"/>
    <cellStyle name="40% - Accent1 4 2 2 3 2 2" xfId="13021" xr:uid="{00000000-0005-0000-0000-00009D300000}"/>
    <cellStyle name="40% - Accent1 4 2 2 3 2 2 2" xfId="13022" xr:uid="{00000000-0005-0000-0000-00009E300000}"/>
    <cellStyle name="40% - Accent1 4 2 2 3 2 2 2 2" xfId="13023" xr:uid="{00000000-0005-0000-0000-00009F300000}"/>
    <cellStyle name="40% - Accent1 4 2 2 3 2 2 2 3" xfId="13024" xr:uid="{00000000-0005-0000-0000-0000A0300000}"/>
    <cellStyle name="40% - Accent1 4 2 2 3 2 2 3" xfId="13025" xr:uid="{00000000-0005-0000-0000-0000A1300000}"/>
    <cellStyle name="40% - Accent1 4 2 2 3 2 2 4" xfId="13026" xr:uid="{00000000-0005-0000-0000-0000A2300000}"/>
    <cellStyle name="40% - Accent1 4 2 2 3 2 2 5" xfId="13027" xr:uid="{00000000-0005-0000-0000-0000A3300000}"/>
    <cellStyle name="40% - Accent1 4 2 2 3 2 2 6" xfId="13028" xr:uid="{00000000-0005-0000-0000-0000A4300000}"/>
    <cellStyle name="40% - Accent1 4 2 2 3 2 3" xfId="13029" xr:uid="{00000000-0005-0000-0000-0000A5300000}"/>
    <cellStyle name="40% - Accent1 4 2 2 3 2 3 2" xfId="13030" xr:uid="{00000000-0005-0000-0000-0000A6300000}"/>
    <cellStyle name="40% - Accent1 4 2 2 3 2 3 3" xfId="13031" xr:uid="{00000000-0005-0000-0000-0000A7300000}"/>
    <cellStyle name="40% - Accent1 4 2 2 3 2 4" xfId="13032" xr:uid="{00000000-0005-0000-0000-0000A8300000}"/>
    <cellStyle name="40% - Accent1 4 2 2 3 2 5" xfId="13033" xr:uid="{00000000-0005-0000-0000-0000A9300000}"/>
    <cellStyle name="40% - Accent1 4 2 2 3 2 6" xfId="13034" xr:uid="{00000000-0005-0000-0000-0000AA300000}"/>
    <cellStyle name="40% - Accent1 4 2 2 3 2 7" xfId="13035" xr:uid="{00000000-0005-0000-0000-0000AB300000}"/>
    <cellStyle name="40% - Accent1 4 2 2 3 3" xfId="13036" xr:uid="{00000000-0005-0000-0000-0000AC300000}"/>
    <cellStyle name="40% - Accent1 4 2 2 3 3 2" xfId="13037" xr:uid="{00000000-0005-0000-0000-0000AD300000}"/>
    <cellStyle name="40% - Accent1 4 2 2 3 3 2 2" xfId="13038" xr:uid="{00000000-0005-0000-0000-0000AE300000}"/>
    <cellStyle name="40% - Accent1 4 2 2 3 3 2 3" xfId="13039" xr:uid="{00000000-0005-0000-0000-0000AF300000}"/>
    <cellStyle name="40% - Accent1 4 2 2 3 3 3" xfId="13040" xr:uid="{00000000-0005-0000-0000-0000B0300000}"/>
    <cellStyle name="40% - Accent1 4 2 2 3 3 4" xfId="13041" xr:uid="{00000000-0005-0000-0000-0000B1300000}"/>
    <cellStyle name="40% - Accent1 4 2 2 3 3 5" xfId="13042" xr:uid="{00000000-0005-0000-0000-0000B2300000}"/>
    <cellStyle name="40% - Accent1 4 2 2 3 3 6" xfId="13043" xr:uid="{00000000-0005-0000-0000-0000B3300000}"/>
    <cellStyle name="40% - Accent1 4 2 2 3 4" xfId="13044" xr:uid="{00000000-0005-0000-0000-0000B4300000}"/>
    <cellStyle name="40% - Accent1 4 2 2 3 4 2" xfId="13045" xr:uid="{00000000-0005-0000-0000-0000B5300000}"/>
    <cellStyle name="40% - Accent1 4 2 2 3 4 2 2" xfId="13046" xr:uid="{00000000-0005-0000-0000-0000B6300000}"/>
    <cellStyle name="40% - Accent1 4 2 2 3 4 2 3" xfId="13047" xr:uid="{00000000-0005-0000-0000-0000B7300000}"/>
    <cellStyle name="40% - Accent1 4 2 2 3 4 3" xfId="13048" xr:uid="{00000000-0005-0000-0000-0000B8300000}"/>
    <cellStyle name="40% - Accent1 4 2 2 3 4 4" xfId="13049" xr:uid="{00000000-0005-0000-0000-0000B9300000}"/>
    <cellStyle name="40% - Accent1 4 2 2 3 4 5" xfId="13050" xr:uid="{00000000-0005-0000-0000-0000BA300000}"/>
    <cellStyle name="40% - Accent1 4 2 2 3 4 6" xfId="13051" xr:uid="{00000000-0005-0000-0000-0000BB300000}"/>
    <cellStyle name="40% - Accent1 4 2 2 3 5" xfId="13052" xr:uid="{00000000-0005-0000-0000-0000BC300000}"/>
    <cellStyle name="40% - Accent1 4 2 2 3 5 2" xfId="13053" xr:uid="{00000000-0005-0000-0000-0000BD300000}"/>
    <cellStyle name="40% - Accent1 4 2 2 3 5 3" xfId="13054" xr:uid="{00000000-0005-0000-0000-0000BE300000}"/>
    <cellStyle name="40% - Accent1 4 2 2 3 6" xfId="13055" xr:uid="{00000000-0005-0000-0000-0000BF300000}"/>
    <cellStyle name="40% - Accent1 4 2 2 3 7" xfId="13056" xr:uid="{00000000-0005-0000-0000-0000C0300000}"/>
    <cellStyle name="40% - Accent1 4 2 2 3 8" xfId="13057" xr:uid="{00000000-0005-0000-0000-0000C1300000}"/>
    <cellStyle name="40% - Accent1 4 2 2 3 9" xfId="13058" xr:uid="{00000000-0005-0000-0000-0000C2300000}"/>
    <cellStyle name="40% - Accent1 4 2 2 4" xfId="13059" xr:uid="{00000000-0005-0000-0000-0000C3300000}"/>
    <cellStyle name="40% - Accent1 4 2 2 4 2" xfId="13060" xr:uid="{00000000-0005-0000-0000-0000C4300000}"/>
    <cellStyle name="40% - Accent1 4 2 2 4 2 2" xfId="13061" xr:uid="{00000000-0005-0000-0000-0000C5300000}"/>
    <cellStyle name="40% - Accent1 4 2 2 4 2 2 2" xfId="13062" xr:uid="{00000000-0005-0000-0000-0000C6300000}"/>
    <cellStyle name="40% - Accent1 4 2 2 4 2 2 3" xfId="13063" xr:uid="{00000000-0005-0000-0000-0000C7300000}"/>
    <cellStyle name="40% - Accent1 4 2 2 4 2 3" xfId="13064" xr:uid="{00000000-0005-0000-0000-0000C8300000}"/>
    <cellStyle name="40% - Accent1 4 2 2 4 2 4" xfId="13065" xr:uid="{00000000-0005-0000-0000-0000C9300000}"/>
    <cellStyle name="40% - Accent1 4 2 2 4 2 5" xfId="13066" xr:uid="{00000000-0005-0000-0000-0000CA300000}"/>
    <cellStyle name="40% - Accent1 4 2 2 4 2 6" xfId="13067" xr:uid="{00000000-0005-0000-0000-0000CB300000}"/>
    <cellStyle name="40% - Accent1 4 2 2 4 3" xfId="13068" xr:uid="{00000000-0005-0000-0000-0000CC300000}"/>
    <cellStyle name="40% - Accent1 4 2 2 4 3 2" xfId="13069" xr:uid="{00000000-0005-0000-0000-0000CD300000}"/>
    <cellStyle name="40% - Accent1 4 2 2 4 3 3" xfId="13070" xr:uid="{00000000-0005-0000-0000-0000CE300000}"/>
    <cellStyle name="40% - Accent1 4 2 2 4 4" xfId="13071" xr:uid="{00000000-0005-0000-0000-0000CF300000}"/>
    <cellStyle name="40% - Accent1 4 2 2 4 5" xfId="13072" xr:uid="{00000000-0005-0000-0000-0000D0300000}"/>
    <cellStyle name="40% - Accent1 4 2 2 4 6" xfId="13073" xr:uid="{00000000-0005-0000-0000-0000D1300000}"/>
    <cellStyle name="40% - Accent1 4 2 2 4 7" xfId="13074" xr:uid="{00000000-0005-0000-0000-0000D2300000}"/>
    <cellStyle name="40% - Accent1 4 2 2 5" xfId="13075" xr:uid="{00000000-0005-0000-0000-0000D3300000}"/>
    <cellStyle name="40% - Accent1 4 2 2 5 2" xfId="13076" xr:uid="{00000000-0005-0000-0000-0000D4300000}"/>
    <cellStyle name="40% - Accent1 4 2 2 5 2 2" xfId="13077" xr:uid="{00000000-0005-0000-0000-0000D5300000}"/>
    <cellStyle name="40% - Accent1 4 2 2 5 2 3" xfId="13078" xr:uid="{00000000-0005-0000-0000-0000D6300000}"/>
    <cellStyle name="40% - Accent1 4 2 2 5 3" xfId="13079" xr:uid="{00000000-0005-0000-0000-0000D7300000}"/>
    <cellStyle name="40% - Accent1 4 2 2 5 4" xfId="13080" xr:uid="{00000000-0005-0000-0000-0000D8300000}"/>
    <cellStyle name="40% - Accent1 4 2 2 5 5" xfId="13081" xr:uid="{00000000-0005-0000-0000-0000D9300000}"/>
    <cellStyle name="40% - Accent1 4 2 2 5 6" xfId="13082" xr:uid="{00000000-0005-0000-0000-0000DA300000}"/>
    <cellStyle name="40% - Accent1 4 2 2 6" xfId="13083" xr:uid="{00000000-0005-0000-0000-0000DB300000}"/>
    <cellStyle name="40% - Accent1 4 2 2 6 2" xfId="13084" xr:uid="{00000000-0005-0000-0000-0000DC300000}"/>
    <cellStyle name="40% - Accent1 4 2 2 6 2 2" xfId="13085" xr:uid="{00000000-0005-0000-0000-0000DD300000}"/>
    <cellStyle name="40% - Accent1 4 2 2 6 2 3" xfId="13086" xr:uid="{00000000-0005-0000-0000-0000DE300000}"/>
    <cellStyle name="40% - Accent1 4 2 2 6 3" xfId="13087" xr:uid="{00000000-0005-0000-0000-0000DF300000}"/>
    <cellStyle name="40% - Accent1 4 2 2 6 4" xfId="13088" xr:uid="{00000000-0005-0000-0000-0000E0300000}"/>
    <cellStyle name="40% - Accent1 4 2 2 6 5" xfId="13089" xr:uid="{00000000-0005-0000-0000-0000E1300000}"/>
    <cellStyle name="40% - Accent1 4 2 2 6 6" xfId="13090" xr:uid="{00000000-0005-0000-0000-0000E2300000}"/>
    <cellStyle name="40% - Accent1 4 2 2 7" xfId="13091" xr:uid="{00000000-0005-0000-0000-0000E3300000}"/>
    <cellStyle name="40% - Accent1 4 2 2 7 2" xfId="13092" xr:uid="{00000000-0005-0000-0000-0000E4300000}"/>
    <cellStyle name="40% - Accent1 4 2 2 7 2 2" xfId="13093" xr:uid="{00000000-0005-0000-0000-0000E5300000}"/>
    <cellStyle name="40% - Accent1 4 2 2 7 2 3" xfId="13094" xr:uid="{00000000-0005-0000-0000-0000E6300000}"/>
    <cellStyle name="40% - Accent1 4 2 2 7 3" xfId="13095" xr:uid="{00000000-0005-0000-0000-0000E7300000}"/>
    <cellStyle name="40% - Accent1 4 2 2 7 4" xfId="13096" xr:uid="{00000000-0005-0000-0000-0000E8300000}"/>
    <cellStyle name="40% - Accent1 4 2 2 7 5" xfId="13097" xr:uid="{00000000-0005-0000-0000-0000E9300000}"/>
    <cellStyle name="40% - Accent1 4 2 2 7 6" xfId="13098" xr:uid="{00000000-0005-0000-0000-0000EA300000}"/>
    <cellStyle name="40% - Accent1 4 2 2 8" xfId="13099" xr:uid="{00000000-0005-0000-0000-0000EB300000}"/>
    <cellStyle name="40% - Accent1 4 2 2 8 2" xfId="13100" xr:uid="{00000000-0005-0000-0000-0000EC300000}"/>
    <cellStyle name="40% - Accent1 4 2 2 8 2 2" xfId="13101" xr:uid="{00000000-0005-0000-0000-0000ED300000}"/>
    <cellStyle name="40% - Accent1 4 2 2 8 2 3" xfId="13102" xr:uid="{00000000-0005-0000-0000-0000EE300000}"/>
    <cellStyle name="40% - Accent1 4 2 2 8 3" xfId="13103" xr:uid="{00000000-0005-0000-0000-0000EF300000}"/>
    <cellStyle name="40% - Accent1 4 2 2 8 4" xfId="13104" xr:uid="{00000000-0005-0000-0000-0000F0300000}"/>
    <cellStyle name="40% - Accent1 4 2 2 8 5" xfId="13105" xr:uid="{00000000-0005-0000-0000-0000F1300000}"/>
    <cellStyle name="40% - Accent1 4 2 2 8 6" xfId="13106" xr:uid="{00000000-0005-0000-0000-0000F2300000}"/>
    <cellStyle name="40% - Accent1 4 2 2 9" xfId="13107" xr:uid="{00000000-0005-0000-0000-0000F3300000}"/>
    <cellStyle name="40% - Accent1 4 2 2 9 2" xfId="13108" xr:uid="{00000000-0005-0000-0000-0000F4300000}"/>
    <cellStyle name="40% - Accent1 4 2 2 9 3" xfId="13109" xr:uid="{00000000-0005-0000-0000-0000F5300000}"/>
    <cellStyle name="40% - Accent1 4 2 3" xfId="13110" xr:uid="{00000000-0005-0000-0000-0000F6300000}"/>
    <cellStyle name="40% - Accent1 4 2 3 10" xfId="13111" xr:uid="{00000000-0005-0000-0000-0000F7300000}"/>
    <cellStyle name="40% - Accent1 4 2 3 2" xfId="13112" xr:uid="{00000000-0005-0000-0000-0000F8300000}"/>
    <cellStyle name="40% - Accent1 4 2 3 2 2" xfId="13113" xr:uid="{00000000-0005-0000-0000-0000F9300000}"/>
    <cellStyle name="40% - Accent1 4 2 3 2 2 2" xfId="13114" xr:uid="{00000000-0005-0000-0000-0000FA300000}"/>
    <cellStyle name="40% - Accent1 4 2 3 2 2 2 2" xfId="13115" xr:uid="{00000000-0005-0000-0000-0000FB300000}"/>
    <cellStyle name="40% - Accent1 4 2 3 2 2 2 3" xfId="13116" xr:uid="{00000000-0005-0000-0000-0000FC300000}"/>
    <cellStyle name="40% - Accent1 4 2 3 2 2 3" xfId="13117" xr:uid="{00000000-0005-0000-0000-0000FD300000}"/>
    <cellStyle name="40% - Accent1 4 2 3 2 2 4" xfId="13118" xr:uid="{00000000-0005-0000-0000-0000FE300000}"/>
    <cellStyle name="40% - Accent1 4 2 3 2 2 5" xfId="13119" xr:uid="{00000000-0005-0000-0000-0000FF300000}"/>
    <cellStyle name="40% - Accent1 4 2 3 2 2 6" xfId="13120" xr:uid="{00000000-0005-0000-0000-000000310000}"/>
    <cellStyle name="40% - Accent1 4 2 3 2 3" xfId="13121" xr:uid="{00000000-0005-0000-0000-000001310000}"/>
    <cellStyle name="40% - Accent1 4 2 3 2 3 2" xfId="13122" xr:uid="{00000000-0005-0000-0000-000002310000}"/>
    <cellStyle name="40% - Accent1 4 2 3 2 3 2 2" xfId="13123" xr:uid="{00000000-0005-0000-0000-000003310000}"/>
    <cellStyle name="40% - Accent1 4 2 3 2 3 2 3" xfId="13124" xr:uid="{00000000-0005-0000-0000-000004310000}"/>
    <cellStyle name="40% - Accent1 4 2 3 2 3 3" xfId="13125" xr:uid="{00000000-0005-0000-0000-000005310000}"/>
    <cellStyle name="40% - Accent1 4 2 3 2 3 4" xfId="13126" xr:uid="{00000000-0005-0000-0000-000006310000}"/>
    <cellStyle name="40% - Accent1 4 2 3 2 3 5" xfId="13127" xr:uid="{00000000-0005-0000-0000-000007310000}"/>
    <cellStyle name="40% - Accent1 4 2 3 2 3 6" xfId="13128" xr:uid="{00000000-0005-0000-0000-000008310000}"/>
    <cellStyle name="40% - Accent1 4 2 3 2 4" xfId="13129" xr:uid="{00000000-0005-0000-0000-000009310000}"/>
    <cellStyle name="40% - Accent1 4 2 3 2 4 2" xfId="13130" xr:uid="{00000000-0005-0000-0000-00000A310000}"/>
    <cellStyle name="40% - Accent1 4 2 3 2 4 3" xfId="13131" xr:uid="{00000000-0005-0000-0000-00000B310000}"/>
    <cellStyle name="40% - Accent1 4 2 3 2 5" xfId="13132" xr:uid="{00000000-0005-0000-0000-00000C310000}"/>
    <cellStyle name="40% - Accent1 4 2 3 2 6" xfId="13133" xr:uid="{00000000-0005-0000-0000-00000D310000}"/>
    <cellStyle name="40% - Accent1 4 2 3 2 7" xfId="13134" xr:uid="{00000000-0005-0000-0000-00000E310000}"/>
    <cellStyle name="40% - Accent1 4 2 3 2 8" xfId="13135" xr:uid="{00000000-0005-0000-0000-00000F310000}"/>
    <cellStyle name="40% - Accent1 4 2 3 3" xfId="13136" xr:uid="{00000000-0005-0000-0000-000010310000}"/>
    <cellStyle name="40% - Accent1 4 2 3 3 2" xfId="13137" xr:uid="{00000000-0005-0000-0000-000011310000}"/>
    <cellStyle name="40% - Accent1 4 2 3 3 2 2" xfId="13138" xr:uid="{00000000-0005-0000-0000-000012310000}"/>
    <cellStyle name="40% - Accent1 4 2 3 3 2 2 2" xfId="13139" xr:uid="{00000000-0005-0000-0000-000013310000}"/>
    <cellStyle name="40% - Accent1 4 2 3 3 2 2 3" xfId="13140" xr:uid="{00000000-0005-0000-0000-000014310000}"/>
    <cellStyle name="40% - Accent1 4 2 3 3 2 3" xfId="13141" xr:uid="{00000000-0005-0000-0000-000015310000}"/>
    <cellStyle name="40% - Accent1 4 2 3 3 2 4" xfId="13142" xr:uid="{00000000-0005-0000-0000-000016310000}"/>
    <cellStyle name="40% - Accent1 4 2 3 3 2 5" xfId="13143" xr:uid="{00000000-0005-0000-0000-000017310000}"/>
    <cellStyle name="40% - Accent1 4 2 3 3 2 6" xfId="13144" xr:uid="{00000000-0005-0000-0000-000018310000}"/>
    <cellStyle name="40% - Accent1 4 2 3 3 3" xfId="13145" xr:uid="{00000000-0005-0000-0000-000019310000}"/>
    <cellStyle name="40% - Accent1 4 2 3 3 3 2" xfId="13146" xr:uid="{00000000-0005-0000-0000-00001A310000}"/>
    <cellStyle name="40% - Accent1 4 2 3 3 3 3" xfId="13147" xr:uid="{00000000-0005-0000-0000-00001B310000}"/>
    <cellStyle name="40% - Accent1 4 2 3 3 4" xfId="13148" xr:uid="{00000000-0005-0000-0000-00001C310000}"/>
    <cellStyle name="40% - Accent1 4 2 3 3 5" xfId="13149" xr:uid="{00000000-0005-0000-0000-00001D310000}"/>
    <cellStyle name="40% - Accent1 4 2 3 3 6" xfId="13150" xr:uid="{00000000-0005-0000-0000-00001E310000}"/>
    <cellStyle name="40% - Accent1 4 2 3 3 7" xfId="13151" xr:uid="{00000000-0005-0000-0000-00001F310000}"/>
    <cellStyle name="40% - Accent1 4 2 3 4" xfId="13152" xr:uid="{00000000-0005-0000-0000-000020310000}"/>
    <cellStyle name="40% - Accent1 4 2 3 4 2" xfId="13153" xr:uid="{00000000-0005-0000-0000-000021310000}"/>
    <cellStyle name="40% - Accent1 4 2 3 4 2 2" xfId="13154" xr:uid="{00000000-0005-0000-0000-000022310000}"/>
    <cellStyle name="40% - Accent1 4 2 3 4 2 3" xfId="13155" xr:uid="{00000000-0005-0000-0000-000023310000}"/>
    <cellStyle name="40% - Accent1 4 2 3 4 3" xfId="13156" xr:uid="{00000000-0005-0000-0000-000024310000}"/>
    <cellStyle name="40% - Accent1 4 2 3 4 4" xfId="13157" xr:uid="{00000000-0005-0000-0000-000025310000}"/>
    <cellStyle name="40% - Accent1 4 2 3 4 5" xfId="13158" xr:uid="{00000000-0005-0000-0000-000026310000}"/>
    <cellStyle name="40% - Accent1 4 2 3 4 6" xfId="13159" xr:uid="{00000000-0005-0000-0000-000027310000}"/>
    <cellStyle name="40% - Accent1 4 2 3 5" xfId="13160" xr:uid="{00000000-0005-0000-0000-000028310000}"/>
    <cellStyle name="40% - Accent1 4 2 3 5 2" xfId="13161" xr:uid="{00000000-0005-0000-0000-000029310000}"/>
    <cellStyle name="40% - Accent1 4 2 3 5 2 2" xfId="13162" xr:uid="{00000000-0005-0000-0000-00002A310000}"/>
    <cellStyle name="40% - Accent1 4 2 3 5 2 3" xfId="13163" xr:uid="{00000000-0005-0000-0000-00002B310000}"/>
    <cellStyle name="40% - Accent1 4 2 3 5 3" xfId="13164" xr:uid="{00000000-0005-0000-0000-00002C310000}"/>
    <cellStyle name="40% - Accent1 4 2 3 5 4" xfId="13165" xr:uid="{00000000-0005-0000-0000-00002D310000}"/>
    <cellStyle name="40% - Accent1 4 2 3 5 5" xfId="13166" xr:uid="{00000000-0005-0000-0000-00002E310000}"/>
    <cellStyle name="40% - Accent1 4 2 3 5 6" xfId="13167" xr:uid="{00000000-0005-0000-0000-00002F310000}"/>
    <cellStyle name="40% - Accent1 4 2 3 6" xfId="13168" xr:uid="{00000000-0005-0000-0000-000030310000}"/>
    <cellStyle name="40% - Accent1 4 2 3 6 2" xfId="13169" xr:uid="{00000000-0005-0000-0000-000031310000}"/>
    <cellStyle name="40% - Accent1 4 2 3 6 3" xfId="13170" xr:uid="{00000000-0005-0000-0000-000032310000}"/>
    <cellStyle name="40% - Accent1 4 2 3 7" xfId="13171" xr:uid="{00000000-0005-0000-0000-000033310000}"/>
    <cellStyle name="40% - Accent1 4 2 3 8" xfId="13172" xr:uid="{00000000-0005-0000-0000-000034310000}"/>
    <cellStyle name="40% - Accent1 4 2 3 9" xfId="13173" xr:uid="{00000000-0005-0000-0000-000035310000}"/>
    <cellStyle name="40% - Accent1 4 2 4" xfId="13174" xr:uid="{00000000-0005-0000-0000-000036310000}"/>
    <cellStyle name="40% - Accent1 4 2 4 2" xfId="13175" xr:uid="{00000000-0005-0000-0000-000037310000}"/>
    <cellStyle name="40% - Accent1 4 2 4 2 2" xfId="13176" xr:uid="{00000000-0005-0000-0000-000038310000}"/>
    <cellStyle name="40% - Accent1 4 2 4 2 2 2" xfId="13177" xr:uid="{00000000-0005-0000-0000-000039310000}"/>
    <cellStyle name="40% - Accent1 4 2 4 2 2 2 2" xfId="13178" xr:uid="{00000000-0005-0000-0000-00003A310000}"/>
    <cellStyle name="40% - Accent1 4 2 4 2 2 2 3" xfId="13179" xr:uid="{00000000-0005-0000-0000-00003B310000}"/>
    <cellStyle name="40% - Accent1 4 2 4 2 2 3" xfId="13180" xr:uid="{00000000-0005-0000-0000-00003C310000}"/>
    <cellStyle name="40% - Accent1 4 2 4 2 2 4" xfId="13181" xr:uid="{00000000-0005-0000-0000-00003D310000}"/>
    <cellStyle name="40% - Accent1 4 2 4 2 2 5" xfId="13182" xr:uid="{00000000-0005-0000-0000-00003E310000}"/>
    <cellStyle name="40% - Accent1 4 2 4 2 2 6" xfId="13183" xr:uid="{00000000-0005-0000-0000-00003F310000}"/>
    <cellStyle name="40% - Accent1 4 2 4 2 3" xfId="13184" xr:uid="{00000000-0005-0000-0000-000040310000}"/>
    <cellStyle name="40% - Accent1 4 2 4 2 3 2" xfId="13185" xr:uid="{00000000-0005-0000-0000-000041310000}"/>
    <cellStyle name="40% - Accent1 4 2 4 2 3 3" xfId="13186" xr:uid="{00000000-0005-0000-0000-000042310000}"/>
    <cellStyle name="40% - Accent1 4 2 4 2 4" xfId="13187" xr:uid="{00000000-0005-0000-0000-000043310000}"/>
    <cellStyle name="40% - Accent1 4 2 4 2 5" xfId="13188" xr:uid="{00000000-0005-0000-0000-000044310000}"/>
    <cellStyle name="40% - Accent1 4 2 4 2 6" xfId="13189" xr:uid="{00000000-0005-0000-0000-000045310000}"/>
    <cellStyle name="40% - Accent1 4 2 4 2 7" xfId="13190" xr:uid="{00000000-0005-0000-0000-000046310000}"/>
    <cellStyle name="40% - Accent1 4 2 4 3" xfId="13191" xr:uid="{00000000-0005-0000-0000-000047310000}"/>
    <cellStyle name="40% - Accent1 4 2 4 3 2" xfId="13192" xr:uid="{00000000-0005-0000-0000-000048310000}"/>
    <cellStyle name="40% - Accent1 4 2 4 3 2 2" xfId="13193" xr:uid="{00000000-0005-0000-0000-000049310000}"/>
    <cellStyle name="40% - Accent1 4 2 4 3 2 3" xfId="13194" xr:uid="{00000000-0005-0000-0000-00004A310000}"/>
    <cellStyle name="40% - Accent1 4 2 4 3 3" xfId="13195" xr:uid="{00000000-0005-0000-0000-00004B310000}"/>
    <cellStyle name="40% - Accent1 4 2 4 3 4" xfId="13196" xr:uid="{00000000-0005-0000-0000-00004C310000}"/>
    <cellStyle name="40% - Accent1 4 2 4 3 5" xfId="13197" xr:uid="{00000000-0005-0000-0000-00004D310000}"/>
    <cellStyle name="40% - Accent1 4 2 4 3 6" xfId="13198" xr:uid="{00000000-0005-0000-0000-00004E310000}"/>
    <cellStyle name="40% - Accent1 4 2 4 4" xfId="13199" xr:uid="{00000000-0005-0000-0000-00004F310000}"/>
    <cellStyle name="40% - Accent1 4 2 4 4 2" xfId="13200" xr:uid="{00000000-0005-0000-0000-000050310000}"/>
    <cellStyle name="40% - Accent1 4 2 4 4 2 2" xfId="13201" xr:uid="{00000000-0005-0000-0000-000051310000}"/>
    <cellStyle name="40% - Accent1 4 2 4 4 2 3" xfId="13202" xr:uid="{00000000-0005-0000-0000-000052310000}"/>
    <cellStyle name="40% - Accent1 4 2 4 4 3" xfId="13203" xr:uid="{00000000-0005-0000-0000-000053310000}"/>
    <cellStyle name="40% - Accent1 4 2 4 4 4" xfId="13204" xr:uid="{00000000-0005-0000-0000-000054310000}"/>
    <cellStyle name="40% - Accent1 4 2 4 4 5" xfId="13205" xr:uid="{00000000-0005-0000-0000-000055310000}"/>
    <cellStyle name="40% - Accent1 4 2 4 4 6" xfId="13206" xr:uid="{00000000-0005-0000-0000-000056310000}"/>
    <cellStyle name="40% - Accent1 4 2 4 5" xfId="13207" xr:uid="{00000000-0005-0000-0000-000057310000}"/>
    <cellStyle name="40% - Accent1 4 2 4 5 2" xfId="13208" xr:uid="{00000000-0005-0000-0000-000058310000}"/>
    <cellStyle name="40% - Accent1 4 2 4 5 3" xfId="13209" xr:uid="{00000000-0005-0000-0000-000059310000}"/>
    <cellStyle name="40% - Accent1 4 2 4 6" xfId="13210" xr:uid="{00000000-0005-0000-0000-00005A310000}"/>
    <cellStyle name="40% - Accent1 4 2 4 7" xfId="13211" xr:uid="{00000000-0005-0000-0000-00005B310000}"/>
    <cellStyle name="40% - Accent1 4 2 4 8" xfId="13212" xr:uid="{00000000-0005-0000-0000-00005C310000}"/>
    <cellStyle name="40% - Accent1 4 2 4 9" xfId="13213" xr:uid="{00000000-0005-0000-0000-00005D310000}"/>
    <cellStyle name="40% - Accent1 4 2 5" xfId="13214" xr:uid="{00000000-0005-0000-0000-00005E310000}"/>
    <cellStyle name="40% - Accent1 4 2 5 2" xfId="13215" xr:uid="{00000000-0005-0000-0000-00005F310000}"/>
    <cellStyle name="40% - Accent1 4 2 5 2 2" xfId="13216" xr:uid="{00000000-0005-0000-0000-000060310000}"/>
    <cellStyle name="40% - Accent1 4 2 5 2 2 2" xfId="13217" xr:uid="{00000000-0005-0000-0000-000061310000}"/>
    <cellStyle name="40% - Accent1 4 2 5 2 2 3" xfId="13218" xr:uid="{00000000-0005-0000-0000-000062310000}"/>
    <cellStyle name="40% - Accent1 4 2 5 2 3" xfId="13219" xr:uid="{00000000-0005-0000-0000-000063310000}"/>
    <cellStyle name="40% - Accent1 4 2 5 2 4" xfId="13220" xr:uid="{00000000-0005-0000-0000-000064310000}"/>
    <cellStyle name="40% - Accent1 4 2 5 2 5" xfId="13221" xr:uid="{00000000-0005-0000-0000-000065310000}"/>
    <cellStyle name="40% - Accent1 4 2 5 2 6" xfId="13222" xr:uid="{00000000-0005-0000-0000-000066310000}"/>
    <cellStyle name="40% - Accent1 4 2 5 3" xfId="13223" xr:uid="{00000000-0005-0000-0000-000067310000}"/>
    <cellStyle name="40% - Accent1 4 2 5 3 2" xfId="13224" xr:uid="{00000000-0005-0000-0000-000068310000}"/>
    <cellStyle name="40% - Accent1 4 2 5 3 3" xfId="13225" xr:uid="{00000000-0005-0000-0000-000069310000}"/>
    <cellStyle name="40% - Accent1 4 2 5 4" xfId="13226" xr:uid="{00000000-0005-0000-0000-00006A310000}"/>
    <cellStyle name="40% - Accent1 4 2 5 5" xfId="13227" xr:uid="{00000000-0005-0000-0000-00006B310000}"/>
    <cellStyle name="40% - Accent1 4 2 5 6" xfId="13228" xr:uid="{00000000-0005-0000-0000-00006C310000}"/>
    <cellStyle name="40% - Accent1 4 2 5 7" xfId="13229" xr:uid="{00000000-0005-0000-0000-00006D310000}"/>
    <cellStyle name="40% - Accent1 4 2 6" xfId="13230" xr:uid="{00000000-0005-0000-0000-00006E310000}"/>
    <cellStyle name="40% - Accent1 4 2 6 2" xfId="13231" xr:uid="{00000000-0005-0000-0000-00006F310000}"/>
    <cellStyle name="40% - Accent1 4 2 6 2 2" xfId="13232" xr:uid="{00000000-0005-0000-0000-000070310000}"/>
    <cellStyle name="40% - Accent1 4 2 6 2 3" xfId="13233" xr:uid="{00000000-0005-0000-0000-000071310000}"/>
    <cellStyle name="40% - Accent1 4 2 6 3" xfId="13234" xr:uid="{00000000-0005-0000-0000-000072310000}"/>
    <cellStyle name="40% - Accent1 4 2 6 4" xfId="13235" xr:uid="{00000000-0005-0000-0000-000073310000}"/>
    <cellStyle name="40% - Accent1 4 2 6 5" xfId="13236" xr:uid="{00000000-0005-0000-0000-000074310000}"/>
    <cellStyle name="40% - Accent1 4 2 6 6" xfId="13237" xr:uid="{00000000-0005-0000-0000-000075310000}"/>
    <cellStyle name="40% - Accent1 4 2 7" xfId="13238" xr:uid="{00000000-0005-0000-0000-000076310000}"/>
    <cellStyle name="40% - Accent1 4 2 7 2" xfId="13239" xr:uid="{00000000-0005-0000-0000-000077310000}"/>
    <cellStyle name="40% - Accent1 4 2 7 2 2" xfId="13240" xr:uid="{00000000-0005-0000-0000-000078310000}"/>
    <cellStyle name="40% - Accent1 4 2 7 2 3" xfId="13241" xr:uid="{00000000-0005-0000-0000-000079310000}"/>
    <cellStyle name="40% - Accent1 4 2 7 3" xfId="13242" xr:uid="{00000000-0005-0000-0000-00007A310000}"/>
    <cellStyle name="40% - Accent1 4 2 7 4" xfId="13243" xr:uid="{00000000-0005-0000-0000-00007B310000}"/>
    <cellStyle name="40% - Accent1 4 2 7 5" xfId="13244" xr:uid="{00000000-0005-0000-0000-00007C310000}"/>
    <cellStyle name="40% - Accent1 4 2 7 6" xfId="13245" xr:uid="{00000000-0005-0000-0000-00007D310000}"/>
    <cellStyle name="40% - Accent1 4 2 8" xfId="13246" xr:uid="{00000000-0005-0000-0000-00007E310000}"/>
    <cellStyle name="40% - Accent1 4 2 8 2" xfId="13247" xr:uid="{00000000-0005-0000-0000-00007F310000}"/>
    <cellStyle name="40% - Accent1 4 2 8 2 2" xfId="13248" xr:uid="{00000000-0005-0000-0000-000080310000}"/>
    <cellStyle name="40% - Accent1 4 2 8 2 3" xfId="13249" xr:uid="{00000000-0005-0000-0000-000081310000}"/>
    <cellStyle name="40% - Accent1 4 2 8 3" xfId="13250" xr:uid="{00000000-0005-0000-0000-000082310000}"/>
    <cellStyle name="40% - Accent1 4 2 8 4" xfId="13251" xr:uid="{00000000-0005-0000-0000-000083310000}"/>
    <cellStyle name="40% - Accent1 4 2 8 5" xfId="13252" xr:uid="{00000000-0005-0000-0000-000084310000}"/>
    <cellStyle name="40% - Accent1 4 2 8 6" xfId="13253" xr:uid="{00000000-0005-0000-0000-000085310000}"/>
    <cellStyle name="40% - Accent1 4 2 9" xfId="13254" xr:uid="{00000000-0005-0000-0000-000086310000}"/>
    <cellStyle name="40% - Accent1 4 2 9 2" xfId="13255" xr:uid="{00000000-0005-0000-0000-000087310000}"/>
    <cellStyle name="40% - Accent1 4 2 9 2 2" xfId="13256" xr:uid="{00000000-0005-0000-0000-000088310000}"/>
    <cellStyle name="40% - Accent1 4 2 9 2 3" xfId="13257" xr:uid="{00000000-0005-0000-0000-000089310000}"/>
    <cellStyle name="40% - Accent1 4 2 9 3" xfId="13258" xr:uid="{00000000-0005-0000-0000-00008A310000}"/>
    <cellStyle name="40% - Accent1 4 2 9 4" xfId="13259" xr:uid="{00000000-0005-0000-0000-00008B310000}"/>
    <cellStyle name="40% - Accent1 4 2 9 5" xfId="13260" xr:uid="{00000000-0005-0000-0000-00008C310000}"/>
    <cellStyle name="40% - Accent1 4 2 9 6" xfId="13261" xr:uid="{00000000-0005-0000-0000-00008D310000}"/>
    <cellStyle name="40% - Accent1 4 3" xfId="13262" xr:uid="{00000000-0005-0000-0000-00008E310000}"/>
    <cellStyle name="40% - Accent1 4 3 10" xfId="13263" xr:uid="{00000000-0005-0000-0000-00008F310000}"/>
    <cellStyle name="40% - Accent1 4 3 11" xfId="13264" xr:uid="{00000000-0005-0000-0000-000090310000}"/>
    <cellStyle name="40% - Accent1 4 3 12" xfId="13265" xr:uid="{00000000-0005-0000-0000-000091310000}"/>
    <cellStyle name="40% - Accent1 4 3 13" xfId="13266" xr:uid="{00000000-0005-0000-0000-000092310000}"/>
    <cellStyle name="40% - Accent1 4 3 2" xfId="13267" xr:uid="{00000000-0005-0000-0000-000093310000}"/>
    <cellStyle name="40% - Accent1 4 3 2 10" xfId="13268" xr:uid="{00000000-0005-0000-0000-000094310000}"/>
    <cellStyle name="40% - Accent1 4 3 2 2" xfId="13269" xr:uid="{00000000-0005-0000-0000-000095310000}"/>
    <cellStyle name="40% - Accent1 4 3 2 2 2" xfId="13270" xr:uid="{00000000-0005-0000-0000-000096310000}"/>
    <cellStyle name="40% - Accent1 4 3 2 2 2 2" xfId="13271" xr:uid="{00000000-0005-0000-0000-000097310000}"/>
    <cellStyle name="40% - Accent1 4 3 2 2 2 2 2" xfId="13272" xr:uid="{00000000-0005-0000-0000-000098310000}"/>
    <cellStyle name="40% - Accent1 4 3 2 2 2 2 3" xfId="13273" xr:uid="{00000000-0005-0000-0000-000099310000}"/>
    <cellStyle name="40% - Accent1 4 3 2 2 2 3" xfId="13274" xr:uid="{00000000-0005-0000-0000-00009A310000}"/>
    <cellStyle name="40% - Accent1 4 3 2 2 2 4" xfId="13275" xr:uid="{00000000-0005-0000-0000-00009B310000}"/>
    <cellStyle name="40% - Accent1 4 3 2 2 2 5" xfId="13276" xr:uid="{00000000-0005-0000-0000-00009C310000}"/>
    <cellStyle name="40% - Accent1 4 3 2 2 2 6" xfId="13277" xr:uid="{00000000-0005-0000-0000-00009D310000}"/>
    <cellStyle name="40% - Accent1 4 3 2 2 3" xfId="13278" xr:uid="{00000000-0005-0000-0000-00009E310000}"/>
    <cellStyle name="40% - Accent1 4 3 2 2 3 2" xfId="13279" xr:uid="{00000000-0005-0000-0000-00009F310000}"/>
    <cellStyle name="40% - Accent1 4 3 2 2 3 2 2" xfId="13280" xr:uid="{00000000-0005-0000-0000-0000A0310000}"/>
    <cellStyle name="40% - Accent1 4 3 2 2 3 2 3" xfId="13281" xr:uid="{00000000-0005-0000-0000-0000A1310000}"/>
    <cellStyle name="40% - Accent1 4 3 2 2 3 3" xfId="13282" xr:uid="{00000000-0005-0000-0000-0000A2310000}"/>
    <cellStyle name="40% - Accent1 4 3 2 2 3 4" xfId="13283" xr:uid="{00000000-0005-0000-0000-0000A3310000}"/>
    <cellStyle name="40% - Accent1 4 3 2 2 3 5" xfId="13284" xr:uid="{00000000-0005-0000-0000-0000A4310000}"/>
    <cellStyle name="40% - Accent1 4 3 2 2 3 6" xfId="13285" xr:uid="{00000000-0005-0000-0000-0000A5310000}"/>
    <cellStyle name="40% - Accent1 4 3 2 2 4" xfId="13286" xr:uid="{00000000-0005-0000-0000-0000A6310000}"/>
    <cellStyle name="40% - Accent1 4 3 2 2 4 2" xfId="13287" xr:uid="{00000000-0005-0000-0000-0000A7310000}"/>
    <cellStyle name="40% - Accent1 4 3 2 2 4 3" xfId="13288" xr:uid="{00000000-0005-0000-0000-0000A8310000}"/>
    <cellStyle name="40% - Accent1 4 3 2 2 5" xfId="13289" xr:uid="{00000000-0005-0000-0000-0000A9310000}"/>
    <cellStyle name="40% - Accent1 4 3 2 2 6" xfId="13290" xr:uid="{00000000-0005-0000-0000-0000AA310000}"/>
    <cellStyle name="40% - Accent1 4 3 2 2 7" xfId="13291" xr:uid="{00000000-0005-0000-0000-0000AB310000}"/>
    <cellStyle name="40% - Accent1 4 3 2 2 8" xfId="13292" xr:uid="{00000000-0005-0000-0000-0000AC310000}"/>
    <cellStyle name="40% - Accent1 4 3 2 3" xfId="13293" xr:uid="{00000000-0005-0000-0000-0000AD310000}"/>
    <cellStyle name="40% - Accent1 4 3 2 3 2" xfId="13294" xr:uid="{00000000-0005-0000-0000-0000AE310000}"/>
    <cellStyle name="40% - Accent1 4 3 2 3 2 2" xfId="13295" xr:uid="{00000000-0005-0000-0000-0000AF310000}"/>
    <cellStyle name="40% - Accent1 4 3 2 3 2 2 2" xfId="13296" xr:uid="{00000000-0005-0000-0000-0000B0310000}"/>
    <cellStyle name="40% - Accent1 4 3 2 3 2 2 3" xfId="13297" xr:uid="{00000000-0005-0000-0000-0000B1310000}"/>
    <cellStyle name="40% - Accent1 4 3 2 3 2 3" xfId="13298" xr:uid="{00000000-0005-0000-0000-0000B2310000}"/>
    <cellStyle name="40% - Accent1 4 3 2 3 2 4" xfId="13299" xr:uid="{00000000-0005-0000-0000-0000B3310000}"/>
    <cellStyle name="40% - Accent1 4 3 2 3 2 5" xfId="13300" xr:uid="{00000000-0005-0000-0000-0000B4310000}"/>
    <cellStyle name="40% - Accent1 4 3 2 3 2 6" xfId="13301" xr:uid="{00000000-0005-0000-0000-0000B5310000}"/>
    <cellStyle name="40% - Accent1 4 3 2 3 3" xfId="13302" xr:uid="{00000000-0005-0000-0000-0000B6310000}"/>
    <cellStyle name="40% - Accent1 4 3 2 3 3 2" xfId="13303" xr:uid="{00000000-0005-0000-0000-0000B7310000}"/>
    <cellStyle name="40% - Accent1 4 3 2 3 3 3" xfId="13304" xr:uid="{00000000-0005-0000-0000-0000B8310000}"/>
    <cellStyle name="40% - Accent1 4 3 2 3 4" xfId="13305" xr:uid="{00000000-0005-0000-0000-0000B9310000}"/>
    <cellStyle name="40% - Accent1 4 3 2 3 5" xfId="13306" xr:uid="{00000000-0005-0000-0000-0000BA310000}"/>
    <cellStyle name="40% - Accent1 4 3 2 3 6" xfId="13307" xr:uid="{00000000-0005-0000-0000-0000BB310000}"/>
    <cellStyle name="40% - Accent1 4 3 2 3 7" xfId="13308" xr:uid="{00000000-0005-0000-0000-0000BC310000}"/>
    <cellStyle name="40% - Accent1 4 3 2 4" xfId="13309" xr:uid="{00000000-0005-0000-0000-0000BD310000}"/>
    <cellStyle name="40% - Accent1 4 3 2 4 2" xfId="13310" xr:uid="{00000000-0005-0000-0000-0000BE310000}"/>
    <cellStyle name="40% - Accent1 4 3 2 4 2 2" xfId="13311" xr:uid="{00000000-0005-0000-0000-0000BF310000}"/>
    <cellStyle name="40% - Accent1 4 3 2 4 2 3" xfId="13312" xr:uid="{00000000-0005-0000-0000-0000C0310000}"/>
    <cellStyle name="40% - Accent1 4 3 2 4 3" xfId="13313" xr:uid="{00000000-0005-0000-0000-0000C1310000}"/>
    <cellStyle name="40% - Accent1 4 3 2 4 4" xfId="13314" xr:uid="{00000000-0005-0000-0000-0000C2310000}"/>
    <cellStyle name="40% - Accent1 4 3 2 4 5" xfId="13315" xr:uid="{00000000-0005-0000-0000-0000C3310000}"/>
    <cellStyle name="40% - Accent1 4 3 2 4 6" xfId="13316" xr:uid="{00000000-0005-0000-0000-0000C4310000}"/>
    <cellStyle name="40% - Accent1 4 3 2 5" xfId="13317" xr:uid="{00000000-0005-0000-0000-0000C5310000}"/>
    <cellStyle name="40% - Accent1 4 3 2 5 2" xfId="13318" xr:uid="{00000000-0005-0000-0000-0000C6310000}"/>
    <cellStyle name="40% - Accent1 4 3 2 5 2 2" xfId="13319" xr:uid="{00000000-0005-0000-0000-0000C7310000}"/>
    <cellStyle name="40% - Accent1 4 3 2 5 2 3" xfId="13320" xr:uid="{00000000-0005-0000-0000-0000C8310000}"/>
    <cellStyle name="40% - Accent1 4 3 2 5 3" xfId="13321" xr:uid="{00000000-0005-0000-0000-0000C9310000}"/>
    <cellStyle name="40% - Accent1 4 3 2 5 4" xfId="13322" xr:uid="{00000000-0005-0000-0000-0000CA310000}"/>
    <cellStyle name="40% - Accent1 4 3 2 5 5" xfId="13323" xr:uid="{00000000-0005-0000-0000-0000CB310000}"/>
    <cellStyle name="40% - Accent1 4 3 2 5 6" xfId="13324" xr:uid="{00000000-0005-0000-0000-0000CC310000}"/>
    <cellStyle name="40% - Accent1 4 3 2 6" xfId="13325" xr:uid="{00000000-0005-0000-0000-0000CD310000}"/>
    <cellStyle name="40% - Accent1 4 3 2 6 2" xfId="13326" xr:uid="{00000000-0005-0000-0000-0000CE310000}"/>
    <cellStyle name="40% - Accent1 4 3 2 6 3" xfId="13327" xr:uid="{00000000-0005-0000-0000-0000CF310000}"/>
    <cellStyle name="40% - Accent1 4 3 2 7" xfId="13328" xr:uid="{00000000-0005-0000-0000-0000D0310000}"/>
    <cellStyle name="40% - Accent1 4 3 2 8" xfId="13329" xr:uid="{00000000-0005-0000-0000-0000D1310000}"/>
    <cellStyle name="40% - Accent1 4 3 2 9" xfId="13330" xr:uid="{00000000-0005-0000-0000-0000D2310000}"/>
    <cellStyle name="40% - Accent1 4 3 3" xfId="13331" xr:uid="{00000000-0005-0000-0000-0000D3310000}"/>
    <cellStyle name="40% - Accent1 4 3 3 2" xfId="13332" xr:uid="{00000000-0005-0000-0000-0000D4310000}"/>
    <cellStyle name="40% - Accent1 4 3 3 2 2" xfId="13333" xr:uid="{00000000-0005-0000-0000-0000D5310000}"/>
    <cellStyle name="40% - Accent1 4 3 3 2 2 2" xfId="13334" xr:uid="{00000000-0005-0000-0000-0000D6310000}"/>
    <cellStyle name="40% - Accent1 4 3 3 2 2 2 2" xfId="13335" xr:uid="{00000000-0005-0000-0000-0000D7310000}"/>
    <cellStyle name="40% - Accent1 4 3 3 2 2 2 3" xfId="13336" xr:uid="{00000000-0005-0000-0000-0000D8310000}"/>
    <cellStyle name="40% - Accent1 4 3 3 2 2 3" xfId="13337" xr:uid="{00000000-0005-0000-0000-0000D9310000}"/>
    <cellStyle name="40% - Accent1 4 3 3 2 2 4" xfId="13338" xr:uid="{00000000-0005-0000-0000-0000DA310000}"/>
    <cellStyle name="40% - Accent1 4 3 3 2 2 5" xfId="13339" xr:uid="{00000000-0005-0000-0000-0000DB310000}"/>
    <cellStyle name="40% - Accent1 4 3 3 2 2 6" xfId="13340" xr:uid="{00000000-0005-0000-0000-0000DC310000}"/>
    <cellStyle name="40% - Accent1 4 3 3 2 3" xfId="13341" xr:uid="{00000000-0005-0000-0000-0000DD310000}"/>
    <cellStyle name="40% - Accent1 4 3 3 2 3 2" xfId="13342" xr:uid="{00000000-0005-0000-0000-0000DE310000}"/>
    <cellStyle name="40% - Accent1 4 3 3 2 3 3" xfId="13343" xr:uid="{00000000-0005-0000-0000-0000DF310000}"/>
    <cellStyle name="40% - Accent1 4 3 3 2 4" xfId="13344" xr:uid="{00000000-0005-0000-0000-0000E0310000}"/>
    <cellStyle name="40% - Accent1 4 3 3 2 5" xfId="13345" xr:uid="{00000000-0005-0000-0000-0000E1310000}"/>
    <cellStyle name="40% - Accent1 4 3 3 2 6" xfId="13346" xr:uid="{00000000-0005-0000-0000-0000E2310000}"/>
    <cellStyle name="40% - Accent1 4 3 3 2 7" xfId="13347" xr:uid="{00000000-0005-0000-0000-0000E3310000}"/>
    <cellStyle name="40% - Accent1 4 3 3 3" xfId="13348" xr:uid="{00000000-0005-0000-0000-0000E4310000}"/>
    <cellStyle name="40% - Accent1 4 3 3 3 2" xfId="13349" xr:uid="{00000000-0005-0000-0000-0000E5310000}"/>
    <cellStyle name="40% - Accent1 4 3 3 3 2 2" xfId="13350" xr:uid="{00000000-0005-0000-0000-0000E6310000}"/>
    <cellStyle name="40% - Accent1 4 3 3 3 2 3" xfId="13351" xr:uid="{00000000-0005-0000-0000-0000E7310000}"/>
    <cellStyle name="40% - Accent1 4 3 3 3 3" xfId="13352" xr:uid="{00000000-0005-0000-0000-0000E8310000}"/>
    <cellStyle name="40% - Accent1 4 3 3 3 4" xfId="13353" xr:uid="{00000000-0005-0000-0000-0000E9310000}"/>
    <cellStyle name="40% - Accent1 4 3 3 3 5" xfId="13354" xr:uid="{00000000-0005-0000-0000-0000EA310000}"/>
    <cellStyle name="40% - Accent1 4 3 3 3 6" xfId="13355" xr:uid="{00000000-0005-0000-0000-0000EB310000}"/>
    <cellStyle name="40% - Accent1 4 3 3 4" xfId="13356" xr:uid="{00000000-0005-0000-0000-0000EC310000}"/>
    <cellStyle name="40% - Accent1 4 3 3 4 2" xfId="13357" xr:uid="{00000000-0005-0000-0000-0000ED310000}"/>
    <cellStyle name="40% - Accent1 4 3 3 4 2 2" xfId="13358" xr:uid="{00000000-0005-0000-0000-0000EE310000}"/>
    <cellStyle name="40% - Accent1 4 3 3 4 2 3" xfId="13359" xr:uid="{00000000-0005-0000-0000-0000EF310000}"/>
    <cellStyle name="40% - Accent1 4 3 3 4 3" xfId="13360" xr:uid="{00000000-0005-0000-0000-0000F0310000}"/>
    <cellStyle name="40% - Accent1 4 3 3 4 4" xfId="13361" xr:uid="{00000000-0005-0000-0000-0000F1310000}"/>
    <cellStyle name="40% - Accent1 4 3 3 4 5" xfId="13362" xr:uid="{00000000-0005-0000-0000-0000F2310000}"/>
    <cellStyle name="40% - Accent1 4 3 3 4 6" xfId="13363" xr:uid="{00000000-0005-0000-0000-0000F3310000}"/>
    <cellStyle name="40% - Accent1 4 3 3 5" xfId="13364" xr:uid="{00000000-0005-0000-0000-0000F4310000}"/>
    <cellStyle name="40% - Accent1 4 3 3 5 2" xfId="13365" xr:uid="{00000000-0005-0000-0000-0000F5310000}"/>
    <cellStyle name="40% - Accent1 4 3 3 5 3" xfId="13366" xr:uid="{00000000-0005-0000-0000-0000F6310000}"/>
    <cellStyle name="40% - Accent1 4 3 3 6" xfId="13367" xr:uid="{00000000-0005-0000-0000-0000F7310000}"/>
    <cellStyle name="40% - Accent1 4 3 3 7" xfId="13368" xr:uid="{00000000-0005-0000-0000-0000F8310000}"/>
    <cellStyle name="40% - Accent1 4 3 3 8" xfId="13369" xr:uid="{00000000-0005-0000-0000-0000F9310000}"/>
    <cellStyle name="40% - Accent1 4 3 3 9" xfId="13370" xr:uid="{00000000-0005-0000-0000-0000FA310000}"/>
    <cellStyle name="40% - Accent1 4 3 4" xfId="13371" xr:uid="{00000000-0005-0000-0000-0000FB310000}"/>
    <cellStyle name="40% - Accent1 4 3 4 2" xfId="13372" xr:uid="{00000000-0005-0000-0000-0000FC310000}"/>
    <cellStyle name="40% - Accent1 4 3 4 2 2" xfId="13373" xr:uid="{00000000-0005-0000-0000-0000FD310000}"/>
    <cellStyle name="40% - Accent1 4 3 4 2 2 2" xfId="13374" xr:uid="{00000000-0005-0000-0000-0000FE310000}"/>
    <cellStyle name="40% - Accent1 4 3 4 2 2 3" xfId="13375" xr:uid="{00000000-0005-0000-0000-0000FF310000}"/>
    <cellStyle name="40% - Accent1 4 3 4 2 3" xfId="13376" xr:uid="{00000000-0005-0000-0000-000000320000}"/>
    <cellStyle name="40% - Accent1 4 3 4 2 4" xfId="13377" xr:uid="{00000000-0005-0000-0000-000001320000}"/>
    <cellStyle name="40% - Accent1 4 3 4 2 5" xfId="13378" xr:uid="{00000000-0005-0000-0000-000002320000}"/>
    <cellStyle name="40% - Accent1 4 3 4 2 6" xfId="13379" xr:uid="{00000000-0005-0000-0000-000003320000}"/>
    <cellStyle name="40% - Accent1 4 3 4 3" xfId="13380" xr:uid="{00000000-0005-0000-0000-000004320000}"/>
    <cellStyle name="40% - Accent1 4 3 4 3 2" xfId="13381" xr:uid="{00000000-0005-0000-0000-000005320000}"/>
    <cellStyle name="40% - Accent1 4 3 4 3 3" xfId="13382" xr:uid="{00000000-0005-0000-0000-000006320000}"/>
    <cellStyle name="40% - Accent1 4 3 4 4" xfId="13383" xr:uid="{00000000-0005-0000-0000-000007320000}"/>
    <cellStyle name="40% - Accent1 4 3 4 5" xfId="13384" xr:uid="{00000000-0005-0000-0000-000008320000}"/>
    <cellStyle name="40% - Accent1 4 3 4 6" xfId="13385" xr:uid="{00000000-0005-0000-0000-000009320000}"/>
    <cellStyle name="40% - Accent1 4 3 4 7" xfId="13386" xr:uid="{00000000-0005-0000-0000-00000A320000}"/>
    <cellStyle name="40% - Accent1 4 3 5" xfId="13387" xr:uid="{00000000-0005-0000-0000-00000B320000}"/>
    <cellStyle name="40% - Accent1 4 3 5 2" xfId="13388" xr:uid="{00000000-0005-0000-0000-00000C320000}"/>
    <cellStyle name="40% - Accent1 4 3 5 2 2" xfId="13389" xr:uid="{00000000-0005-0000-0000-00000D320000}"/>
    <cellStyle name="40% - Accent1 4 3 5 2 3" xfId="13390" xr:uid="{00000000-0005-0000-0000-00000E320000}"/>
    <cellStyle name="40% - Accent1 4 3 5 3" xfId="13391" xr:uid="{00000000-0005-0000-0000-00000F320000}"/>
    <cellStyle name="40% - Accent1 4 3 5 4" xfId="13392" xr:uid="{00000000-0005-0000-0000-000010320000}"/>
    <cellStyle name="40% - Accent1 4 3 5 5" xfId="13393" xr:uid="{00000000-0005-0000-0000-000011320000}"/>
    <cellStyle name="40% - Accent1 4 3 5 6" xfId="13394" xr:uid="{00000000-0005-0000-0000-000012320000}"/>
    <cellStyle name="40% - Accent1 4 3 6" xfId="13395" xr:uid="{00000000-0005-0000-0000-000013320000}"/>
    <cellStyle name="40% - Accent1 4 3 6 2" xfId="13396" xr:uid="{00000000-0005-0000-0000-000014320000}"/>
    <cellStyle name="40% - Accent1 4 3 6 2 2" xfId="13397" xr:uid="{00000000-0005-0000-0000-000015320000}"/>
    <cellStyle name="40% - Accent1 4 3 6 2 3" xfId="13398" xr:uid="{00000000-0005-0000-0000-000016320000}"/>
    <cellStyle name="40% - Accent1 4 3 6 3" xfId="13399" xr:uid="{00000000-0005-0000-0000-000017320000}"/>
    <cellStyle name="40% - Accent1 4 3 6 4" xfId="13400" xr:uid="{00000000-0005-0000-0000-000018320000}"/>
    <cellStyle name="40% - Accent1 4 3 6 5" xfId="13401" xr:uid="{00000000-0005-0000-0000-000019320000}"/>
    <cellStyle name="40% - Accent1 4 3 6 6" xfId="13402" xr:uid="{00000000-0005-0000-0000-00001A320000}"/>
    <cellStyle name="40% - Accent1 4 3 7" xfId="13403" xr:uid="{00000000-0005-0000-0000-00001B320000}"/>
    <cellStyle name="40% - Accent1 4 3 7 2" xfId="13404" xr:uid="{00000000-0005-0000-0000-00001C320000}"/>
    <cellStyle name="40% - Accent1 4 3 7 2 2" xfId="13405" xr:uid="{00000000-0005-0000-0000-00001D320000}"/>
    <cellStyle name="40% - Accent1 4 3 7 2 3" xfId="13406" xr:uid="{00000000-0005-0000-0000-00001E320000}"/>
    <cellStyle name="40% - Accent1 4 3 7 3" xfId="13407" xr:uid="{00000000-0005-0000-0000-00001F320000}"/>
    <cellStyle name="40% - Accent1 4 3 7 4" xfId="13408" xr:uid="{00000000-0005-0000-0000-000020320000}"/>
    <cellStyle name="40% - Accent1 4 3 7 5" xfId="13409" xr:uid="{00000000-0005-0000-0000-000021320000}"/>
    <cellStyle name="40% - Accent1 4 3 7 6" xfId="13410" xr:uid="{00000000-0005-0000-0000-000022320000}"/>
    <cellStyle name="40% - Accent1 4 3 8" xfId="13411" xr:uid="{00000000-0005-0000-0000-000023320000}"/>
    <cellStyle name="40% - Accent1 4 3 8 2" xfId="13412" xr:uid="{00000000-0005-0000-0000-000024320000}"/>
    <cellStyle name="40% - Accent1 4 3 8 2 2" xfId="13413" xr:uid="{00000000-0005-0000-0000-000025320000}"/>
    <cellStyle name="40% - Accent1 4 3 8 2 3" xfId="13414" xr:uid="{00000000-0005-0000-0000-000026320000}"/>
    <cellStyle name="40% - Accent1 4 3 8 3" xfId="13415" xr:uid="{00000000-0005-0000-0000-000027320000}"/>
    <cellStyle name="40% - Accent1 4 3 8 4" xfId="13416" xr:uid="{00000000-0005-0000-0000-000028320000}"/>
    <cellStyle name="40% - Accent1 4 3 8 5" xfId="13417" xr:uid="{00000000-0005-0000-0000-000029320000}"/>
    <cellStyle name="40% - Accent1 4 3 8 6" xfId="13418" xr:uid="{00000000-0005-0000-0000-00002A320000}"/>
    <cellStyle name="40% - Accent1 4 3 9" xfId="13419" xr:uid="{00000000-0005-0000-0000-00002B320000}"/>
    <cellStyle name="40% - Accent1 4 3 9 2" xfId="13420" xr:uid="{00000000-0005-0000-0000-00002C320000}"/>
    <cellStyle name="40% - Accent1 4 3 9 3" xfId="13421" xr:uid="{00000000-0005-0000-0000-00002D320000}"/>
    <cellStyle name="40% - Accent1 4 4" xfId="13422" xr:uid="{00000000-0005-0000-0000-00002E320000}"/>
    <cellStyle name="40% - Accent1 4 4 10" xfId="13423" xr:uid="{00000000-0005-0000-0000-00002F320000}"/>
    <cellStyle name="40% - Accent1 4 4 2" xfId="13424" xr:uid="{00000000-0005-0000-0000-000030320000}"/>
    <cellStyle name="40% - Accent1 4 4 2 2" xfId="13425" xr:uid="{00000000-0005-0000-0000-000031320000}"/>
    <cellStyle name="40% - Accent1 4 4 2 2 2" xfId="13426" xr:uid="{00000000-0005-0000-0000-000032320000}"/>
    <cellStyle name="40% - Accent1 4 4 2 2 2 2" xfId="13427" xr:uid="{00000000-0005-0000-0000-000033320000}"/>
    <cellStyle name="40% - Accent1 4 4 2 2 2 3" xfId="13428" xr:uid="{00000000-0005-0000-0000-000034320000}"/>
    <cellStyle name="40% - Accent1 4 4 2 2 3" xfId="13429" xr:uid="{00000000-0005-0000-0000-000035320000}"/>
    <cellStyle name="40% - Accent1 4 4 2 2 4" xfId="13430" xr:uid="{00000000-0005-0000-0000-000036320000}"/>
    <cellStyle name="40% - Accent1 4 4 2 2 5" xfId="13431" xr:uid="{00000000-0005-0000-0000-000037320000}"/>
    <cellStyle name="40% - Accent1 4 4 2 2 6" xfId="13432" xr:uid="{00000000-0005-0000-0000-000038320000}"/>
    <cellStyle name="40% - Accent1 4 4 2 3" xfId="13433" xr:uid="{00000000-0005-0000-0000-000039320000}"/>
    <cellStyle name="40% - Accent1 4 4 2 3 2" xfId="13434" xr:uid="{00000000-0005-0000-0000-00003A320000}"/>
    <cellStyle name="40% - Accent1 4 4 2 3 2 2" xfId="13435" xr:uid="{00000000-0005-0000-0000-00003B320000}"/>
    <cellStyle name="40% - Accent1 4 4 2 3 2 3" xfId="13436" xr:uid="{00000000-0005-0000-0000-00003C320000}"/>
    <cellStyle name="40% - Accent1 4 4 2 3 3" xfId="13437" xr:uid="{00000000-0005-0000-0000-00003D320000}"/>
    <cellStyle name="40% - Accent1 4 4 2 3 4" xfId="13438" xr:uid="{00000000-0005-0000-0000-00003E320000}"/>
    <cellStyle name="40% - Accent1 4 4 2 3 5" xfId="13439" xr:uid="{00000000-0005-0000-0000-00003F320000}"/>
    <cellStyle name="40% - Accent1 4 4 2 3 6" xfId="13440" xr:uid="{00000000-0005-0000-0000-000040320000}"/>
    <cellStyle name="40% - Accent1 4 4 2 4" xfId="13441" xr:uid="{00000000-0005-0000-0000-000041320000}"/>
    <cellStyle name="40% - Accent1 4 4 2 4 2" xfId="13442" xr:uid="{00000000-0005-0000-0000-000042320000}"/>
    <cellStyle name="40% - Accent1 4 4 2 4 3" xfId="13443" xr:uid="{00000000-0005-0000-0000-000043320000}"/>
    <cellStyle name="40% - Accent1 4 4 2 5" xfId="13444" xr:uid="{00000000-0005-0000-0000-000044320000}"/>
    <cellStyle name="40% - Accent1 4 4 2 6" xfId="13445" xr:uid="{00000000-0005-0000-0000-000045320000}"/>
    <cellStyle name="40% - Accent1 4 4 2 7" xfId="13446" xr:uid="{00000000-0005-0000-0000-000046320000}"/>
    <cellStyle name="40% - Accent1 4 4 2 8" xfId="13447" xr:uid="{00000000-0005-0000-0000-000047320000}"/>
    <cellStyle name="40% - Accent1 4 4 3" xfId="13448" xr:uid="{00000000-0005-0000-0000-000048320000}"/>
    <cellStyle name="40% - Accent1 4 4 3 2" xfId="13449" xr:uid="{00000000-0005-0000-0000-000049320000}"/>
    <cellStyle name="40% - Accent1 4 4 3 2 2" xfId="13450" xr:uid="{00000000-0005-0000-0000-00004A320000}"/>
    <cellStyle name="40% - Accent1 4 4 3 2 2 2" xfId="13451" xr:uid="{00000000-0005-0000-0000-00004B320000}"/>
    <cellStyle name="40% - Accent1 4 4 3 2 2 3" xfId="13452" xr:uid="{00000000-0005-0000-0000-00004C320000}"/>
    <cellStyle name="40% - Accent1 4 4 3 2 3" xfId="13453" xr:uid="{00000000-0005-0000-0000-00004D320000}"/>
    <cellStyle name="40% - Accent1 4 4 3 2 4" xfId="13454" xr:uid="{00000000-0005-0000-0000-00004E320000}"/>
    <cellStyle name="40% - Accent1 4 4 3 2 5" xfId="13455" xr:uid="{00000000-0005-0000-0000-00004F320000}"/>
    <cellStyle name="40% - Accent1 4 4 3 2 6" xfId="13456" xr:uid="{00000000-0005-0000-0000-000050320000}"/>
    <cellStyle name="40% - Accent1 4 4 3 3" xfId="13457" xr:uid="{00000000-0005-0000-0000-000051320000}"/>
    <cellStyle name="40% - Accent1 4 4 3 3 2" xfId="13458" xr:uid="{00000000-0005-0000-0000-000052320000}"/>
    <cellStyle name="40% - Accent1 4 4 3 3 3" xfId="13459" xr:uid="{00000000-0005-0000-0000-000053320000}"/>
    <cellStyle name="40% - Accent1 4 4 3 4" xfId="13460" xr:uid="{00000000-0005-0000-0000-000054320000}"/>
    <cellStyle name="40% - Accent1 4 4 3 5" xfId="13461" xr:uid="{00000000-0005-0000-0000-000055320000}"/>
    <cellStyle name="40% - Accent1 4 4 3 6" xfId="13462" xr:uid="{00000000-0005-0000-0000-000056320000}"/>
    <cellStyle name="40% - Accent1 4 4 3 7" xfId="13463" xr:uid="{00000000-0005-0000-0000-000057320000}"/>
    <cellStyle name="40% - Accent1 4 4 4" xfId="13464" xr:uid="{00000000-0005-0000-0000-000058320000}"/>
    <cellStyle name="40% - Accent1 4 4 4 2" xfId="13465" xr:uid="{00000000-0005-0000-0000-000059320000}"/>
    <cellStyle name="40% - Accent1 4 4 4 2 2" xfId="13466" xr:uid="{00000000-0005-0000-0000-00005A320000}"/>
    <cellStyle name="40% - Accent1 4 4 4 2 3" xfId="13467" xr:uid="{00000000-0005-0000-0000-00005B320000}"/>
    <cellStyle name="40% - Accent1 4 4 4 3" xfId="13468" xr:uid="{00000000-0005-0000-0000-00005C320000}"/>
    <cellStyle name="40% - Accent1 4 4 4 4" xfId="13469" xr:uid="{00000000-0005-0000-0000-00005D320000}"/>
    <cellStyle name="40% - Accent1 4 4 4 5" xfId="13470" xr:uid="{00000000-0005-0000-0000-00005E320000}"/>
    <cellStyle name="40% - Accent1 4 4 4 6" xfId="13471" xr:uid="{00000000-0005-0000-0000-00005F320000}"/>
    <cellStyle name="40% - Accent1 4 4 5" xfId="13472" xr:uid="{00000000-0005-0000-0000-000060320000}"/>
    <cellStyle name="40% - Accent1 4 4 5 2" xfId="13473" xr:uid="{00000000-0005-0000-0000-000061320000}"/>
    <cellStyle name="40% - Accent1 4 4 5 2 2" xfId="13474" xr:uid="{00000000-0005-0000-0000-000062320000}"/>
    <cellStyle name="40% - Accent1 4 4 5 2 3" xfId="13475" xr:uid="{00000000-0005-0000-0000-000063320000}"/>
    <cellStyle name="40% - Accent1 4 4 5 3" xfId="13476" xr:uid="{00000000-0005-0000-0000-000064320000}"/>
    <cellStyle name="40% - Accent1 4 4 5 4" xfId="13477" xr:uid="{00000000-0005-0000-0000-000065320000}"/>
    <cellStyle name="40% - Accent1 4 4 5 5" xfId="13478" xr:uid="{00000000-0005-0000-0000-000066320000}"/>
    <cellStyle name="40% - Accent1 4 4 5 6" xfId="13479" xr:uid="{00000000-0005-0000-0000-000067320000}"/>
    <cellStyle name="40% - Accent1 4 4 6" xfId="13480" xr:uid="{00000000-0005-0000-0000-000068320000}"/>
    <cellStyle name="40% - Accent1 4 4 6 2" xfId="13481" xr:uid="{00000000-0005-0000-0000-000069320000}"/>
    <cellStyle name="40% - Accent1 4 4 6 3" xfId="13482" xr:uid="{00000000-0005-0000-0000-00006A320000}"/>
    <cellStyle name="40% - Accent1 4 4 7" xfId="13483" xr:uid="{00000000-0005-0000-0000-00006B320000}"/>
    <cellStyle name="40% - Accent1 4 4 8" xfId="13484" xr:uid="{00000000-0005-0000-0000-00006C320000}"/>
    <cellStyle name="40% - Accent1 4 4 9" xfId="13485" xr:uid="{00000000-0005-0000-0000-00006D320000}"/>
    <cellStyle name="40% - Accent1 4 5" xfId="13486" xr:uid="{00000000-0005-0000-0000-00006E320000}"/>
    <cellStyle name="40% - Accent1 4 5 2" xfId="13487" xr:uid="{00000000-0005-0000-0000-00006F320000}"/>
    <cellStyle name="40% - Accent1 4 5 2 2" xfId="13488" xr:uid="{00000000-0005-0000-0000-000070320000}"/>
    <cellStyle name="40% - Accent1 4 5 2 2 2" xfId="13489" xr:uid="{00000000-0005-0000-0000-000071320000}"/>
    <cellStyle name="40% - Accent1 4 5 2 2 2 2" xfId="13490" xr:uid="{00000000-0005-0000-0000-000072320000}"/>
    <cellStyle name="40% - Accent1 4 5 2 2 2 3" xfId="13491" xr:uid="{00000000-0005-0000-0000-000073320000}"/>
    <cellStyle name="40% - Accent1 4 5 2 2 3" xfId="13492" xr:uid="{00000000-0005-0000-0000-000074320000}"/>
    <cellStyle name="40% - Accent1 4 5 2 2 4" xfId="13493" xr:uid="{00000000-0005-0000-0000-000075320000}"/>
    <cellStyle name="40% - Accent1 4 5 2 2 5" xfId="13494" xr:uid="{00000000-0005-0000-0000-000076320000}"/>
    <cellStyle name="40% - Accent1 4 5 2 2 6" xfId="13495" xr:uid="{00000000-0005-0000-0000-000077320000}"/>
    <cellStyle name="40% - Accent1 4 5 2 3" xfId="13496" xr:uid="{00000000-0005-0000-0000-000078320000}"/>
    <cellStyle name="40% - Accent1 4 5 2 3 2" xfId="13497" xr:uid="{00000000-0005-0000-0000-000079320000}"/>
    <cellStyle name="40% - Accent1 4 5 2 3 3" xfId="13498" xr:uid="{00000000-0005-0000-0000-00007A320000}"/>
    <cellStyle name="40% - Accent1 4 5 2 4" xfId="13499" xr:uid="{00000000-0005-0000-0000-00007B320000}"/>
    <cellStyle name="40% - Accent1 4 5 2 5" xfId="13500" xr:uid="{00000000-0005-0000-0000-00007C320000}"/>
    <cellStyle name="40% - Accent1 4 5 2 6" xfId="13501" xr:uid="{00000000-0005-0000-0000-00007D320000}"/>
    <cellStyle name="40% - Accent1 4 5 2 7" xfId="13502" xr:uid="{00000000-0005-0000-0000-00007E320000}"/>
    <cellStyle name="40% - Accent1 4 5 3" xfId="13503" xr:uid="{00000000-0005-0000-0000-00007F320000}"/>
    <cellStyle name="40% - Accent1 4 5 3 2" xfId="13504" xr:uid="{00000000-0005-0000-0000-000080320000}"/>
    <cellStyle name="40% - Accent1 4 5 3 2 2" xfId="13505" xr:uid="{00000000-0005-0000-0000-000081320000}"/>
    <cellStyle name="40% - Accent1 4 5 3 2 3" xfId="13506" xr:uid="{00000000-0005-0000-0000-000082320000}"/>
    <cellStyle name="40% - Accent1 4 5 3 3" xfId="13507" xr:uid="{00000000-0005-0000-0000-000083320000}"/>
    <cellStyle name="40% - Accent1 4 5 3 4" xfId="13508" xr:uid="{00000000-0005-0000-0000-000084320000}"/>
    <cellStyle name="40% - Accent1 4 5 3 5" xfId="13509" xr:uid="{00000000-0005-0000-0000-000085320000}"/>
    <cellStyle name="40% - Accent1 4 5 3 6" xfId="13510" xr:uid="{00000000-0005-0000-0000-000086320000}"/>
    <cellStyle name="40% - Accent1 4 5 4" xfId="13511" xr:uid="{00000000-0005-0000-0000-000087320000}"/>
    <cellStyle name="40% - Accent1 4 5 4 2" xfId="13512" xr:uid="{00000000-0005-0000-0000-000088320000}"/>
    <cellStyle name="40% - Accent1 4 5 4 2 2" xfId="13513" xr:uid="{00000000-0005-0000-0000-000089320000}"/>
    <cellStyle name="40% - Accent1 4 5 4 2 3" xfId="13514" xr:uid="{00000000-0005-0000-0000-00008A320000}"/>
    <cellStyle name="40% - Accent1 4 5 4 3" xfId="13515" xr:uid="{00000000-0005-0000-0000-00008B320000}"/>
    <cellStyle name="40% - Accent1 4 5 4 4" xfId="13516" xr:uid="{00000000-0005-0000-0000-00008C320000}"/>
    <cellStyle name="40% - Accent1 4 5 4 5" xfId="13517" xr:uid="{00000000-0005-0000-0000-00008D320000}"/>
    <cellStyle name="40% - Accent1 4 5 4 6" xfId="13518" xr:uid="{00000000-0005-0000-0000-00008E320000}"/>
    <cellStyle name="40% - Accent1 4 5 5" xfId="13519" xr:uid="{00000000-0005-0000-0000-00008F320000}"/>
    <cellStyle name="40% - Accent1 4 5 5 2" xfId="13520" xr:uid="{00000000-0005-0000-0000-000090320000}"/>
    <cellStyle name="40% - Accent1 4 5 5 3" xfId="13521" xr:uid="{00000000-0005-0000-0000-000091320000}"/>
    <cellStyle name="40% - Accent1 4 5 6" xfId="13522" xr:uid="{00000000-0005-0000-0000-000092320000}"/>
    <cellStyle name="40% - Accent1 4 5 7" xfId="13523" xr:uid="{00000000-0005-0000-0000-000093320000}"/>
    <cellStyle name="40% - Accent1 4 5 8" xfId="13524" xr:uid="{00000000-0005-0000-0000-000094320000}"/>
    <cellStyle name="40% - Accent1 4 5 9" xfId="13525" xr:uid="{00000000-0005-0000-0000-000095320000}"/>
    <cellStyle name="40% - Accent1 4 6" xfId="13526" xr:uid="{00000000-0005-0000-0000-000096320000}"/>
    <cellStyle name="40% - Accent1 4 6 2" xfId="13527" xr:uid="{00000000-0005-0000-0000-000097320000}"/>
    <cellStyle name="40% - Accent1 4 6 2 2" xfId="13528" xr:uid="{00000000-0005-0000-0000-000098320000}"/>
    <cellStyle name="40% - Accent1 4 6 2 2 2" xfId="13529" xr:uid="{00000000-0005-0000-0000-000099320000}"/>
    <cellStyle name="40% - Accent1 4 6 2 2 3" xfId="13530" xr:uid="{00000000-0005-0000-0000-00009A320000}"/>
    <cellStyle name="40% - Accent1 4 6 2 3" xfId="13531" xr:uid="{00000000-0005-0000-0000-00009B320000}"/>
    <cellStyle name="40% - Accent1 4 6 2 4" xfId="13532" xr:uid="{00000000-0005-0000-0000-00009C320000}"/>
    <cellStyle name="40% - Accent1 4 6 2 5" xfId="13533" xr:uid="{00000000-0005-0000-0000-00009D320000}"/>
    <cellStyle name="40% - Accent1 4 6 2 6" xfId="13534" xr:uid="{00000000-0005-0000-0000-00009E320000}"/>
    <cellStyle name="40% - Accent1 4 6 3" xfId="13535" xr:uid="{00000000-0005-0000-0000-00009F320000}"/>
    <cellStyle name="40% - Accent1 4 6 3 2" xfId="13536" xr:uid="{00000000-0005-0000-0000-0000A0320000}"/>
    <cellStyle name="40% - Accent1 4 6 3 3" xfId="13537" xr:uid="{00000000-0005-0000-0000-0000A1320000}"/>
    <cellStyle name="40% - Accent1 4 6 4" xfId="13538" xr:uid="{00000000-0005-0000-0000-0000A2320000}"/>
    <cellStyle name="40% - Accent1 4 6 5" xfId="13539" xr:uid="{00000000-0005-0000-0000-0000A3320000}"/>
    <cellStyle name="40% - Accent1 4 6 6" xfId="13540" xr:uid="{00000000-0005-0000-0000-0000A4320000}"/>
    <cellStyle name="40% - Accent1 4 6 7" xfId="13541" xr:uid="{00000000-0005-0000-0000-0000A5320000}"/>
    <cellStyle name="40% - Accent1 4 7" xfId="13542" xr:uid="{00000000-0005-0000-0000-0000A6320000}"/>
    <cellStyle name="40% - Accent1 4 7 2" xfId="13543" xr:uid="{00000000-0005-0000-0000-0000A7320000}"/>
    <cellStyle name="40% - Accent1 4 7 2 2" xfId="13544" xr:uid="{00000000-0005-0000-0000-0000A8320000}"/>
    <cellStyle name="40% - Accent1 4 7 2 3" xfId="13545" xr:uid="{00000000-0005-0000-0000-0000A9320000}"/>
    <cellStyle name="40% - Accent1 4 7 3" xfId="13546" xr:uid="{00000000-0005-0000-0000-0000AA320000}"/>
    <cellStyle name="40% - Accent1 4 7 4" xfId="13547" xr:uid="{00000000-0005-0000-0000-0000AB320000}"/>
    <cellStyle name="40% - Accent1 4 7 5" xfId="13548" xr:uid="{00000000-0005-0000-0000-0000AC320000}"/>
    <cellStyle name="40% - Accent1 4 7 6" xfId="13549" xr:uid="{00000000-0005-0000-0000-0000AD320000}"/>
    <cellStyle name="40% - Accent1 4 8" xfId="13550" xr:uid="{00000000-0005-0000-0000-0000AE320000}"/>
    <cellStyle name="40% - Accent1 4 8 2" xfId="13551" xr:uid="{00000000-0005-0000-0000-0000AF320000}"/>
    <cellStyle name="40% - Accent1 4 8 2 2" xfId="13552" xr:uid="{00000000-0005-0000-0000-0000B0320000}"/>
    <cellStyle name="40% - Accent1 4 8 2 3" xfId="13553" xr:uid="{00000000-0005-0000-0000-0000B1320000}"/>
    <cellStyle name="40% - Accent1 4 8 3" xfId="13554" xr:uid="{00000000-0005-0000-0000-0000B2320000}"/>
    <cellStyle name="40% - Accent1 4 8 4" xfId="13555" xr:uid="{00000000-0005-0000-0000-0000B3320000}"/>
    <cellStyle name="40% - Accent1 4 8 5" xfId="13556" xr:uid="{00000000-0005-0000-0000-0000B4320000}"/>
    <cellStyle name="40% - Accent1 4 8 6" xfId="13557" xr:uid="{00000000-0005-0000-0000-0000B5320000}"/>
    <cellStyle name="40% - Accent1 4 9" xfId="13558" xr:uid="{00000000-0005-0000-0000-0000B6320000}"/>
    <cellStyle name="40% - Accent1 4 9 2" xfId="13559" xr:uid="{00000000-0005-0000-0000-0000B7320000}"/>
    <cellStyle name="40% - Accent1 4 9 2 2" xfId="13560" xr:uid="{00000000-0005-0000-0000-0000B8320000}"/>
    <cellStyle name="40% - Accent1 4 9 2 3" xfId="13561" xr:uid="{00000000-0005-0000-0000-0000B9320000}"/>
    <cellStyle name="40% - Accent1 4 9 3" xfId="13562" xr:uid="{00000000-0005-0000-0000-0000BA320000}"/>
    <cellStyle name="40% - Accent1 4 9 4" xfId="13563" xr:uid="{00000000-0005-0000-0000-0000BB320000}"/>
    <cellStyle name="40% - Accent1 4 9 5" xfId="13564" xr:uid="{00000000-0005-0000-0000-0000BC320000}"/>
    <cellStyle name="40% - Accent1 4 9 6" xfId="13565" xr:uid="{00000000-0005-0000-0000-0000BD320000}"/>
    <cellStyle name="40% - Accent1 5" xfId="13566" xr:uid="{00000000-0005-0000-0000-0000BE320000}"/>
    <cellStyle name="40% - Accent1 5 10" xfId="13567" xr:uid="{00000000-0005-0000-0000-0000BF320000}"/>
    <cellStyle name="40% - Accent1 5 11" xfId="13568" xr:uid="{00000000-0005-0000-0000-0000C0320000}"/>
    <cellStyle name="40% - Accent1 5 12" xfId="13569" xr:uid="{00000000-0005-0000-0000-0000C1320000}"/>
    <cellStyle name="40% - Accent1 5 13" xfId="13570" xr:uid="{00000000-0005-0000-0000-0000C2320000}"/>
    <cellStyle name="40% - Accent1 5 2" xfId="13571" xr:uid="{00000000-0005-0000-0000-0000C3320000}"/>
    <cellStyle name="40% - Accent1 5 2 10" xfId="13572" xr:uid="{00000000-0005-0000-0000-0000C4320000}"/>
    <cellStyle name="40% - Accent1 5 2 2" xfId="13573" xr:uid="{00000000-0005-0000-0000-0000C5320000}"/>
    <cellStyle name="40% - Accent1 5 2 2 2" xfId="13574" xr:uid="{00000000-0005-0000-0000-0000C6320000}"/>
    <cellStyle name="40% - Accent1 5 2 2 2 2" xfId="13575" xr:uid="{00000000-0005-0000-0000-0000C7320000}"/>
    <cellStyle name="40% - Accent1 5 2 2 2 2 2" xfId="13576" xr:uid="{00000000-0005-0000-0000-0000C8320000}"/>
    <cellStyle name="40% - Accent1 5 2 2 2 2 3" xfId="13577" xr:uid="{00000000-0005-0000-0000-0000C9320000}"/>
    <cellStyle name="40% - Accent1 5 2 2 2 3" xfId="13578" xr:uid="{00000000-0005-0000-0000-0000CA320000}"/>
    <cellStyle name="40% - Accent1 5 2 2 2 4" xfId="13579" xr:uid="{00000000-0005-0000-0000-0000CB320000}"/>
    <cellStyle name="40% - Accent1 5 2 2 2 5" xfId="13580" xr:uid="{00000000-0005-0000-0000-0000CC320000}"/>
    <cellStyle name="40% - Accent1 5 2 2 2 6" xfId="13581" xr:uid="{00000000-0005-0000-0000-0000CD320000}"/>
    <cellStyle name="40% - Accent1 5 2 2 3" xfId="13582" xr:uid="{00000000-0005-0000-0000-0000CE320000}"/>
    <cellStyle name="40% - Accent1 5 2 2 3 2" xfId="13583" xr:uid="{00000000-0005-0000-0000-0000CF320000}"/>
    <cellStyle name="40% - Accent1 5 2 2 3 2 2" xfId="13584" xr:uid="{00000000-0005-0000-0000-0000D0320000}"/>
    <cellStyle name="40% - Accent1 5 2 2 3 2 3" xfId="13585" xr:uid="{00000000-0005-0000-0000-0000D1320000}"/>
    <cellStyle name="40% - Accent1 5 2 2 3 3" xfId="13586" xr:uid="{00000000-0005-0000-0000-0000D2320000}"/>
    <cellStyle name="40% - Accent1 5 2 2 3 4" xfId="13587" xr:uid="{00000000-0005-0000-0000-0000D3320000}"/>
    <cellStyle name="40% - Accent1 5 2 2 3 5" xfId="13588" xr:uid="{00000000-0005-0000-0000-0000D4320000}"/>
    <cellStyle name="40% - Accent1 5 2 2 3 6" xfId="13589" xr:uid="{00000000-0005-0000-0000-0000D5320000}"/>
    <cellStyle name="40% - Accent1 5 2 2 4" xfId="13590" xr:uid="{00000000-0005-0000-0000-0000D6320000}"/>
    <cellStyle name="40% - Accent1 5 2 2 4 2" xfId="13591" xr:uid="{00000000-0005-0000-0000-0000D7320000}"/>
    <cellStyle name="40% - Accent1 5 2 2 4 3" xfId="13592" xr:uid="{00000000-0005-0000-0000-0000D8320000}"/>
    <cellStyle name="40% - Accent1 5 2 2 5" xfId="13593" xr:uid="{00000000-0005-0000-0000-0000D9320000}"/>
    <cellStyle name="40% - Accent1 5 2 2 6" xfId="13594" xr:uid="{00000000-0005-0000-0000-0000DA320000}"/>
    <cellStyle name="40% - Accent1 5 2 2 7" xfId="13595" xr:uid="{00000000-0005-0000-0000-0000DB320000}"/>
    <cellStyle name="40% - Accent1 5 2 2 8" xfId="13596" xr:uid="{00000000-0005-0000-0000-0000DC320000}"/>
    <cellStyle name="40% - Accent1 5 2 3" xfId="13597" xr:uid="{00000000-0005-0000-0000-0000DD320000}"/>
    <cellStyle name="40% - Accent1 5 2 3 2" xfId="13598" xr:uid="{00000000-0005-0000-0000-0000DE320000}"/>
    <cellStyle name="40% - Accent1 5 2 3 2 2" xfId="13599" xr:uid="{00000000-0005-0000-0000-0000DF320000}"/>
    <cellStyle name="40% - Accent1 5 2 3 2 2 2" xfId="13600" xr:uid="{00000000-0005-0000-0000-0000E0320000}"/>
    <cellStyle name="40% - Accent1 5 2 3 2 2 3" xfId="13601" xr:uid="{00000000-0005-0000-0000-0000E1320000}"/>
    <cellStyle name="40% - Accent1 5 2 3 2 3" xfId="13602" xr:uid="{00000000-0005-0000-0000-0000E2320000}"/>
    <cellStyle name="40% - Accent1 5 2 3 2 4" xfId="13603" xr:uid="{00000000-0005-0000-0000-0000E3320000}"/>
    <cellStyle name="40% - Accent1 5 2 3 2 5" xfId="13604" xr:uid="{00000000-0005-0000-0000-0000E4320000}"/>
    <cellStyle name="40% - Accent1 5 2 3 2 6" xfId="13605" xr:uid="{00000000-0005-0000-0000-0000E5320000}"/>
    <cellStyle name="40% - Accent1 5 2 3 3" xfId="13606" xr:uid="{00000000-0005-0000-0000-0000E6320000}"/>
    <cellStyle name="40% - Accent1 5 2 3 3 2" xfId="13607" xr:uid="{00000000-0005-0000-0000-0000E7320000}"/>
    <cellStyle name="40% - Accent1 5 2 3 3 3" xfId="13608" xr:uid="{00000000-0005-0000-0000-0000E8320000}"/>
    <cellStyle name="40% - Accent1 5 2 3 4" xfId="13609" xr:uid="{00000000-0005-0000-0000-0000E9320000}"/>
    <cellStyle name="40% - Accent1 5 2 3 5" xfId="13610" xr:uid="{00000000-0005-0000-0000-0000EA320000}"/>
    <cellStyle name="40% - Accent1 5 2 3 6" xfId="13611" xr:uid="{00000000-0005-0000-0000-0000EB320000}"/>
    <cellStyle name="40% - Accent1 5 2 3 7" xfId="13612" xr:uid="{00000000-0005-0000-0000-0000EC320000}"/>
    <cellStyle name="40% - Accent1 5 2 4" xfId="13613" xr:uid="{00000000-0005-0000-0000-0000ED320000}"/>
    <cellStyle name="40% - Accent1 5 2 4 2" xfId="13614" xr:uid="{00000000-0005-0000-0000-0000EE320000}"/>
    <cellStyle name="40% - Accent1 5 2 4 2 2" xfId="13615" xr:uid="{00000000-0005-0000-0000-0000EF320000}"/>
    <cellStyle name="40% - Accent1 5 2 4 2 3" xfId="13616" xr:uid="{00000000-0005-0000-0000-0000F0320000}"/>
    <cellStyle name="40% - Accent1 5 2 4 3" xfId="13617" xr:uid="{00000000-0005-0000-0000-0000F1320000}"/>
    <cellStyle name="40% - Accent1 5 2 4 4" xfId="13618" xr:uid="{00000000-0005-0000-0000-0000F2320000}"/>
    <cellStyle name="40% - Accent1 5 2 4 5" xfId="13619" xr:uid="{00000000-0005-0000-0000-0000F3320000}"/>
    <cellStyle name="40% - Accent1 5 2 4 6" xfId="13620" xr:uid="{00000000-0005-0000-0000-0000F4320000}"/>
    <cellStyle name="40% - Accent1 5 2 5" xfId="13621" xr:uid="{00000000-0005-0000-0000-0000F5320000}"/>
    <cellStyle name="40% - Accent1 5 2 5 2" xfId="13622" xr:uid="{00000000-0005-0000-0000-0000F6320000}"/>
    <cellStyle name="40% - Accent1 5 2 5 2 2" xfId="13623" xr:uid="{00000000-0005-0000-0000-0000F7320000}"/>
    <cellStyle name="40% - Accent1 5 2 5 2 3" xfId="13624" xr:uid="{00000000-0005-0000-0000-0000F8320000}"/>
    <cellStyle name="40% - Accent1 5 2 5 3" xfId="13625" xr:uid="{00000000-0005-0000-0000-0000F9320000}"/>
    <cellStyle name="40% - Accent1 5 2 5 4" xfId="13626" xr:uid="{00000000-0005-0000-0000-0000FA320000}"/>
    <cellStyle name="40% - Accent1 5 2 5 5" xfId="13627" xr:uid="{00000000-0005-0000-0000-0000FB320000}"/>
    <cellStyle name="40% - Accent1 5 2 5 6" xfId="13628" xr:uid="{00000000-0005-0000-0000-0000FC320000}"/>
    <cellStyle name="40% - Accent1 5 2 6" xfId="13629" xr:uid="{00000000-0005-0000-0000-0000FD320000}"/>
    <cellStyle name="40% - Accent1 5 2 6 2" xfId="13630" xr:uid="{00000000-0005-0000-0000-0000FE320000}"/>
    <cellStyle name="40% - Accent1 5 2 6 3" xfId="13631" xr:uid="{00000000-0005-0000-0000-0000FF320000}"/>
    <cellStyle name="40% - Accent1 5 2 7" xfId="13632" xr:uid="{00000000-0005-0000-0000-000000330000}"/>
    <cellStyle name="40% - Accent1 5 2 8" xfId="13633" xr:uid="{00000000-0005-0000-0000-000001330000}"/>
    <cellStyle name="40% - Accent1 5 2 9" xfId="13634" xr:uid="{00000000-0005-0000-0000-000002330000}"/>
    <cellStyle name="40% - Accent1 5 3" xfId="13635" xr:uid="{00000000-0005-0000-0000-000003330000}"/>
    <cellStyle name="40% - Accent1 5 3 2" xfId="13636" xr:uid="{00000000-0005-0000-0000-000004330000}"/>
    <cellStyle name="40% - Accent1 5 3 2 2" xfId="13637" xr:uid="{00000000-0005-0000-0000-000005330000}"/>
    <cellStyle name="40% - Accent1 5 3 2 2 2" xfId="13638" xr:uid="{00000000-0005-0000-0000-000006330000}"/>
    <cellStyle name="40% - Accent1 5 3 2 2 2 2" xfId="13639" xr:uid="{00000000-0005-0000-0000-000007330000}"/>
    <cellStyle name="40% - Accent1 5 3 2 2 2 3" xfId="13640" xr:uid="{00000000-0005-0000-0000-000008330000}"/>
    <cellStyle name="40% - Accent1 5 3 2 2 3" xfId="13641" xr:uid="{00000000-0005-0000-0000-000009330000}"/>
    <cellStyle name="40% - Accent1 5 3 2 2 4" xfId="13642" xr:uid="{00000000-0005-0000-0000-00000A330000}"/>
    <cellStyle name="40% - Accent1 5 3 2 2 5" xfId="13643" xr:uid="{00000000-0005-0000-0000-00000B330000}"/>
    <cellStyle name="40% - Accent1 5 3 2 2 6" xfId="13644" xr:uid="{00000000-0005-0000-0000-00000C330000}"/>
    <cellStyle name="40% - Accent1 5 3 2 3" xfId="13645" xr:uid="{00000000-0005-0000-0000-00000D330000}"/>
    <cellStyle name="40% - Accent1 5 3 2 3 2" xfId="13646" xr:uid="{00000000-0005-0000-0000-00000E330000}"/>
    <cellStyle name="40% - Accent1 5 3 2 3 3" xfId="13647" xr:uid="{00000000-0005-0000-0000-00000F330000}"/>
    <cellStyle name="40% - Accent1 5 3 2 4" xfId="13648" xr:uid="{00000000-0005-0000-0000-000010330000}"/>
    <cellStyle name="40% - Accent1 5 3 2 5" xfId="13649" xr:uid="{00000000-0005-0000-0000-000011330000}"/>
    <cellStyle name="40% - Accent1 5 3 2 6" xfId="13650" xr:uid="{00000000-0005-0000-0000-000012330000}"/>
    <cellStyle name="40% - Accent1 5 3 2 7" xfId="13651" xr:uid="{00000000-0005-0000-0000-000013330000}"/>
    <cellStyle name="40% - Accent1 5 3 3" xfId="13652" xr:uid="{00000000-0005-0000-0000-000014330000}"/>
    <cellStyle name="40% - Accent1 5 3 3 2" xfId="13653" xr:uid="{00000000-0005-0000-0000-000015330000}"/>
    <cellStyle name="40% - Accent1 5 3 3 2 2" xfId="13654" xr:uid="{00000000-0005-0000-0000-000016330000}"/>
    <cellStyle name="40% - Accent1 5 3 3 2 3" xfId="13655" xr:uid="{00000000-0005-0000-0000-000017330000}"/>
    <cellStyle name="40% - Accent1 5 3 3 3" xfId="13656" xr:uid="{00000000-0005-0000-0000-000018330000}"/>
    <cellStyle name="40% - Accent1 5 3 3 4" xfId="13657" xr:uid="{00000000-0005-0000-0000-000019330000}"/>
    <cellStyle name="40% - Accent1 5 3 3 5" xfId="13658" xr:uid="{00000000-0005-0000-0000-00001A330000}"/>
    <cellStyle name="40% - Accent1 5 3 3 6" xfId="13659" xr:uid="{00000000-0005-0000-0000-00001B330000}"/>
    <cellStyle name="40% - Accent1 5 3 4" xfId="13660" xr:uid="{00000000-0005-0000-0000-00001C330000}"/>
    <cellStyle name="40% - Accent1 5 3 4 2" xfId="13661" xr:uid="{00000000-0005-0000-0000-00001D330000}"/>
    <cellStyle name="40% - Accent1 5 3 4 2 2" xfId="13662" xr:uid="{00000000-0005-0000-0000-00001E330000}"/>
    <cellStyle name="40% - Accent1 5 3 4 2 3" xfId="13663" xr:uid="{00000000-0005-0000-0000-00001F330000}"/>
    <cellStyle name="40% - Accent1 5 3 4 3" xfId="13664" xr:uid="{00000000-0005-0000-0000-000020330000}"/>
    <cellStyle name="40% - Accent1 5 3 4 4" xfId="13665" xr:uid="{00000000-0005-0000-0000-000021330000}"/>
    <cellStyle name="40% - Accent1 5 3 4 5" xfId="13666" xr:uid="{00000000-0005-0000-0000-000022330000}"/>
    <cellStyle name="40% - Accent1 5 3 4 6" xfId="13667" xr:uid="{00000000-0005-0000-0000-000023330000}"/>
    <cellStyle name="40% - Accent1 5 3 5" xfId="13668" xr:uid="{00000000-0005-0000-0000-000024330000}"/>
    <cellStyle name="40% - Accent1 5 3 5 2" xfId="13669" xr:uid="{00000000-0005-0000-0000-000025330000}"/>
    <cellStyle name="40% - Accent1 5 3 5 3" xfId="13670" xr:uid="{00000000-0005-0000-0000-000026330000}"/>
    <cellStyle name="40% - Accent1 5 3 6" xfId="13671" xr:uid="{00000000-0005-0000-0000-000027330000}"/>
    <cellStyle name="40% - Accent1 5 3 7" xfId="13672" xr:uid="{00000000-0005-0000-0000-000028330000}"/>
    <cellStyle name="40% - Accent1 5 3 8" xfId="13673" xr:uid="{00000000-0005-0000-0000-000029330000}"/>
    <cellStyle name="40% - Accent1 5 3 9" xfId="13674" xr:uid="{00000000-0005-0000-0000-00002A330000}"/>
    <cellStyle name="40% - Accent1 5 4" xfId="13675" xr:uid="{00000000-0005-0000-0000-00002B330000}"/>
    <cellStyle name="40% - Accent1 5 4 2" xfId="13676" xr:uid="{00000000-0005-0000-0000-00002C330000}"/>
    <cellStyle name="40% - Accent1 5 4 2 2" xfId="13677" xr:uid="{00000000-0005-0000-0000-00002D330000}"/>
    <cellStyle name="40% - Accent1 5 4 2 2 2" xfId="13678" xr:uid="{00000000-0005-0000-0000-00002E330000}"/>
    <cellStyle name="40% - Accent1 5 4 2 2 3" xfId="13679" xr:uid="{00000000-0005-0000-0000-00002F330000}"/>
    <cellStyle name="40% - Accent1 5 4 2 3" xfId="13680" xr:uid="{00000000-0005-0000-0000-000030330000}"/>
    <cellStyle name="40% - Accent1 5 4 2 4" xfId="13681" xr:uid="{00000000-0005-0000-0000-000031330000}"/>
    <cellStyle name="40% - Accent1 5 4 2 5" xfId="13682" xr:uid="{00000000-0005-0000-0000-000032330000}"/>
    <cellStyle name="40% - Accent1 5 4 2 6" xfId="13683" xr:uid="{00000000-0005-0000-0000-000033330000}"/>
    <cellStyle name="40% - Accent1 5 4 3" xfId="13684" xr:uid="{00000000-0005-0000-0000-000034330000}"/>
    <cellStyle name="40% - Accent1 5 4 3 2" xfId="13685" xr:uid="{00000000-0005-0000-0000-000035330000}"/>
    <cellStyle name="40% - Accent1 5 4 3 3" xfId="13686" xr:uid="{00000000-0005-0000-0000-000036330000}"/>
    <cellStyle name="40% - Accent1 5 4 4" xfId="13687" xr:uid="{00000000-0005-0000-0000-000037330000}"/>
    <cellStyle name="40% - Accent1 5 4 5" xfId="13688" xr:uid="{00000000-0005-0000-0000-000038330000}"/>
    <cellStyle name="40% - Accent1 5 4 6" xfId="13689" xr:uid="{00000000-0005-0000-0000-000039330000}"/>
    <cellStyle name="40% - Accent1 5 4 7" xfId="13690" xr:uid="{00000000-0005-0000-0000-00003A330000}"/>
    <cellStyle name="40% - Accent1 5 5" xfId="13691" xr:uid="{00000000-0005-0000-0000-00003B330000}"/>
    <cellStyle name="40% - Accent1 5 5 2" xfId="13692" xr:uid="{00000000-0005-0000-0000-00003C330000}"/>
    <cellStyle name="40% - Accent1 5 5 2 2" xfId="13693" xr:uid="{00000000-0005-0000-0000-00003D330000}"/>
    <cellStyle name="40% - Accent1 5 5 2 3" xfId="13694" xr:uid="{00000000-0005-0000-0000-00003E330000}"/>
    <cellStyle name="40% - Accent1 5 5 3" xfId="13695" xr:uid="{00000000-0005-0000-0000-00003F330000}"/>
    <cellStyle name="40% - Accent1 5 5 4" xfId="13696" xr:uid="{00000000-0005-0000-0000-000040330000}"/>
    <cellStyle name="40% - Accent1 5 5 5" xfId="13697" xr:uid="{00000000-0005-0000-0000-000041330000}"/>
    <cellStyle name="40% - Accent1 5 5 6" xfId="13698" xr:uid="{00000000-0005-0000-0000-000042330000}"/>
    <cellStyle name="40% - Accent1 5 6" xfId="13699" xr:uid="{00000000-0005-0000-0000-000043330000}"/>
    <cellStyle name="40% - Accent1 5 6 2" xfId="13700" xr:uid="{00000000-0005-0000-0000-000044330000}"/>
    <cellStyle name="40% - Accent1 5 6 2 2" xfId="13701" xr:uid="{00000000-0005-0000-0000-000045330000}"/>
    <cellStyle name="40% - Accent1 5 6 2 3" xfId="13702" xr:uid="{00000000-0005-0000-0000-000046330000}"/>
    <cellStyle name="40% - Accent1 5 6 3" xfId="13703" xr:uid="{00000000-0005-0000-0000-000047330000}"/>
    <cellStyle name="40% - Accent1 5 6 4" xfId="13704" xr:uid="{00000000-0005-0000-0000-000048330000}"/>
    <cellStyle name="40% - Accent1 5 6 5" xfId="13705" xr:uid="{00000000-0005-0000-0000-000049330000}"/>
    <cellStyle name="40% - Accent1 5 6 6" xfId="13706" xr:uid="{00000000-0005-0000-0000-00004A330000}"/>
    <cellStyle name="40% - Accent1 5 7" xfId="13707" xr:uid="{00000000-0005-0000-0000-00004B330000}"/>
    <cellStyle name="40% - Accent1 5 7 2" xfId="13708" xr:uid="{00000000-0005-0000-0000-00004C330000}"/>
    <cellStyle name="40% - Accent1 5 7 2 2" xfId="13709" xr:uid="{00000000-0005-0000-0000-00004D330000}"/>
    <cellStyle name="40% - Accent1 5 7 2 3" xfId="13710" xr:uid="{00000000-0005-0000-0000-00004E330000}"/>
    <cellStyle name="40% - Accent1 5 7 3" xfId="13711" xr:uid="{00000000-0005-0000-0000-00004F330000}"/>
    <cellStyle name="40% - Accent1 5 7 4" xfId="13712" xr:uid="{00000000-0005-0000-0000-000050330000}"/>
    <cellStyle name="40% - Accent1 5 7 5" xfId="13713" xr:uid="{00000000-0005-0000-0000-000051330000}"/>
    <cellStyle name="40% - Accent1 5 7 6" xfId="13714" xr:uid="{00000000-0005-0000-0000-000052330000}"/>
    <cellStyle name="40% - Accent1 5 8" xfId="13715" xr:uid="{00000000-0005-0000-0000-000053330000}"/>
    <cellStyle name="40% - Accent1 5 8 2" xfId="13716" xr:uid="{00000000-0005-0000-0000-000054330000}"/>
    <cellStyle name="40% - Accent1 5 8 2 2" xfId="13717" xr:uid="{00000000-0005-0000-0000-000055330000}"/>
    <cellStyle name="40% - Accent1 5 8 2 3" xfId="13718" xr:uid="{00000000-0005-0000-0000-000056330000}"/>
    <cellStyle name="40% - Accent1 5 8 3" xfId="13719" xr:uid="{00000000-0005-0000-0000-000057330000}"/>
    <cellStyle name="40% - Accent1 5 8 4" xfId="13720" xr:uid="{00000000-0005-0000-0000-000058330000}"/>
    <cellStyle name="40% - Accent1 5 8 5" xfId="13721" xr:uid="{00000000-0005-0000-0000-000059330000}"/>
    <cellStyle name="40% - Accent1 5 8 6" xfId="13722" xr:uid="{00000000-0005-0000-0000-00005A330000}"/>
    <cellStyle name="40% - Accent1 5 9" xfId="13723" xr:uid="{00000000-0005-0000-0000-00005B330000}"/>
    <cellStyle name="40% - Accent1 5 9 2" xfId="13724" xr:uid="{00000000-0005-0000-0000-00005C330000}"/>
    <cellStyle name="40% - Accent1 5 9 3" xfId="13725" xr:uid="{00000000-0005-0000-0000-00005D330000}"/>
    <cellStyle name="40% - Accent1 6" xfId="13726" xr:uid="{00000000-0005-0000-0000-00005E330000}"/>
    <cellStyle name="40% - Accent1 6 10" xfId="13727" xr:uid="{00000000-0005-0000-0000-00005F330000}"/>
    <cellStyle name="40% - Accent1 6 11" xfId="13728" xr:uid="{00000000-0005-0000-0000-000060330000}"/>
    <cellStyle name="40% - Accent1 6 2" xfId="13729" xr:uid="{00000000-0005-0000-0000-000061330000}"/>
    <cellStyle name="40% - Accent1 6 2 2" xfId="13730" xr:uid="{00000000-0005-0000-0000-000062330000}"/>
    <cellStyle name="40% - Accent1 6 2 2 2" xfId="13731" xr:uid="{00000000-0005-0000-0000-000063330000}"/>
    <cellStyle name="40% - Accent1 6 2 2 2 2" xfId="13732" xr:uid="{00000000-0005-0000-0000-000064330000}"/>
    <cellStyle name="40% - Accent1 6 2 2 2 3" xfId="13733" xr:uid="{00000000-0005-0000-0000-000065330000}"/>
    <cellStyle name="40% - Accent1 6 2 2 3" xfId="13734" xr:uid="{00000000-0005-0000-0000-000066330000}"/>
    <cellStyle name="40% - Accent1 6 2 2 4" xfId="13735" xr:uid="{00000000-0005-0000-0000-000067330000}"/>
    <cellStyle name="40% - Accent1 6 2 2 5" xfId="13736" xr:uid="{00000000-0005-0000-0000-000068330000}"/>
    <cellStyle name="40% - Accent1 6 2 2 6" xfId="13737" xr:uid="{00000000-0005-0000-0000-000069330000}"/>
    <cellStyle name="40% - Accent1 6 2 3" xfId="13738" xr:uid="{00000000-0005-0000-0000-00006A330000}"/>
    <cellStyle name="40% - Accent1 6 2 3 2" xfId="13739" xr:uid="{00000000-0005-0000-0000-00006B330000}"/>
    <cellStyle name="40% - Accent1 6 2 3 2 2" xfId="13740" xr:uid="{00000000-0005-0000-0000-00006C330000}"/>
    <cellStyle name="40% - Accent1 6 2 3 2 3" xfId="13741" xr:uid="{00000000-0005-0000-0000-00006D330000}"/>
    <cellStyle name="40% - Accent1 6 2 3 3" xfId="13742" xr:uid="{00000000-0005-0000-0000-00006E330000}"/>
    <cellStyle name="40% - Accent1 6 2 3 4" xfId="13743" xr:uid="{00000000-0005-0000-0000-00006F330000}"/>
    <cellStyle name="40% - Accent1 6 2 3 5" xfId="13744" xr:uid="{00000000-0005-0000-0000-000070330000}"/>
    <cellStyle name="40% - Accent1 6 2 3 6" xfId="13745" xr:uid="{00000000-0005-0000-0000-000071330000}"/>
    <cellStyle name="40% - Accent1 6 2 4" xfId="13746" xr:uid="{00000000-0005-0000-0000-000072330000}"/>
    <cellStyle name="40% - Accent1 6 2 4 2" xfId="13747" xr:uid="{00000000-0005-0000-0000-000073330000}"/>
    <cellStyle name="40% - Accent1 6 2 4 3" xfId="13748" xr:uid="{00000000-0005-0000-0000-000074330000}"/>
    <cellStyle name="40% - Accent1 6 2 5" xfId="13749" xr:uid="{00000000-0005-0000-0000-000075330000}"/>
    <cellStyle name="40% - Accent1 6 2 6" xfId="13750" xr:uid="{00000000-0005-0000-0000-000076330000}"/>
    <cellStyle name="40% - Accent1 6 2 7" xfId="13751" xr:uid="{00000000-0005-0000-0000-000077330000}"/>
    <cellStyle name="40% - Accent1 6 2 8" xfId="13752" xr:uid="{00000000-0005-0000-0000-000078330000}"/>
    <cellStyle name="40% - Accent1 6 3" xfId="13753" xr:uid="{00000000-0005-0000-0000-000079330000}"/>
    <cellStyle name="40% - Accent1 6 3 2" xfId="13754" xr:uid="{00000000-0005-0000-0000-00007A330000}"/>
    <cellStyle name="40% - Accent1 6 3 2 2" xfId="13755" xr:uid="{00000000-0005-0000-0000-00007B330000}"/>
    <cellStyle name="40% - Accent1 6 3 2 2 2" xfId="13756" xr:uid="{00000000-0005-0000-0000-00007C330000}"/>
    <cellStyle name="40% - Accent1 6 3 2 2 3" xfId="13757" xr:uid="{00000000-0005-0000-0000-00007D330000}"/>
    <cellStyle name="40% - Accent1 6 3 2 3" xfId="13758" xr:uid="{00000000-0005-0000-0000-00007E330000}"/>
    <cellStyle name="40% - Accent1 6 3 2 4" xfId="13759" xr:uid="{00000000-0005-0000-0000-00007F330000}"/>
    <cellStyle name="40% - Accent1 6 3 2 5" xfId="13760" xr:uid="{00000000-0005-0000-0000-000080330000}"/>
    <cellStyle name="40% - Accent1 6 3 2 6" xfId="13761" xr:uid="{00000000-0005-0000-0000-000081330000}"/>
    <cellStyle name="40% - Accent1 6 3 3" xfId="13762" xr:uid="{00000000-0005-0000-0000-000082330000}"/>
    <cellStyle name="40% - Accent1 6 3 3 2" xfId="13763" xr:uid="{00000000-0005-0000-0000-000083330000}"/>
    <cellStyle name="40% - Accent1 6 3 3 3" xfId="13764" xr:uid="{00000000-0005-0000-0000-000084330000}"/>
    <cellStyle name="40% - Accent1 6 3 4" xfId="13765" xr:uid="{00000000-0005-0000-0000-000085330000}"/>
    <cellStyle name="40% - Accent1 6 3 5" xfId="13766" xr:uid="{00000000-0005-0000-0000-000086330000}"/>
    <cellStyle name="40% - Accent1 6 3 6" xfId="13767" xr:uid="{00000000-0005-0000-0000-000087330000}"/>
    <cellStyle name="40% - Accent1 6 3 7" xfId="13768" xr:uid="{00000000-0005-0000-0000-000088330000}"/>
    <cellStyle name="40% - Accent1 6 4" xfId="13769" xr:uid="{00000000-0005-0000-0000-000089330000}"/>
    <cellStyle name="40% - Accent1 6 4 2" xfId="13770" xr:uid="{00000000-0005-0000-0000-00008A330000}"/>
    <cellStyle name="40% - Accent1 6 4 2 2" xfId="13771" xr:uid="{00000000-0005-0000-0000-00008B330000}"/>
    <cellStyle name="40% - Accent1 6 4 2 3" xfId="13772" xr:uid="{00000000-0005-0000-0000-00008C330000}"/>
    <cellStyle name="40% - Accent1 6 4 3" xfId="13773" xr:uid="{00000000-0005-0000-0000-00008D330000}"/>
    <cellStyle name="40% - Accent1 6 4 4" xfId="13774" xr:uid="{00000000-0005-0000-0000-00008E330000}"/>
    <cellStyle name="40% - Accent1 6 4 5" xfId="13775" xr:uid="{00000000-0005-0000-0000-00008F330000}"/>
    <cellStyle name="40% - Accent1 6 4 6" xfId="13776" xr:uid="{00000000-0005-0000-0000-000090330000}"/>
    <cellStyle name="40% - Accent1 6 5" xfId="13777" xr:uid="{00000000-0005-0000-0000-000091330000}"/>
    <cellStyle name="40% - Accent1 6 5 2" xfId="13778" xr:uid="{00000000-0005-0000-0000-000092330000}"/>
    <cellStyle name="40% - Accent1 6 5 2 2" xfId="13779" xr:uid="{00000000-0005-0000-0000-000093330000}"/>
    <cellStyle name="40% - Accent1 6 5 2 3" xfId="13780" xr:uid="{00000000-0005-0000-0000-000094330000}"/>
    <cellStyle name="40% - Accent1 6 5 3" xfId="13781" xr:uid="{00000000-0005-0000-0000-000095330000}"/>
    <cellStyle name="40% - Accent1 6 5 4" xfId="13782" xr:uid="{00000000-0005-0000-0000-000096330000}"/>
    <cellStyle name="40% - Accent1 6 5 5" xfId="13783" xr:uid="{00000000-0005-0000-0000-000097330000}"/>
    <cellStyle name="40% - Accent1 6 5 6" xfId="13784" xr:uid="{00000000-0005-0000-0000-000098330000}"/>
    <cellStyle name="40% - Accent1 6 6" xfId="13785" xr:uid="{00000000-0005-0000-0000-000099330000}"/>
    <cellStyle name="40% - Accent1 6 6 2" xfId="13786" xr:uid="{00000000-0005-0000-0000-00009A330000}"/>
    <cellStyle name="40% - Accent1 6 6 2 2" xfId="13787" xr:uid="{00000000-0005-0000-0000-00009B330000}"/>
    <cellStyle name="40% - Accent1 6 6 2 3" xfId="13788" xr:uid="{00000000-0005-0000-0000-00009C330000}"/>
    <cellStyle name="40% - Accent1 6 6 3" xfId="13789" xr:uid="{00000000-0005-0000-0000-00009D330000}"/>
    <cellStyle name="40% - Accent1 6 6 4" xfId="13790" xr:uid="{00000000-0005-0000-0000-00009E330000}"/>
    <cellStyle name="40% - Accent1 6 6 5" xfId="13791" xr:uid="{00000000-0005-0000-0000-00009F330000}"/>
    <cellStyle name="40% - Accent1 6 6 6" xfId="13792" xr:uid="{00000000-0005-0000-0000-0000A0330000}"/>
    <cellStyle name="40% - Accent1 6 7" xfId="13793" xr:uid="{00000000-0005-0000-0000-0000A1330000}"/>
    <cellStyle name="40% - Accent1 6 7 2" xfId="13794" xr:uid="{00000000-0005-0000-0000-0000A2330000}"/>
    <cellStyle name="40% - Accent1 6 7 3" xfId="13795" xr:uid="{00000000-0005-0000-0000-0000A3330000}"/>
    <cellStyle name="40% - Accent1 6 8" xfId="13796" xr:uid="{00000000-0005-0000-0000-0000A4330000}"/>
    <cellStyle name="40% - Accent1 6 9" xfId="13797" xr:uid="{00000000-0005-0000-0000-0000A5330000}"/>
    <cellStyle name="40% - Accent1 7" xfId="13798" xr:uid="{00000000-0005-0000-0000-0000A6330000}"/>
    <cellStyle name="40% - Accent1 7 2" xfId="13799" xr:uid="{00000000-0005-0000-0000-0000A7330000}"/>
    <cellStyle name="40% - Accent1 7 2 2" xfId="13800" xr:uid="{00000000-0005-0000-0000-0000A8330000}"/>
    <cellStyle name="40% - Accent1 7 2 3" xfId="13801" xr:uid="{00000000-0005-0000-0000-0000A9330000}"/>
    <cellStyle name="40% - Accent1 7 3" xfId="13802" xr:uid="{00000000-0005-0000-0000-0000AA330000}"/>
    <cellStyle name="40% - Accent1 7 4" xfId="13803" xr:uid="{00000000-0005-0000-0000-0000AB330000}"/>
    <cellStyle name="40% - Accent1 7 5" xfId="13804" xr:uid="{00000000-0005-0000-0000-0000AC330000}"/>
    <cellStyle name="40% - Accent1 7 6" xfId="13805" xr:uid="{00000000-0005-0000-0000-0000AD330000}"/>
    <cellStyle name="40% - Accent1 8" xfId="13806" xr:uid="{00000000-0005-0000-0000-0000AE330000}"/>
    <cellStyle name="40% - Accent1 8 2" xfId="13807" xr:uid="{00000000-0005-0000-0000-0000AF330000}"/>
    <cellStyle name="40% - Accent1 8 2 2" xfId="13808" xr:uid="{00000000-0005-0000-0000-0000B0330000}"/>
    <cellStyle name="40% - Accent1 8 2 3" xfId="13809" xr:uid="{00000000-0005-0000-0000-0000B1330000}"/>
    <cellStyle name="40% - Accent1 8 3" xfId="13810" xr:uid="{00000000-0005-0000-0000-0000B2330000}"/>
    <cellStyle name="40% - Accent1 8 4" xfId="13811" xr:uid="{00000000-0005-0000-0000-0000B3330000}"/>
    <cellStyle name="40% - Accent1 8 5" xfId="13812" xr:uid="{00000000-0005-0000-0000-0000B4330000}"/>
    <cellStyle name="40% - Accent1 8 6" xfId="13813" xr:uid="{00000000-0005-0000-0000-0000B5330000}"/>
    <cellStyle name="40% - Accent1 9" xfId="13814" xr:uid="{00000000-0005-0000-0000-0000B6330000}"/>
    <cellStyle name="40% - Accent1 9 2" xfId="13815" xr:uid="{00000000-0005-0000-0000-0000B7330000}"/>
    <cellStyle name="40% - Accent1 9 2 2" xfId="13816" xr:uid="{00000000-0005-0000-0000-0000B8330000}"/>
    <cellStyle name="40% - Accent1 9 2 3" xfId="13817" xr:uid="{00000000-0005-0000-0000-0000B9330000}"/>
    <cellStyle name="40% - Accent1 9 3" xfId="13818" xr:uid="{00000000-0005-0000-0000-0000BA330000}"/>
    <cellStyle name="40% - Accent1 9 4" xfId="13819" xr:uid="{00000000-0005-0000-0000-0000BB330000}"/>
    <cellStyle name="40% - Accent1 9 5" xfId="13820" xr:uid="{00000000-0005-0000-0000-0000BC330000}"/>
    <cellStyle name="40% - Accent1 9 6" xfId="13821" xr:uid="{00000000-0005-0000-0000-0000BD330000}"/>
    <cellStyle name="40% - Accent2" xfId="26" builtinId="35" customBuiltin="1"/>
    <cellStyle name="40% - Accent2 10" xfId="13822" xr:uid="{00000000-0005-0000-0000-0000BF330000}"/>
    <cellStyle name="40% - Accent2 10 2" xfId="13823" xr:uid="{00000000-0005-0000-0000-0000C0330000}"/>
    <cellStyle name="40% - Accent2 10 2 2" xfId="13824" xr:uid="{00000000-0005-0000-0000-0000C1330000}"/>
    <cellStyle name="40% - Accent2 10 2 3" xfId="13825" xr:uid="{00000000-0005-0000-0000-0000C2330000}"/>
    <cellStyle name="40% - Accent2 10 3" xfId="13826" xr:uid="{00000000-0005-0000-0000-0000C3330000}"/>
    <cellStyle name="40% - Accent2 10 4" xfId="13827" xr:uid="{00000000-0005-0000-0000-0000C4330000}"/>
    <cellStyle name="40% - Accent2 10 5" xfId="13828" xr:uid="{00000000-0005-0000-0000-0000C5330000}"/>
    <cellStyle name="40% - Accent2 10 6" xfId="13829" xr:uid="{00000000-0005-0000-0000-0000C6330000}"/>
    <cellStyle name="40% - Accent2 11" xfId="13830" xr:uid="{00000000-0005-0000-0000-0000C7330000}"/>
    <cellStyle name="40% - Accent2 11 2" xfId="13831" xr:uid="{00000000-0005-0000-0000-0000C8330000}"/>
    <cellStyle name="40% - Accent2 11 2 2" xfId="13832" xr:uid="{00000000-0005-0000-0000-0000C9330000}"/>
    <cellStyle name="40% - Accent2 11 2 3" xfId="13833" xr:uid="{00000000-0005-0000-0000-0000CA330000}"/>
    <cellStyle name="40% - Accent2 11 3" xfId="13834" xr:uid="{00000000-0005-0000-0000-0000CB330000}"/>
    <cellStyle name="40% - Accent2 11 4" xfId="13835" xr:uid="{00000000-0005-0000-0000-0000CC330000}"/>
    <cellStyle name="40% - Accent2 11 5" xfId="13836" xr:uid="{00000000-0005-0000-0000-0000CD330000}"/>
    <cellStyle name="40% - Accent2 11 6" xfId="13837" xr:uid="{00000000-0005-0000-0000-0000CE330000}"/>
    <cellStyle name="40% - Accent2 12" xfId="13838" xr:uid="{00000000-0005-0000-0000-0000CF330000}"/>
    <cellStyle name="40% - Accent2 12 2" xfId="13839" xr:uid="{00000000-0005-0000-0000-0000D0330000}"/>
    <cellStyle name="40% - Accent2 12 2 2" xfId="13840" xr:uid="{00000000-0005-0000-0000-0000D1330000}"/>
    <cellStyle name="40% - Accent2 12 2 3" xfId="13841" xr:uid="{00000000-0005-0000-0000-0000D2330000}"/>
    <cellStyle name="40% - Accent2 12 3" xfId="13842" xr:uid="{00000000-0005-0000-0000-0000D3330000}"/>
    <cellStyle name="40% - Accent2 12 4" xfId="13843" xr:uid="{00000000-0005-0000-0000-0000D4330000}"/>
    <cellStyle name="40% - Accent2 12 5" xfId="13844" xr:uid="{00000000-0005-0000-0000-0000D5330000}"/>
    <cellStyle name="40% - Accent2 12 6" xfId="13845" xr:uid="{00000000-0005-0000-0000-0000D6330000}"/>
    <cellStyle name="40% - Accent2 13" xfId="13846" xr:uid="{00000000-0005-0000-0000-0000D7330000}"/>
    <cellStyle name="40% - Accent2 13 2" xfId="13847" xr:uid="{00000000-0005-0000-0000-0000D8330000}"/>
    <cellStyle name="40% - Accent2 13 3" xfId="13848" xr:uid="{00000000-0005-0000-0000-0000D9330000}"/>
    <cellStyle name="40% - Accent2 14" xfId="13849" xr:uid="{00000000-0005-0000-0000-0000DA330000}"/>
    <cellStyle name="40% - Accent2 15" xfId="13850" xr:uid="{00000000-0005-0000-0000-0000DB330000}"/>
    <cellStyle name="40% - Accent2 16" xfId="13851" xr:uid="{00000000-0005-0000-0000-0000DC330000}"/>
    <cellStyle name="40% - Accent2 17" xfId="13852" xr:uid="{00000000-0005-0000-0000-0000DD330000}"/>
    <cellStyle name="40% - Accent2 18" xfId="13853" xr:uid="{00000000-0005-0000-0000-0000DE330000}"/>
    <cellStyle name="40% - Accent2 2" xfId="59" xr:uid="{00000000-0005-0000-0000-0000DF330000}"/>
    <cellStyle name="40% - Accent2 2 2" xfId="300" xr:uid="{00000000-0005-0000-0000-0000E0330000}"/>
    <cellStyle name="40% - Accent2 2 3" xfId="301" xr:uid="{00000000-0005-0000-0000-0000E1330000}"/>
    <cellStyle name="40% - Accent2 3" xfId="302" xr:uid="{00000000-0005-0000-0000-0000E2330000}"/>
    <cellStyle name="40% - Accent2 3 10" xfId="13854" xr:uid="{00000000-0005-0000-0000-0000E3330000}"/>
    <cellStyle name="40% - Accent2 3 10 2" xfId="13855" xr:uid="{00000000-0005-0000-0000-0000E4330000}"/>
    <cellStyle name="40% - Accent2 3 10 2 2" xfId="13856" xr:uid="{00000000-0005-0000-0000-0000E5330000}"/>
    <cellStyle name="40% - Accent2 3 10 2 3" xfId="13857" xr:uid="{00000000-0005-0000-0000-0000E6330000}"/>
    <cellStyle name="40% - Accent2 3 10 3" xfId="13858" xr:uid="{00000000-0005-0000-0000-0000E7330000}"/>
    <cellStyle name="40% - Accent2 3 10 4" xfId="13859" xr:uid="{00000000-0005-0000-0000-0000E8330000}"/>
    <cellStyle name="40% - Accent2 3 10 5" xfId="13860" xr:uid="{00000000-0005-0000-0000-0000E9330000}"/>
    <cellStyle name="40% - Accent2 3 10 6" xfId="13861" xr:uid="{00000000-0005-0000-0000-0000EA330000}"/>
    <cellStyle name="40% - Accent2 3 11" xfId="13862" xr:uid="{00000000-0005-0000-0000-0000EB330000}"/>
    <cellStyle name="40% - Accent2 3 11 2" xfId="13863" xr:uid="{00000000-0005-0000-0000-0000EC330000}"/>
    <cellStyle name="40% - Accent2 3 11 2 2" xfId="13864" xr:uid="{00000000-0005-0000-0000-0000ED330000}"/>
    <cellStyle name="40% - Accent2 3 11 2 3" xfId="13865" xr:uid="{00000000-0005-0000-0000-0000EE330000}"/>
    <cellStyle name="40% - Accent2 3 11 3" xfId="13866" xr:uid="{00000000-0005-0000-0000-0000EF330000}"/>
    <cellStyle name="40% - Accent2 3 11 4" xfId="13867" xr:uid="{00000000-0005-0000-0000-0000F0330000}"/>
    <cellStyle name="40% - Accent2 3 11 5" xfId="13868" xr:uid="{00000000-0005-0000-0000-0000F1330000}"/>
    <cellStyle name="40% - Accent2 3 11 6" xfId="13869" xr:uid="{00000000-0005-0000-0000-0000F2330000}"/>
    <cellStyle name="40% - Accent2 3 12" xfId="13870" xr:uid="{00000000-0005-0000-0000-0000F3330000}"/>
    <cellStyle name="40% - Accent2 3 12 2" xfId="13871" xr:uid="{00000000-0005-0000-0000-0000F4330000}"/>
    <cellStyle name="40% - Accent2 3 12 3" xfId="13872" xr:uid="{00000000-0005-0000-0000-0000F5330000}"/>
    <cellStyle name="40% - Accent2 3 13" xfId="13873" xr:uid="{00000000-0005-0000-0000-0000F6330000}"/>
    <cellStyle name="40% - Accent2 3 14" xfId="13874" xr:uid="{00000000-0005-0000-0000-0000F7330000}"/>
    <cellStyle name="40% - Accent2 3 15" xfId="13875" xr:uid="{00000000-0005-0000-0000-0000F8330000}"/>
    <cellStyle name="40% - Accent2 3 16" xfId="13876" xr:uid="{00000000-0005-0000-0000-0000F9330000}"/>
    <cellStyle name="40% - Accent2 3 2" xfId="13877" xr:uid="{00000000-0005-0000-0000-0000FA330000}"/>
    <cellStyle name="40% - Accent2 3 2 10" xfId="13878" xr:uid="{00000000-0005-0000-0000-0000FB330000}"/>
    <cellStyle name="40% - Accent2 3 2 10 2" xfId="13879" xr:uid="{00000000-0005-0000-0000-0000FC330000}"/>
    <cellStyle name="40% - Accent2 3 2 10 3" xfId="13880" xr:uid="{00000000-0005-0000-0000-0000FD330000}"/>
    <cellStyle name="40% - Accent2 3 2 11" xfId="13881" xr:uid="{00000000-0005-0000-0000-0000FE330000}"/>
    <cellStyle name="40% - Accent2 3 2 12" xfId="13882" xr:uid="{00000000-0005-0000-0000-0000FF330000}"/>
    <cellStyle name="40% - Accent2 3 2 13" xfId="13883" xr:uid="{00000000-0005-0000-0000-000000340000}"/>
    <cellStyle name="40% - Accent2 3 2 14" xfId="13884" xr:uid="{00000000-0005-0000-0000-000001340000}"/>
    <cellStyle name="40% - Accent2 3 2 2" xfId="13885" xr:uid="{00000000-0005-0000-0000-000002340000}"/>
    <cellStyle name="40% - Accent2 3 2 2 10" xfId="13886" xr:uid="{00000000-0005-0000-0000-000003340000}"/>
    <cellStyle name="40% - Accent2 3 2 2 11" xfId="13887" xr:uid="{00000000-0005-0000-0000-000004340000}"/>
    <cellStyle name="40% - Accent2 3 2 2 12" xfId="13888" xr:uid="{00000000-0005-0000-0000-000005340000}"/>
    <cellStyle name="40% - Accent2 3 2 2 13" xfId="13889" xr:uid="{00000000-0005-0000-0000-000006340000}"/>
    <cellStyle name="40% - Accent2 3 2 2 2" xfId="13890" xr:uid="{00000000-0005-0000-0000-000007340000}"/>
    <cellStyle name="40% - Accent2 3 2 2 2 10" xfId="13891" xr:uid="{00000000-0005-0000-0000-000008340000}"/>
    <cellStyle name="40% - Accent2 3 2 2 2 2" xfId="13892" xr:uid="{00000000-0005-0000-0000-000009340000}"/>
    <cellStyle name="40% - Accent2 3 2 2 2 2 2" xfId="13893" xr:uid="{00000000-0005-0000-0000-00000A340000}"/>
    <cellStyle name="40% - Accent2 3 2 2 2 2 2 2" xfId="13894" xr:uid="{00000000-0005-0000-0000-00000B340000}"/>
    <cellStyle name="40% - Accent2 3 2 2 2 2 2 2 2" xfId="13895" xr:uid="{00000000-0005-0000-0000-00000C340000}"/>
    <cellStyle name="40% - Accent2 3 2 2 2 2 2 2 3" xfId="13896" xr:uid="{00000000-0005-0000-0000-00000D340000}"/>
    <cellStyle name="40% - Accent2 3 2 2 2 2 2 3" xfId="13897" xr:uid="{00000000-0005-0000-0000-00000E340000}"/>
    <cellStyle name="40% - Accent2 3 2 2 2 2 2 4" xfId="13898" xr:uid="{00000000-0005-0000-0000-00000F340000}"/>
    <cellStyle name="40% - Accent2 3 2 2 2 2 2 5" xfId="13899" xr:uid="{00000000-0005-0000-0000-000010340000}"/>
    <cellStyle name="40% - Accent2 3 2 2 2 2 2 6" xfId="13900" xr:uid="{00000000-0005-0000-0000-000011340000}"/>
    <cellStyle name="40% - Accent2 3 2 2 2 2 3" xfId="13901" xr:uid="{00000000-0005-0000-0000-000012340000}"/>
    <cellStyle name="40% - Accent2 3 2 2 2 2 3 2" xfId="13902" xr:uid="{00000000-0005-0000-0000-000013340000}"/>
    <cellStyle name="40% - Accent2 3 2 2 2 2 3 2 2" xfId="13903" xr:uid="{00000000-0005-0000-0000-000014340000}"/>
    <cellStyle name="40% - Accent2 3 2 2 2 2 3 2 3" xfId="13904" xr:uid="{00000000-0005-0000-0000-000015340000}"/>
    <cellStyle name="40% - Accent2 3 2 2 2 2 3 3" xfId="13905" xr:uid="{00000000-0005-0000-0000-000016340000}"/>
    <cellStyle name="40% - Accent2 3 2 2 2 2 3 4" xfId="13906" xr:uid="{00000000-0005-0000-0000-000017340000}"/>
    <cellStyle name="40% - Accent2 3 2 2 2 2 3 5" xfId="13907" xr:uid="{00000000-0005-0000-0000-000018340000}"/>
    <cellStyle name="40% - Accent2 3 2 2 2 2 3 6" xfId="13908" xr:uid="{00000000-0005-0000-0000-000019340000}"/>
    <cellStyle name="40% - Accent2 3 2 2 2 2 4" xfId="13909" xr:uid="{00000000-0005-0000-0000-00001A340000}"/>
    <cellStyle name="40% - Accent2 3 2 2 2 2 4 2" xfId="13910" xr:uid="{00000000-0005-0000-0000-00001B340000}"/>
    <cellStyle name="40% - Accent2 3 2 2 2 2 4 3" xfId="13911" xr:uid="{00000000-0005-0000-0000-00001C340000}"/>
    <cellStyle name="40% - Accent2 3 2 2 2 2 5" xfId="13912" xr:uid="{00000000-0005-0000-0000-00001D340000}"/>
    <cellStyle name="40% - Accent2 3 2 2 2 2 6" xfId="13913" xr:uid="{00000000-0005-0000-0000-00001E340000}"/>
    <cellStyle name="40% - Accent2 3 2 2 2 2 7" xfId="13914" xr:uid="{00000000-0005-0000-0000-00001F340000}"/>
    <cellStyle name="40% - Accent2 3 2 2 2 2 8" xfId="13915" xr:uid="{00000000-0005-0000-0000-000020340000}"/>
    <cellStyle name="40% - Accent2 3 2 2 2 3" xfId="13916" xr:uid="{00000000-0005-0000-0000-000021340000}"/>
    <cellStyle name="40% - Accent2 3 2 2 2 3 2" xfId="13917" xr:uid="{00000000-0005-0000-0000-000022340000}"/>
    <cellStyle name="40% - Accent2 3 2 2 2 3 2 2" xfId="13918" xr:uid="{00000000-0005-0000-0000-000023340000}"/>
    <cellStyle name="40% - Accent2 3 2 2 2 3 2 2 2" xfId="13919" xr:uid="{00000000-0005-0000-0000-000024340000}"/>
    <cellStyle name="40% - Accent2 3 2 2 2 3 2 2 3" xfId="13920" xr:uid="{00000000-0005-0000-0000-000025340000}"/>
    <cellStyle name="40% - Accent2 3 2 2 2 3 2 3" xfId="13921" xr:uid="{00000000-0005-0000-0000-000026340000}"/>
    <cellStyle name="40% - Accent2 3 2 2 2 3 2 4" xfId="13922" xr:uid="{00000000-0005-0000-0000-000027340000}"/>
    <cellStyle name="40% - Accent2 3 2 2 2 3 2 5" xfId="13923" xr:uid="{00000000-0005-0000-0000-000028340000}"/>
    <cellStyle name="40% - Accent2 3 2 2 2 3 2 6" xfId="13924" xr:uid="{00000000-0005-0000-0000-000029340000}"/>
    <cellStyle name="40% - Accent2 3 2 2 2 3 3" xfId="13925" xr:uid="{00000000-0005-0000-0000-00002A340000}"/>
    <cellStyle name="40% - Accent2 3 2 2 2 3 3 2" xfId="13926" xr:uid="{00000000-0005-0000-0000-00002B340000}"/>
    <cellStyle name="40% - Accent2 3 2 2 2 3 3 3" xfId="13927" xr:uid="{00000000-0005-0000-0000-00002C340000}"/>
    <cellStyle name="40% - Accent2 3 2 2 2 3 4" xfId="13928" xr:uid="{00000000-0005-0000-0000-00002D340000}"/>
    <cellStyle name="40% - Accent2 3 2 2 2 3 5" xfId="13929" xr:uid="{00000000-0005-0000-0000-00002E340000}"/>
    <cellStyle name="40% - Accent2 3 2 2 2 3 6" xfId="13930" xr:uid="{00000000-0005-0000-0000-00002F340000}"/>
    <cellStyle name="40% - Accent2 3 2 2 2 3 7" xfId="13931" xr:uid="{00000000-0005-0000-0000-000030340000}"/>
    <cellStyle name="40% - Accent2 3 2 2 2 4" xfId="13932" xr:uid="{00000000-0005-0000-0000-000031340000}"/>
    <cellStyle name="40% - Accent2 3 2 2 2 4 2" xfId="13933" xr:uid="{00000000-0005-0000-0000-000032340000}"/>
    <cellStyle name="40% - Accent2 3 2 2 2 4 2 2" xfId="13934" xr:uid="{00000000-0005-0000-0000-000033340000}"/>
    <cellStyle name="40% - Accent2 3 2 2 2 4 2 3" xfId="13935" xr:uid="{00000000-0005-0000-0000-000034340000}"/>
    <cellStyle name="40% - Accent2 3 2 2 2 4 3" xfId="13936" xr:uid="{00000000-0005-0000-0000-000035340000}"/>
    <cellStyle name="40% - Accent2 3 2 2 2 4 4" xfId="13937" xr:uid="{00000000-0005-0000-0000-000036340000}"/>
    <cellStyle name="40% - Accent2 3 2 2 2 4 5" xfId="13938" xr:uid="{00000000-0005-0000-0000-000037340000}"/>
    <cellStyle name="40% - Accent2 3 2 2 2 4 6" xfId="13939" xr:uid="{00000000-0005-0000-0000-000038340000}"/>
    <cellStyle name="40% - Accent2 3 2 2 2 5" xfId="13940" xr:uid="{00000000-0005-0000-0000-000039340000}"/>
    <cellStyle name="40% - Accent2 3 2 2 2 5 2" xfId="13941" xr:uid="{00000000-0005-0000-0000-00003A340000}"/>
    <cellStyle name="40% - Accent2 3 2 2 2 5 2 2" xfId="13942" xr:uid="{00000000-0005-0000-0000-00003B340000}"/>
    <cellStyle name="40% - Accent2 3 2 2 2 5 2 3" xfId="13943" xr:uid="{00000000-0005-0000-0000-00003C340000}"/>
    <cellStyle name="40% - Accent2 3 2 2 2 5 3" xfId="13944" xr:uid="{00000000-0005-0000-0000-00003D340000}"/>
    <cellStyle name="40% - Accent2 3 2 2 2 5 4" xfId="13945" xr:uid="{00000000-0005-0000-0000-00003E340000}"/>
    <cellStyle name="40% - Accent2 3 2 2 2 5 5" xfId="13946" xr:uid="{00000000-0005-0000-0000-00003F340000}"/>
    <cellStyle name="40% - Accent2 3 2 2 2 5 6" xfId="13947" xr:uid="{00000000-0005-0000-0000-000040340000}"/>
    <cellStyle name="40% - Accent2 3 2 2 2 6" xfId="13948" xr:uid="{00000000-0005-0000-0000-000041340000}"/>
    <cellStyle name="40% - Accent2 3 2 2 2 6 2" xfId="13949" xr:uid="{00000000-0005-0000-0000-000042340000}"/>
    <cellStyle name="40% - Accent2 3 2 2 2 6 3" xfId="13950" xr:uid="{00000000-0005-0000-0000-000043340000}"/>
    <cellStyle name="40% - Accent2 3 2 2 2 7" xfId="13951" xr:uid="{00000000-0005-0000-0000-000044340000}"/>
    <cellStyle name="40% - Accent2 3 2 2 2 8" xfId="13952" xr:uid="{00000000-0005-0000-0000-000045340000}"/>
    <cellStyle name="40% - Accent2 3 2 2 2 9" xfId="13953" xr:uid="{00000000-0005-0000-0000-000046340000}"/>
    <cellStyle name="40% - Accent2 3 2 2 3" xfId="13954" xr:uid="{00000000-0005-0000-0000-000047340000}"/>
    <cellStyle name="40% - Accent2 3 2 2 3 2" xfId="13955" xr:uid="{00000000-0005-0000-0000-000048340000}"/>
    <cellStyle name="40% - Accent2 3 2 2 3 2 2" xfId="13956" xr:uid="{00000000-0005-0000-0000-000049340000}"/>
    <cellStyle name="40% - Accent2 3 2 2 3 2 2 2" xfId="13957" xr:uid="{00000000-0005-0000-0000-00004A340000}"/>
    <cellStyle name="40% - Accent2 3 2 2 3 2 2 2 2" xfId="13958" xr:uid="{00000000-0005-0000-0000-00004B340000}"/>
    <cellStyle name="40% - Accent2 3 2 2 3 2 2 2 3" xfId="13959" xr:uid="{00000000-0005-0000-0000-00004C340000}"/>
    <cellStyle name="40% - Accent2 3 2 2 3 2 2 3" xfId="13960" xr:uid="{00000000-0005-0000-0000-00004D340000}"/>
    <cellStyle name="40% - Accent2 3 2 2 3 2 2 4" xfId="13961" xr:uid="{00000000-0005-0000-0000-00004E340000}"/>
    <cellStyle name="40% - Accent2 3 2 2 3 2 2 5" xfId="13962" xr:uid="{00000000-0005-0000-0000-00004F340000}"/>
    <cellStyle name="40% - Accent2 3 2 2 3 2 2 6" xfId="13963" xr:uid="{00000000-0005-0000-0000-000050340000}"/>
    <cellStyle name="40% - Accent2 3 2 2 3 2 3" xfId="13964" xr:uid="{00000000-0005-0000-0000-000051340000}"/>
    <cellStyle name="40% - Accent2 3 2 2 3 2 3 2" xfId="13965" xr:uid="{00000000-0005-0000-0000-000052340000}"/>
    <cellStyle name="40% - Accent2 3 2 2 3 2 3 3" xfId="13966" xr:uid="{00000000-0005-0000-0000-000053340000}"/>
    <cellStyle name="40% - Accent2 3 2 2 3 2 4" xfId="13967" xr:uid="{00000000-0005-0000-0000-000054340000}"/>
    <cellStyle name="40% - Accent2 3 2 2 3 2 5" xfId="13968" xr:uid="{00000000-0005-0000-0000-000055340000}"/>
    <cellStyle name="40% - Accent2 3 2 2 3 2 6" xfId="13969" xr:uid="{00000000-0005-0000-0000-000056340000}"/>
    <cellStyle name="40% - Accent2 3 2 2 3 2 7" xfId="13970" xr:uid="{00000000-0005-0000-0000-000057340000}"/>
    <cellStyle name="40% - Accent2 3 2 2 3 3" xfId="13971" xr:uid="{00000000-0005-0000-0000-000058340000}"/>
    <cellStyle name="40% - Accent2 3 2 2 3 3 2" xfId="13972" xr:uid="{00000000-0005-0000-0000-000059340000}"/>
    <cellStyle name="40% - Accent2 3 2 2 3 3 2 2" xfId="13973" xr:uid="{00000000-0005-0000-0000-00005A340000}"/>
    <cellStyle name="40% - Accent2 3 2 2 3 3 2 3" xfId="13974" xr:uid="{00000000-0005-0000-0000-00005B340000}"/>
    <cellStyle name="40% - Accent2 3 2 2 3 3 3" xfId="13975" xr:uid="{00000000-0005-0000-0000-00005C340000}"/>
    <cellStyle name="40% - Accent2 3 2 2 3 3 4" xfId="13976" xr:uid="{00000000-0005-0000-0000-00005D340000}"/>
    <cellStyle name="40% - Accent2 3 2 2 3 3 5" xfId="13977" xr:uid="{00000000-0005-0000-0000-00005E340000}"/>
    <cellStyle name="40% - Accent2 3 2 2 3 3 6" xfId="13978" xr:uid="{00000000-0005-0000-0000-00005F340000}"/>
    <cellStyle name="40% - Accent2 3 2 2 3 4" xfId="13979" xr:uid="{00000000-0005-0000-0000-000060340000}"/>
    <cellStyle name="40% - Accent2 3 2 2 3 4 2" xfId="13980" xr:uid="{00000000-0005-0000-0000-000061340000}"/>
    <cellStyle name="40% - Accent2 3 2 2 3 4 2 2" xfId="13981" xr:uid="{00000000-0005-0000-0000-000062340000}"/>
    <cellStyle name="40% - Accent2 3 2 2 3 4 2 3" xfId="13982" xr:uid="{00000000-0005-0000-0000-000063340000}"/>
    <cellStyle name="40% - Accent2 3 2 2 3 4 3" xfId="13983" xr:uid="{00000000-0005-0000-0000-000064340000}"/>
    <cellStyle name="40% - Accent2 3 2 2 3 4 4" xfId="13984" xr:uid="{00000000-0005-0000-0000-000065340000}"/>
    <cellStyle name="40% - Accent2 3 2 2 3 4 5" xfId="13985" xr:uid="{00000000-0005-0000-0000-000066340000}"/>
    <cellStyle name="40% - Accent2 3 2 2 3 4 6" xfId="13986" xr:uid="{00000000-0005-0000-0000-000067340000}"/>
    <cellStyle name="40% - Accent2 3 2 2 3 5" xfId="13987" xr:uid="{00000000-0005-0000-0000-000068340000}"/>
    <cellStyle name="40% - Accent2 3 2 2 3 5 2" xfId="13988" xr:uid="{00000000-0005-0000-0000-000069340000}"/>
    <cellStyle name="40% - Accent2 3 2 2 3 5 3" xfId="13989" xr:uid="{00000000-0005-0000-0000-00006A340000}"/>
    <cellStyle name="40% - Accent2 3 2 2 3 6" xfId="13990" xr:uid="{00000000-0005-0000-0000-00006B340000}"/>
    <cellStyle name="40% - Accent2 3 2 2 3 7" xfId="13991" xr:uid="{00000000-0005-0000-0000-00006C340000}"/>
    <cellStyle name="40% - Accent2 3 2 2 3 8" xfId="13992" xr:uid="{00000000-0005-0000-0000-00006D340000}"/>
    <cellStyle name="40% - Accent2 3 2 2 3 9" xfId="13993" xr:uid="{00000000-0005-0000-0000-00006E340000}"/>
    <cellStyle name="40% - Accent2 3 2 2 4" xfId="13994" xr:uid="{00000000-0005-0000-0000-00006F340000}"/>
    <cellStyle name="40% - Accent2 3 2 2 4 2" xfId="13995" xr:uid="{00000000-0005-0000-0000-000070340000}"/>
    <cellStyle name="40% - Accent2 3 2 2 4 2 2" xfId="13996" xr:uid="{00000000-0005-0000-0000-000071340000}"/>
    <cellStyle name="40% - Accent2 3 2 2 4 2 2 2" xfId="13997" xr:uid="{00000000-0005-0000-0000-000072340000}"/>
    <cellStyle name="40% - Accent2 3 2 2 4 2 2 3" xfId="13998" xr:uid="{00000000-0005-0000-0000-000073340000}"/>
    <cellStyle name="40% - Accent2 3 2 2 4 2 3" xfId="13999" xr:uid="{00000000-0005-0000-0000-000074340000}"/>
    <cellStyle name="40% - Accent2 3 2 2 4 2 4" xfId="14000" xr:uid="{00000000-0005-0000-0000-000075340000}"/>
    <cellStyle name="40% - Accent2 3 2 2 4 2 5" xfId="14001" xr:uid="{00000000-0005-0000-0000-000076340000}"/>
    <cellStyle name="40% - Accent2 3 2 2 4 2 6" xfId="14002" xr:uid="{00000000-0005-0000-0000-000077340000}"/>
    <cellStyle name="40% - Accent2 3 2 2 4 3" xfId="14003" xr:uid="{00000000-0005-0000-0000-000078340000}"/>
    <cellStyle name="40% - Accent2 3 2 2 4 3 2" xfId="14004" xr:uid="{00000000-0005-0000-0000-000079340000}"/>
    <cellStyle name="40% - Accent2 3 2 2 4 3 3" xfId="14005" xr:uid="{00000000-0005-0000-0000-00007A340000}"/>
    <cellStyle name="40% - Accent2 3 2 2 4 4" xfId="14006" xr:uid="{00000000-0005-0000-0000-00007B340000}"/>
    <cellStyle name="40% - Accent2 3 2 2 4 5" xfId="14007" xr:uid="{00000000-0005-0000-0000-00007C340000}"/>
    <cellStyle name="40% - Accent2 3 2 2 4 6" xfId="14008" xr:uid="{00000000-0005-0000-0000-00007D340000}"/>
    <cellStyle name="40% - Accent2 3 2 2 4 7" xfId="14009" xr:uid="{00000000-0005-0000-0000-00007E340000}"/>
    <cellStyle name="40% - Accent2 3 2 2 5" xfId="14010" xr:uid="{00000000-0005-0000-0000-00007F340000}"/>
    <cellStyle name="40% - Accent2 3 2 2 5 2" xfId="14011" xr:uid="{00000000-0005-0000-0000-000080340000}"/>
    <cellStyle name="40% - Accent2 3 2 2 5 2 2" xfId="14012" xr:uid="{00000000-0005-0000-0000-000081340000}"/>
    <cellStyle name="40% - Accent2 3 2 2 5 2 3" xfId="14013" xr:uid="{00000000-0005-0000-0000-000082340000}"/>
    <cellStyle name="40% - Accent2 3 2 2 5 3" xfId="14014" xr:uid="{00000000-0005-0000-0000-000083340000}"/>
    <cellStyle name="40% - Accent2 3 2 2 5 4" xfId="14015" xr:uid="{00000000-0005-0000-0000-000084340000}"/>
    <cellStyle name="40% - Accent2 3 2 2 5 5" xfId="14016" xr:uid="{00000000-0005-0000-0000-000085340000}"/>
    <cellStyle name="40% - Accent2 3 2 2 5 6" xfId="14017" xr:uid="{00000000-0005-0000-0000-000086340000}"/>
    <cellStyle name="40% - Accent2 3 2 2 6" xfId="14018" xr:uid="{00000000-0005-0000-0000-000087340000}"/>
    <cellStyle name="40% - Accent2 3 2 2 6 2" xfId="14019" xr:uid="{00000000-0005-0000-0000-000088340000}"/>
    <cellStyle name="40% - Accent2 3 2 2 6 2 2" xfId="14020" xr:uid="{00000000-0005-0000-0000-000089340000}"/>
    <cellStyle name="40% - Accent2 3 2 2 6 2 3" xfId="14021" xr:uid="{00000000-0005-0000-0000-00008A340000}"/>
    <cellStyle name="40% - Accent2 3 2 2 6 3" xfId="14022" xr:uid="{00000000-0005-0000-0000-00008B340000}"/>
    <cellStyle name="40% - Accent2 3 2 2 6 4" xfId="14023" xr:uid="{00000000-0005-0000-0000-00008C340000}"/>
    <cellStyle name="40% - Accent2 3 2 2 6 5" xfId="14024" xr:uid="{00000000-0005-0000-0000-00008D340000}"/>
    <cellStyle name="40% - Accent2 3 2 2 6 6" xfId="14025" xr:uid="{00000000-0005-0000-0000-00008E340000}"/>
    <cellStyle name="40% - Accent2 3 2 2 7" xfId="14026" xr:uid="{00000000-0005-0000-0000-00008F340000}"/>
    <cellStyle name="40% - Accent2 3 2 2 7 2" xfId="14027" xr:uid="{00000000-0005-0000-0000-000090340000}"/>
    <cellStyle name="40% - Accent2 3 2 2 7 2 2" xfId="14028" xr:uid="{00000000-0005-0000-0000-000091340000}"/>
    <cellStyle name="40% - Accent2 3 2 2 7 2 3" xfId="14029" xr:uid="{00000000-0005-0000-0000-000092340000}"/>
    <cellStyle name="40% - Accent2 3 2 2 7 3" xfId="14030" xr:uid="{00000000-0005-0000-0000-000093340000}"/>
    <cellStyle name="40% - Accent2 3 2 2 7 4" xfId="14031" xr:uid="{00000000-0005-0000-0000-000094340000}"/>
    <cellStyle name="40% - Accent2 3 2 2 7 5" xfId="14032" xr:uid="{00000000-0005-0000-0000-000095340000}"/>
    <cellStyle name="40% - Accent2 3 2 2 7 6" xfId="14033" xr:uid="{00000000-0005-0000-0000-000096340000}"/>
    <cellStyle name="40% - Accent2 3 2 2 8" xfId="14034" xr:uid="{00000000-0005-0000-0000-000097340000}"/>
    <cellStyle name="40% - Accent2 3 2 2 8 2" xfId="14035" xr:uid="{00000000-0005-0000-0000-000098340000}"/>
    <cellStyle name="40% - Accent2 3 2 2 8 2 2" xfId="14036" xr:uid="{00000000-0005-0000-0000-000099340000}"/>
    <cellStyle name="40% - Accent2 3 2 2 8 2 3" xfId="14037" xr:uid="{00000000-0005-0000-0000-00009A340000}"/>
    <cellStyle name="40% - Accent2 3 2 2 8 3" xfId="14038" xr:uid="{00000000-0005-0000-0000-00009B340000}"/>
    <cellStyle name="40% - Accent2 3 2 2 8 4" xfId="14039" xr:uid="{00000000-0005-0000-0000-00009C340000}"/>
    <cellStyle name="40% - Accent2 3 2 2 8 5" xfId="14040" xr:uid="{00000000-0005-0000-0000-00009D340000}"/>
    <cellStyle name="40% - Accent2 3 2 2 8 6" xfId="14041" xr:uid="{00000000-0005-0000-0000-00009E340000}"/>
    <cellStyle name="40% - Accent2 3 2 2 9" xfId="14042" xr:uid="{00000000-0005-0000-0000-00009F340000}"/>
    <cellStyle name="40% - Accent2 3 2 2 9 2" xfId="14043" xr:uid="{00000000-0005-0000-0000-0000A0340000}"/>
    <cellStyle name="40% - Accent2 3 2 2 9 3" xfId="14044" xr:uid="{00000000-0005-0000-0000-0000A1340000}"/>
    <cellStyle name="40% - Accent2 3 2 3" xfId="14045" xr:uid="{00000000-0005-0000-0000-0000A2340000}"/>
    <cellStyle name="40% - Accent2 3 2 3 10" xfId="14046" xr:uid="{00000000-0005-0000-0000-0000A3340000}"/>
    <cellStyle name="40% - Accent2 3 2 3 2" xfId="14047" xr:uid="{00000000-0005-0000-0000-0000A4340000}"/>
    <cellStyle name="40% - Accent2 3 2 3 2 2" xfId="14048" xr:uid="{00000000-0005-0000-0000-0000A5340000}"/>
    <cellStyle name="40% - Accent2 3 2 3 2 2 2" xfId="14049" xr:uid="{00000000-0005-0000-0000-0000A6340000}"/>
    <cellStyle name="40% - Accent2 3 2 3 2 2 2 2" xfId="14050" xr:uid="{00000000-0005-0000-0000-0000A7340000}"/>
    <cellStyle name="40% - Accent2 3 2 3 2 2 2 3" xfId="14051" xr:uid="{00000000-0005-0000-0000-0000A8340000}"/>
    <cellStyle name="40% - Accent2 3 2 3 2 2 3" xfId="14052" xr:uid="{00000000-0005-0000-0000-0000A9340000}"/>
    <cellStyle name="40% - Accent2 3 2 3 2 2 4" xfId="14053" xr:uid="{00000000-0005-0000-0000-0000AA340000}"/>
    <cellStyle name="40% - Accent2 3 2 3 2 2 5" xfId="14054" xr:uid="{00000000-0005-0000-0000-0000AB340000}"/>
    <cellStyle name="40% - Accent2 3 2 3 2 2 6" xfId="14055" xr:uid="{00000000-0005-0000-0000-0000AC340000}"/>
    <cellStyle name="40% - Accent2 3 2 3 2 3" xfId="14056" xr:uid="{00000000-0005-0000-0000-0000AD340000}"/>
    <cellStyle name="40% - Accent2 3 2 3 2 3 2" xfId="14057" xr:uid="{00000000-0005-0000-0000-0000AE340000}"/>
    <cellStyle name="40% - Accent2 3 2 3 2 3 2 2" xfId="14058" xr:uid="{00000000-0005-0000-0000-0000AF340000}"/>
    <cellStyle name="40% - Accent2 3 2 3 2 3 2 3" xfId="14059" xr:uid="{00000000-0005-0000-0000-0000B0340000}"/>
    <cellStyle name="40% - Accent2 3 2 3 2 3 3" xfId="14060" xr:uid="{00000000-0005-0000-0000-0000B1340000}"/>
    <cellStyle name="40% - Accent2 3 2 3 2 3 4" xfId="14061" xr:uid="{00000000-0005-0000-0000-0000B2340000}"/>
    <cellStyle name="40% - Accent2 3 2 3 2 3 5" xfId="14062" xr:uid="{00000000-0005-0000-0000-0000B3340000}"/>
    <cellStyle name="40% - Accent2 3 2 3 2 3 6" xfId="14063" xr:uid="{00000000-0005-0000-0000-0000B4340000}"/>
    <cellStyle name="40% - Accent2 3 2 3 2 4" xfId="14064" xr:uid="{00000000-0005-0000-0000-0000B5340000}"/>
    <cellStyle name="40% - Accent2 3 2 3 2 4 2" xfId="14065" xr:uid="{00000000-0005-0000-0000-0000B6340000}"/>
    <cellStyle name="40% - Accent2 3 2 3 2 4 3" xfId="14066" xr:uid="{00000000-0005-0000-0000-0000B7340000}"/>
    <cellStyle name="40% - Accent2 3 2 3 2 5" xfId="14067" xr:uid="{00000000-0005-0000-0000-0000B8340000}"/>
    <cellStyle name="40% - Accent2 3 2 3 2 6" xfId="14068" xr:uid="{00000000-0005-0000-0000-0000B9340000}"/>
    <cellStyle name="40% - Accent2 3 2 3 2 7" xfId="14069" xr:uid="{00000000-0005-0000-0000-0000BA340000}"/>
    <cellStyle name="40% - Accent2 3 2 3 2 8" xfId="14070" xr:uid="{00000000-0005-0000-0000-0000BB340000}"/>
    <cellStyle name="40% - Accent2 3 2 3 3" xfId="14071" xr:uid="{00000000-0005-0000-0000-0000BC340000}"/>
    <cellStyle name="40% - Accent2 3 2 3 3 2" xfId="14072" xr:uid="{00000000-0005-0000-0000-0000BD340000}"/>
    <cellStyle name="40% - Accent2 3 2 3 3 2 2" xfId="14073" xr:uid="{00000000-0005-0000-0000-0000BE340000}"/>
    <cellStyle name="40% - Accent2 3 2 3 3 2 2 2" xfId="14074" xr:uid="{00000000-0005-0000-0000-0000BF340000}"/>
    <cellStyle name="40% - Accent2 3 2 3 3 2 2 3" xfId="14075" xr:uid="{00000000-0005-0000-0000-0000C0340000}"/>
    <cellStyle name="40% - Accent2 3 2 3 3 2 3" xfId="14076" xr:uid="{00000000-0005-0000-0000-0000C1340000}"/>
    <cellStyle name="40% - Accent2 3 2 3 3 2 4" xfId="14077" xr:uid="{00000000-0005-0000-0000-0000C2340000}"/>
    <cellStyle name="40% - Accent2 3 2 3 3 2 5" xfId="14078" xr:uid="{00000000-0005-0000-0000-0000C3340000}"/>
    <cellStyle name="40% - Accent2 3 2 3 3 2 6" xfId="14079" xr:uid="{00000000-0005-0000-0000-0000C4340000}"/>
    <cellStyle name="40% - Accent2 3 2 3 3 3" xfId="14080" xr:uid="{00000000-0005-0000-0000-0000C5340000}"/>
    <cellStyle name="40% - Accent2 3 2 3 3 3 2" xfId="14081" xr:uid="{00000000-0005-0000-0000-0000C6340000}"/>
    <cellStyle name="40% - Accent2 3 2 3 3 3 3" xfId="14082" xr:uid="{00000000-0005-0000-0000-0000C7340000}"/>
    <cellStyle name="40% - Accent2 3 2 3 3 4" xfId="14083" xr:uid="{00000000-0005-0000-0000-0000C8340000}"/>
    <cellStyle name="40% - Accent2 3 2 3 3 5" xfId="14084" xr:uid="{00000000-0005-0000-0000-0000C9340000}"/>
    <cellStyle name="40% - Accent2 3 2 3 3 6" xfId="14085" xr:uid="{00000000-0005-0000-0000-0000CA340000}"/>
    <cellStyle name="40% - Accent2 3 2 3 3 7" xfId="14086" xr:uid="{00000000-0005-0000-0000-0000CB340000}"/>
    <cellStyle name="40% - Accent2 3 2 3 4" xfId="14087" xr:uid="{00000000-0005-0000-0000-0000CC340000}"/>
    <cellStyle name="40% - Accent2 3 2 3 4 2" xfId="14088" xr:uid="{00000000-0005-0000-0000-0000CD340000}"/>
    <cellStyle name="40% - Accent2 3 2 3 4 2 2" xfId="14089" xr:uid="{00000000-0005-0000-0000-0000CE340000}"/>
    <cellStyle name="40% - Accent2 3 2 3 4 2 3" xfId="14090" xr:uid="{00000000-0005-0000-0000-0000CF340000}"/>
    <cellStyle name="40% - Accent2 3 2 3 4 3" xfId="14091" xr:uid="{00000000-0005-0000-0000-0000D0340000}"/>
    <cellStyle name="40% - Accent2 3 2 3 4 4" xfId="14092" xr:uid="{00000000-0005-0000-0000-0000D1340000}"/>
    <cellStyle name="40% - Accent2 3 2 3 4 5" xfId="14093" xr:uid="{00000000-0005-0000-0000-0000D2340000}"/>
    <cellStyle name="40% - Accent2 3 2 3 4 6" xfId="14094" xr:uid="{00000000-0005-0000-0000-0000D3340000}"/>
    <cellStyle name="40% - Accent2 3 2 3 5" xfId="14095" xr:uid="{00000000-0005-0000-0000-0000D4340000}"/>
    <cellStyle name="40% - Accent2 3 2 3 5 2" xfId="14096" xr:uid="{00000000-0005-0000-0000-0000D5340000}"/>
    <cellStyle name="40% - Accent2 3 2 3 5 2 2" xfId="14097" xr:uid="{00000000-0005-0000-0000-0000D6340000}"/>
    <cellStyle name="40% - Accent2 3 2 3 5 2 3" xfId="14098" xr:uid="{00000000-0005-0000-0000-0000D7340000}"/>
    <cellStyle name="40% - Accent2 3 2 3 5 3" xfId="14099" xr:uid="{00000000-0005-0000-0000-0000D8340000}"/>
    <cellStyle name="40% - Accent2 3 2 3 5 4" xfId="14100" xr:uid="{00000000-0005-0000-0000-0000D9340000}"/>
    <cellStyle name="40% - Accent2 3 2 3 5 5" xfId="14101" xr:uid="{00000000-0005-0000-0000-0000DA340000}"/>
    <cellStyle name="40% - Accent2 3 2 3 5 6" xfId="14102" xr:uid="{00000000-0005-0000-0000-0000DB340000}"/>
    <cellStyle name="40% - Accent2 3 2 3 6" xfId="14103" xr:uid="{00000000-0005-0000-0000-0000DC340000}"/>
    <cellStyle name="40% - Accent2 3 2 3 6 2" xfId="14104" xr:uid="{00000000-0005-0000-0000-0000DD340000}"/>
    <cellStyle name="40% - Accent2 3 2 3 6 3" xfId="14105" xr:uid="{00000000-0005-0000-0000-0000DE340000}"/>
    <cellStyle name="40% - Accent2 3 2 3 7" xfId="14106" xr:uid="{00000000-0005-0000-0000-0000DF340000}"/>
    <cellStyle name="40% - Accent2 3 2 3 8" xfId="14107" xr:uid="{00000000-0005-0000-0000-0000E0340000}"/>
    <cellStyle name="40% - Accent2 3 2 3 9" xfId="14108" xr:uid="{00000000-0005-0000-0000-0000E1340000}"/>
    <cellStyle name="40% - Accent2 3 2 4" xfId="14109" xr:uid="{00000000-0005-0000-0000-0000E2340000}"/>
    <cellStyle name="40% - Accent2 3 2 4 2" xfId="14110" xr:uid="{00000000-0005-0000-0000-0000E3340000}"/>
    <cellStyle name="40% - Accent2 3 2 4 2 2" xfId="14111" xr:uid="{00000000-0005-0000-0000-0000E4340000}"/>
    <cellStyle name="40% - Accent2 3 2 4 2 2 2" xfId="14112" xr:uid="{00000000-0005-0000-0000-0000E5340000}"/>
    <cellStyle name="40% - Accent2 3 2 4 2 2 2 2" xfId="14113" xr:uid="{00000000-0005-0000-0000-0000E6340000}"/>
    <cellStyle name="40% - Accent2 3 2 4 2 2 2 3" xfId="14114" xr:uid="{00000000-0005-0000-0000-0000E7340000}"/>
    <cellStyle name="40% - Accent2 3 2 4 2 2 3" xfId="14115" xr:uid="{00000000-0005-0000-0000-0000E8340000}"/>
    <cellStyle name="40% - Accent2 3 2 4 2 2 4" xfId="14116" xr:uid="{00000000-0005-0000-0000-0000E9340000}"/>
    <cellStyle name="40% - Accent2 3 2 4 2 2 5" xfId="14117" xr:uid="{00000000-0005-0000-0000-0000EA340000}"/>
    <cellStyle name="40% - Accent2 3 2 4 2 2 6" xfId="14118" xr:uid="{00000000-0005-0000-0000-0000EB340000}"/>
    <cellStyle name="40% - Accent2 3 2 4 2 3" xfId="14119" xr:uid="{00000000-0005-0000-0000-0000EC340000}"/>
    <cellStyle name="40% - Accent2 3 2 4 2 3 2" xfId="14120" xr:uid="{00000000-0005-0000-0000-0000ED340000}"/>
    <cellStyle name="40% - Accent2 3 2 4 2 3 3" xfId="14121" xr:uid="{00000000-0005-0000-0000-0000EE340000}"/>
    <cellStyle name="40% - Accent2 3 2 4 2 4" xfId="14122" xr:uid="{00000000-0005-0000-0000-0000EF340000}"/>
    <cellStyle name="40% - Accent2 3 2 4 2 5" xfId="14123" xr:uid="{00000000-0005-0000-0000-0000F0340000}"/>
    <cellStyle name="40% - Accent2 3 2 4 2 6" xfId="14124" xr:uid="{00000000-0005-0000-0000-0000F1340000}"/>
    <cellStyle name="40% - Accent2 3 2 4 2 7" xfId="14125" xr:uid="{00000000-0005-0000-0000-0000F2340000}"/>
    <cellStyle name="40% - Accent2 3 2 4 3" xfId="14126" xr:uid="{00000000-0005-0000-0000-0000F3340000}"/>
    <cellStyle name="40% - Accent2 3 2 4 3 2" xfId="14127" xr:uid="{00000000-0005-0000-0000-0000F4340000}"/>
    <cellStyle name="40% - Accent2 3 2 4 3 2 2" xfId="14128" xr:uid="{00000000-0005-0000-0000-0000F5340000}"/>
    <cellStyle name="40% - Accent2 3 2 4 3 2 3" xfId="14129" xr:uid="{00000000-0005-0000-0000-0000F6340000}"/>
    <cellStyle name="40% - Accent2 3 2 4 3 3" xfId="14130" xr:uid="{00000000-0005-0000-0000-0000F7340000}"/>
    <cellStyle name="40% - Accent2 3 2 4 3 4" xfId="14131" xr:uid="{00000000-0005-0000-0000-0000F8340000}"/>
    <cellStyle name="40% - Accent2 3 2 4 3 5" xfId="14132" xr:uid="{00000000-0005-0000-0000-0000F9340000}"/>
    <cellStyle name="40% - Accent2 3 2 4 3 6" xfId="14133" xr:uid="{00000000-0005-0000-0000-0000FA340000}"/>
    <cellStyle name="40% - Accent2 3 2 4 4" xfId="14134" xr:uid="{00000000-0005-0000-0000-0000FB340000}"/>
    <cellStyle name="40% - Accent2 3 2 4 4 2" xfId="14135" xr:uid="{00000000-0005-0000-0000-0000FC340000}"/>
    <cellStyle name="40% - Accent2 3 2 4 4 2 2" xfId="14136" xr:uid="{00000000-0005-0000-0000-0000FD340000}"/>
    <cellStyle name="40% - Accent2 3 2 4 4 2 3" xfId="14137" xr:uid="{00000000-0005-0000-0000-0000FE340000}"/>
    <cellStyle name="40% - Accent2 3 2 4 4 3" xfId="14138" xr:uid="{00000000-0005-0000-0000-0000FF340000}"/>
    <cellStyle name="40% - Accent2 3 2 4 4 4" xfId="14139" xr:uid="{00000000-0005-0000-0000-000000350000}"/>
    <cellStyle name="40% - Accent2 3 2 4 4 5" xfId="14140" xr:uid="{00000000-0005-0000-0000-000001350000}"/>
    <cellStyle name="40% - Accent2 3 2 4 4 6" xfId="14141" xr:uid="{00000000-0005-0000-0000-000002350000}"/>
    <cellStyle name="40% - Accent2 3 2 4 5" xfId="14142" xr:uid="{00000000-0005-0000-0000-000003350000}"/>
    <cellStyle name="40% - Accent2 3 2 4 5 2" xfId="14143" xr:uid="{00000000-0005-0000-0000-000004350000}"/>
    <cellStyle name="40% - Accent2 3 2 4 5 3" xfId="14144" xr:uid="{00000000-0005-0000-0000-000005350000}"/>
    <cellStyle name="40% - Accent2 3 2 4 6" xfId="14145" xr:uid="{00000000-0005-0000-0000-000006350000}"/>
    <cellStyle name="40% - Accent2 3 2 4 7" xfId="14146" xr:uid="{00000000-0005-0000-0000-000007350000}"/>
    <cellStyle name="40% - Accent2 3 2 4 8" xfId="14147" xr:uid="{00000000-0005-0000-0000-000008350000}"/>
    <cellStyle name="40% - Accent2 3 2 4 9" xfId="14148" xr:uid="{00000000-0005-0000-0000-000009350000}"/>
    <cellStyle name="40% - Accent2 3 2 5" xfId="14149" xr:uid="{00000000-0005-0000-0000-00000A350000}"/>
    <cellStyle name="40% - Accent2 3 2 5 2" xfId="14150" xr:uid="{00000000-0005-0000-0000-00000B350000}"/>
    <cellStyle name="40% - Accent2 3 2 5 2 2" xfId="14151" xr:uid="{00000000-0005-0000-0000-00000C350000}"/>
    <cellStyle name="40% - Accent2 3 2 5 2 2 2" xfId="14152" xr:uid="{00000000-0005-0000-0000-00000D350000}"/>
    <cellStyle name="40% - Accent2 3 2 5 2 2 3" xfId="14153" xr:uid="{00000000-0005-0000-0000-00000E350000}"/>
    <cellStyle name="40% - Accent2 3 2 5 2 3" xfId="14154" xr:uid="{00000000-0005-0000-0000-00000F350000}"/>
    <cellStyle name="40% - Accent2 3 2 5 2 4" xfId="14155" xr:uid="{00000000-0005-0000-0000-000010350000}"/>
    <cellStyle name="40% - Accent2 3 2 5 2 5" xfId="14156" xr:uid="{00000000-0005-0000-0000-000011350000}"/>
    <cellStyle name="40% - Accent2 3 2 5 2 6" xfId="14157" xr:uid="{00000000-0005-0000-0000-000012350000}"/>
    <cellStyle name="40% - Accent2 3 2 5 3" xfId="14158" xr:uid="{00000000-0005-0000-0000-000013350000}"/>
    <cellStyle name="40% - Accent2 3 2 5 3 2" xfId="14159" xr:uid="{00000000-0005-0000-0000-000014350000}"/>
    <cellStyle name="40% - Accent2 3 2 5 3 3" xfId="14160" xr:uid="{00000000-0005-0000-0000-000015350000}"/>
    <cellStyle name="40% - Accent2 3 2 5 4" xfId="14161" xr:uid="{00000000-0005-0000-0000-000016350000}"/>
    <cellStyle name="40% - Accent2 3 2 5 5" xfId="14162" xr:uid="{00000000-0005-0000-0000-000017350000}"/>
    <cellStyle name="40% - Accent2 3 2 5 6" xfId="14163" xr:uid="{00000000-0005-0000-0000-000018350000}"/>
    <cellStyle name="40% - Accent2 3 2 5 7" xfId="14164" xr:uid="{00000000-0005-0000-0000-000019350000}"/>
    <cellStyle name="40% - Accent2 3 2 6" xfId="14165" xr:uid="{00000000-0005-0000-0000-00001A350000}"/>
    <cellStyle name="40% - Accent2 3 2 6 2" xfId="14166" xr:uid="{00000000-0005-0000-0000-00001B350000}"/>
    <cellStyle name="40% - Accent2 3 2 6 2 2" xfId="14167" xr:uid="{00000000-0005-0000-0000-00001C350000}"/>
    <cellStyle name="40% - Accent2 3 2 6 2 3" xfId="14168" xr:uid="{00000000-0005-0000-0000-00001D350000}"/>
    <cellStyle name="40% - Accent2 3 2 6 3" xfId="14169" xr:uid="{00000000-0005-0000-0000-00001E350000}"/>
    <cellStyle name="40% - Accent2 3 2 6 4" xfId="14170" xr:uid="{00000000-0005-0000-0000-00001F350000}"/>
    <cellStyle name="40% - Accent2 3 2 6 5" xfId="14171" xr:uid="{00000000-0005-0000-0000-000020350000}"/>
    <cellStyle name="40% - Accent2 3 2 6 6" xfId="14172" xr:uid="{00000000-0005-0000-0000-000021350000}"/>
    <cellStyle name="40% - Accent2 3 2 7" xfId="14173" xr:uid="{00000000-0005-0000-0000-000022350000}"/>
    <cellStyle name="40% - Accent2 3 2 7 2" xfId="14174" xr:uid="{00000000-0005-0000-0000-000023350000}"/>
    <cellStyle name="40% - Accent2 3 2 7 2 2" xfId="14175" xr:uid="{00000000-0005-0000-0000-000024350000}"/>
    <cellStyle name="40% - Accent2 3 2 7 2 3" xfId="14176" xr:uid="{00000000-0005-0000-0000-000025350000}"/>
    <cellStyle name="40% - Accent2 3 2 7 3" xfId="14177" xr:uid="{00000000-0005-0000-0000-000026350000}"/>
    <cellStyle name="40% - Accent2 3 2 7 4" xfId="14178" xr:uid="{00000000-0005-0000-0000-000027350000}"/>
    <cellStyle name="40% - Accent2 3 2 7 5" xfId="14179" xr:uid="{00000000-0005-0000-0000-000028350000}"/>
    <cellStyle name="40% - Accent2 3 2 7 6" xfId="14180" xr:uid="{00000000-0005-0000-0000-000029350000}"/>
    <cellStyle name="40% - Accent2 3 2 8" xfId="14181" xr:uid="{00000000-0005-0000-0000-00002A350000}"/>
    <cellStyle name="40% - Accent2 3 2 8 2" xfId="14182" xr:uid="{00000000-0005-0000-0000-00002B350000}"/>
    <cellStyle name="40% - Accent2 3 2 8 2 2" xfId="14183" xr:uid="{00000000-0005-0000-0000-00002C350000}"/>
    <cellStyle name="40% - Accent2 3 2 8 2 3" xfId="14184" xr:uid="{00000000-0005-0000-0000-00002D350000}"/>
    <cellStyle name="40% - Accent2 3 2 8 3" xfId="14185" xr:uid="{00000000-0005-0000-0000-00002E350000}"/>
    <cellStyle name="40% - Accent2 3 2 8 4" xfId="14186" xr:uid="{00000000-0005-0000-0000-00002F350000}"/>
    <cellStyle name="40% - Accent2 3 2 8 5" xfId="14187" xr:uid="{00000000-0005-0000-0000-000030350000}"/>
    <cellStyle name="40% - Accent2 3 2 8 6" xfId="14188" xr:uid="{00000000-0005-0000-0000-000031350000}"/>
    <cellStyle name="40% - Accent2 3 2 9" xfId="14189" xr:uid="{00000000-0005-0000-0000-000032350000}"/>
    <cellStyle name="40% - Accent2 3 2 9 2" xfId="14190" xr:uid="{00000000-0005-0000-0000-000033350000}"/>
    <cellStyle name="40% - Accent2 3 2 9 2 2" xfId="14191" xr:uid="{00000000-0005-0000-0000-000034350000}"/>
    <cellStyle name="40% - Accent2 3 2 9 2 3" xfId="14192" xr:uid="{00000000-0005-0000-0000-000035350000}"/>
    <cellStyle name="40% - Accent2 3 2 9 3" xfId="14193" xr:uid="{00000000-0005-0000-0000-000036350000}"/>
    <cellStyle name="40% - Accent2 3 2 9 4" xfId="14194" xr:uid="{00000000-0005-0000-0000-000037350000}"/>
    <cellStyle name="40% - Accent2 3 2 9 5" xfId="14195" xr:uid="{00000000-0005-0000-0000-000038350000}"/>
    <cellStyle name="40% - Accent2 3 2 9 6" xfId="14196" xr:uid="{00000000-0005-0000-0000-000039350000}"/>
    <cellStyle name="40% - Accent2 3 3" xfId="14197" xr:uid="{00000000-0005-0000-0000-00003A350000}"/>
    <cellStyle name="40% - Accent2 3 3 10" xfId="14198" xr:uid="{00000000-0005-0000-0000-00003B350000}"/>
    <cellStyle name="40% - Accent2 3 3 10 2" xfId="14199" xr:uid="{00000000-0005-0000-0000-00003C350000}"/>
    <cellStyle name="40% - Accent2 3 3 10 3" xfId="14200" xr:uid="{00000000-0005-0000-0000-00003D350000}"/>
    <cellStyle name="40% - Accent2 3 3 11" xfId="14201" xr:uid="{00000000-0005-0000-0000-00003E350000}"/>
    <cellStyle name="40% - Accent2 3 3 12" xfId="14202" xr:uid="{00000000-0005-0000-0000-00003F350000}"/>
    <cellStyle name="40% - Accent2 3 3 13" xfId="14203" xr:uid="{00000000-0005-0000-0000-000040350000}"/>
    <cellStyle name="40% - Accent2 3 3 14" xfId="14204" xr:uid="{00000000-0005-0000-0000-000041350000}"/>
    <cellStyle name="40% - Accent2 3 3 2" xfId="14205" xr:uid="{00000000-0005-0000-0000-000042350000}"/>
    <cellStyle name="40% - Accent2 3 3 2 10" xfId="14206" xr:uid="{00000000-0005-0000-0000-000043350000}"/>
    <cellStyle name="40% - Accent2 3 3 2 11" xfId="14207" xr:uid="{00000000-0005-0000-0000-000044350000}"/>
    <cellStyle name="40% - Accent2 3 3 2 12" xfId="14208" xr:uid="{00000000-0005-0000-0000-000045350000}"/>
    <cellStyle name="40% - Accent2 3 3 2 13" xfId="14209" xr:uid="{00000000-0005-0000-0000-000046350000}"/>
    <cellStyle name="40% - Accent2 3 3 2 2" xfId="14210" xr:uid="{00000000-0005-0000-0000-000047350000}"/>
    <cellStyle name="40% - Accent2 3 3 2 2 10" xfId="14211" xr:uid="{00000000-0005-0000-0000-000048350000}"/>
    <cellStyle name="40% - Accent2 3 3 2 2 2" xfId="14212" xr:uid="{00000000-0005-0000-0000-000049350000}"/>
    <cellStyle name="40% - Accent2 3 3 2 2 2 2" xfId="14213" xr:uid="{00000000-0005-0000-0000-00004A350000}"/>
    <cellStyle name="40% - Accent2 3 3 2 2 2 2 2" xfId="14214" xr:uid="{00000000-0005-0000-0000-00004B350000}"/>
    <cellStyle name="40% - Accent2 3 3 2 2 2 2 2 2" xfId="14215" xr:uid="{00000000-0005-0000-0000-00004C350000}"/>
    <cellStyle name="40% - Accent2 3 3 2 2 2 2 2 3" xfId="14216" xr:uid="{00000000-0005-0000-0000-00004D350000}"/>
    <cellStyle name="40% - Accent2 3 3 2 2 2 2 3" xfId="14217" xr:uid="{00000000-0005-0000-0000-00004E350000}"/>
    <cellStyle name="40% - Accent2 3 3 2 2 2 2 4" xfId="14218" xr:uid="{00000000-0005-0000-0000-00004F350000}"/>
    <cellStyle name="40% - Accent2 3 3 2 2 2 2 5" xfId="14219" xr:uid="{00000000-0005-0000-0000-000050350000}"/>
    <cellStyle name="40% - Accent2 3 3 2 2 2 2 6" xfId="14220" xr:uid="{00000000-0005-0000-0000-000051350000}"/>
    <cellStyle name="40% - Accent2 3 3 2 2 2 3" xfId="14221" xr:uid="{00000000-0005-0000-0000-000052350000}"/>
    <cellStyle name="40% - Accent2 3 3 2 2 2 3 2" xfId="14222" xr:uid="{00000000-0005-0000-0000-000053350000}"/>
    <cellStyle name="40% - Accent2 3 3 2 2 2 3 2 2" xfId="14223" xr:uid="{00000000-0005-0000-0000-000054350000}"/>
    <cellStyle name="40% - Accent2 3 3 2 2 2 3 2 3" xfId="14224" xr:uid="{00000000-0005-0000-0000-000055350000}"/>
    <cellStyle name="40% - Accent2 3 3 2 2 2 3 3" xfId="14225" xr:uid="{00000000-0005-0000-0000-000056350000}"/>
    <cellStyle name="40% - Accent2 3 3 2 2 2 3 4" xfId="14226" xr:uid="{00000000-0005-0000-0000-000057350000}"/>
    <cellStyle name="40% - Accent2 3 3 2 2 2 3 5" xfId="14227" xr:uid="{00000000-0005-0000-0000-000058350000}"/>
    <cellStyle name="40% - Accent2 3 3 2 2 2 3 6" xfId="14228" xr:uid="{00000000-0005-0000-0000-000059350000}"/>
    <cellStyle name="40% - Accent2 3 3 2 2 2 4" xfId="14229" xr:uid="{00000000-0005-0000-0000-00005A350000}"/>
    <cellStyle name="40% - Accent2 3 3 2 2 2 4 2" xfId="14230" xr:uid="{00000000-0005-0000-0000-00005B350000}"/>
    <cellStyle name="40% - Accent2 3 3 2 2 2 4 3" xfId="14231" xr:uid="{00000000-0005-0000-0000-00005C350000}"/>
    <cellStyle name="40% - Accent2 3 3 2 2 2 5" xfId="14232" xr:uid="{00000000-0005-0000-0000-00005D350000}"/>
    <cellStyle name="40% - Accent2 3 3 2 2 2 6" xfId="14233" xr:uid="{00000000-0005-0000-0000-00005E350000}"/>
    <cellStyle name="40% - Accent2 3 3 2 2 2 7" xfId="14234" xr:uid="{00000000-0005-0000-0000-00005F350000}"/>
    <cellStyle name="40% - Accent2 3 3 2 2 2 8" xfId="14235" xr:uid="{00000000-0005-0000-0000-000060350000}"/>
    <cellStyle name="40% - Accent2 3 3 2 2 3" xfId="14236" xr:uid="{00000000-0005-0000-0000-000061350000}"/>
    <cellStyle name="40% - Accent2 3 3 2 2 3 2" xfId="14237" xr:uid="{00000000-0005-0000-0000-000062350000}"/>
    <cellStyle name="40% - Accent2 3 3 2 2 3 2 2" xfId="14238" xr:uid="{00000000-0005-0000-0000-000063350000}"/>
    <cellStyle name="40% - Accent2 3 3 2 2 3 2 2 2" xfId="14239" xr:uid="{00000000-0005-0000-0000-000064350000}"/>
    <cellStyle name="40% - Accent2 3 3 2 2 3 2 2 3" xfId="14240" xr:uid="{00000000-0005-0000-0000-000065350000}"/>
    <cellStyle name="40% - Accent2 3 3 2 2 3 2 3" xfId="14241" xr:uid="{00000000-0005-0000-0000-000066350000}"/>
    <cellStyle name="40% - Accent2 3 3 2 2 3 2 4" xfId="14242" xr:uid="{00000000-0005-0000-0000-000067350000}"/>
    <cellStyle name="40% - Accent2 3 3 2 2 3 2 5" xfId="14243" xr:uid="{00000000-0005-0000-0000-000068350000}"/>
    <cellStyle name="40% - Accent2 3 3 2 2 3 2 6" xfId="14244" xr:uid="{00000000-0005-0000-0000-000069350000}"/>
    <cellStyle name="40% - Accent2 3 3 2 2 3 3" xfId="14245" xr:uid="{00000000-0005-0000-0000-00006A350000}"/>
    <cellStyle name="40% - Accent2 3 3 2 2 3 3 2" xfId="14246" xr:uid="{00000000-0005-0000-0000-00006B350000}"/>
    <cellStyle name="40% - Accent2 3 3 2 2 3 3 3" xfId="14247" xr:uid="{00000000-0005-0000-0000-00006C350000}"/>
    <cellStyle name="40% - Accent2 3 3 2 2 3 4" xfId="14248" xr:uid="{00000000-0005-0000-0000-00006D350000}"/>
    <cellStyle name="40% - Accent2 3 3 2 2 3 5" xfId="14249" xr:uid="{00000000-0005-0000-0000-00006E350000}"/>
    <cellStyle name="40% - Accent2 3 3 2 2 3 6" xfId="14250" xr:uid="{00000000-0005-0000-0000-00006F350000}"/>
    <cellStyle name="40% - Accent2 3 3 2 2 3 7" xfId="14251" xr:uid="{00000000-0005-0000-0000-000070350000}"/>
    <cellStyle name="40% - Accent2 3 3 2 2 4" xfId="14252" xr:uid="{00000000-0005-0000-0000-000071350000}"/>
    <cellStyle name="40% - Accent2 3 3 2 2 4 2" xfId="14253" xr:uid="{00000000-0005-0000-0000-000072350000}"/>
    <cellStyle name="40% - Accent2 3 3 2 2 4 2 2" xfId="14254" xr:uid="{00000000-0005-0000-0000-000073350000}"/>
    <cellStyle name="40% - Accent2 3 3 2 2 4 2 3" xfId="14255" xr:uid="{00000000-0005-0000-0000-000074350000}"/>
    <cellStyle name="40% - Accent2 3 3 2 2 4 3" xfId="14256" xr:uid="{00000000-0005-0000-0000-000075350000}"/>
    <cellStyle name="40% - Accent2 3 3 2 2 4 4" xfId="14257" xr:uid="{00000000-0005-0000-0000-000076350000}"/>
    <cellStyle name="40% - Accent2 3 3 2 2 4 5" xfId="14258" xr:uid="{00000000-0005-0000-0000-000077350000}"/>
    <cellStyle name="40% - Accent2 3 3 2 2 4 6" xfId="14259" xr:uid="{00000000-0005-0000-0000-000078350000}"/>
    <cellStyle name="40% - Accent2 3 3 2 2 5" xfId="14260" xr:uid="{00000000-0005-0000-0000-000079350000}"/>
    <cellStyle name="40% - Accent2 3 3 2 2 5 2" xfId="14261" xr:uid="{00000000-0005-0000-0000-00007A350000}"/>
    <cellStyle name="40% - Accent2 3 3 2 2 5 2 2" xfId="14262" xr:uid="{00000000-0005-0000-0000-00007B350000}"/>
    <cellStyle name="40% - Accent2 3 3 2 2 5 2 3" xfId="14263" xr:uid="{00000000-0005-0000-0000-00007C350000}"/>
    <cellStyle name="40% - Accent2 3 3 2 2 5 3" xfId="14264" xr:uid="{00000000-0005-0000-0000-00007D350000}"/>
    <cellStyle name="40% - Accent2 3 3 2 2 5 4" xfId="14265" xr:uid="{00000000-0005-0000-0000-00007E350000}"/>
    <cellStyle name="40% - Accent2 3 3 2 2 5 5" xfId="14266" xr:uid="{00000000-0005-0000-0000-00007F350000}"/>
    <cellStyle name="40% - Accent2 3 3 2 2 5 6" xfId="14267" xr:uid="{00000000-0005-0000-0000-000080350000}"/>
    <cellStyle name="40% - Accent2 3 3 2 2 6" xfId="14268" xr:uid="{00000000-0005-0000-0000-000081350000}"/>
    <cellStyle name="40% - Accent2 3 3 2 2 6 2" xfId="14269" xr:uid="{00000000-0005-0000-0000-000082350000}"/>
    <cellStyle name="40% - Accent2 3 3 2 2 6 3" xfId="14270" xr:uid="{00000000-0005-0000-0000-000083350000}"/>
    <cellStyle name="40% - Accent2 3 3 2 2 7" xfId="14271" xr:uid="{00000000-0005-0000-0000-000084350000}"/>
    <cellStyle name="40% - Accent2 3 3 2 2 8" xfId="14272" xr:uid="{00000000-0005-0000-0000-000085350000}"/>
    <cellStyle name="40% - Accent2 3 3 2 2 9" xfId="14273" xr:uid="{00000000-0005-0000-0000-000086350000}"/>
    <cellStyle name="40% - Accent2 3 3 2 3" xfId="14274" xr:uid="{00000000-0005-0000-0000-000087350000}"/>
    <cellStyle name="40% - Accent2 3 3 2 3 2" xfId="14275" xr:uid="{00000000-0005-0000-0000-000088350000}"/>
    <cellStyle name="40% - Accent2 3 3 2 3 2 2" xfId="14276" xr:uid="{00000000-0005-0000-0000-000089350000}"/>
    <cellStyle name="40% - Accent2 3 3 2 3 2 2 2" xfId="14277" xr:uid="{00000000-0005-0000-0000-00008A350000}"/>
    <cellStyle name="40% - Accent2 3 3 2 3 2 2 2 2" xfId="14278" xr:uid="{00000000-0005-0000-0000-00008B350000}"/>
    <cellStyle name="40% - Accent2 3 3 2 3 2 2 2 3" xfId="14279" xr:uid="{00000000-0005-0000-0000-00008C350000}"/>
    <cellStyle name="40% - Accent2 3 3 2 3 2 2 3" xfId="14280" xr:uid="{00000000-0005-0000-0000-00008D350000}"/>
    <cellStyle name="40% - Accent2 3 3 2 3 2 2 4" xfId="14281" xr:uid="{00000000-0005-0000-0000-00008E350000}"/>
    <cellStyle name="40% - Accent2 3 3 2 3 2 2 5" xfId="14282" xr:uid="{00000000-0005-0000-0000-00008F350000}"/>
    <cellStyle name="40% - Accent2 3 3 2 3 2 2 6" xfId="14283" xr:uid="{00000000-0005-0000-0000-000090350000}"/>
    <cellStyle name="40% - Accent2 3 3 2 3 2 3" xfId="14284" xr:uid="{00000000-0005-0000-0000-000091350000}"/>
    <cellStyle name="40% - Accent2 3 3 2 3 2 3 2" xfId="14285" xr:uid="{00000000-0005-0000-0000-000092350000}"/>
    <cellStyle name="40% - Accent2 3 3 2 3 2 3 3" xfId="14286" xr:uid="{00000000-0005-0000-0000-000093350000}"/>
    <cellStyle name="40% - Accent2 3 3 2 3 2 4" xfId="14287" xr:uid="{00000000-0005-0000-0000-000094350000}"/>
    <cellStyle name="40% - Accent2 3 3 2 3 2 5" xfId="14288" xr:uid="{00000000-0005-0000-0000-000095350000}"/>
    <cellStyle name="40% - Accent2 3 3 2 3 2 6" xfId="14289" xr:uid="{00000000-0005-0000-0000-000096350000}"/>
    <cellStyle name="40% - Accent2 3 3 2 3 2 7" xfId="14290" xr:uid="{00000000-0005-0000-0000-000097350000}"/>
    <cellStyle name="40% - Accent2 3 3 2 3 3" xfId="14291" xr:uid="{00000000-0005-0000-0000-000098350000}"/>
    <cellStyle name="40% - Accent2 3 3 2 3 3 2" xfId="14292" xr:uid="{00000000-0005-0000-0000-000099350000}"/>
    <cellStyle name="40% - Accent2 3 3 2 3 3 2 2" xfId="14293" xr:uid="{00000000-0005-0000-0000-00009A350000}"/>
    <cellStyle name="40% - Accent2 3 3 2 3 3 2 3" xfId="14294" xr:uid="{00000000-0005-0000-0000-00009B350000}"/>
    <cellStyle name="40% - Accent2 3 3 2 3 3 3" xfId="14295" xr:uid="{00000000-0005-0000-0000-00009C350000}"/>
    <cellStyle name="40% - Accent2 3 3 2 3 3 4" xfId="14296" xr:uid="{00000000-0005-0000-0000-00009D350000}"/>
    <cellStyle name="40% - Accent2 3 3 2 3 3 5" xfId="14297" xr:uid="{00000000-0005-0000-0000-00009E350000}"/>
    <cellStyle name="40% - Accent2 3 3 2 3 3 6" xfId="14298" xr:uid="{00000000-0005-0000-0000-00009F350000}"/>
    <cellStyle name="40% - Accent2 3 3 2 3 4" xfId="14299" xr:uid="{00000000-0005-0000-0000-0000A0350000}"/>
    <cellStyle name="40% - Accent2 3 3 2 3 4 2" xfId="14300" xr:uid="{00000000-0005-0000-0000-0000A1350000}"/>
    <cellStyle name="40% - Accent2 3 3 2 3 4 2 2" xfId="14301" xr:uid="{00000000-0005-0000-0000-0000A2350000}"/>
    <cellStyle name="40% - Accent2 3 3 2 3 4 2 3" xfId="14302" xr:uid="{00000000-0005-0000-0000-0000A3350000}"/>
    <cellStyle name="40% - Accent2 3 3 2 3 4 3" xfId="14303" xr:uid="{00000000-0005-0000-0000-0000A4350000}"/>
    <cellStyle name="40% - Accent2 3 3 2 3 4 4" xfId="14304" xr:uid="{00000000-0005-0000-0000-0000A5350000}"/>
    <cellStyle name="40% - Accent2 3 3 2 3 4 5" xfId="14305" xr:uid="{00000000-0005-0000-0000-0000A6350000}"/>
    <cellStyle name="40% - Accent2 3 3 2 3 4 6" xfId="14306" xr:uid="{00000000-0005-0000-0000-0000A7350000}"/>
    <cellStyle name="40% - Accent2 3 3 2 3 5" xfId="14307" xr:uid="{00000000-0005-0000-0000-0000A8350000}"/>
    <cellStyle name="40% - Accent2 3 3 2 3 5 2" xfId="14308" xr:uid="{00000000-0005-0000-0000-0000A9350000}"/>
    <cellStyle name="40% - Accent2 3 3 2 3 5 3" xfId="14309" xr:uid="{00000000-0005-0000-0000-0000AA350000}"/>
    <cellStyle name="40% - Accent2 3 3 2 3 6" xfId="14310" xr:uid="{00000000-0005-0000-0000-0000AB350000}"/>
    <cellStyle name="40% - Accent2 3 3 2 3 7" xfId="14311" xr:uid="{00000000-0005-0000-0000-0000AC350000}"/>
    <cellStyle name="40% - Accent2 3 3 2 3 8" xfId="14312" xr:uid="{00000000-0005-0000-0000-0000AD350000}"/>
    <cellStyle name="40% - Accent2 3 3 2 3 9" xfId="14313" xr:uid="{00000000-0005-0000-0000-0000AE350000}"/>
    <cellStyle name="40% - Accent2 3 3 2 4" xfId="14314" xr:uid="{00000000-0005-0000-0000-0000AF350000}"/>
    <cellStyle name="40% - Accent2 3 3 2 4 2" xfId="14315" xr:uid="{00000000-0005-0000-0000-0000B0350000}"/>
    <cellStyle name="40% - Accent2 3 3 2 4 2 2" xfId="14316" xr:uid="{00000000-0005-0000-0000-0000B1350000}"/>
    <cellStyle name="40% - Accent2 3 3 2 4 2 2 2" xfId="14317" xr:uid="{00000000-0005-0000-0000-0000B2350000}"/>
    <cellStyle name="40% - Accent2 3 3 2 4 2 2 3" xfId="14318" xr:uid="{00000000-0005-0000-0000-0000B3350000}"/>
    <cellStyle name="40% - Accent2 3 3 2 4 2 3" xfId="14319" xr:uid="{00000000-0005-0000-0000-0000B4350000}"/>
    <cellStyle name="40% - Accent2 3 3 2 4 2 4" xfId="14320" xr:uid="{00000000-0005-0000-0000-0000B5350000}"/>
    <cellStyle name="40% - Accent2 3 3 2 4 2 5" xfId="14321" xr:uid="{00000000-0005-0000-0000-0000B6350000}"/>
    <cellStyle name="40% - Accent2 3 3 2 4 2 6" xfId="14322" xr:uid="{00000000-0005-0000-0000-0000B7350000}"/>
    <cellStyle name="40% - Accent2 3 3 2 4 3" xfId="14323" xr:uid="{00000000-0005-0000-0000-0000B8350000}"/>
    <cellStyle name="40% - Accent2 3 3 2 4 3 2" xfId="14324" xr:uid="{00000000-0005-0000-0000-0000B9350000}"/>
    <cellStyle name="40% - Accent2 3 3 2 4 3 3" xfId="14325" xr:uid="{00000000-0005-0000-0000-0000BA350000}"/>
    <cellStyle name="40% - Accent2 3 3 2 4 4" xfId="14326" xr:uid="{00000000-0005-0000-0000-0000BB350000}"/>
    <cellStyle name="40% - Accent2 3 3 2 4 5" xfId="14327" xr:uid="{00000000-0005-0000-0000-0000BC350000}"/>
    <cellStyle name="40% - Accent2 3 3 2 4 6" xfId="14328" xr:uid="{00000000-0005-0000-0000-0000BD350000}"/>
    <cellStyle name="40% - Accent2 3 3 2 4 7" xfId="14329" xr:uid="{00000000-0005-0000-0000-0000BE350000}"/>
    <cellStyle name="40% - Accent2 3 3 2 5" xfId="14330" xr:uid="{00000000-0005-0000-0000-0000BF350000}"/>
    <cellStyle name="40% - Accent2 3 3 2 5 2" xfId="14331" xr:uid="{00000000-0005-0000-0000-0000C0350000}"/>
    <cellStyle name="40% - Accent2 3 3 2 5 2 2" xfId="14332" xr:uid="{00000000-0005-0000-0000-0000C1350000}"/>
    <cellStyle name="40% - Accent2 3 3 2 5 2 3" xfId="14333" xr:uid="{00000000-0005-0000-0000-0000C2350000}"/>
    <cellStyle name="40% - Accent2 3 3 2 5 3" xfId="14334" xr:uid="{00000000-0005-0000-0000-0000C3350000}"/>
    <cellStyle name="40% - Accent2 3 3 2 5 4" xfId="14335" xr:uid="{00000000-0005-0000-0000-0000C4350000}"/>
    <cellStyle name="40% - Accent2 3 3 2 5 5" xfId="14336" xr:uid="{00000000-0005-0000-0000-0000C5350000}"/>
    <cellStyle name="40% - Accent2 3 3 2 5 6" xfId="14337" xr:uid="{00000000-0005-0000-0000-0000C6350000}"/>
    <cellStyle name="40% - Accent2 3 3 2 6" xfId="14338" xr:uid="{00000000-0005-0000-0000-0000C7350000}"/>
    <cellStyle name="40% - Accent2 3 3 2 6 2" xfId="14339" xr:uid="{00000000-0005-0000-0000-0000C8350000}"/>
    <cellStyle name="40% - Accent2 3 3 2 6 2 2" xfId="14340" xr:uid="{00000000-0005-0000-0000-0000C9350000}"/>
    <cellStyle name="40% - Accent2 3 3 2 6 2 3" xfId="14341" xr:uid="{00000000-0005-0000-0000-0000CA350000}"/>
    <cellStyle name="40% - Accent2 3 3 2 6 3" xfId="14342" xr:uid="{00000000-0005-0000-0000-0000CB350000}"/>
    <cellStyle name="40% - Accent2 3 3 2 6 4" xfId="14343" xr:uid="{00000000-0005-0000-0000-0000CC350000}"/>
    <cellStyle name="40% - Accent2 3 3 2 6 5" xfId="14344" xr:uid="{00000000-0005-0000-0000-0000CD350000}"/>
    <cellStyle name="40% - Accent2 3 3 2 6 6" xfId="14345" xr:uid="{00000000-0005-0000-0000-0000CE350000}"/>
    <cellStyle name="40% - Accent2 3 3 2 7" xfId="14346" xr:uid="{00000000-0005-0000-0000-0000CF350000}"/>
    <cellStyle name="40% - Accent2 3 3 2 7 2" xfId="14347" xr:uid="{00000000-0005-0000-0000-0000D0350000}"/>
    <cellStyle name="40% - Accent2 3 3 2 7 2 2" xfId="14348" xr:uid="{00000000-0005-0000-0000-0000D1350000}"/>
    <cellStyle name="40% - Accent2 3 3 2 7 2 3" xfId="14349" xr:uid="{00000000-0005-0000-0000-0000D2350000}"/>
    <cellStyle name="40% - Accent2 3 3 2 7 3" xfId="14350" xr:uid="{00000000-0005-0000-0000-0000D3350000}"/>
    <cellStyle name="40% - Accent2 3 3 2 7 4" xfId="14351" xr:uid="{00000000-0005-0000-0000-0000D4350000}"/>
    <cellStyle name="40% - Accent2 3 3 2 7 5" xfId="14352" xr:uid="{00000000-0005-0000-0000-0000D5350000}"/>
    <cellStyle name="40% - Accent2 3 3 2 7 6" xfId="14353" xr:uid="{00000000-0005-0000-0000-0000D6350000}"/>
    <cellStyle name="40% - Accent2 3 3 2 8" xfId="14354" xr:uid="{00000000-0005-0000-0000-0000D7350000}"/>
    <cellStyle name="40% - Accent2 3 3 2 8 2" xfId="14355" xr:uid="{00000000-0005-0000-0000-0000D8350000}"/>
    <cellStyle name="40% - Accent2 3 3 2 8 2 2" xfId="14356" xr:uid="{00000000-0005-0000-0000-0000D9350000}"/>
    <cellStyle name="40% - Accent2 3 3 2 8 2 3" xfId="14357" xr:uid="{00000000-0005-0000-0000-0000DA350000}"/>
    <cellStyle name="40% - Accent2 3 3 2 8 3" xfId="14358" xr:uid="{00000000-0005-0000-0000-0000DB350000}"/>
    <cellStyle name="40% - Accent2 3 3 2 8 4" xfId="14359" xr:uid="{00000000-0005-0000-0000-0000DC350000}"/>
    <cellStyle name="40% - Accent2 3 3 2 8 5" xfId="14360" xr:uid="{00000000-0005-0000-0000-0000DD350000}"/>
    <cellStyle name="40% - Accent2 3 3 2 8 6" xfId="14361" xr:uid="{00000000-0005-0000-0000-0000DE350000}"/>
    <cellStyle name="40% - Accent2 3 3 2 9" xfId="14362" xr:uid="{00000000-0005-0000-0000-0000DF350000}"/>
    <cellStyle name="40% - Accent2 3 3 2 9 2" xfId="14363" xr:uid="{00000000-0005-0000-0000-0000E0350000}"/>
    <cellStyle name="40% - Accent2 3 3 2 9 3" xfId="14364" xr:uid="{00000000-0005-0000-0000-0000E1350000}"/>
    <cellStyle name="40% - Accent2 3 3 3" xfId="14365" xr:uid="{00000000-0005-0000-0000-0000E2350000}"/>
    <cellStyle name="40% - Accent2 3 3 3 10" xfId="14366" xr:uid="{00000000-0005-0000-0000-0000E3350000}"/>
    <cellStyle name="40% - Accent2 3 3 3 2" xfId="14367" xr:uid="{00000000-0005-0000-0000-0000E4350000}"/>
    <cellStyle name="40% - Accent2 3 3 3 2 2" xfId="14368" xr:uid="{00000000-0005-0000-0000-0000E5350000}"/>
    <cellStyle name="40% - Accent2 3 3 3 2 2 2" xfId="14369" xr:uid="{00000000-0005-0000-0000-0000E6350000}"/>
    <cellStyle name="40% - Accent2 3 3 3 2 2 2 2" xfId="14370" xr:uid="{00000000-0005-0000-0000-0000E7350000}"/>
    <cellStyle name="40% - Accent2 3 3 3 2 2 2 3" xfId="14371" xr:uid="{00000000-0005-0000-0000-0000E8350000}"/>
    <cellStyle name="40% - Accent2 3 3 3 2 2 3" xfId="14372" xr:uid="{00000000-0005-0000-0000-0000E9350000}"/>
    <cellStyle name="40% - Accent2 3 3 3 2 2 4" xfId="14373" xr:uid="{00000000-0005-0000-0000-0000EA350000}"/>
    <cellStyle name="40% - Accent2 3 3 3 2 2 5" xfId="14374" xr:uid="{00000000-0005-0000-0000-0000EB350000}"/>
    <cellStyle name="40% - Accent2 3 3 3 2 2 6" xfId="14375" xr:uid="{00000000-0005-0000-0000-0000EC350000}"/>
    <cellStyle name="40% - Accent2 3 3 3 2 3" xfId="14376" xr:uid="{00000000-0005-0000-0000-0000ED350000}"/>
    <cellStyle name="40% - Accent2 3 3 3 2 3 2" xfId="14377" xr:uid="{00000000-0005-0000-0000-0000EE350000}"/>
    <cellStyle name="40% - Accent2 3 3 3 2 3 2 2" xfId="14378" xr:uid="{00000000-0005-0000-0000-0000EF350000}"/>
    <cellStyle name="40% - Accent2 3 3 3 2 3 2 3" xfId="14379" xr:uid="{00000000-0005-0000-0000-0000F0350000}"/>
    <cellStyle name="40% - Accent2 3 3 3 2 3 3" xfId="14380" xr:uid="{00000000-0005-0000-0000-0000F1350000}"/>
    <cellStyle name="40% - Accent2 3 3 3 2 3 4" xfId="14381" xr:uid="{00000000-0005-0000-0000-0000F2350000}"/>
    <cellStyle name="40% - Accent2 3 3 3 2 3 5" xfId="14382" xr:uid="{00000000-0005-0000-0000-0000F3350000}"/>
    <cellStyle name="40% - Accent2 3 3 3 2 3 6" xfId="14383" xr:uid="{00000000-0005-0000-0000-0000F4350000}"/>
    <cellStyle name="40% - Accent2 3 3 3 2 4" xfId="14384" xr:uid="{00000000-0005-0000-0000-0000F5350000}"/>
    <cellStyle name="40% - Accent2 3 3 3 2 4 2" xfId="14385" xr:uid="{00000000-0005-0000-0000-0000F6350000}"/>
    <cellStyle name="40% - Accent2 3 3 3 2 4 3" xfId="14386" xr:uid="{00000000-0005-0000-0000-0000F7350000}"/>
    <cellStyle name="40% - Accent2 3 3 3 2 5" xfId="14387" xr:uid="{00000000-0005-0000-0000-0000F8350000}"/>
    <cellStyle name="40% - Accent2 3 3 3 2 6" xfId="14388" xr:uid="{00000000-0005-0000-0000-0000F9350000}"/>
    <cellStyle name="40% - Accent2 3 3 3 2 7" xfId="14389" xr:uid="{00000000-0005-0000-0000-0000FA350000}"/>
    <cellStyle name="40% - Accent2 3 3 3 2 8" xfId="14390" xr:uid="{00000000-0005-0000-0000-0000FB350000}"/>
    <cellStyle name="40% - Accent2 3 3 3 3" xfId="14391" xr:uid="{00000000-0005-0000-0000-0000FC350000}"/>
    <cellStyle name="40% - Accent2 3 3 3 3 2" xfId="14392" xr:uid="{00000000-0005-0000-0000-0000FD350000}"/>
    <cellStyle name="40% - Accent2 3 3 3 3 2 2" xfId="14393" xr:uid="{00000000-0005-0000-0000-0000FE350000}"/>
    <cellStyle name="40% - Accent2 3 3 3 3 2 2 2" xfId="14394" xr:uid="{00000000-0005-0000-0000-0000FF350000}"/>
    <cellStyle name="40% - Accent2 3 3 3 3 2 2 3" xfId="14395" xr:uid="{00000000-0005-0000-0000-000000360000}"/>
    <cellStyle name="40% - Accent2 3 3 3 3 2 3" xfId="14396" xr:uid="{00000000-0005-0000-0000-000001360000}"/>
    <cellStyle name="40% - Accent2 3 3 3 3 2 4" xfId="14397" xr:uid="{00000000-0005-0000-0000-000002360000}"/>
    <cellStyle name="40% - Accent2 3 3 3 3 2 5" xfId="14398" xr:uid="{00000000-0005-0000-0000-000003360000}"/>
    <cellStyle name="40% - Accent2 3 3 3 3 2 6" xfId="14399" xr:uid="{00000000-0005-0000-0000-000004360000}"/>
    <cellStyle name="40% - Accent2 3 3 3 3 3" xfId="14400" xr:uid="{00000000-0005-0000-0000-000005360000}"/>
    <cellStyle name="40% - Accent2 3 3 3 3 3 2" xfId="14401" xr:uid="{00000000-0005-0000-0000-000006360000}"/>
    <cellStyle name="40% - Accent2 3 3 3 3 3 3" xfId="14402" xr:uid="{00000000-0005-0000-0000-000007360000}"/>
    <cellStyle name="40% - Accent2 3 3 3 3 4" xfId="14403" xr:uid="{00000000-0005-0000-0000-000008360000}"/>
    <cellStyle name="40% - Accent2 3 3 3 3 5" xfId="14404" xr:uid="{00000000-0005-0000-0000-000009360000}"/>
    <cellStyle name="40% - Accent2 3 3 3 3 6" xfId="14405" xr:uid="{00000000-0005-0000-0000-00000A360000}"/>
    <cellStyle name="40% - Accent2 3 3 3 3 7" xfId="14406" xr:uid="{00000000-0005-0000-0000-00000B360000}"/>
    <cellStyle name="40% - Accent2 3 3 3 4" xfId="14407" xr:uid="{00000000-0005-0000-0000-00000C360000}"/>
    <cellStyle name="40% - Accent2 3 3 3 4 2" xfId="14408" xr:uid="{00000000-0005-0000-0000-00000D360000}"/>
    <cellStyle name="40% - Accent2 3 3 3 4 2 2" xfId="14409" xr:uid="{00000000-0005-0000-0000-00000E360000}"/>
    <cellStyle name="40% - Accent2 3 3 3 4 2 3" xfId="14410" xr:uid="{00000000-0005-0000-0000-00000F360000}"/>
    <cellStyle name="40% - Accent2 3 3 3 4 3" xfId="14411" xr:uid="{00000000-0005-0000-0000-000010360000}"/>
    <cellStyle name="40% - Accent2 3 3 3 4 4" xfId="14412" xr:uid="{00000000-0005-0000-0000-000011360000}"/>
    <cellStyle name="40% - Accent2 3 3 3 4 5" xfId="14413" xr:uid="{00000000-0005-0000-0000-000012360000}"/>
    <cellStyle name="40% - Accent2 3 3 3 4 6" xfId="14414" xr:uid="{00000000-0005-0000-0000-000013360000}"/>
    <cellStyle name="40% - Accent2 3 3 3 5" xfId="14415" xr:uid="{00000000-0005-0000-0000-000014360000}"/>
    <cellStyle name="40% - Accent2 3 3 3 5 2" xfId="14416" xr:uid="{00000000-0005-0000-0000-000015360000}"/>
    <cellStyle name="40% - Accent2 3 3 3 5 2 2" xfId="14417" xr:uid="{00000000-0005-0000-0000-000016360000}"/>
    <cellStyle name="40% - Accent2 3 3 3 5 2 3" xfId="14418" xr:uid="{00000000-0005-0000-0000-000017360000}"/>
    <cellStyle name="40% - Accent2 3 3 3 5 3" xfId="14419" xr:uid="{00000000-0005-0000-0000-000018360000}"/>
    <cellStyle name="40% - Accent2 3 3 3 5 4" xfId="14420" xr:uid="{00000000-0005-0000-0000-000019360000}"/>
    <cellStyle name="40% - Accent2 3 3 3 5 5" xfId="14421" xr:uid="{00000000-0005-0000-0000-00001A360000}"/>
    <cellStyle name="40% - Accent2 3 3 3 5 6" xfId="14422" xr:uid="{00000000-0005-0000-0000-00001B360000}"/>
    <cellStyle name="40% - Accent2 3 3 3 6" xfId="14423" xr:uid="{00000000-0005-0000-0000-00001C360000}"/>
    <cellStyle name="40% - Accent2 3 3 3 6 2" xfId="14424" xr:uid="{00000000-0005-0000-0000-00001D360000}"/>
    <cellStyle name="40% - Accent2 3 3 3 6 3" xfId="14425" xr:uid="{00000000-0005-0000-0000-00001E360000}"/>
    <cellStyle name="40% - Accent2 3 3 3 7" xfId="14426" xr:uid="{00000000-0005-0000-0000-00001F360000}"/>
    <cellStyle name="40% - Accent2 3 3 3 8" xfId="14427" xr:uid="{00000000-0005-0000-0000-000020360000}"/>
    <cellStyle name="40% - Accent2 3 3 3 9" xfId="14428" xr:uid="{00000000-0005-0000-0000-000021360000}"/>
    <cellStyle name="40% - Accent2 3 3 4" xfId="14429" xr:uid="{00000000-0005-0000-0000-000022360000}"/>
    <cellStyle name="40% - Accent2 3 3 4 2" xfId="14430" xr:uid="{00000000-0005-0000-0000-000023360000}"/>
    <cellStyle name="40% - Accent2 3 3 4 2 2" xfId="14431" xr:uid="{00000000-0005-0000-0000-000024360000}"/>
    <cellStyle name="40% - Accent2 3 3 4 2 2 2" xfId="14432" xr:uid="{00000000-0005-0000-0000-000025360000}"/>
    <cellStyle name="40% - Accent2 3 3 4 2 2 2 2" xfId="14433" xr:uid="{00000000-0005-0000-0000-000026360000}"/>
    <cellStyle name="40% - Accent2 3 3 4 2 2 2 3" xfId="14434" xr:uid="{00000000-0005-0000-0000-000027360000}"/>
    <cellStyle name="40% - Accent2 3 3 4 2 2 3" xfId="14435" xr:uid="{00000000-0005-0000-0000-000028360000}"/>
    <cellStyle name="40% - Accent2 3 3 4 2 2 4" xfId="14436" xr:uid="{00000000-0005-0000-0000-000029360000}"/>
    <cellStyle name="40% - Accent2 3 3 4 2 2 5" xfId="14437" xr:uid="{00000000-0005-0000-0000-00002A360000}"/>
    <cellStyle name="40% - Accent2 3 3 4 2 2 6" xfId="14438" xr:uid="{00000000-0005-0000-0000-00002B360000}"/>
    <cellStyle name="40% - Accent2 3 3 4 2 3" xfId="14439" xr:uid="{00000000-0005-0000-0000-00002C360000}"/>
    <cellStyle name="40% - Accent2 3 3 4 2 3 2" xfId="14440" xr:uid="{00000000-0005-0000-0000-00002D360000}"/>
    <cellStyle name="40% - Accent2 3 3 4 2 3 3" xfId="14441" xr:uid="{00000000-0005-0000-0000-00002E360000}"/>
    <cellStyle name="40% - Accent2 3 3 4 2 4" xfId="14442" xr:uid="{00000000-0005-0000-0000-00002F360000}"/>
    <cellStyle name="40% - Accent2 3 3 4 2 5" xfId="14443" xr:uid="{00000000-0005-0000-0000-000030360000}"/>
    <cellStyle name="40% - Accent2 3 3 4 2 6" xfId="14444" xr:uid="{00000000-0005-0000-0000-000031360000}"/>
    <cellStyle name="40% - Accent2 3 3 4 2 7" xfId="14445" xr:uid="{00000000-0005-0000-0000-000032360000}"/>
    <cellStyle name="40% - Accent2 3 3 4 3" xfId="14446" xr:uid="{00000000-0005-0000-0000-000033360000}"/>
    <cellStyle name="40% - Accent2 3 3 4 3 2" xfId="14447" xr:uid="{00000000-0005-0000-0000-000034360000}"/>
    <cellStyle name="40% - Accent2 3 3 4 3 2 2" xfId="14448" xr:uid="{00000000-0005-0000-0000-000035360000}"/>
    <cellStyle name="40% - Accent2 3 3 4 3 2 3" xfId="14449" xr:uid="{00000000-0005-0000-0000-000036360000}"/>
    <cellStyle name="40% - Accent2 3 3 4 3 3" xfId="14450" xr:uid="{00000000-0005-0000-0000-000037360000}"/>
    <cellStyle name="40% - Accent2 3 3 4 3 4" xfId="14451" xr:uid="{00000000-0005-0000-0000-000038360000}"/>
    <cellStyle name="40% - Accent2 3 3 4 3 5" xfId="14452" xr:uid="{00000000-0005-0000-0000-000039360000}"/>
    <cellStyle name="40% - Accent2 3 3 4 3 6" xfId="14453" xr:uid="{00000000-0005-0000-0000-00003A360000}"/>
    <cellStyle name="40% - Accent2 3 3 4 4" xfId="14454" xr:uid="{00000000-0005-0000-0000-00003B360000}"/>
    <cellStyle name="40% - Accent2 3 3 4 4 2" xfId="14455" xr:uid="{00000000-0005-0000-0000-00003C360000}"/>
    <cellStyle name="40% - Accent2 3 3 4 4 2 2" xfId="14456" xr:uid="{00000000-0005-0000-0000-00003D360000}"/>
    <cellStyle name="40% - Accent2 3 3 4 4 2 3" xfId="14457" xr:uid="{00000000-0005-0000-0000-00003E360000}"/>
    <cellStyle name="40% - Accent2 3 3 4 4 3" xfId="14458" xr:uid="{00000000-0005-0000-0000-00003F360000}"/>
    <cellStyle name="40% - Accent2 3 3 4 4 4" xfId="14459" xr:uid="{00000000-0005-0000-0000-000040360000}"/>
    <cellStyle name="40% - Accent2 3 3 4 4 5" xfId="14460" xr:uid="{00000000-0005-0000-0000-000041360000}"/>
    <cellStyle name="40% - Accent2 3 3 4 4 6" xfId="14461" xr:uid="{00000000-0005-0000-0000-000042360000}"/>
    <cellStyle name="40% - Accent2 3 3 4 5" xfId="14462" xr:uid="{00000000-0005-0000-0000-000043360000}"/>
    <cellStyle name="40% - Accent2 3 3 4 5 2" xfId="14463" xr:uid="{00000000-0005-0000-0000-000044360000}"/>
    <cellStyle name="40% - Accent2 3 3 4 5 3" xfId="14464" xr:uid="{00000000-0005-0000-0000-000045360000}"/>
    <cellStyle name="40% - Accent2 3 3 4 6" xfId="14465" xr:uid="{00000000-0005-0000-0000-000046360000}"/>
    <cellStyle name="40% - Accent2 3 3 4 7" xfId="14466" xr:uid="{00000000-0005-0000-0000-000047360000}"/>
    <cellStyle name="40% - Accent2 3 3 4 8" xfId="14467" xr:uid="{00000000-0005-0000-0000-000048360000}"/>
    <cellStyle name="40% - Accent2 3 3 4 9" xfId="14468" xr:uid="{00000000-0005-0000-0000-000049360000}"/>
    <cellStyle name="40% - Accent2 3 3 5" xfId="14469" xr:uid="{00000000-0005-0000-0000-00004A360000}"/>
    <cellStyle name="40% - Accent2 3 3 5 2" xfId="14470" xr:uid="{00000000-0005-0000-0000-00004B360000}"/>
    <cellStyle name="40% - Accent2 3 3 5 2 2" xfId="14471" xr:uid="{00000000-0005-0000-0000-00004C360000}"/>
    <cellStyle name="40% - Accent2 3 3 5 2 2 2" xfId="14472" xr:uid="{00000000-0005-0000-0000-00004D360000}"/>
    <cellStyle name="40% - Accent2 3 3 5 2 2 3" xfId="14473" xr:uid="{00000000-0005-0000-0000-00004E360000}"/>
    <cellStyle name="40% - Accent2 3 3 5 2 3" xfId="14474" xr:uid="{00000000-0005-0000-0000-00004F360000}"/>
    <cellStyle name="40% - Accent2 3 3 5 2 4" xfId="14475" xr:uid="{00000000-0005-0000-0000-000050360000}"/>
    <cellStyle name="40% - Accent2 3 3 5 2 5" xfId="14476" xr:uid="{00000000-0005-0000-0000-000051360000}"/>
    <cellStyle name="40% - Accent2 3 3 5 2 6" xfId="14477" xr:uid="{00000000-0005-0000-0000-000052360000}"/>
    <cellStyle name="40% - Accent2 3 3 5 3" xfId="14478" xr:uid="{00000000-0005-0000-0000-000053360000}"/>
    <cellStyle name="40% - Accent2 3 3 5 3 2" xfId="14479" xr:uid="{00000000-0005-0000-0000-000054360000}"/>
    <cellStyle name="40% - Accent2 3 3 5 3 3" xfId="14480" xr:uid="{00000000-0005-0000-0000-000055360000}"/>
    <cellStyle name="40% - Accent2 3 3 5 4" xfId="14481" xr:uid="{00000000-0005-0000-0000-000056360000}"/>
    <cellStyle name="40% - Accent2 3 3 5 5" xfId="14482" xr:uid="{00000000-0005-0000-0000-000057360000}"/>
    <cellStyle name="40% - Accent2 3 3 5 6" xfId="14483" xr:uid="{00000000-0005-0000-0000-000058360000}"/>
    <cellStyle name="40% - Accent2 3 3 5 7" xfId="14484" xr:uid="{00000000-0005-0000-0000-000059360000}"/>
    <cellStyle name="40% - Accent2 3 3 6" xfId="14485" xr:uid="{00000000-0005-0000-0000-00005A360000}"/>
    <cellStyle name="40% - Accent2 3 3 6 2" xfId="14486" xr:uid="{00000000-0005-0000-0000-00005B360000}"/>
    <cellStyle name="40% - Accent2 3 3 6 2 2" xfId="14487" xr:uid="{00000000-0005-0000-0000-00005C360000}"/>
    <cellStyle name="40% - Accent2 3 3 6 2 3" xfId="14488" xr:uid="{00000000-0005-0000-0000-00005D360000}"/>
    <cellStyle name="40% - Accent2 3 3 6 3" xfId="14489" xr:uid="{00000000-0005-0000-0000-00005E360000}"/>
    <cellStyle name="40% - Accent2 3 3 6 4" xfId="14490" xr:uid="{00000000-0005-0000-0000-00005F360000}"/>
    <cellStyle name="40% - Accent2 3 3 6 5" xfId="14491" xr:uid="{00000000-0005-0000-0000-000060360000}"/>
    <cellStyle name="40% - Accent2 3 3 6 6" xfId="14492" xr:uid="{00000000-0005-0000-0000-000061360000}"/>
    <cellStyle name="40% - Accent2 3 3 7" xfId="14493" xr:uid="{00000000-0005-0000-0000-000062360000}"/>
    <cellStyle name="40% - Accent2 3 3 7 2" xfId="14494" xr:uid="{00000000-0005-0000-0000-000063360000}"/>
    <cellStyle name="40% - Accent2 3 3 7 2 2" xfId="14495" xr:uid="{00000000-0005-0000-0000-000064360000}"/>
    <cellStyle name="40% - Accent2 3 3 7 2 3" xfId="14496" xr:uid="{00000000-0005-0000-0000-000065360000}"/>
    <cellStyle name="40% - Accent2 3 3 7 3" xfId="14497" xr:uid="{00000000-0005-0000-0000-000066360000}"/>
    <cellStyle name="40% - Accent2 3 3 7 4" xfId="14498" xr:uid="{00000000-0005-0000-0000-000067360000}"/>
    <cellStyle name="40% - Accent2 3 3 7 5" xfId="14499" xr:uid="{00000000-0005-0000-0000-000068360000}"/>
    <cellStyle name="40% - Accent2 3 3 7 6" xfId="14500" xr:uid="{00000000-0005-0000-0000-000069360000}"/>
    <cellStyle name="40% - Accent2 3 3 8" xfId="14501" xr:uid="{00000000-0005-0000-0000-00006A360000}"/>
    <cellStyle name="40% - Accent2 3 3 8 2" xfId="14502" xr:uid="{00000000-0005-0000-0000-00006B360000}"/>
    <cellStyle name="40% - Accent2 3 3 8 2 2" xfId="14503" xr:uid="{00000000-0005-0000-0000-00006C360000}"/>
    <cellStyle name="40% - Accent2 3 3 8 2 3" xfId="14504" xr:uid="{00000000-0005-0000-0000-00006D360000}"/>
    <cellStyle name="40% - Accent2 3 3 8 3" xfId="14505" xr:uid="{00000000-0005-0000-0000-00006E360000}"/>
    <cellStyle name="40% - Accent2 3 3 8 4" xfId="14506" xr:uid="{00000000-0005-0000-0000-00006F360000}"/>
    <cellStyle name="40% - Accent2 3 3 8 5" xfId="14507" xr:uid="{00000000-0005-0000-0000-000070360000}"/>
    <cellStyle name="40% - Accent2 3 3 8 6" xfId="14508" xr:uid="{00000000-0005-0000-0000-000071360000}"/>
    <cellStyle name="40% - Accent2 3 3 9" xfId="14509" xr:uid="{00000000-0005-0000-0000-000072360000}"/>
    <cellStyle name="40% - Accent2 3 3 9 2" xfId="14510" xr:uid="{00000000-0005-0000-0000-000073360000}"/>
    <cellStyle name="40% - Accent2 3 3 9 2 2" xfId="14511" xr:uid="{00000000-0005-0000-0000-000074360000}"/>
    <cellStyle name="40% - Accent2 3 3 9 2 3" xfId="14512" xr:uid="{00000000-0005-0000-0000-000075360000}"/>
    <cellStyle name="40% - Accent2 3 3 9 3" xfId="14513" xr:uid="{00000000-0005-0000-0000-000076360000}"/>
    <cellStyle name="40% - Accent2 3 3 9 4" xfId="14514" xr:uid="{00000000-0005-0000-0000-000077360000}"/>
    <cellStyle name="40% - Accent2 3 3 9 5" xfId="14515" xr:uid="{00000000-0005-0000-0000-000078360000}"/>
    <cellStyle name="40% - Accent2 3 3 9 6" xfId="14516" xr:uid="{00000000-0005-0000-0000-000079360000}"/>
    <cellStyle name="40% - Accent2 3 4" xfId="14517" xr:uid="{00000000-0005-0000-0000-00007A360000}"/>
    <cellStyle name="40% - Accent2 3 4 10" xfId="14518" xr:uid="{00000000-0005-0000-0000-00007B360000}"/>
    <cellStyle name="40% - Accent2 3 4 11" xfId="14519" xr:uid="{00000000-0005-0000-0000-00007C360000}"/>
    <cellStyle name="40% - Accent2 3 4 12" xfId="14520" xr:uid="{00000000-0005-0000-0000-00007D360000}"/>
    <cellStyle name="40% - Accent2 3 4 13" xfId="14521" xr:uid="{00000000-0005-0000-0000-00007E360000}"/>
    <cellStyle name="40% - Accent2 3 4 2" xfId="14522" xr:uid="{00000000-0005-0000-0000-00007F360000}"/>
    <cellStyle name="40% - Accent2 3 4 2 10" xfId="14523" xr:uid="{00000000-0005-0000-0000-000080360000}"/>
    <cellStyle name="40% - Accent2 3 4 2 2" xfId="14524" xr:uid="{00000000-0005-0000-0000-000081360000}"/>
    <cellStyle name="40% - Accent2 3 4 2 2 2" xfId="14525" xr:uid="{00000000-0005-0000-0000-000082360000}"/>
    <cellStyle name="40% - Accent2 3 4 2 2 2 2" xfId="14526" xr:uid="{00000000-0005-0000-0000-000083360000}"/>
    <cellStyle name="40% - Accent2 3 4 2 2 2 2 2" xfId="14527" xr:uid="{00000000-0005-0000-0000-000084360000}"/>
    <cellStyle name="40% - Accent2 3 4 2 2 2 2 3" xfId="14528" xr:uid="{00000000-0005-0000-0000-000085360000}"/>
    <cellStyle name="40% - Accent2 3 4 2 2 2 3" xfId="14529" xr:uid="{00000000-0005-0000-0000-000086360000}"/>
    <cellStyle name="40% - Accent2 3 4 2 2 2 4" xfId="14530" xr:uid="{00000000-0005-0000-0000-000087360000}"/>
    <cellStyle name="40% - Accent2 3 4 2 2 2 5" xfId="14531" xr:uid="{00000000-0005-0000-0000-000088360000}"/>
    <cellStyle name="40% - Accent2 3 4 2 2 2 6" xfId="14532" xr:uid="{00000000-0005-0000-0000-000089360000}"/>
    <cellStyle name="40% - Accent2 3 4 2 2 3" xfId="14533" xr:uid="{00000000-0005-0000-0000-00008A360000}"/>
    <cellStyle name="40% - Accent2 3 4 2 2 3 2" xfId="14534" xr:uid="{00000000-0005-0000-0000-00008B360000}"/>
    <cellStyle name="40% - Accent2 3 4 2 2 3 2 2" xfId="14535" xr:uid="{00000000-0005-0000-0000-00008C360000}"/>
    <cellStyle name="40% - Accent2 3 4 2 2 3 2 3" xfId="14536" xr:uid="{00000000-0005-0000-0000-00008D360000}"/>
    <cellStyle name="40% - Accent2 3 4 2 2 3 3" xfId="14537" xr:uid="{00000000-0005-0000-0000-00008E360000}"/>
    <cellStyle name="40% - Accent2 3 4 2 2 3 4" xfId="14538" xr:uid="{00000000-0005-0000-0000-00008F360000}"/>
    <cellStyle name="40% - Accent2 3 4 2 2 3 5" xfId="14539" xr:uid="{00000000-0005-0000-0000-000090360000}"/>
    <cellStyle name="40% - Accent2 3 4 2 2 3 6" xfId="14540" xr:uid="{00000000-0005-0000-0000-000091360000}"/>
    <cellStyle name="40% - Accent2 3 4 2 2 4" xfId="14541" xr:uid="{00000000-0005-0000-0000-000092360000}"/>
    <cellStyle name="40% - Accent2 3 4 2 2 4 2" xfId="14542" xr:uid="{00000000-0005-0000-0000-000093360000}"/>
    <cellStyle name="40% - Accent2 3 4 2 2 4 3" xfId="14543" xr:uid="{00000000-0005-0000-0000-000094360000}"/>
    <cellStyle name="40% - Accent2 3 4 2 2 5" xfId="14544" xr:uid="{00000000-0005-0000-0000-000095360000}"/>
    <cellStyle name="40% - Accent2 3 4 2 2 6" xfId="14545" xr:uid="{00000000-0005-0000-0000-000096360000}"/>
    <cellStyle name="40% - Accent2 3 4 2 2 7" xfId="14546" xr:uid="{00000000-0005-0000-0000-000097360000}"/>
    <cellStyle name="40% - Accent2 3 4 2 2 8" xfId="14547" xr:uid="{00000000-0005-0000-0000-000098360000}"/>
    <cellStyle name="40% - Accent2 3 4 2 3" xfId="14548" xr:uid="{00000000-0005-0000-0000-000099360000}"/>
    <cellStyle name="40% - Accent2 3 4 2 3 2" xfId="14549" xr:uid="{00000000-0005-0000-0000-00009A360000}"/>
    <cellStyle name="40% - Accent2 3 4 2 3 2 2" xfId="14550" xr:uid="{00000000-0005-0000-0000-00009B360000}"/>
    <cellStyle name="40% - Accent2 3 4 2 3 2 2 2" xfId="14551" xr:uid="{00000000-0005-0000-0000-00009C360000}"/>
    <cellStyle name="40% - Accent2 3 4 2 3 2 2 3" xfId="14552" xr:uid="{00000000-0005-0000-0000-00009D360000}"/>
    <cellStyle name="40% - Accent2 3 4 2 3 2 3" xfId="14553" xr:uid="{00000000-0005-0000-0000-00009E360000}"/>
    <cellStyle name="40% - Accent2 3 4 2 3 2 4" xfId="14554" xr:uid="{00000000-0005-0000-0000-00009F360000}"/>
    <cellStyle name="40% - Accent2 3 4 2 3 2 5" xfId="14555" xr:uid="{00000000-0005-0000-0000-0000A0360000}"/>
    <cellStyle name="40% - Accent2 3 4 2 3 2 6" xfId="14556" xr:uid="{00000000-0005-0000-0000-0000A1360000}"/>
    <cellStyle name="40% - Accent2 3 4 2 3 3" xfId="14557" xr:uid="{00000000-0005-0000-0000-0000A2360000}"/>
    <cellStyle name="40% - Accent2 3 4 2 3 3 2" xfId="14558" xr:uid="{00000000-0005-0000-0000-0000A3360000}"/>
    <cellStyle name="40% - Accent2 3 4 2 3 3 3" xfId="14559" xr:uid="{00000000-0005-0000-0000-0000A4360000}"/>
    <cellStyle name="40% - Accent2 3 4 2 3 4" xfId="14560" xr:uid="{00000000-0005-0000-0000-0000A5360000}"/>
    <cellStyle name="40% - Accent2 3 4 2 3 5" xfId="14561" xr:uid="{00000000-0005-0000-0000-0000A6360000}"/>
    <cellStyle name="40% - Accent2 3 4 2 3 6" xfId="14562" xr:uid="{00000000-0005-0000-0000-0000A7360000}"/>
    <cellStyle name="40% - Accent2 3 4 2 3 7" xfId="14563" xr:uid="{00000000-0005-0000-0000-0000A8360000}"/>
    <cellStyle name="40% - Accent2 3 4 2 4" xfId="14564" xr:uid="{00000000-0005-0000-0000-0000A9360000}"/>
    <cellStyle name="40% - Accent2 3 4 2 4 2" xfId="14565" xr:uid="{00000000-0005-0000-0000-0000AA360000}"/>
    <cellStyle name="40% - Accent2 3 4 2 4 2 2" xfId="14566" xr:uid="{00000000-0005-0000-0000-0000AB360000}"/>
    <cellStyle name="40% - Accent2 3 4 2 4 2 3" xfId="14567" xr:uid="{00000000-0005-0000-0000-0000AC360000}"/>
    <cellStyle name="40% - Accent2 3 4 2 4 3" xfId="14568" xr:uid="{00000000-0005-0000-0000-0000AD360000}"/>
    <cellStyle name="40% - Accent2 3 4 2 4 4" xfId="14569" xr:uid="{00000000-0005-0000-0000-0000AE360000}"/>
    <cellStyle name="40% - Accent2 3 4 2 4 5" xfId="14570" xr:uid="{00000000-0005-0000-0000-0000AF360000}"/>
    <cellStyle name="40% - Accent2 3 4 2 4 6" xfId="14571" xr:uid="{00000000-0005-0000-0000-0000B0360000}"/>
    <cellStyle name="40% - Accent2 3 4 2 5" xfId="14572" xr:uid="{00000000-0005-0000-0000-0000B1360000}"/>
    <cellStyle name="40% - Accent2 3 4 2 5 2" xfId="14573" xr:uid="{00000000-0005-0000-0000-0000B2360000}"/>
    <cellStyle name="40% - Accent2 3 4 2 5 2 2" xfId="14574" xr:uid="{00000000-0005-0000-0000-0000B3360000}"/>
    <cellStyle name="40% - Accent2 3 4 2 5 2 3" xfId="14575" xr:uid="{00000000-0005-0000-0000-0000B4360000}"/>
    <cellStyle name="40% - Accent2 3 4 2 5 3" xfId="14576" xr:uid="{00000000-0005-0000-0000-0000B5360000}"/>
    <cellStyle name="40% - Accent2 3 4 2 5 4" xfId="14577" xr:uid="{00000000-0005-0000-0000-0000B6360000}"/>
    <cellStyle name="40% - Accent2 3 4 2 5 5" xfId="14578" xr:uid="{00000000-0005-0000-0000-0000B7360000}"/>
    <cellStyle name="40% - Accent2 3 4 2 5 6" xfId="14579" xr:uid="{00000000-0005-0000-0000-0000B8360000}"/>
    <cellStyle name="40% - Accent2 3 4 2 6" xfId="14580" xr:uid="{00000000-0005-0000-0000-0000B9360000}"/>
    <cellStyle name="40% - Accent2 3 4 2 6 2" xfId="14581" xr:uid="{00000000-0005-0000-0000-0000BA360000}"/>
    <cellStyle name="40% - Accent2 3 4 2 6 3" xfId="14582" xr:uid="{00000000-0005-0000-0000-0000BB360000}"/>
    <cellStyle name="40% - Accent2 3 4 2 7" xfId="14583" xr:uid="{00000000-0005-0000-0000-0000BC360000}"/>
    <cellStyle name="40% - Accent2 3 4 2 8" xfId="14584" xr:uid="{00000000-0005-0000-0000-0000BD360000}"/>
    <cellStyle name="40% - Accent2 3 4 2 9" xfId="14585" xr:uid="{00000000-0005-0000-0000-0000BE360000}"/>
    <cellStyle name="40% - Accent2 3 4 3" xfId="14586" xr:uid="{00000000-0005-0000-0000-0000BF360000}"/>
    <cellStyle name="40% - Accent2 3 4 3 2" xfId="14587" xr:uid="{00000000-0005-0000-0000-0000C0360000}"/>
    <cellStyle name="40% - Accent2 3 4 3 2 2" xfId="14588" xr:uid="{00000000-0005-0000-0000-0000C1360000}"/>
    <cellStyle name="40% - Accent2 3 4 3 2 2 2" xfId="14589" xr:uid="{00000000-0005-0000-0000-0000C2360000}"/>
    <cellStyle name="40% - Accent2 3 4 3 2 2 2 2" xfId="14590" xr:uid="{00000000-0005-0000-0000-0000C3360000}"/>
    <cellStyle name="40% - Accent2 3 4 3 2 2 2 3" xfId="14591" xr:uid="{00000000-0005-0000-0000-0000C4360000}"/>
    <cellStyle name="40% - Accent2 3 4 3 2 2 3" xfId="14592" xr:uid="{00000000-0005-0000-0000-0000C5360000}"/>
    <cellStyle name="40% - Accent2 3 4 3 2 2 4" xfId="14593" xr:uid="{00000000-0005-0000-0000-0000C6360000}"/>
    <cellStyle name="40% - Accent2 3 4 3 2 2 5" xfId="14594" xr:uid="{00000000-0005-0000-0000-0000C7360000}"/>
    <cellStyle name="40% - Accent2 3 4 3 2 2 6" xfId="14595" xr:uid="{00000000-0005-0000-0000-0000C8360000}"/>
    <cellStyle name="40% - Accent2 3 4 3 2 3" xfId="14596" xr:uid="{00000000-0005-0000-0000-0000C9360000}"/>
    <cellStyle name="40% - Accent2 3 4 3 2 3 2" xfId="14597" xr:uid="{00000000-0005-0000-0000-0000CA360000}"/>
    <cellStyle name="40% - Accent2 3 4 3 2 3 3" xfId="14598" xr:uid="{00000000-0005-0000-0000-0000CB360000}"/>
    <cellStyle name="40% - Accent2 3 4 3 2 4" xfId="14599" xr:uid="{00000000-0005-0000-0000-0000CC360000}"/>
    <cellStyle name="40% - Accent2 3 4 3 2 5" xfId="14600" xr:uid="{00000000-0005-0000-0000-0000CD360000}"/>
    <cellStyle name="40% - Accent2 3 4 3 2 6" xfId="14601" xr:uid="{00000000-0005-0000-0000-0000CE360000}"/>
    <cellStyle name="40% - Accent2 3 4 3 2 7" xfId="14602" xr:uid="{00000000-0005-0000-0000-0000CF360000}"/>
    <cellStyle name="40% - Accent2 3 4 3 3" xfId="14603" xr:uid="{00000000-0005-0000-0000-0000D0360000}"/>
    <cellStyle name="40% - Accent2 3 4 3 3 2" xfId="14604" xr:uid="{00000000-0005-0000-0000-0000D1360000}"/>
    <cellStyle name="40% - Accent2 3 4 3 3 2 2" xfId="14605" xr:uid="{00000000-0005-0000-0000-0000D2360000}"/>
    <cellStyle name="40% - Accent2 3 4 3 3 2 3" xfId="14606" xr:uid="{00000000-0005-0000-0000-0000D3360000}"/>
    <cellStyle name="40% - Accent2 3 4 3 3 3" xfId="14607" xr:uid="{00000000-0005-0000-0000-0000D4360000}"/>
    <cellStyle name="40% - Accent2 3 4 3 3 4" xfId="14608" xr:uid="{00000000-0005-0000-0000-0000D5360000}"/>
    <cellStyle name="40% - Accent2 3 4 3 3 5" xfId="14609" xr:uid="{00000000-0005-0000-0000-0000D6360000}"/>
    <cellStyle name="40% - Accent2 3 4 3 3 6" xfId="14610" xr:uid="{00000000-0005-0000-0000-0000D7360000}"/>
    <cellStyle name="40% - Accent2 3 4 3 4" xfId="14611" xr:uid="{00000000-0005-0000-0000-0000D8360000}"/>
    <cellStyle name="40% - Accent2 3 4 3 4 2" xfId="14612" xr:uid="{00000000-0005-0000-0000-0000D9360000}"/>
    <cellStyle name="40% - Accent2 3 4 3 4 2 2" xfId="14613" xr:uid="{00000000-0005-0000-0000-0000DA360000}"/>
    <cellStyle name="40% - Accent2 3 4 3 4 2 3" xfId="14614" xr:uid="{00000000-0005-0000-0000-0000DB360000}"/>
    <cellStyle name="40% - Accent2 3 4 3 4 3" xfId="14615" xr:uid="{00000000-0005-0000-0000-0000DC360000}"/>
    <cellStyle name="40% - Accent2 3 4 3 4 4" xfId="14616" xr:uid="{00000000-0005-0000-0000-0000DD360000}"/>
    <cellStyle name="40% - Accent2 3 4 3 4 5" xfId="14617" xr:uid="{00000000-0005-0000-0000-0000DE360000}"/>
    <cellStyle name="40% - Accent2 3 4 3 4 6" xfId="14618" xr:uid="{00000000-0005-0000-0000-0000DF360000}"/>
    <cellStyle name="40% - Accent2 3 4 3 5" xfId="14619" xr:uid="{00000000-0005-0000-0000-0000E0360000}"/>
    <cellStyle name="40% - Accent2 3 4 3 5 2" xfId="14620" xr:uid="{00000000-0005-0000-0000-0000E1360000}"/>
    <cellStyle name="40% - Accent2 3 4 3 5 3" xfId="14621" xr:uid="{00000000-0005-0000-0000-0000E2360000}"/>
    <cellStyle name="40% - Accent2 3 4 3 6" xfId="14622" xr:uid="{00000000-0005-0000-0000-0000E3360000}"/>
    <cellStyle name="40% - Accent2 3 4 3 7" xfId="14623" xr:uid="{00000000-0005-0000-0000-0000E4360000}"/>
    <cellStyle name="40% - Accent2 3 4 3 8" xfId="14624" xr:uid="{00000000-0005-0000-0000-0000E5360000}"/>
    <cellStyle name="40% - Accent2 3 4 3 9" xfId="14625" xr:uid="{00000000-0005-0000-0000-0000E6360000}"/>
    <cellStyle name="40% - Accent2 3 4 4" xfId="14626" xr:uid="{00000000-0005-0000-0000-0000E7360000}"/>
    <cellStyle name="40% - Accent2 3 4 4 2" xfId="14627" xr:uid="{00000000-0005-0000-0000-0000E8360000}"/>
    <cellStyle name="40% - Accent2 3 4 4 2 2" xfId="14628" xr:uid="{00000000-0005-0000-0000-0000E9360000}"/>
    <cellStyle name="40% - Accent2 3 4 4 2 2 2" xfId="14629" xr:uid="{00000000-0005-0000-0000-0000EA360000}"/>
    <cellStyle name="40% - Accent2 3 4 4 2 2 3" xfId="14630" xr:uid="{00000000-0005-0000-0000-0000EB360000}"/>
    <cellStyle name="40% - Accent2 3 4 4 2 3" xfId="14631" xr:uid="{00000000-0005-0000-0000-0000EC360000}"/>
    <cellStyle name="40% - Accent2 3 4 4 2 4" xfId="14632" xr:uid="{00000000-0005-0000-0000-0000ED360000}"/>
    <cellStyle name="40% - Accent2 3 4 4 2 5" xfId="14633" xr:uid="{00000000-0005-0000-0000-0000EE360000}"/>
    <cellStyle name="40% - Accent2 3 4 4 2 6" xfId="14634" xr:uid="{00000000-0005-0000-0000-0000EF360000}"/>
    <cellStyle name="40% - Accent2 3 4 4 3" xfId="14635" xr:uid="{00000000-0005-0000-0000-0000F0360000}"/>
    <cellStyle name="40% - Accent2 3 4 4 3 2" xfId="14636" xr:uid="{00000000-0005-0000-0000-0000F1360000}"/>
    <cellStyle name="40% - Accent2 3 4 4 3 3" xfId="14637" xr:uid="{00000000-0005-0000-0000-0000F2360000}"/>
    <cellStyle name="40% - Accent2 3 4 4 4" xfId="14638" xr:uid="{00000000-0005-0000-0000-0000F3360000}"/>
    <cellStyle name="40% - Accent2 3 4 4 5" xfId="14639" xr:uid="{00000000-0005-0000-0000-0000F4360000}"/>
    <cellStyle name="40% - Accent2 3 4 4 6" xfId="14640" xr:uid="{00000000-0005-0000-0000-0000F5360000}"/>
    <cellStyle name="40% - Accent2 3 4 4 7" xfId="14641" xr:uid="{00000000-0005-0000-0000-0000F6360000}"/>
    <cellStyle name="40% - Accent2 3 4 5" xfId="14642" xr:uid="{00000000-0005-0000-0000-0000F7360000}"/>
    <cellStyle name="40% - Accent2 3 4 5 2" xfId="14643" xr:uid="{00000000-0005-0000-0000-0000F8360000}"/>
    <cellStyle name="40% - Accent2 3 4 5 2 2" xfId="14644" xr:uid="{00000000-0005-0000-0000-0000F9360000}"/>
    <cellStyle name="40% - Accent2 3 4 5 2 3" xfId="14645" xr:uid="{00000000-0005-0000-0000-0000FA360000}"/>
    <cellStyle name="40% - Accent2 3 4 5 3" xfId="14646" xr:uid="{00000000-0005-0000-0000-0000FB360000}"/>
    <cellStyle name="40% - Accent2 3 4 5 4" xfId="14647" xr:uid="{00000000-0005-0000-0000-0000FC360000}"/>
    <cellStyle name="40% - Accent2 3 4 5 5" xfId="14648" xr:uid="{00000000-0005-0000-0000-0000FD360000}"/>
    <cellStyle name="40% - Accent2 3 4 5 6" xfId="14649" xr:uid="{00000000-0005-0000-0000-0000FE360000}"/>
    <cellStyle name="40% - Accent2 3 4 6" xfId="14650" xr:uid="{00000000-0005-0000-0000-0000FF360000}"/>
    <cellStyle name="40% - Accent2 3 4 6 2" xfId="14651" xr:uid="{00000000-0005-0000-0000-000000370000}"/>
    <cellStyle name="40% - Accent2 3 4 6 2 2" xfId="14652" xr:uid="{00000000-0005-0000-0000-000001370000}"/>
    <cellStyle name="40% - Accent2 3 4 6 2 3" xfId="14653" xr:uid="{00000000-0005-0000-0000-000002370000}"/>
    <cellStyle name="40% - Accent2 3 4 6 3" xfId="14654" xr:uid="{00000000-0005-0000-0000-000003370000}"/>
    <cellStyle name="40% - Accent2 3 4 6 4" xfId="14655" xr:uid="{00000000-0005-0000-0000-000004370000}"/>
    <cellStyle name="40% - Accent2 3 4 6 5" xfId="14656" xr:uid="{00000000-0005-0000-0000-000005370000}"/>
    <cellStyle name="40% - Accent2 3 4 6 6" xfId="14657" xr:uid="{00000000-0005-0000-0000-000006370000}"/>
    <cellStyle name="40% - Accent2 3 4 7" xfId="14658" xr:uid="{00000000-0005-0000-0000-000007370000}"/>
    <cellStyle name="40% - Accent2 3 4 7 2" xfId="14659" xr:uid="{00000000-0005-0000-0000-000008370000}"/>
    <cellStyle name="40% - Accent2 3 4 7 2 2" xfId="14660" xr:uid="{00000000-0005-0000-0000-000009370000}"/>
    <cellStyle name="40% - Accent2 3 4 7 2 3" xfId="14661" xr:uid="{00000000-0005-0000-0000-00000A370000}"/>
    <cellStyle name="40% - Accent2 3 4 7 3" xfId="14662" xr:uid="{00000000-0005-0000-0000-00000B370000}"/>
    <cellStyle name="40% - Accent2 3 4 7 4" xfId="14663" xr:uid="{00000000-0005-0000-0000-00000C370000}"/>
    <cellStyle name="40% - Accent2 3 4 7 5" xfId="14664" xr:uid="{00000000-0005-0000-0000-00000D370000}"/>
    <cellStyle name="40% - Accent2 3 4 7 6" xfId="14665" xr:uid="{00000000-0005-0000-0000-00000E370000}"/>
    <cellStyle name="40% - Accent2 3 4 8" xfId="14666" xr:uid="{00000000-0005-0000-0000-00000F370000}"/>
    <cellStyle name="40% - Accent2 3 4 8 2" xfId="14667" xr:uid="{00000000-0005-0000-0000-000010370000}"/>
    <cellStyle name="40% - Accent2 3 4 8 2 2" xfId="14668" xr:uid="{00000000-0005-0000-0000-000011370000}"/>
    <cellStyle name="40% - Accent2 3 4 8 2 3" xfId="14669" xr:uid="{00000000-0005-0000-0000-000012370000}"/>
    <cellStyle name="40% - Accent2 3 4 8 3" xfId="14670" xr:uid="{00000000-0005-0000-0000-000013370000}"/>
    <cellStyle name="40% - Accent2 3 4 8 4" xfId="14671" xr:uid="{00000000-0005-0000-0000-000014370000}"/>
    <cellStyle name="40% - Accent2 3 4 8 5" xfId="14672" xr:uid="{00000000-0005-0000-0000-000015370000}"/>
    <cellStyle name="40% - Accent2 3 4 8 6" xfId="14673" xr:uid="{00000000-0005-0000-0000-000016370000}"/>
    <cellStyle name="40% - Accent2 3 4 9" xfId="14674" xr:uid="{00000000-0005-0000-0000-000017370000}"/>
    <cellStyle name="40% - Accent2 3 4 9 2" xfId="14675" xr:uid="{00000000-0005-0000-0000-000018370000}"/>
    <cellStyle name="40% - Accent2 3 4 9 3" xfId="14676" xr:uid="{00000000-0005-0000-0000-000019370000}"/>
    <cellStyle name="40% - Accent2 3 5" xfId="14677" xr:uid="{00000000-0005-0000-0000-00001A370000}"/>
    <cellStyle name="40% - Accent2 3 5 10" xfId="14678" xr:uid="{00000000-0005-0000-0000-00001B370000}"/>
    <cellStyle name="40% - Accent2 3 5 2" xfId="14679" xr:uid="{00000000-0005-0000-0000-00001C370000}"/>
    <cellStyle name="40% - Accent2 3 5 2 2" xfId="14680" xr:uid="{00000000-0005-0000-0000-00001D370000}"/>
    <cellStyle name="40% - Accent2 3 5 2 2 2" xfId="14681" xr:uid="{00000000-0005-0000-0000-00001E370000}"/>
    <cellStyle name="40% - Accent2 3 5 2 2 2 2" xfId="14682" xr:uid="{00000000-0005-0000-0000-00001F370000}"/>
    <cellStyle name="40% - Accent2 3 5 2 2 2 3" xfId="14683" xr:uid="{00000000-0005-0000-0000-000020370000}"/>
    <cellStyle name="40% - Accent2 3 5 2 2 3" xfId="14684" xr:uid="{00000000-0005-0000-0000-000021370000}"/>
    <cellStyle name="40% - Accent2 3 5 2 2 4" xfId="14685" xr:uid="{00000000-0005-0000-0000-000022370000}"/>
    <cellStyle name="40% - Accent2 3 5 2 2 5" xfId="14686" xr:uid="{00000000-0005-0000-0000-000023370000}"/>
    <cellStyle name="40% - Accent2 3 5 2 2 6" xfId="14687" xr:uid="{00000000-0005-0000-0000-000024370000}"/>
    <cellStyle name="40% - Accent2 3 5 2 3" xfId="14688" xr:uid="{00000000-0005-0000-0000-000025370000}"/>
    <cellStyle name="40% - Accent2 3 5 2 3 2" xfId="14689" xr:uid="{00000000-0005-0000-0000-000026370000}"/>
    <cellStyle name="40% - Accent2 3 5 2 3 2 2" xfId="14690" xr:uid="{00000000-0005-0000-0000-000027370000}"/>
    <cellStyle name="40% - Accent2 3 5 2 3 2 3" xfId="14691" xr:uid="{00000000-0005-0000-0000-000028370000}"/>
    <cellStyle name="40% - Accent2 3 5 2 3 3" xfId="14692" xr:uid="{00000000-0005-0000-0000-000029370000}"/>
    <cellStyle name="40% - Accent2 3 5 2 3 4" xfId="14693" xr:uid="{00000000-0005-0000-0000-00002A370000}"/>
    <cellStyle name="40% - Accent2 3 5 2 3 5" xfId="14694" xr:uid="{00000000-0005-0000-0000-00002B370000}"/>
    <cellStyle name="40% - Accent2 3 5 2 3 6" xfId="14695" xr:uid="{00000000-0005-0000-0000-00002C370000}"/>
    <cellStyle name="40% - Accent2 3 5 2 4" xfId="14696" xr:uid="{00000000-0005-0000-0000-00002D370000}"/>
    <cellStyle name="40% - Accent2 3 5 2 4 2" xfId="14697" xr:uid="{00000000-0005-0000-0000-00002E370000}"/>
    <cellStyle name="40% - Accent2 3 5 2 4 3" xfId="14698" xr:uid="{00000000-0005-0000-0000-00002F370000}"/>
    <cellStyle name="40% - Accent2 3 5 2 5" xfId="14699" xr:uid="{00000000-0005-0000-0000-000030370000}"/>
    <cellStyle name="40% - Accent2 3 5 2 6" xfId="14700" xr:uid="{00000000-0005-0000-0000-000031370000}"/>
    <cellStyle name="40% - Accent2 3 5 2 7" xfId="14701" xr:uid="{00000000-0005-0000-0000-000032370000}"/>
    <cellStyle name="40% - Accent2 3 5 2 8" xfId="14702" xr:uid="{00000000-0005-0000-0000-000033370000}"/>
    <cellStyle name="40% - Accent2 3 5 3" xfId="14703" xr:uid="{00000000-0005-0000-0000-000034370000}"/>
    <cellStyle name="40% - Accent2 3 5 3 2" xfId="14704" xr:uid="{00000000-0005-0000-0000-000035370000}"/>
    <cellStyle name="40% - Accent2 3 5 3 2 2" xfId="14705" xr:uid="{00000000-0005-0000-0000-000036370000}"/>
    <cellStyle name="40% - Accent2 3 5 3 2 2 2" xfId="14706" xr:uid="{00000000-0005-0000-0000-000037370000}"/>
    <cellStyle name="40% - Accent2 3 5 3 2 2 3" xfId="14707" xr:uid="{00000000-0005-0000-0000-000038370000}"/>
    <cellStyle name="40% - Accent2 3 5 3 2 3" xfId="14708" xr:uid="{00000000-0005-0000-0000-000039370000}"/>
    <cellStyle name="40% - Accent2 3 5 3 2 4" xfId="14709" xr:uid="{00000000-0005-0000-0000-00003A370000}"/>
    <cellStyle name="40% - Accent2 3 5 3 2 5" xfId="14710" xr:uid="{00000000-0005-0000-0000-00003B370000}"/>
    <cellStyle name="40% - Accent2 3 5 3 2 6" xfId="14711" xr:uid="{00000000-0005-0000-0000-00003C370000}"/>
    <cellStyle name="40% - Accent2 3 5 3 3" xfId="14712" xr:uid="{00000000-0005-0000-0000-00003D370000}"/>
    <cellStyle name="40% - Accent2 3 5 3 3 2" xfId="14713" xr:uid="{00000000-0005-0000-0000-00003E370000}"/>
    <cellStyle name="40% - Accent2 3 5 3 3 3" xfId="14714" xr:uid="{00000000-0005-0000-0000-00003F370000}"/>
    <cellStyle name="40% - Accent2 3 5 3 4" xfId="14715" xr:uid="{00000000-0005-0000-0000-000040370000}"/>
    <cellStyle name="40% - Accent2 3 5 3 5" xfId="14716" xr:uid="{00000000-0005-0000-0000-000041370000}"/>
    <cellStyle name="40% - Accent2 3 5 3 6" xfId="14717" xr:uid="{00000000-0005-0000-0000-000042370000}"/>
    <cellStyle name="40% - Accent2 3 5 3 7" xfId="14718" xr:uid="{00000000-0005-0000-0000-000043370000}"/>
    <cellStyle name="40% - Accent2 3 5 4" xfId="14719" xr:uid="{00000000-0005-0000-0000-000044370000}"/>
    <cellStyle name="40% - Accent2 3 5 4 2" xfId="14720" xr:uid="{00000000-0005-0000-0000-000045370000}"/>
    <cellStyle name="40% - Accent2 3 5 4 2 2" xfId="14721" xr:uid="{00000000-0005-0000-0000-000046370000}"/>
    <cellStyle name="40% - Accent2 3 5 4 2 3" xfId="14722" xr:uid="{00000000-0005-0000-0000-000047370000}"/>
    <cellStyle name="40% - Accent2 3 5 4 3" xfId="14723" xr:uid="{00000000-0005-0000-0000-000048370000}"/>
    <cellStyle name="40% - Accent2 3 5 4 4" xfId="14724" xr:uid="{00000000-0005-0000-0000-000049370000}"/>
    <cellStyle name="40% - Accent2 3 5 4 5" xfId="14725" xr:uid="{00000000-0005-0000-0000-00004A370000}"/>
    <cellStyle name="40% - Accent2 3 5 4 6" xfId="14726" xr:uid="{00000000-0005-0000-0000-00004B370000}"/>
    <cellStyle name="40% - Accent2 3 5 5" xfId="14727" xr:uid="{00000000-0005-0000-0000-00004C370000}"/>
    <cellStyle name="40% - Accent2 3 5 5 2" xfId="14728" xr:uid="{00000000-0005-0000-0000-00004D370000}"/>
    <cellStyle name="40% - Accent2 3 5 5 2 2" xfId="14729" xr:uid="{00000000-0005-0000-0000-00004E370000}"/>
    <cellStyle name="40% - Accent2 3 5 5 2 3" xfId="14730" xr:uid="{00000000-0005-0000-0000-00004F370000}"/>
    <cellStyle name="40% - Accent2 3 5 5 3" xfId="14731" xr:uid="{00000000-0005-0000-0000-000050370000}"/>
    <cellStyle name="40% - Accent2 3 5 5 4" xfId="14732" xr:uid="{00000000-0005-0000-0000-000051370000}"/>
    <cellStyle name="40% - Accent2 3 5 5 5" xfId="14733" xr:uid="{00000000-0005-0000-0000-000052370000}"/>
    <cellStyle name="40% - Accent2 3 5 5 6" xfId="14734" xr:uid="{00000000-0005-0000-0000-000053370000}"/>
    <cellStyle name="40% - Accent2 3 5 6" xfId="14735" xr:uid="{00000000-0005-0000-0000-000054370000}"/>
    <cellStyle name="40% - Accent2 3 5 6 2" xfId="14736" xr:uid="{00000000-0005-0000-0000-000055370000}"/>
    <cellStyle name="40% - Accent2 3 5 6 3" xfId="14737" xr:uid="{00000000-0005-0000-0000-000056370000}"/>
    <cellStyle name="40% - Accent2 3 5 7" xfId="14738" xr:uid="{00000000-0005-0000-0000-000057370000}"/>
    <cellStyle name="40% - Accent2 3 5 8" xfId="14739" xr:uid="{00000000-0005-0000-0000-000058370000}"/>
    <cellStyle name="40% - Accent2 3 5 9" xfId="14740" xr:uid="{00000000-0005-0000-0000-000059370000}"/>
    <cellStyle name="40% - Accent2 3 6" xfId="14741" xr:uid="{00000000-0005-0000-0000-00005A370000}"/>
    <cellStyle name="40% - Accent2 3 6 2" xfId="14742" xr:uid="{00000000-0005-0000-0000-00005B370000}"/>
    <cellStyle name="40% - Accent2 3 6 2 2" xfId="14743" xr:uid="{00000000-0005-0000-0000-00005C370000}"/>
    <cellStyle name="40% - Accent2 3 6 2 2 2" xfId="14744" xr:uid="{00000000-0005-0000-0000-00005D370000}"/>
    <cellStyle name="40% - Accent2 3 6 2 2 2 2" xfId="14745" xr:uid="{00000000-0005-0000-0000-00005E370000}"/>
    <cellStyle name="40% - Accent2 3 6 2 2 2 3" xfId="14746" xr:uid="{00000000-0005-0000-0000-00005F370000}"/>
    <cellStyle name="40% - Accent2 3 6 2 2 3" xfId="14747" xr:uid="{00000000-0005-0000-0000-000060370000}"/>
    <cellStyle name="40% - Accent2 3 6 2 2 4" xfId="14748" xr:uid="{00000000-0005-0000-0000-000061370000}"/>
    <cellStyle name="40% - Accent2 3 6 2 2 5" xfId="14749" xr:uid="{00000000-0005-0000-0000-000062370000}"/>
    <cellStyle name="40% - Accent2 3 6 2 2 6" xfId="14750" xr:uid="{00000000-0005-0000-0000-000063370000}"/>
    <cellStyle name="40% - Accent2 3 6 2 3" xfId="14751" xr:uid="{00000000-0005-0000-0000-000064370000}"/>
    <cellStyle name="40% - Accent2 3 6 2 3 2" xfId="14752" xr:uid="{00000000-0005-0000-0000-000065370000}"/>
    <cellStyle name="40% - Accent2 3 6 2 3 3" xfId="14753" xr:uid="{00000000-0005-0000-0000-000066370000}"/>
    <cellStyle name="40% - Accent2 3 6 2 4" xfId="14754" xr:uid="{00000000-0005-0000-0000-000067370000}"/>
    <cellStyle name="40% - Accent2 3 6 2 5" xfId="14755" xr:uid="{00000000-0005-0000-0000-000068370000}"/>
    <cellStyle name="40% - Accent2 3 6 2 6" xfId="14756" xr:uid="{00000000-0005-0000-0000-000069370000}"/>
    <cellStyle name="40% - Accent2 3 6 2 7" xfId="14757" xr:uid="{00000000-0005-0000-0000-00006A370000}"/>
    <cellStyle name="40% - Accent2 3 6 3" xfId="14758" xr:uid="{00000000-0005-0000-0000-00006B370000}"/>
    <cellStyle name="40% - Accent2 3 6 3 2" xfId="14759" xr:uid="{00000000-0005-0000-0000-00006C370000}"/>
    <cellStyle name="40% - Accent2 3 6 3 2 2" xfId="14760" xr:uid="{00000000-0005-0000-0000-00006D370000}"/>
    <cellStyle name="40% - Accent2 3 6 3 2 3" xfId="14761" xr:uid="{00000000-0005-0000-0000-00006E370000}"/>
    <cellStyle name="40% - Accent2 3 6 3 3" xfId="14762" xr:uid="{00000000-0005-0000-0000-00006F370000}"/>
    <cellStyle name="40% - Accent2 3 6 3 4" xfId="14763" xr:uid="{00000000-0005-0000-0000-000070370000}"/>
    <cellStyle name="40% - Accent2 3 6 3 5" xfId="14764" xr:uid="{00000000-0005-0000-0000-000071370000}"/>
    <cellStyle name="40% - Accent2 3 6 3 6" xfId="14765" xr:uid="{00000000-0005-0000-0000-000072370000}"/>
    <cellStyle name="40% - Accent2 3 6 4" xfId="14766" xr:uid="{00000000-0005-0000-0000-000073370000}"/>
    <cellStyle name="40% - Accent2 3 6 4 2" xfId="14767" xr:uid="{00000000-0005-0000-0000-000074370000}"/>
    <cellStyle name="40% - Accent2 3 6 4 2 2" xfId="14768" xr:uid="{00000000-0005-0000-0000-000075370000}"/>
    <cellStyle name="40% - Accent2 3 6 4 2 3" xfId="14769" xr:uid="{00000000-0005-0000-0000-000076370000}"/>
    <cellStyle name="40% - Accent2 3 6 4 3" xfId="14770" xr:uid="{00000000-0005-0000-0000-000077370000}"/>
    <cellStyle name="40% - Accent2 3 6 4 4" xfId="14771" xr:uid="{00000000-0005-0000-0000-000078370000}"/>
    <cellStyle name="40% - Accent2 3 6 4 5" xfId="14772" xr:uid="{00000000-0005-0000-0000-000079370000}"/>
    <cellStyle name="40% - Accent2 3 6 4 6" xfId="14773" xr:uid="{00000000-0005-0000-0000-00007A370000}"/>
    <cellStyle name="40% - Accent2 3 6 5" xfId="14774" xr:uid="{00000000-0005-0000-0000-00007B370000}"/>
    <cellStyle name="40% - Accent2 3 6 5 2" xfId="14775" xr:uid="{00000000-0005-0000-0000-00007C370000}"/>
    <cellStyle name="40% - Accent2 3 6 5 3" xfId="14776" xr:uid="{00000000-0005-0000-0000-00007D370000}"/>
    <cellStyle name="40% - Accent2 3 6 6" xfId="14777" xr:uid="{00000000-0005-0000-0000-00007E370000}"/>
    <cellStyle name="40% - Accent2 3 6 7" xfId="14778" xr:uid="{00000000-0005-0000-0000-00007F370000}"/>
    <cellStyle name="40% - Accent2 3 6 8" xfId="14779" xr:uid="{00000000-0005-0000-0000-000080370000}"/>
    <cellStyle name="40% - Accent2 3 6 9" xfId="14780" xr:uid="{00000000-0005-0000-0000-000081370000}"/>
    <cellStyle name="40% - Accent2 3 7" xfId="14781" xr:uid="{00000000-0005-0000-0000-000082370000}"/>
    <cellStyle name="40% - Accent2 3 7 2" xfId="14782" xr:uid="{00000000-0005-0000-0000-000083370000}"/>
    <cellStyle name="40% - Accent2 3 7 2 2" xfId="14783" xr:uid="{00000000-0005-0000-0000-000084370000}"/>
    <cellStyle name="40% - Accent2 3 7 2 2 2" xfId="14784" xr:uid="{00000000-0005-0000-0000-000085370000}"/>
    <cellStyle name="40% - Accent2 3 7 2 2 3" xfId="14785" xr:uid="{00000000-0005-0000-0000-000086370000}"/>
    <cellStyle name="40% - Accent2 3 7 2 3" xfId="14786" xr:uid="{00000000-0005-0000-0000-000087370000}"/>
    <cellStyle name="40% - Accent2 3 7 2 4" xfId="14787" xr:uid="{00000000-0005-0000-0000-000088370000}"/>
    <cellStyle name="40% - Accent2 3 7 2 5" xfId="14788" xr:uid="{00000000-0005-0000-0000-000089370000}"/>
    <cellStyle name="40% - Accent2 3 7 2 6" xfId="14789" xr:uid="{00000000-0005-0000-0000-00008A370000}"/>
    <cellStyle name="40% - Accent2 3 7 3" xfId="14790" xr:uid="{00000000-0005-0000-0000-00008B370000}"/>
    <cellStyle name="40% - Accent2 3 7 3 2" xfId="14791" xr:uid="{00000000-0005-0000-0000-00008C370000}"/>
    <cellStyle name="40% - Accent2 3 7 3 3" xfId="14792" xr:uid="{00000000-0005-0000-0000-00008D370000}"/>
    <cellStyle name="40% - Accent2 3 7 4" xfId="14793" xr:uid="{00000000-0005-0000-0000-00008E370000}"/>
    <cellStyle name="40% - Accent2 3 7 5" xfId="14794" xr:uid="{00000000-0005-0000-0000-00008F370000}"/>
    <cellStyle name="40% - Accent2 3 7 6" xfId="14795" xr:uid="{00000000-0005-0000-0000-000090370000}"/>
    <cellStyle name="40% - Accent2 3 7 7" xfId="14796" xr:uid="{00000000-0005-0000-0000-000091370000}"/>
    <cellStyle name="40% - Accent2 3 8" xfId="14797" xr:uid="{00000000-0005-0000-0000-000092370000}"/>
    <cellStyle name="40% - Accent2 3 8 2" xfId="14798" xr:uid="{00000000-0005-0000-0000-000093370000}"/>
    <cellStyle name="40% - Accent2 3 8 2 2" xfId="14799" xr:uid="{00000000-0005-0000-0000-000094370000}"/>
    <cellStyle name="40% - Accent2 3 8 2 3" xfId="14800" xr:uid="{00000000-0005-0000-0000-000095370000}"/>
    <cellStyle name="40% - Accent2 3 8 3" xfId="14801" xr:uid="{00000000-0005-0000-0000-000096370000}"/>
    <cellStyle name="40% - Accent2 3 8 4" xfId="14802" xr:uid="{00000000-0005-0000-0000-000097370000}"/>
    <cellStyle name="40% - Accent2 3 8 5" xfId="14803" xr:uid="{00000000-0005-0000-0000-000098370000}"/>
    <cellStyle name="40% - Accent2 3 8 6" xfId="14804" xr:uid="{00000000-0005-0000-0000-000099370000}"/>
    <cellStyle name="40% - Accent2 3 9" xfId="14805" xr:uid="{00000000-0005-0000-0000-00009A370000}"/>
    <cellStyle name="40% - Accent2 3 9 2" xfId="14806" xr:uid="{00000000-0005-0000-0000-00009B370000}"/>
    <cellStyle name="40% - Accent2 3 9 2 2" xfId="14807" xr:uid="{00000000-0005-0000-0000-00009C370000}"/>
    <cellStyle name="40% - Accent2 3 9 2 3" xfId="14808" xr:uid="{00000000-0005-0000-0000-00009D370000}"/>
    <cellStyle name="40% - Accent2 3 9 3" xfId="14809" xr:uid="{00000000-0005-0000-0000-00009E370000}"/>
    <cellStyle name="40% - Accent2 3 9 4" xfId="14810" xr:uid="{00000000-0005-0000-0000-00009F370000}"/>
    <cellStyle name="40% - Accent2 3 9 5" xfId="14811" xr:uid="{00000000-0005-0000-0000-0000A0370000}"/>
    <cellStyle name="40% - Accent2 3 9 6" xfId="14812" xr:uid="{00000000-0005-0000-0000-0000A1370000}"/>
    <cellStyle name="40% - Accent2 4" xfId="14813" xr:uid="{00000000-0005-0000-0000-0000A2370000}"/>
    <cellStyle name="40% - Accent2 4 10" xfId="14814" xr:uid="{00000000-0005-0000-0000-0000A3370000}"/>
    <cellStyle name="40% - Accent2 4 10 2" xfId="14815" xr:uid="{00000000-0005-0000-0000-0000A4370000}"/>
    <cellStyle name="40% - Accent2 4 10 2 2" xfId="14816" xr:uid="{00000000-0005-0000-0000-0000A5370000}"/>
    <cellStyle name="40% - Accent2 4 10 2 3" xfId="14817" xr:uid="{00000000-0005-0000-0000-0000A6370000}"/>
    <cellStyle name="40% - Accent2 4 10 3" xfId="14818" xr:uid="{00000000-0005-0000-0000-0000A7370000}"/>
    <cellStyle name="40% - Accent2 4 10 4" xfId="14819" xr:uid="{00000000-0005-0000-0000-0000A8370000}"/>
    <cellStyle name="40% - Accent2 4 10 5" xfId="14820" xr:uid="{00000000-0005-0000-0000-0000A9370000}"/>
    <cellStyle name="40% - Accent2 4 10 6" xfId="14821" xr:uid="{00000000-0005-0000-0000-0000AA370000}"/>
    <cellStyle name="40% - Accent2 4 11" xfId="14822" xr:uid="{00000000-0005-0000-0000-0000AB370000}"/>
    <cellStyle name="40% - Accent2 4 11 2" xfId="14823" xr:uid="{00000000-0005-0000-0000-0000AC370000}"/>
    <cellStyle name="40% - Accent2 4 11 3" xfId="14824" xr:uid="{00000000-0005-0000-0000-0000AD370000}"/>
    <cellStyle name="40% - Accent2 4 12" xfId="14825" xr:uid="{00000000-0005-0000-0000-0000AE370000}"/>
    <cellStyle name="40% - Accent2 4 13" xfId="14826" xr:uid="{00000000-0005-0000-0000-0000AF370000}"/>
    <cellStyle name="40% - Accent2 4 14" xfId="14827" xr:uid="{00000000-0005-0000-0000-0000B0370000}"/>
    <cellStyle name="40% - Accent2 4 15" xfId="14828" xr:uid="{00000000-0005-0000-0000-0000B1370000}"/>
    <cellStyle name="40% - Accent2 4 2" xfId="14829" xr:uid="{00000000-0005-0000-0000-0000B2370000}"/>
    <cellStyle name="40% - Accent2 4 2 10" xfId="14830" xr:uid="{00000000-0005-0000-0000-0000B3370000}"/>
    <cellStyle name="40% - Accent2 4 2 10 2" xfId="14831" xr:uid="{00000000-0005-0000-0000-0000B4370000}"/>
    <cellStyle name="40% - Accent2 4 2 10 3" xfId="14832" xr:uid="{00000000-0005-0000-0000-0000B5370000}"/>
    <cellStyle name="40% - Accent2 4 2 11" xfId="14833" xr:uid="{00000000-0005-0000-0000-0000B6370000}"/>
    <cellStyle name="40% - Accent2 4 2 12" xfId="14834" xr:uid="{00000000-0005-0000-0000-0000B7370000}"/>
    <cellStyle name="40% - Accent2 4 2 13" xfId="14835" xr:uid="{00000000-0005-0000-0000-0000B8370000}"/>
    <cellStyle name="40% - Accent2 4 2 14" xfId="14836" xr:uid="{00000000-0005-0000-0000-0000B9370000}"/>
    <cellStyle name="40% - Accent2 4 2 2" xfId="14837" xr:uid="{00000000-0005-0000-0000-0000BA370000}"/>
    <cellStyle name="40% - Accent2 4 2 2 10" xfId="14838" xr:uid="{00000000-0005-0000-0000-0000BB370000}"/>
    <cellStyle name="40% - Accent2 4 2 2 11" xfId="14839" xr:uid="{00000000-0005-0000-0000-0000BC370000}"/>
    <cellStyle name="40% - Accent2 4 2 2 12" xfId="14840" xr:uid="{00000000-0005-0000-0000-0000BD370000}"/>
    <cellStyle name="40% - Accent2 4 2 2 13" xfId="14841" xr:uid="{00000000-0005-0000-0000-0000BE370000}"/>
    <cellStyle name="40% - Accent2 4 2 2 2" xfId="14842" xr:uid="{00000000-0005-0000-0000-0000BF370000}"/>
    <cellStyle name="40% - Accent2 4 2 2 2 10" xfId="14843" xr:uid="{00000000-0005-0000-0000-0000C0370000}"/>
    <cellStyle name="40% - Accent2 4 2 2 2 2" xfId="14844" xr:uid="{00000000-0005-0000-0000-0000C1370000}"/>
    <cellStyle name="40% - Accent2 4 2 2 2 2 2" xfId="14845" xr:uid="{00000000-0005-0000-0000-0000C2370000}"/>
    <cellStyle name="40% - Accent2 4 2 2 2 2 2 2" xfId="14846" xr:uid="{00000000-0005-0000-0000-0000C3370000}"/>
    <cellStyle name="40% - Accent2 4 2 2 2 2 2 2 2" xfId="14847" xr:uid="{00000000-0005-0000-0000-0000C4370000}"/>
    <cellStyle name="40% - Accent2 4 2 2 2 2 2 2 3" xfId="14848" xr:uid="{00000000-0005-0000-0000-0000C5370000}"/>
    <cellStyle name="40% - Accent2 4 2 2 2 2 2 3" xfId="14849" xr:uid="{00000000-0005-0000-0000-0000C6370000}"/>
    <cellStyle name="40% - Accent2 4 2 2 2 2 2 4" xfId="14850" xr:uid="{00000000-0005-0000-0000-0000C7370000}"/>
    <cellStyle name="40% - Accent2 4 2 2 2 2 2 5" xfId="14851" xr:uid="{00000000-0005-0000-0000-0000C8370000}"/>
    <cellStyle name="40% - Accent2 4 2 2 2 2 2 6" xfId="14852" xr:uid="{00000000-0005-0000-0000-0000C9370000}"/>
    <cellStyle name="40% - Accent2 4 2 2 2 2 3" xfId="14853" xr:uid="{00000000-0005-0000-0000-0000CA370000}"/>
    <cellStyle name="40% - Accent2 4 2 2 2 2 3 2" xfId="14854" xr:uid="{00000000-0005-0000-0000-0000CB370000}"/>
    <cellStyle name="40% - Accent2 4 2 2 2 2 3 2 2" xfId="14855" xr:uid="{00000000-0005-0000-0000-0000CC370000}"/>
    <cellStyle name="40% - Accent2 4 2 2 2 2 3 2 3" xfId="14856" xr:uid="{00000000-0005-0000-0000-0000CD370000}"/>
    <cellStyle name="40% - Accent2 4 2 2 2 2 3 3" xfId="14857" xr:uid="{00000000-0005-0000-0000-0000CE370000}"/>
    <cellStyle name="40% - Accent2 4 2 2 2 2 3 4" xfId="14858" xr:uid="{00000000-0005-0000-0000-0000CF370000}"/>
    <cellStyle name="40% - Accent2 4 2 2 2 2 3 5" xfId="14859" xr:uid="{00000000-0005-0000-0000-0000D0370000}"/>
    <cellStyle name="40% - Accent2 4 2 2 2 2 3 6" xfId="14860" xr:uid="{00000000-0005-0000-0000-0000D1370000}"/>
    <cellStyle name="40% - Accent2 4 2 2 2 2 4" xfId="14861" xr:uid="{00000000-0005-0000-0000-0000D2370000}"/>
    <cellStyle name="40% - Accent2 4 2 2 2 2 4 2" xfId="14862" xr:uid="{00000000-0005-0000-0000-0000D3370000}"/>
    <cellStyle name="40% - Accent2 4 2 2 2 2 4 3" xfId="14863" xr:uid="{00000000-0005-0000-0000-0000D4370000}"/>
    <cellStyle name="40% - Accent2 4 2 2 2 2 5" xfId="14864" xr:uid="{00000000-0005-0000-0000-0000D5370000}"/>
    <cellStyle name="40% - Accent2 4 2 2 2 2 6" xfId="14865" xr:uid="{00000000-0005-0000-0000-0000D6370000}"/>
    <cellStyle name="40% - Accent2 4 2 2 2 2 7" xfId="14866" xr:uid="{00000000-0005-0000-0000-0000D7370000}"/>
    <cellStyle name="40% - Accent2 4 2 2 2 2 8" xfId="14867" xr:uid="{00000000-0005-0000-0000-0000D8370000}"/>
    <cellStyle name="40% - Accent2 4 2 2 2 3" xfId="14868" xr:uid="{00000000-0005-0000-0000-0000D9370000}"/>
    <cellStyle name="40% - Accent2 4 2 2 2 3 2" xfId="14869" xr:uid="{00000000-0005-0000-0000-0000DA370000}"/>
    <cellStyle name="40% - Accent2 4 2 2 2 3 2 2" xfId="14870" xr:uid="{00000000-0005-0000-0000-0000DB370000}"/>
    <cellStyle name="40% - Accent2 4 2 2 2 3 2 2 2" xfId="14871" xr:uid="{00000000-0005-0000-0000-0000DC370000}"/>
    <cellStyle name="40% - Accent2 4 2 2 2 3 2 2 3" xfId="14872" xr:uid="{00000000-0005-0000-0000-0000DD370000}"/>
    <cellStyle name="40% - Accent2 4 2 2 2 3 2 3" xfId="14873" xr:uid="{00000000-0005-0000-0000-0000DE370000}"/>
    <cellStyle name="40% - Accent2 4 2 2 2 3 2 4" xfId="14874" xr:uid="{00000000-0005-0000-0000-0000DF370000}"/>
    <cellStyle name="40% - Accent2 4 2 2 2 3 2 5" xfId="14875" xr:uid="{00000000-0005-0000-0000-0000E0370000}"/>
    <cellStyle name="40% - Accent2 4 2 2 2 3 2 6" xfId="14876" xr:uid="{00000000-0005-0000-0000-0000E1370000}"/>
    <cellStyle name="40% - Accent2 4 2 2 2 3 3" xfId="14877" xr:uid="{00000000-0005-0000-0000-0000E2370000}"/>
    <cellStyle name="40% - Accent2 4 2 2 2 3 3 2" xfId="14878" xr:uid="{00000000-0005-0000-0000-0000E3370000}"/>
    <cellStyle name="40% - Accent2 4 2 2 2 3 3 3" xfId="14879" xr:uid="{00000000-0005-0000-0000-0000E4370000}"/>
    <cellStyle name="40% - Accent2 4 2 2 2 3 4" xfId="14880" xr:uid="{00000000-0005-0000-0000-0000E5370000}"/>
    <cellStyle name="40% - Accent2 4 2 2 2 3 5" xfId="14881" xr:uid="{00000000-0005-0000-0000-0000E6370000}"/>
    <cellStyle name="40% - Accent2 4 2 2 2 3 6" xfId="14882" xr:uid="{00000000-0005-0000-0000-0000E7370000}"/>
    <cellStyle name="40% - Accent2 4 2 2 2 3 7" xfId="14883" xr:uid="{00000000-0005-0000-0000-0000E8370000}"/>
    <cellStyle name="40% - Accent2 4 2 2 2 4" xfId="14884" xr:uid="{00000000-0005-0000-0000-0000E9370000}"/>
    <cellStyle name="40% - Accent2 4 2 2 2 4 2" xfId="14885" xr:uid="{00000000-0005-0000-0000-0000EA370000}"/>
    <cellStyle name="40% - Accent2 4 2 2 2 4 2 2" xfId="14886" xr:uid="{00000000-0005-0000-0000-0000EB370000}"/>
    <cellStyle name="40% - Accent2 4 2 2 2 4 2 3" xfId="14887" xr:uid="{00000000-0005-0000-0000-0000EC370000}"/>
    <cellStyle name="40% - Accent2 4 2 2 2 4 3" xfId="14888" xr:uid="{00000000-0005-0000-0000-0000ED370000}"/>
    <cellStyle name="40% - Accent2 4 2 2 2 4 4" xfId="14889" xr:uid="{00000000-0005-0000-0000-0000EE370000}"/>
    <cellStyle name="40% - Accent2 4 2 2 2 4 5" xfId="14890" xr:uid="{00000000-0005-0000-0000-0000EF370000}"/>
    <cellStyle name="40% - Accent2 4 2 2 2 4 6" xfId="14891" xr:uid="{00000000-0005-0000-0000-0000F0370000}"/>
    <cellStyle name="40% - Accent2 4 2 2 2 5" xfId="14892" xr:uid="{00000000-0005-0000-0000-0000F1370000}"/>
    <cellStyle name="40% - Accent2 4 2 2 2 5 2" xfId="14893" xr:uid="{00000000-0005-0000-0000-0000F2370000}"/>
    <cellStyle name="40% - Accent2 4 2 2 2 5 2 2" xfId="14894" xr:uid="{00000000-0005-0000-0000-0000F3370000}"/>
    <cellStyle name="40% - Accent2 4 2 2 2 5 2 3" xfId="14895" xr:uid="{00000000-0005-0000-0000-0000F4370000}"/>
    <cellStyle name="40% - Accent2 4 2 2 2 5 3" xfId="14896" xr:uid="{00000000-0005-0000-0000-0000F5370000}"/>
    <cellStyle name="40% - Accent2 4 2 2 2 5 4" xfId="14897" xr:uid="{00000000-0005-0000-0000-0000F6370000}"/>
    <cellStyle name="40% - Accent2 4 2 2 2 5 5" xfId="14898" xr:uid="{00000000-0005-0000-0000-0000F7370000}"/>
    <cellStyle name="40% - Accent2 4 2 2 2 5 6" xfId="14899" xr:uid="{00000000-0005-0000-0000-0000F8370000}"/>
    <cellStyle name="40% - Accent2 4 2 2 2 6" xfId="14900" xr:uid="{00000000-0005-0000-0000-0000F9370000}"/>
    <cellStyle name="40% - Accent2 4 2 2 2 6 2" xfId="14901" xr:uid="{00000000-0005-0000-0000-0000FA370000}"/>
    <cellStyle name="40% - Accent2 4 2 2 2 6 3" xfId="14902" xr:uid="{00000000-0005-0000-0000-0000FB370000}"/>
    <cellStyle name="40% - Accent2 4 2 2 2 7" xfId="14903" xr:uid="{00000000-0005-0000-0000-0000FC370000}"/>
    <cellStyle name="40% - Accent2 4 2 2 2 8" xfId="14904" xr:uid="{00000000-0005-0000-0000-0000FD370000}"/>
    <cellStyle name="40% - Accent2 4 2 2 2 9" xfId="14905" xr:uid="{00000000-0005-0000-0000-0000FE370000}"/>
    <cellStyle name="40% - Accent2 4 2 2 3" xfId="14906" xr:uid="{00000000-0005-0000-0000-0000FF370000}"/>
    <cellStyle name="40% - Accent2 4 2 2 3 2" xfId="14907" xr:uid="{00000000-0005-0000-0000-000000380000}"/>
    <cellStyle name="40% - Accent2 4 2 2 3 2 2" xfId="14908" xr:uid="{00000000-0005-0000-0000-000001380000}"/>
    <cellStyle name="40% - Accent2 4 2 2 3 2 2 2" xfId="14909" xr:uid="{00000000-0005-0000-0000-000002380000}"/>
    <cellStyle name="40% - Accent2 4 2 2 3 2 2 2 2" xfId="14910" xr:uid="{00000000-0005-0000-0000-000003380000}"/>
    <cellStyle name="40% - Accent2 4 2 2 3 2 2 2 3" xfId="14911" xr:uid="{00000000-0005-0000-0000-000004380000}"/>
    <cellStyle name="40% - Accent2 4 2 2 3 2 2 3" xfId="14912" xr:uid="{00000000-0005-0000-0000-000005380000}"/>
    <cellStyle name="40% - Accent2 4 2 2 3 2 2 4" xfId="14913" xr:uid="{00000000-0005-0000-0000-000006380000}"/>
    <cellStyle name="40% - Accent2 4 2 2 3 2 2 5" xfId="14914" xr:uid="{00000000-0005-0000-0000-000007380000}"/>
    <cellStyle name="40% - Accent2 4 2 2 3 2 2 6" xfId="14915" xr:uid="{00000000-0005-0000-0000-000008380000}"/>
    <cellStyle name="40% - Accent2 4 2 2 3 2 3" xfId="14916" xr:uid="{00000000-0005-0000-0000-000009380000}"/>
    <cellStyle name="40% - Accent2 4 2 2 3 2 3 2" xfId="14917" xr:uid="{00000000-0005-0000-0000-00000A380000}"/>
    <cellStyle name="40% - Accent2 4 2 2 3 2 3 3" xfId="14918" xr:uid="{00000000-0005-0000-0000-00000B380000}"/>
    <cellStyle name="40% - Accent2 4 2 2 3 2 4" xfId="14919" xr:uid="{00000000-0005-0000-0000-00000C380000}"/>
    <cellStyle name="40% - Accent2 4 2 2 3 2 5" xfId="14920" xr:uid="{00000000-0005-0000-0000-00000D380000}"/>
    <cellStyle name="40% - Accent2 4 2 2 3 2 6" xfId="14921" xr:uid="{00000000-0005-0000-0000-00000E380000}"/>
    <cellStyle name="40% - Accent2 4 2 2 3 2 7" xfId="14922" xr:uid="{00000000-0005-0000-0000-00000F380000}"/>
    <cellStyle name="40% - Accent2 4 2 2 3 3" xfId="14923" xr:uid="{00000000-0005-0000-0000-000010380000}"/>
    <cellStyle name="40% - Accent2 4 2 2 3 3 2" xfId="14924" xr:uid="{00000000-0005-0000-0000-000011380000}"/>
    <cellStyle name="40% - Accent2 4 2 2 3 3 2 2" xfId="14925" xr:uid="{00000000-0005-0000-0000-000012380000}"/>
    <cellStyle name="40% - Accent2 4 2 2 3 3 2 3" xfId="14926" xr:uid="{00000000-0005-0000-0000-000013380000}"/>
    <cellStyle name="40% - Accent2 4 2 2 3 3 3" xfId="14927" xr:uid="{00000000-0005-0000-0000-000014380000}"/>
    <cellStyle name="40% - Accent2 4 2 2 3 3 4" xfId="14928" xr:uid="{00000000-0005-0000-0000-000015380000}"/>
    <cellStyle name="40% - Accent2 4 2 2 3 3 5" xfId="14929" xr:uid="{00000000-0005-0000-0000-000016380000}"/>
    <cellStyle name="40% - Accent2 4 2 2 3 3 6" xfId="14930" xr:uid="{00000000-0005-0000-0000-000017380000}"/>
    <cellStyle name="40% - Accent2 4 2 2 3 4" xfId="14931" xr:uid="{00000000-0005-0000-0000-000018380000}"/>
    <cellStyle name="40% - Accent2 4 2 2 3 4 2" xfId="14932" xr:uid="{00000000-0005-0000-0000-000019380000}"/>
    <cellStyle name="40% - Accent2 4 2 2 3 4 2 2" xfId="14933" xr:uid="{00000000-0005-0000-0000-00001A380000}"/>
    <cellStyle name="40% - Accent2 4 2 2 3 4 2 3" xfId="14934" xr:uid="{00000000-0005-0000-0000-00001B380000}"/>
    <cellStyle name="40% - Accent2 4 2 2 3 4 3" xfId="14935" xr:uid="{00000000-0005-0000-0000-00001C380000}"/>
    <cellStyle name="40% - Accent2 4 2 2 3 4 4" xfId="14936" xr:uid="{00000000-0005-0000-0000-00001D380000}"/>
    <cellStyle name="40% - Accent2 4 2 2 3 4 5" xfId="14937" xr:uid="{00000000-0005-0000-0000-00001E380000}"/>
    <cellStyle name="40% - Accent2 4 2 2 3 4 6" xfId="14938" xr:uid="{00000000-0005-0000-0000-00001F380000}"/>
    <cellStyle name="40% - Accent2 4 2 2 3 5" xfId="14939" xr:uid="{00000000-0005-0000-0000-000020380000}"/>
    <cellStyle name="40% - Accent2 4 2 2 3 5 2" xfId="14940" xr:uid="{00000000-0005-0000-0000-000021380000}"/>
    <cellStyle name="40% - Accent2 4 2 2 3 5 3" xfId="14941" xr:uid="{00000000-0005-0000-0000-000022380000}"/>
    <cellStyle name="40% - Accent2 4 2 2 3 6" xfId="14942" xr:uid="{00000000-0005-0000-0000-000023380000}"/>
    <cellStyle name="40% - Accent2 4 2 2 3 7" xfId="14943" xr:uid="{00000000-0005-0000-0000-000024380000}"/>
    <cellStyle name="40% - Accent2 4 2 2 3 8" xfId="14944" xr:uid="{00000000-0005-0000-0000-000025380000}"/>
    <cellStyle name="40% - Accent2 4 2 2 3 9" xfId="14945" xr:uid="{00000000-0005-0000-0000-000026380000}"/>
    <cellStyle name="40% - Accent2 4 2 2 4" xfId="14946" xr:uid="{00000000-0005-0000-0000-000027380000}"/>
    <cellStyle name="40% - Accent2 4 2 2 4 2" xfId="14947" xr:uid="{00000000-0005-0000-0000-000028380000}"/>
    <cellStyle name="40% - Accent2 4 2 2 4 2 2" xfId="14948" xr:uid="{00000000-0005-0000-0000-000029380000}"/>
    <cellStyle name="40% - Accent2 4 2 2 4 2 2 2" xfId="14949" xr:uid="{00000000-0005-0000-0000-00002A380000}"/>
    <cellStyle name="40% - Accent2 4 2 2 4 2 2 3" xfId="14950" xr:uid="{00000000-0005-0000-0000-00002B380000}"/>
    <cellStyle name="40% - Accent2 4 2 2 4 2 3" xfId="14951" xr:uid="{00000000-0005-0000-0000-00002C380000}"/>
    <cellStyle name="40% - Accent2 4 2 2 4 2 4" xfId="14952" xr:uid="{00000000-0005-0000-0000-00002D380000}"/>
    <cellStyle name="40% - Accent2 4 2 2 4 2 5" xfId="14953" xr:uid="{00000000-0005-0000-0000-00002E380000}"/>
    <cellStyle name="40% - Accent2 4 2 2 4 2 6" xfId="14954" xr:uid="{00000000-0005-0000-0000-00002F380000}"/>
    <cellStyle name="40% - Accent2 4 2 2 4 3" xfId="14955" xr:uid="{00000000-0005-0000-0000-000030380000}"/>
    <cellStyle name="40% - Accent2 4 2 2 4 3 2" xfId="14956" xr:uid="{00000000-0005-0000-0000-000031380000}"/>
    <cellStyle name="40% - Accent2 4 2 2 4 3 3" xfId="14957" xr:uid="{00000000-0005-0000-0000-000032380000}"/>
    <cellStyle name="40% - Accent2 4 2 2 4 4" xfId="14958" xr:uid="{00000000-0005-0000-0000-000033380000}"/>
    <cellStyle name="40% - Accent2 4 2 2 4 5" xfId="14959" xr:uid="{00000000-0005-0000-0000-000034380000}"/>
    <cellStyle name="40% - Accent2 4 2 2 4 6" xfId="14960" xr:uid="{00000000-0005-0000-0000-000035380000}"/>
    <cellStyle name="40% - Accent2 4 2 2 4 7" xfId="14961" xr:uid="{00000000-0005-0000-0000-000036380000}"/>
    <cellStyle name="40% - Accent2 4 2 2 5" xfId="14962" xr:uid="{00000000-0005-0000-0000-000037380000}"/>
    <cellStyle name="40% - Accent2 4 2 2 5 2" xfId="14963" xr:uid="{00000000-0005-0000-0000-000038380000}"/>
    <cellStyle name="40% - Accent2 4 2 2 5 2 2" xfId="14964" xr:uid="{00000000-0005-0000-0000-000039380000}"/>
    <cellStyle name="40% - Accent2 4 2 2 5 2 3" xfId="14965" xr:uid="{00000000-0005-0000-0000-00003A380000}"/>
    <cellStyle name="40% - Accent2 4 2 2 5 3" xfId="14966" xr:uid="{00000000-0005-0000-0000-00003B380000}"/>
    <cellStyle name="40% - Accent2 4 2 2 5 4" xfId="14967" xr:uid="{00000000-0005-0000-0000-00003C380000}"/>
    <cellStyle name="40% - Accent2 4 2 2 5 5" xfId="14968" xr:uid="{00000000-0005-0000-0000-00003D380000}"/>
    <cellStyle name="40% - Accent2 4 2 2 5 6" xfId="14969" xr:uid="{00000000-0005-0000-0000-00003E380000}"/>
    <cellStyle name="40% - Accent2 4 2 2 6" xfId="14970" xr:uid="{00000000-0005-0000-0000-00003F380000}"/>
    <cellStyle name="40% - Accent2 4 2 2 6 2" xfId="14971" xr:uid="{00000000-0005-0000-0000-000040380000}"/>
    <cellStyle name="40% - Accent2 4 2 2 6 2 2" xfId="14972" xr:uid="{00000000-0005-0000-0000-000041380000}"/>
    <cellStyle name="40% - Accent2 4 2 2 6 2 3" xfId="14973" xr:uid="{00000000-0005-0000-0000-000042380000}"/>
    <cellStyle name="40% - Accent2 4 2 2 6 3" xfId="14974" xr:uid="{00000000-0005-0000-0000-000043380000}"/>
    <cellStyle name="40% - Accent2 4 2 2 6 4" xfId="14975" xr:uid="{00000000-0005-0000-0000-000044380000}"/>
    <cellStyle name="40% - Accent2 4 2 2 6 5" xfId="14976" xr:uid="{00000000-0005-0000-0000-000045380000}"/>
    <cellStyle name="40% - Accent2 4 2 2 6 6" xfId="14977" xr:uid="{00000000-0005-0000-0000-000046380000}"/>
    <cellStyle name="40% - Accent2 4 2 2 7" xfId="14978" xr:uid="{00000000-0005-0000-0000-000047380000}"/>
    <cellStyle name="40% - Accent2 4 2 2 7 2" xfId="14979" xr:uid="{00000000-0005-0000-0000-000048380000}"/>
    <cellStyle name="40% - Accent2 4 2 2 7 2 2" xfId="14980" xr:uid="{00000000-0005-0000-0000-000049380000}"/>
    <cellStyle name="40% - Accent2 4 2 2 7 2 3" xfId="14981" xr:uid="{00000000-0005-0000-0000-00004A380000}"/>
    <cellStyle name="40% - Accent2 4 2 2 7 3" xfId="14982" xr:uid="{00000000-0005-0000-0000-00004B380000}"/>
    <cellStyle name="40% - Accent2 4 2 2 7 4" xfId="14983" xr:uid="{00000000-0005-0000-0000-00004C380000}"/>
    <cellStyle name="40% - Accent2 4 2 2 7 5" xfId="14984" xr:uid="{00000000-0005-0000-0000-00004D380000}"/>
    <cellStyle name="40% - Accent2 4 2 2 7 6" xfId="14985" xr:uid="{00000000-0005-0000-0000-00004E380000}"/>
    <cellStyle name="40% - Accent2 4 2 2 8" xfId="14986" xr:uid="{00000000-0005-0000-0000-00004F380000}"/>
    <cellStyle name="40% - Accent2 4 2 2 8 2" xfId="14987" xr:uid="{00000000-0005-0000-0000-000050380000}"/>
    <cellStyle name="40% - Accent2 4 2 2 8 2 2" xfId="14988" xr:uid="{00000000-0005-0000-0000-000051380000}"/>
    <cellStyle name="40% - Accent2 4 2 2 8 2 3" xfId="14989" xr:uid="{00000000-0005-0000-0000-000052380000}"/>
    <cellStyle name="40% - Accent2 4 2 2 8 3" xfId="14990" xr:uid="{00000000-0005-0000-0000-000053380000}"/>
    <cellStyle name="40% - Accent2 4 2 2 8 4" xfId="14991" xr:uid="{00000000-0005-0000-0000-000054380000}"/>
    <cellStyle name="40% - Accent2 4 2 2 8 5" xfId="14992" xr:uid="{00000000-0005-0000-0000-000055380000}"/>
    <cellStyle name="40% - Accent2 4 2 2 8 6" xfId="14993" xr:uid="{00000000-0005-0000-0000-000056380000}"/>
    <cellStyle name="40% - Accent2 4 2 2 9" xfId="14994" xr:uid="{00000000-0005-0000-0000-000057380000}"/>
    <cellStyle name="40% - Accent2 4 2 2 9 2" xfId="14995" xr:uid="{00000000-0005-0000-0000-000058380000}"/>
    <cellStyle name="40% - Accent2 4 2 2 9 3" xfId="14996" xr:uid="{00000000-0005-0000-0000-000059380000}"/>
    <cellStyle name="40% - Accent2 4 2 3" xfId="14997" xr:uid="{00000000-0005-0000-0000-00005A380000}"/>
    <cellStyle name="40% - Accent2 4 2 3 10" xfId="14998" xr:uid="{00000000-0005-0000-0000-00005B380000}"/>
    <cellStyle name="40% - Accent2 4 2 3 2" xfId="14999" xr:uid="{00000000-0005-0000-0000-00005C380000}"/>
    <cellStyle name="40% - Accent2 4 2 3 2 2" xfId="15000" xr:uid="{00000000-0005-0000-0000-00005D380000}"/>
    <cellStyle name="40% - Accent2 4 2 3 2 2 2" xfId="15001" xr:uid="{00000000-0005-0000-0000-00005E380000}"/>
    <cellStyle name="40% - Accent2 4 2 3 2 2 2 2" xfId="15002" xr:uid="{00000000-0005-0000-0000-00005F380000}"/>
    <cellStyle name="40% - Accent2 4 2 3 2 2 2 3" xfId="15003" xr:uid="{00000000-0005-0000-0000-000060380000}"/>
    <cellStyle name="40% - Accent2 4 2 3 2 2 3" xfId="15004" xr:uid="{00000000-0005-0000-0000-000061380000}"/>
    <cellStyle name="40% - Accent2 4 2 3 2 2 4" xfId="15005" xr:uid="{00000000-0005-0000-0000-000062380000}"/>
    <cellStyle name="40% - Accent2 4 2 3 2 2 5" xfId="15006" xr:uid="{00000000-0005-0000-0000-000063380000}"/>
    <cellStyle name="40% - Accent2 4 2 3 2 2 6" xfId="15007" xr:uid="{00000000-0005-0000-0000-000064380000}"/>
    <cellStyle name="40% - Accent2 4 2 3 2 3" xfId="15008" xr:uid="{00000000-0005-0000-0000-000065380000}"/>
    <cellStyle name="40% - Accent2 4 2 3 2 3 2" xfId="15009" xr:uid="{00000000-0005-0000-0000-000066380000}"/>
    <cellStyle name="40% - Accent2 4 2 3 2 3 2 2" xfId="15010" xr:uid="{00000000-0005-0000-0000-000067380000}"/>
    <cellStyle name="40% - Accent2 4 2 3 2 3 2 3" xfId="15011" xr:uid="{00000000-0005-0000-0000-000068380000}"/>
    <cellStyle name="40% - Accent2 4 2 3 2 3 3" xfId="15012" xr:uid="{00000000-0005-0000-0000-000069380000}"/>
    <cellStyle name="40% - Accent2 4 2 3 2 3 4" xfId="15013" xr:uid="{00000000-0005-0000-0000-00006A380000}"/>
    <cellStyle name="40% - Accent2 4 2 3 2 3 5" xfId="15014" xr:uid="{00000000-0005-0000-0000-00006B380000}"/>
    <cellStyle name="40% - Accent2 4 2 3 2 3 6" xfId="15015" xr:uid="{00000000-0005-0000-0000-00006C380000}"/>
    <cellStyle name="40% - Accent2 4 2 3 2 4" xfId="15016" xr:uid="{00000000-0005-0000-0000-00006D380000}"/>
    <cellStyle name="40% - Accent2 4 2 3 2 4 2" xfId="15017" xr:uid="{00000000-0005-0000-0000-00006E380000}"/>
    <cellStyle name="40% - Accent2 4 2 3 2 4 3" xfId="15018" xr:uid="{00000000-0005-0000-0000-00006F380000}"/>
    <cellStyle name="40% - Accent2 4 2 3 2 5" xfId="15019" xr:uid="{00000000-0005-0000-0000-000070380000}"/>
    <cellStyle name="40% - Accent2 4 2 3 2 6" xfId="15020" xr:uid="{00000000-0005-0000-0000-000071380000}"/>
    <cellStyle name="40% - Accent2 4 2 3 2 7" xfId="15021" xr:uid="{00000000-0005-0000-0000-000072380000}"/>
    <cellStyle name="40% - Accent2 4 2 3 2 8" xfId="15022" xr:uid="{00000000-0005-0000-0000-000073380000}"/>
    <cellStyle name="40% - Accent2 4 2 3 3" xfId="15023" xr:uid="{00000000-0005-0000-0000-000074380000}"/>
    <cellStyle name="40% - Accent2 4 2 3 3 2" xfId="15024" xr:uid="{00000000-0005-0000-0000-000075380000}"/>
    <cellStyle name="40% - Accent2 4 2 3 3 2 2" xfId="15025" xr:uid="{00000000-0005-0000-0000-000076380000}"/>
    <cellStyle name="40% - Accent2 4 2 3 3 2 2 2" xfId="15026" xr:uid="{00000000-0005-0000-0000-000077380000}"/>
    <cellStyle name="40% - Accent2 4 2 3 3 2 2 3" xfId="15027" xr:uid="{00000000-0005-0000-0000-000078380000}"/>
    <cellStyle name="40% - Accent2 4 2 3 3 2 3" xfId="15028" xr:uid="{00000000-0005-0000-0000-000079380000}"/>
    <cellStyle name="40% - Accent2 4 2 3 3 2 4" xfId="15029" xr:uid="{00000000-0005-0000-0000-00007A380000}"/>
    <cellStyle name="40% - Accent2 4 2 3 3 2 5" xfId="15030" xr:uid="{00000000-0005-0000-0000-00007B380000}"/>
    <cellStyle name="40% - Accent2 4 2 3 3 2 6" xfId="15031" xr:uid="{00000000-0005-0000-0000-00007C380000}"/>
    <cellStyle name="40% - Accent2 4 2 3 3 3" xfId="15032" xr:uid="{00000000-0005-0000-0000-00007D380000}"/>
    <cellStyle name="40% - Accent2 4 2 3 3 3 2" xfId="15033" xr:uid="{00000000-0005-0000-0000-00007E380000}"/>
    <cellStyle name="40% - Accent2 4 2 3 3 3 3" xfId="15034" xr:uid="{00000000-0005-0000-0000-00007F380000}"/>
    <cellStyle name="40% - Accent2 4 2 3 3 4" xfId="15035" xr:uid="{00000000-0005-0000-0000-000080380000}"/>
    <cellStyle name="40% - Accent2 4 2 3 3 5" xfId="15036" xr:uid="{00000000-0005-0000-0000-000081380000}"/>
    <cellStyle name="40% - Accent2 4 2 3 3 6" xfId="15037" xr:uid="{00000000-0005-0000-0000-000082380000}"/>
    <cellStyle name="40% - Accent2 4 2 3 3 7" xfId="15038" xr:uid="{00000000-0005-0000-0000-000083380000}"/>
    <cellStyle name="40% - Accent2 4 2 3 4" xfId="15039" xr:uid="{00000000-0005-0000-0000-000084380000}"/>
    <cellStyle name="40% - Accent2 4 2 3 4 2" xfId="15040" xr:uid="{00000000-0005-0000-0000-000085380000}"/>
    <cellStyle name="40% - Accent2 4 2 3 4 2 2" xfId="15041" xr:uid="{00000000-0005-0000-0000-000086380000}"/>
    <cellStyle name="40% - Accent2 4 2 3 4 2 3" xfId="15042" xr:uid="{00000000-0005-0000-0000-000087380000}"/>
    <cellStyle name="40% - Accent2 4 2 3 4 3" xfId="15043" xr:uid="{00000000-0005-0000-0000-000088380000}"/>
    <cellStyle name="40% - Accent2 4 2 3 4 4" xfId="15044" xr:uid="{00000000-0005-0000-0000-000089380000}"/>
    <cellStyle name="40% - Accent2 4 2 3 4 5" xfId="15045" xr:uid="{00000000-0005-0000-0000-00008A380000}"/>
    <cellStyle name="40% - Accent2 4 2 3 4 6" xfId="15046" xr:uid="{00000000-0005-0000-0000-00008B380000}"/>
    <cellStyle name="40% - Accent2 4 2 3 5" xfId="15047" xr:uid="{00000000-0005-0000-0000-00008C380000}"/>
    <cellStyle name="40% - Accent2 4 2 3 5 2" xfId="15048" xr:uid="{00000000-0005-0000-0000-00008D380000}"/>
    <cellStyle name="40% - Accent2 4 2 3 5 2 2" xfId="15049" xr:uid="{00000000-0005-0000-0000-00008E380000}"/>
    <cellStyle name="40% - Accent2 4 2 3 5 2 3" xfId="15050" xr:uid="{00000000-0005-0000-0000-00008F380000}"/>
    <cellStyle name="40% - Accent2 4 2 3 5 3" xfId="15051" xr:uid="{00000000-0005-0000-0000-000090380000}"/>
    <cellStyle name="40% - Accent2 4 2 3 5 4" xfId="15052" xr:uid="{00000000-0005-0000-0000-000091380000}"/>
    <cellStyle name="40% - Accent2 4 2 3 5 5" xfId="15053" xr:uid="{00000000-0005-0000-0000-000092380000}"/>
    <cellStyle name="40% - Accent2 4 2 3 5 6" xfId="15054" xr:uid="{00000000-0005-0000-0000-000093380000}"/>
    <cellStyle name="40% - Accent2 4 2 3 6" xfId="15055" xr:uid="{00000000-0005-0000-0000-000094380000}"/>
    <cellStyle name="40% - Accent2 4 2 3 6 2" xfId="15056" xr:uid="{00000000-0005-0000-0000-000095380000}"/>
    <cellStyle name="40% - Accent2 4 2 3 6 3" xfId="15057" xr:uid="{00000000-0005-0000-0000-000096380000}"/>
    <cellStyle name="40% - Accent2 4 2 3 7" xfId="15058" xr:uid="{00000000-0005-0000-0000-000097380000}"/>
    <cellStyle name="40% - Accent2 4 2 3 8" xfId="15059" xr:uid="{00000000-0005-0000-0000-000098380000}"/>
    <cellStyle name="40% - Accent2 4 2 3 9" xfId="15060" xr:uid="{00000000-0005-0000-0000-000099380000}"/>
    <cellStyle name="40% - Accent2 4 2 4" xfId="15061" xr:uid="{00000000-0005-0000-0000-00009A380000}"/>
    <cellStyle name="40% - Accent2 4 2 4 2" xfId="15062" xr:uid="{00000000-0005-0000-0000-00009B380000}"/>
    <cellStyle name="40% - Accent2 4 2 4 2 2" xfId="15063" xr:uid="{00000000-0005-0000-0000-00009C380000}"/>
    <cellStyle name="40% - Accent2 4 2 4 2 2 2" xfId="15064" xr:uid="{00000000-0005-0000-0000-00009D380000}"/>
    <cellStyle name="40% - Accent2 4 2 4 2 2 2 2" xfId="15065" xr:uid="{00000000-0005-0000-0000-00009E380000}"/>
    <cellStyle name="40% - Accent2 4 2 4 2 2 2 3" xfId="15066" xr:uid="{00000000-0005-0000-0000-00009F380000}"/>
    <cellStyle name="40% - Accent2 4 2 4 2 2 3" xfId="15067" xr:uid="{00000000-0005-0000-0000-0000A0380000}"/>
    <cellStyle name="40% - Accent2 4 2 4 2 2 4" xfId="15068" xr:uid="{00000000-0005-0000-0000-0000A1380000}"/>
    <cellStyle name="40% - Accent2 4 2 4 2 2 5" xfId="15069" xr:uid="{00000000-0005-0000-0000-0000A2380000}"/>
    <cellStyle name="40% - Accent2 4 2 4 2 2 6" xfId="15070" xr:uid="{00000000-0005-0000-0000-0000A3380000}"/>
    <cellStyle name="40% - Accent2 4 2 4 2 3" xfId="15071" xr:uid="{00000000-0005-0000-0000-0000A4380000}"/>
    <cellStyle name="40% - Accent2 4 2 4 2 3 2" xfId="15072" xr:uid="{00000000-0005-0000-0000-0000A5380000}"/>
    <cellStyle name="40% - Accent2 4 2 4 2 3 3" xfId="15073" xr:uid="{00000000-0005-0000-0000-0000A6380000}"/>
    <cellStyle name="40% - Accent2 4 2 4 2 4" xfId="15074" xr:uid="{00000000-0005-0000-0000-0000A7380000}"/>
    <cellStyle name="40% - Accent2 4 2 4 2 5" xfId="15075" xr:uid="{00000000-0005-0000-0000-0000A8380000}"/>
    <cellStyle name="40% - Accent2 4 2 4 2 6" xfId="15076" xr:uid="{00000000-0005-0000-0000-0000A9380000}"/>
    <cellStyle name="40% - Accent2 4 2 4 2 7" xfId="15077" xr:uid="{00000000-0005-0000-0000-0000AA380000}"/>
    <cellStyle name="40% - Accent2 4 2 4 3" xfId="15078" xr:uid="{00000000-0005-0000-0000-0000AB380000}"/>
    <cellStyle name="40% - Accent2 4 2 4 3 2" xfId="15079" xr:uid="{00000000-0005-0000-0000-0000AC380000}"/>
    <cellStyle name="40% - Accent2 4 2 4 3 2 2" xfId="15080" xr:uid="{00000000-0005-0000-0000-0000AD380000}"/>
    <cellStyle name="40% - Accent2 4 2 4 3 2 3" xfId="15081" xr:uid="{00000000-0005-0000-0000-0000AE380000}"/>
    <cellStyle name="40% - Accent2 4 2 4 3 3" xfId="15082" xr:uid="{00000000-0005-0000-0000-0000AF380000}"/>
    <cellStyle name="40% - Accent2 4 2 4 3 4" xfId="15083" xr:uid="{00000000-0005-0000-0000-0000B0380000}"/>
    <cellStyle name="40% - Accent2 4 2 4 3 5" xfId="15084" xr:uid="{00000000-0005-0000-0000-0000B1380000}"/>
    <cellStyle name="40% - Accent2 4 2 4 3 6" xfId="15085" xr:uid="{00000000-0005-0000-0000-0000B2380000}"/>
    <cellStyle name="40% - Accent2 4 2 4 4" xfId="15086" xr:uid="{00000000-0005-0000-0000-0000B3380000}"/>
    <cellStyle name="40% - Accent2 4 2 4 4 2" xfId="15087" xr:uid="{00000000-0005-0000-0000-0000B4380000}"/>
    <cellStyle name="40% - Accent2 4 2 4 4 2 2" xfId="15088" xr:uid="{00000000-0005-0000-0000-0000B5380000}"/>
    <cellStyle name="40% - Accent2 4 2 4 4 2 3" xfId="15089" xr:uid="{00000000-0005-0000-0000-0000B6380000}"/>
    <cellStyle name="40% - Accent2 4 2 4 4 3" xfId="15090" xr:uid="{00000000-0005-0000-0000-0000B7380000}"/>
    <cellStyle name="40% - Accent2 4 2 4 4 4" xfId="15091" xr:uid="{00000000-0005-0000-0000-0000B8380000}"/>
    <cellStyle name="40% - Accent2 4 2 4 4 5" xfId="15092" xr:uid="{00000000-0005-0000-0000-0000B9380000}"/>
    <cellStyle name="40% - Accent2 4 2 4 4 6" xfId="15093" xr:uid="{00000000-0005-0000-0000-0000BA380000}"/>
    <cellStyle name="40% - Accent2 4 2 4 5" xfId="15094" xr:uid="{00000000-0005-0000-0000-0000BB380000}"/>
    <cellStyle name="40% - Accent2 4 2 4 5 2" xfId="15095" xr:uid="{00000000-0005-0000-0000-0000BC380000}"/>
    <cellStyle name="40% - Accent2 4 2 4 5 3" xfId="15096" xr:uid="{00000000-0005-0000-0000-0000BD380000}"/>
    <cellStyle name="40% - Accent2 4 2 4 6" xfId="15097" xr:uid="{00000000-0005-0000-0000-0000BE380000}"/>
    <cellStyle name="40% - Accent2 4 2 4 7" xfId="15098" xr:uid="{00000000-0005-0000-0000-0000BF380000}"/>
    <cellStyle name="40% - Accent2 4 2 4 8" xfId="15099" xr:uid="{00000000-0005-0000-0000-0000C0380000}"/>
    <cellStyle name="40% - Accent2 4 2 4 9" xfId="15100" xr:uid="{00000000-0005-0000-0000-0000C1380000}"/>
    <cellStyle name="40% - Accent2 4 2 5" xfId="15101" xr:uid="{00000000-0005-0000-0000-0000C2380000}"/>
    <cellStyle name="40% - Accent2 4 2 5 2" xfId="15102" xr:uid="{00000000-0005-0000-0000-0000C3380000}"/>
    <cellStyle name="40% - Accent2 4 2 5 2 2" xfId="15103" xr:uid="{00000000-0005-0000-0000-0000C4380000}"/>
    <cellStyle name="40% - Accent2 4 2 5 2 2 2" xfId="15104" xr:uid="{00000000-0005-0000-0000-0000C5380000}"/>
    <cellStyle name="40% - Accent2 4 2 5 2 2 3" xfId="15105" xr:uid="{00000000-0005-0000-0000-0000C6380000}"/>
    <cellStyle name="40% - Accent2 4 2 5 2 3" xfId="15106" xr:uid="{00000000-0005-0000-0000-0000C7380000}"/>
    <cellStyle name="40% - Accent2 4 2 5 2 4" xfId="15107" xr:uid="{00000000-0005-0000-0000-0000C8380000}"/>
    <cellStyle name="40% - Accent2 4 2 5 2 5" xfId="15108" xr:uid="{00000000-0005-0000-0000-0000C9380000}"/>
    <cellStyle name="40% - Accent2 4 2 5 2 6" xfId="15109" xr:uid="{00000000-0005-0000-0000-0000CA380000}"/>
    <cellStyle name="40% - Accent2 4 2 5 3" xfId="15110" xr:uid="{00000000-0005-0000-0000-0000CB380000}"/>
    <cellStyle name="40% - Accent2 4 2 5 3 2" xfId="15111" xr:uid="{00000000-0005-0000-0000-0000CC380000}"/>
    <cellStyle name="40% - Accent2 4 2 5 3 3" xfId="15112" xr:uid="{00000000-0005-0000-0000-0000CD380000}"/>
    <cellStyle name="40% - Accent2 4 2 5 4" xfId="15113" xr:uid="{00000000-0005-0000-0000-0000CE380000}"/>
    <cellStyle name="40% - Accent2 4 2 5 5" xfId="15114" xr:uid="{00000000-0005-0000-0000-0000CF380000}"/>
    <cellStyle name="40% - Accent2 4 2 5 6" xfId="15115" xr:uid="{00000000-0005-0000-0000-0000D0380000}"/>
    <cellStyle name="40% - Accent2 4 2 5 7" xfId="15116" xr:uid="{00000000-0005-0000-0000-0000D1380000}"/>
    <cellStyle name="40% - Accent2 4 2 6" xfId="15117" xr:uid="{00000000-0005-0000-0000-0000D2380000}"/>
    <cellStyle name="40% - Accent2 4 2 6 2" xfId="15118" xr:uid="{00000000-0005-0000-0000-0000D3380000}"/>
    <cellStyle name="40% - Accent2 4 2 6 2 2" xfId="15119" xr:uid="{00000000-0005-0000-0000-0000D4380000}"/>
    <cellStyle name="40% - Accent2 4 2 6 2 3" xfId="15120" xr:uid="{00000000-0005-0000-0000-0000D5380000}"/>
    <cellStyle name="40% - Accent2 4 2 6 3" xfId="15121" xr:uid="{00000000-0005-0000-0000-0000D6380000}"/>
    <cellStyle name="40% - Accent2 4 2 6 4" xfId="15122" xr:uid="{00000000-0005-0000-0000-0000D7380000}"/>
    <cellStyle name="40% - Accent2 4 2 6 5" xfId="15123" xr:uid="{00000000-0005-0000-0000-0000D8380000}"/>
    <cellStyle name="40% - Accent2 4 2 6 6" xfId="15124" xr:uid="{00000000-0005-0000-0000-0000D9380000}"/>
    <cellStyle name="40% - Accent2 4 2 7" xfId="15125" xr:uid="{00000000-0005-0000-0000-0000DA380000}"/>
    <cellStyle name="40% - Accent2 4 2 7 2" xfId="15126" xr:uid="{00000000-0005-0000-0000-0000DB380000}"/>
    <cellStyle name="40% - Accent2 4 2 7 2 2" xfId="15127" xr:uid="{00000000-0005-0000-0000-0000DC380000}"/>
    <cellStyle name="40% - Accent2 4 2 7 2 3" xfId="15128" xr:uid="{00000000-0005-0000-0000-0000DD380000}"/>
    <cellStyle name="40% - Accent2 4 2 7 3" xfId="15129" xr:uid="{00000000-0005-0000-0000-0000DE380000}"/>
    <cellStyle name="40% - Accent2 4 2 7 4" xfId="15130" xr:uid="{00000000-0005-0000-0000-0000DF380000}"/>
    <cellStyle name="40% - Accent2 4 2 7 5" xfId="15131" xr:uid="{00000000-0005-0000-0000-0000E0380000}"/>
    <cellStyle name="40% - Accent2 4 2 7 6" xfId="15132" xr:uid="{00000000-0005-0000-0000-0000E1380000}"/>
    <cellStyle name="40% - Accent2 4 2 8" xfId="15133" xr:uid="{00000000-0005-0000-0000-0000E2380000}"/>
    <cellStyle name="40% - Accent2 4 2 8 2" xfId="15134" xr:uid="{00000000-0005-0000-0000-0000E3380000}"/>
    <cellStyle name="40% - Accent2 4 2 8 2 2" xfId="15135" xr:uid="{00000000-0005-0000-0000-0000E4380000}"/>
    <cellStyle name="40% - Accent2 4 2 8 2 3" xfId="15136" xr:uid="{00000000-0005-0000-0000-0000E5380000}"/>
    <cellStyle name="40% - Accent2 4 2 8 3" xfId="15137" xr:uid="{00000000-0005-0000-0000-0000E6380000}"/>
    <cellStyle name="40% - Accent2 4 2 8 4" xfId="15138" xr:uid="{00000000-0005-0000-0000-0000E7380000}"/>
    <cellStyle name="40% - Accent2 4 2 8 5" xfId="15139" xr:uid="{00000000-0005-0000-0000-0000E8380000}"/>
    <cellStyle name="40% - Accent2 4 2 8 6" xfId="15140" xr:uid="{00000000-0005-0000-0000-0000E9380000}"/>
    <cellStyle name="40% - Accent2 4 2 9" xfId="15141" xr:uid="{00000000-0005-0000-0000-0000EA380000}"/>
    <cellStyle name="40% - Accent2 4 2 9 2" xfId="15142" xr:uid="{00000000-0005-0000-0000-0000EB380000}"/>
    <cellStyle name="40% - Accent2 4 2 9 2 2" xfId="15143" xr:uid="{00000000-0005-0000-0000-0000EC380000}"/>
    <cellStyle name="40% - Accent2 4 2 9 2 3" xfId="15144" xr:uid="{00000000-0005-0000-0000-0000ED380000}"/>
    <cellStyle name="40% - Accent2 4 2 9 3" xfId="15145" xr:uid="{00000000-0005-0000-0000-0000EE380000}"/>
    <cellStyle name="40% - Accent2 4 2 9 4" xfId="15146" xr:uid="{00000000-0005-0000-0000-0000EF380000}"/>
    <cellStyle name="40% - Accent2 4 2 9 5" xfId="15147" xr:uid="{00000000-0005-0000-0000-0000F0380000}"/>
    <cellStyle name="40% - Accent2 4 2 9 6" xfId="15148" xr:uid="{00000000-0005-0000-0000-0000F1380000}"/>
    <cellStyle name="40% - Accent2 4 3" xfId="15149" xr:uid="{00000000-0005-0000-0000-0000F2380000}"/>
    <cellStyle name="40% - Accent2 4 3 10" xfId="15150" xr:uid="{00000000-0005-0000-0000-0000F3380000}"/>
    <cellStyle name="40% - Accent2 4 3 11" xfId="15151" xr:uid="{00000000-0005-0000-0000-0000F4380000}"/>
    <cellStyle name="40% - Accent2 4 3 12" xfId="15152" xr:uid="{00000000-0005-0000-0000-0000F5380000}"/>
    <cellStyle name="40% - Accent2 4 3 13" xfId="15153" xr:uid="{00000000-0005-0000-0000-0000F6380000}"/>
    <cellStyle name="40% - Accent2 4 3 2" xfId="15154" xr:uid="{00000000-0005-0000-0000-0000F7380000}"/>
    <cellStyle name="40% - Accent2 4 3 2 10" xfId="15155" xr:uid="{00000000-0005-0000-0000-0000F8380000}"/>
    <cellStyle name="40% - Accent2 4 3 2 2" xfId="15156" xr:uid="{00000000-0005-0000-0000-0000F9380000}"/>
    <cellStyle name="40% - Accent2 4 3 2 2 2" xfId="15157" xr:uid="{00000000-0005-0000-0000-0000FA380000}"/>
    <cellStyle name="40% - Accent2 4 3 2 2 2 2" xfId="15158" xr:uid="{00000000-0005-0000-0000-0000FB380000}"/>
    <cellStyle name="40% - Accent2 4 3 2 2 2 2 2" xfId="15159" xr:uid="{00000000-0005-0000-0000-0000FC380000}"/>
    <cellStyle name="40% - Accent2 4 3 2 2 2 2 3" xfId="15160" xr:uid="{00000000-0005-0000-0000-0000FD380000}"/>
    <cellStyle name="40% - Accent2 4 3 2 2 2 3" xfId="15161" xr:uid="{00000000-0005-0000-0000-0000FE380000}"/>
    <cellStyle name="40% - Accent2 4 3 2 2 2 4" xfId="15162" xr:uid="{00000000-0005-0000-0000-0000FF380000}"/>
    <cellStyle name="40% - Accent2 4 3 2 2 2 5" xfId="15163" xr:uid="{00000000-0005-0000-0000-000000390000}"/>
    <cellStyle name="40% - Accent2 4 3 2 2 2 6" xfId="15164" xr:uid="{00000000-0005-0000-0000-000001390000}"/>
    <cellStyle name="40% - Accent2 4 3 2 2 3" xfId="15165" xr:uid="{00000000-0005-0000-0000-000002390000}"/>
    <cellStyle name="40% - Accent2 4 3 2 2 3 2" xfId="15166" xr:uid="{00000000-0005-0000-0000-000003390000}"/>
    <cellStyle name="40% - Accent2 4 3 2 2 3 2 2" xfId="15167" xr:uid="{00000000-0005-0000-0000-000004390000}"/>
    <cellStyle name="40% - Accent2 4 3 2 2 3 2 3" xfId="15168" xr:uid="{00000000-0005-0000-0000-000005390000}"/>
    <cellStyle name="40% - Accent2 4 3 2 2 3 3" xfId="15169" xr:uid="{00000000-0005-0000-0000-000006390000}"/>
    <cellStyle name="40% - Accent2 4 3 2 2 3 4" xfId="15170" xr:uid="{00000000-0005-0000-0000-000007390000}"/>
    <cellStyle name="40% - Accent2 4 3 2 2 3 5" xfId="15171" xr:uid="{00000000-0005-0000-0000-000008390000}"/>
    <cellStyle name="40% - Accent2 4 3 2 2 3 6" xfId="15172" xr:uid="{00000000-0005-0000-0000-000009390000}"/>
    <cellStyle name="40% - Accent2 4 3 2 2 4" xfId="15173" xr:uid="{00000000-0005-0000-0000-00000A390000}"/>
    <cellStyle name="40% - Accent2 4 3 2 2 4 2" xfId="15174" xr:uid="{00000000-0005-0000-0000-00000B390000}"/>
    <cellStyle name="40% - Accent2 4 3 2 2 4 3" xfId="15175" xr:uid="{00000000-0005-0000-0000-00000C390000}"/>
    <cellStyle name="40% - Accent2 4 3 2 2 5" xfId="15176" xr:uid="{00000000-0005-0000-0000-00000D390000}"/>
    <cellStyle name="40% - Accent2 4 3 2 2 6" xfId="15177" xr:uid="{00000000-0005-0000-0000-00000E390000}"/>
    <cellStyle name="40% - Accent2 4 3 2 2 7" xfId="15178" xr:uid="{00000000-0005-0000-0000-00000F390000}"/>
    <cellStyle name="40% - Accent2 4 3 2 2 8" xfId="15179" xr:uid="{00000000-0005-0000-0000-000010390000}"/>
    <cellStyle name="40% - Accent2 4 3 2 3" xfId="15180" xr:uid="{00000000-0005-0000-0000-000011390000}"/>
    <cellStyle name="40% - Accent2 4 3 2 3 2" xfId="15181" xr:uid="{00000000-0005-0000-0000-000012390000}"/>
    <cellStyle name="40% - Accent2 4 3 2 3 2 2" xfId="15182" xr:uid="{00000000-0005-0000-0000-000013390000}"/>
    <cellStyle name="40% - Accent2 4 3 2 3 2 2 2" xfId="15183" xr:uid="{00000000-0005-0000-0000-000014390000}"/>
    <cellStyle name="40% - Accent2 4 3 2 3 2 2 3" xfId="15184" xr:uid="{00000000-0005-0000-0000-000015390000}"/>
    <cellStyle name="40% - Accent2 4 3 2 3 2 3" xfId="15185" xr:uid="{00000000-0005-0000-0000-000016390000}"/>
    <cellStyle name="40% - Accent2 4 3 2 3 2 4" xfId="15186" xr:uid="{00000000-0005-0000-0000-000017390000}"/>
    <cellStyle name="40% - Accent2 4 3 2 3 2 5" xfId="15187" xr:uid="{00000000-0005-0000-0000-000018390000}"/>
    <cellStyle name="40% - Accent2 4 3 2 3 2 6" xfId="15188" xr:uid="{00000000-0005-0000-0000-000019390000}"/>
    <cellStyle name="40% - Accent2 4 3 2 3 3" xfId="15189" xr:uid="{00000000-0005-0000-0000-00001A390000}"/>
    <cellStyle name="40% - Accent2 4 3 2 3 3 2" xfId="15190" xr:uid="{00000000-0005-0000-0000-00001B390000}"/>
    <cellStyle name="40% - Accent2 4 3 2 3 3 3" xfId="15191" xr:uid="{00000000-0005-0000-0000-00001C390000}"/>
    <cellStyle name="40% - Accent2 4 3 2 3 4" xfId="15192" xr:uid="{00000000-0005-0000-0000-00001D390000}"/>
    <cellStyle name="40% - Accent2 4 3 2 3 5" xfId="15193" xr:uid="{00000000-0005-0000-0000-00001E390000}"/>
    <cellStyle name="40% - Accent2 4 3 2 3 6" xfId="15194" xr:uid="{00000000-0005-0000-0000-00001F390000}"/>
    <cellStyle name="40% - Accent2 4 3 2 3 7" xfId="15195" xr:uid="{00000000-0005-0000-0000-000020390000}"/>
    <cellStyle name="40% - Accent2 4 3 2 4" xfId="15196" xr:uid="{00000000-0005-0000-0000-000021390000}"/>
    <cellStyle name="40% - Accent2 4 3 2 4 2" xfId="15197" xr:uid="{00000000-0005-0000-0000-000022390000}"/>
    <cellStyle name="40% - Accent2 4 3 2 4 2 2" xfId="15198" xr:uid="{00000000-0005-0000-0000-000023390000}"/>
    <cellStyle name="40% - Accent2 4 3 2 4 2 3" xfId="15199" xr:uid="{00000000-0005-0000-0000-000024390000}"/>
    <cellStyle name="40% - Accent2 4 3 2 4 3" xfId="15200" xr:uid="{00000000-0005-0000-0000-000025390000}"/>
    <cellStyle name="40% - Accent2 4 3 2 4 4" xfId="15201" xr:uid="{00000000-0005-0000-0000-000026390000}"/>
    <cellStyle name="40% - Accent2 4 3 2 4 5" xfId="15202" xr:uid="{00000000-0005-0000-0000-000027390000}"/>
    <cellStyle name="40% - Accent2 4 3 2 4 6" xfId="15203" xr:uid="{00000000-0005-0000-0000-000028390000}"/>
    <cellStyle name="40% - Accent2 4 3 2 5" xfId="15204" xr:uid="{00000000-0005-0000-0000-000029390000}"/>
    <cellStyle name="40% - Accent2 4 3 2 5 2" xfId="15205" xr:uid="{00000000-0005-0000-0000-00002A390000}"/>
    <cellStyle name="40% - Accent2 4 3 2 5 2 2" xfId="15206" xr:uid="{00000000-0005-0000-0000-00002B390000}"/>
    <cellStyle name="40% - Accent2 4 3 2 5 2 3" xfId="15207" xr:uid="{00000000-0005-0000-0000-00002C390000}"/>
    <cellStyle name="40% - Accent2 4 3 2 5 3" xfId="15208" xr:uid="{00000000-0005-0000-0000-00002D390000}"/>
    <cellStyle name="40% - Accent2 4 3 2 5 4" xfId="15209" xr:uid="{00000000-0005-0000-0000-00002E390000}"/>
    <cellStyle name="40% - Accent2 4 3 2 5 5" xfId="15210" xr:uid="{00000000-0005-0000-0000-00002F390000}"/>
    <cellStyle name="40% - Accent2 4 3 2 5 6" xfId="15211" xr:uid="{00000000-0005-0000-0000-000030390000}"/>
    <cellStyle name="40% - Accent2 4 3 2 6" xfId="15212" xr:uid="{00000000-0005-0000-0000-000031390000}"/>
    <cellStyle name="40% - Accent2 4 3 2 6 2" xfId="15213" xr:uid="{00000000-0005-0000-0000-000032390000}"/>
    <cellStyle name="40% - Accent2 4 3 2 6 3" xfId="15214" xr:uid="{00000000-0005-0000-0000-000033390000}"/>
    <cellStyle name="40% - Accent2 4 3 2 7" xfId="15215" xr:uid="{00000000-0005-0000-0000-000034390000}"/>
    <cellStyle name="40% - Accent2 4 3 2 8" xfId="15216" xr:uid="{00000000-0005-0000-0000-000035390000}"/>
    <cellStyle name="40% - Accent2 4 3 2 9" xfId="15217" xr:uid="{00000000-0005-0000-0000-000036390000}"/>
    <cellStyle name="40% - Accent2 4 3 3" xfId="15218" xr:uid="{00000000-0005-0000-0000-000037390000}"/>
    <cellStyle name="40% - Accent2 4 3 3 2" xfId="15219" xr:uid="{00000000-0005-0000-0000-000038390000}"/>
    <cellStyle name="40% - Accent2 4 3 3 2 2" xfId="15220" xr:uid="{00000000-0005-0000-0000-000039390000}"/>
    <cellStyle name="40% - Accent2 4 3 3 2 2 2" xfId="15221" xr:uid="{00000000-0005-0000-0000-00003A390000}"/>
    <cellStyle name="40% - Accent2 4 3 3 2 2 2 2" xfId="15222" xr:uid="{00000000-0005-0000-0000-00003B390000}"/>
    <cellStyle name="40% - Accent2 4 3 3 2 2 2 3" xfId="15223" xr:uid="{00000000-0005-0000-0000-00003C390000}"/>
    <cellStyle name="40% - Accent2 4 3 3 2 2 3" xfId="15224" xr:uid="{00000000-0005-0000-0000-00003D390000}"/>
    <cellStyle name="40% - Accent2 4 3 3 2 2 4" xfId="15225" xr:uid="{00000000-0005-0000-0000-00003E390000}"/>
    <cellStyle name="40% - Accent2 4 3 3 2 2 5" xfId="15226" xr:uid="{00000000-0005-0000-0000-00003F390000}"/>
    <cellStyle name="40% - Accent2 4 3 3 2 2 6" xfId="15227" xr:uid="{00000000-0005-0000-0000-000040390000}"/>
    <cellStyle name="40% - Accent2 4 3 3 2 3" xfId="15228" xr:uid="{00000000-0005-0000-0000-000041390000}"/>
    <cellStyle name="40% - Accent2 4 3 3 2 3 2" xfId="15229" xr:uid="{00000000-0005-0000-0000-000042390000}"/>
    <cellStyle name="40% - Accent2 4 3 3 2 3 3" xfId="15230" xr:uid="{00000000-0005-0000-0000-000043390000}"/>
    <cellStyle name="40% - Accent2 4 3 3 2 4" xfId="15231" xr:uid="{00000000-0005-0000-0000-000044390000}"/>
    <cellStyle name="40% - Accent2 4 3 3 2 5" xfId="15232" xr:uid="{00000000-0005-0000-0000-000045390000}"/>
    <cellStyle name="40% - Accent2 4 3 3 2 6" xfId="15233" xr:uid="{00000000-0005-0000-0000-000046390000}"/>
    <cellStyle name="40% - Accent2 4 3 3 2 7" xfId="15234" xr:uid="{00000000-0005-0000-0000-000047390000}"/>
    <cellStyle name="40% - Accent2 4 3 3 3" xfId="15235" xr:uid="{00000000-0005-0000-0000-000048390000}"/>
    <cellStyle name="40% - Accent2 4 3 3 3 2" xfId="15236" xr:uid="{00000000-0005-0000-0000-000049390000}"/>
    <cellStyle name="40% - Accent2 4 3 3 3 2 2" xfId="15237" xr:uid="{00000000-0005-0000-0000-00004A390000}"/>
    <cellStyle name="40% - Accent2 4 3 3 3 2 3" xfId="15238" xr:uid="{00000000-0005-0000-0000-00004B390000}"/>
    <cellStyle name="40% - Accent2 4 3 3 3 3" xfId="15239" xr:uid="{00000000-0005-0000-0000-00004C390000}"/>
    <cellStyle name="40% - Accent2 4 3 3 3 4" xfId="15240" xr:uid="{00000000-0005-0000-0000-00004D390000}"/>
    <cellStyle name="40% - Accent2 4 3 3 3 5" xfId="15241" xr:uid="{00000000-0005-0000-0000-00004E390000}"/>
    <cellStyle name="40% - Accent2 4 3 3 3 6" xfId="15242" xr:uid="{00000000-0005-0000-0000-00004F390000}"/>
    <cellStyle name="40% - Accent2 4 3 3 4" xfId="15243" xr:uid="{00000000-0005-0000-0000-000050390000}"/>
    <cellStyle name="40% - Accent2 4 3 3 4 2" xfId="15244" xr:uid="{00000000-0005-0000-0000-000051390000}"/>
    <cellStyle name="40% - Accent2 4 3 3 4 2 2" xfId="15245" xr:uid="{00000000-0005-0000-0000-000052390000}"/>
    <cellStyle name="40% - Accent2 4 3 3 4 2 3" xfId="15246" xr:uid="{00000000-0005-0000-0000-000053390000}"/>
    <cellStyle name="40% - Accent2 4 3 3 4 3" xfId="15247" xr:uid="{00000000-0005-0000-0000-000054390000}"/>
    <cellStyle name="40% - Accent2 4 3 3 4 4" xfId="15248" xr:uid="{00000000-0005-0000-0000-000055390000}"/>
    <cellStyle name="40% - Accent2 4 3 3 4 5" xfId="15249" xr:uid="{00000000-0005-0000-0000-000056390000}"/>
    <cellStyle name="40% - Accent2 4 3 3 4 6" xfId="15250" xr:uid="{00000000-0005-0000-0000-000057390000}"/>
    <cellStyle name="40% - Accent2 4 3 3 5" xfId="15251" xr:uid="{00000000-0005-0000-0000-000058390000}"/>
    <cellStyle name="40% - Accent2 4 3 3 5 2" xfId="15252" xr:uid="{00000000-0005-0000-0000-000059390000}"/>
    <cellStyle name="40% - Accent2 4 3 3 5 3" xfId="15253" xr:uid="{00000000-0005-0000-0000-00005A390000}"/>
    <cellStyle name="40% - Accent2 4 3 3 6" xfId="15254" xr:uid="{00000000-0005-0000-0000-00005B390000}"/>
    <cellStyle name="40% - Accent2 4 3 3 7" xfId="15255" xr:uid="{00000000-0005-0000-0000-00005C390000}"/>
    <cellStyle name="40% - Accent2 4 3 3 8" xfId="15256" xr:uid="{00000000-0005-0000-0000-00005D390000}"/>
    <cellStyle name="40% - Accent2 4 3 3 9" xfId="15257" xr:uid="{00000000-0005-0000-0000-00005E390000}"/>
    <cellStyle name="40% - Accent2 4 3 4" xfId="15258" xr:uid="{00000000-0005-0000-0000-00005F390000}"/>
    <cellStyle name="40% - Accent2 4 3 4 2" xfId="15259" xr:uid="{00000000-0005-0000-0000-000060390000}"/>
    <cellStyle name="40% - Accent2 4 3 4 2 2" xfId="15260" xr:uid="{00000000-0005-0000-0000-000061390000}"/>
    <cellStyle name="40% - Accent2 4 3 4 2 2 2" xfId="15261" xr:uid="{00000000-0005-0000-0000-000062390000}"/>
    <cellStyle name="40% - Accent2 4 3 4 2 2 3" xfId="15262" xr:uid="{00000000-0005-0000-0000-000063390000}"/>
    <cellStyle name="40% - Accent2 4 3 4 2 3" xfId="15263" xr:uid="{00000000-0005-0000-0000-000064390000}"/>
    <cellStyle name="40% - Accent2 4 3 4 2 4" xfId="15264" xr:uid="{00000000-0005-0000-0000-000065390000}"/>
    <cellStyle name="40% - Accent2 4 3 4 2 5" xfId="15265" xr:uid="{00000000-0005-0000-0000-000066390000}"/>
    <cellStyle name="40% - Accent2 4 3 4 2 6" xfId="15266" xr:uid="{00000000-0005-0000-0000-000067390000}"/>
    <cellStyle name="40% - Accent2 4 3 4 3" xfId="15267" xr:uid="{00000000-0005-0000-0000-000068390000}"/>
    <cellStyle name="40% - Accent2 4 3 4 3 2" xfId="15268" xr:uid="{00000000-0005-0000-0000-000069390000}"/>
    <cellStyle name="40% - Accent2 4 3 4 3 3" xfId="15269" xr:uid="{00000000-0005-0000-0000-00006A390000}"/>
    <cellStyle name="40% - Accent2 4 3 4 4" xfId="15270" xr:uid="{00000000-0005-0000-0000-00006B390000}"/>
    <cellStyle name="40% - Accent2 4 3 4 5" xfId="15271" xr:uid="{00000000-0005-0000-0000-00006C390000}"/>
    <cellStyle name="40% - Accent2 4 3 4 6" xfId="15272" xr:uid="{00000000-0005-0000-0000-00006D390000}"/>
    <cellStyle name="40% - Accent2 4 3 4 7" xfId="15273" xr:uid="{00000000-0005-0000-0000-00006E390000}"/>
    <cellStyle name="40% - Accent2 4 3 5" xfId="15274" xr:uid="{00000000-0005-0000-0000-00006F390000}"/>
    <cellStyle name="40% - Accent2 4 3 5 2" xfId="15275" xr:uid="{00000000-0005-0000-0000-000070390000}"/>
    <cellStyle name="40% - Accent2 4 3 5 2 2" xfId="15276" xr:uid="{00000000-0005-0000-0000-000071390000}"/>
    <cellStyle name="40% - Accent2 4 3 5 2 3" xfId="15277" xr:uid="{00000000-0005-0000-0000-000072390000}"/>
    <cellStyle name="40% - Accent2 4 3 5 3" xfId="15278" xr:uid="{00000000-0005-0000-0000-000073390000}"/>
    <cellStyle name="40% - Accent2 4 3 5 4" xfId="15279" xr:uid="{00000000-0005-0000-0000-000074390000}"/>
    <cellStyle name="40% - Accent2 4 3 5 5" xfId="15280" xr:uid="{00000000-0005-0000-0000-000075390000}"/>
    <cellStyle name="40% - Accent2 4 3 5 6" xfId="15281" xr:uid="{00000000-0005-0000-0000-000076390000}"/>
    <cellStyle name="40% - Accent2 4 3 6" xfId="15282" xr:uid="{00000000-0005-0000-0000-000077390000}"/>
    <cellStyle name="40% - Accent2 4 3 6 2" xfId="15283" xr:uid="{00000000-0005-0000-0000-000078390000}"/>
    <cellStyle name="40% - Accent2 4 3 6 2 2" xfId="15284" xr:uid="{00000000-0005-0000-0000-000079390000}"/>
    <cellStyle name="40% - Accent2 4 3 6 2 3" xfId="15285" xr:uid="{00000000-0005-0000-0000-00007A390000}"/>
    <cellStyle name="40% - Accent2 4 3 6 3" xfId="15286" xr:uid="{00000000-0005-0000-0000-00007B390000}"/>
    <cellStyle name="40% - Accent2 4 3 6 4" xfId="15287" xr:uid="{00000000-0005-0000-0000-00007C390000}"/>
    <cellStyle name="40% - Accent2 4 3 6 5" xfId="15288" xr:uid="{00000000-0005-0000-0000-00007D390000}"/>
    <cellStyle name="40% - Accent2 4 3 6 6" xfId="15289" xr:uid="{00000000-0005-0000-0000-00007E390000}"/>
    <cellStyle name="40% - Accent2 4 3 7" xfId="15290" xr:uid="{00000000-0005-0000-0000-00007F390000}"/>
    <cellStyle name="40% - Accent2 4 3 7 2" xfId="15291" xr:uid="{00000000-0005-0000-0000-000080390000}"/>
    <cellStyle name="40% - Accent2 4 3 7 2 2" xfId="15292" xr:uid="{00000000-0005-0000-0000-000081390000}"/>
    <cellStyle name="40% - Accent2 4 3 7 2 3" xfId="15293" xr:uid="{00000000-0005-0000-0000-000082390000}"/>
    <cellStyle name="40% - Accent2 4 3 7 3" xfId="15294" xr:uid="{00000000-0005-0000-0000-000083390000}"/>
    <cellStyle name="40% - Accent2 4 3 7 4" xfId="15295" xr:uid="{00000000-0005-0000-0000-000084390000}"/>
    <cellStyle name="40% - Accent2 4 3 7 5" xfId="15296" xr:uid="{00000000-0005-0000-0000-000085390000}"/>
    <cellStyle name="40% - Accent2 4 3 7 6" xfId="15297" xr:uid="{00000000-0005-0000-0000-000086390000}"/>
    <cellStyle name="40% - Accent2 4 3 8" xfId="15298" xr:uid="{00000000-0005-0000-0000-000087390000}"/>
    <cellStyle name="40% - Accent2 4 3 8 2" xfId="15299" xr:uid="{00000000-0005-0000-0000-000088390000}"/>
    <cellStyle name="40% - Accent2 4 3 8 2 2" xfId="15300" xr:uid="{00000000-0005-0000-0000-000089390000}"/>
    <cellStyle name="40% - Accent2 4 3 8 2 3" xfId="15301" xr:uid="{00000000-0005-0000-0000-00008A390000}"/>
    <cellStyle name="40% - Accent2 4 3 8 3" xfId="15302" xr:uid="{00000000-0005-0000-0000-00008B390000}"/>
    <cellStyle name="40% - Accent2 4 3 8 4" xfId="15303" xr:uid="{00000000-0005-0000-0000-00008C390000}"/>
    <cellStyle name="40% - Accent2 4 3 8 5" xfId="15304" xr:uid="{00000000-0005-0000-0000-00008D390000}"/>
    <cellStyle name="40% - Accent2 4 3 8 6" xfId="15305" xr:uid="{00000000-0005-0000-0000-00008E390000}"/>
    <cellStyle name="40% - Accent2 4 3 9" xfId="15306" xr:uid="{00000000-0005-0000-0000-00008F390000}"/>
    <cellStyle name="40% - Accent2 4 3 9 2" xfId="15307" xr:uid="{00000000-0005-0000-0000-000090390000}"/>
    <cellStyle name="40% - Accent2 4 3 9 3" xfId="15308" xr:uid="{00000000-0005-0000-0000-000091390000}"/>
    <cellStyle name="40% - Accent2 4 4" xfId="15309" xr:uid="{00000000-0005-0000-0000-000092390000}"/>
    <cellStyle name="40% - Accent2 4 4 10" xfId="15310" xr:uid="{00000000-0005-0000-0000-000093390000}"/>
    <cellStyle name="40% - Accent2 4 4 2" xfId="15311" xr:uid="{00000000-0005-0000-0000-000094390000}"/>
    <cellStyle name="40% - Accent2 4 4 2 2" xfId="15312" xr:uid="{00000000-0005-0000-0000-000095390000}"/>
    <cellStyle name="40% - Accent2 4 4 2 2 2" xfId="15313" xr:uid="{00000000-0005-0000-0000-000096390000}"/>
    <cellStyle name="40% - Accent2 4 4 2 2 2 2" xfId="15314" xr:uid="{00000000-0005-0000-0000-000097390000}"/>
    <cellStyle name="40% - Accent2 4 4 2 2 2 3" xfId="15315" xr:uid="{00000000-0005-0000-0000-000098390000}"/>
    <cellStyle name="40% - Accent2 4 4 2 2 3" xfId="15316" xr:uid="{00000000-0005-0000-0000-000099390000}"/>
    <cellStyle name="40% - Accent2 4 4 2 2 4" xfId="15317" xr:uid="{00000000-0005-0000-0000-00009A390000}"/>
    <cellStyle name="40% - Accent2 4 4 2 2 5" xfId="15318" xr:uid="{00000000-0005-0000-0000-00009B390000}"/>
    <cellStyle name="40% - Accent2 4 4 2 2 6" xfId="15319" xr:uid="{00000000-0005-0000-0000-00009C390000}"/>
    <cellStyle name="40% - Accent2 4 4 2 3" xfId="15320" xr:uid="{00000000-0005-0000-0000-00009D390000}"/>
    <cellStyle name="40% - Accent2 4 4 2 3 2" xfId="15321" xr:uid="{00000000-0005-0000-0000-00009E390000}"/>
    <cellStyle name="40% - Accent2 4 4 2 3 2 2" xfId="15322" xr:uid="{00000000-0005-0000-0000-00009F390000}"/>
    <cellStyle name="40% - Accent2 4 4 2 3 2 3" xfId="15323" xr:uid="{00000000-0005-0000-0000-0000A0390000}"/>
    <cellStyle name="40% - Accent2 4 4 2 3 3" xfId="15324" xr:uid="{00000000-0005-0000-0000-0000A1390000}"/>
    <cellStyle name="40% - Accent2 4 4 2 3 4" xfId="15325" xr:uid="{00000000-0005-0000-0000-0000A2390000}"/>
    <cellStyle name="40% - Accent2 4 4 2 3 5" xfId="15326" xr:uid="{00000000-0005-0000-0000-0000A3390000}"/>
    <cellStyle name="40% - Accent2 4 4 2 3 6" xfId="15327" xr:uid="{00000000-0005-0000-0000-0000A4390000}"/>
    <cellStyle name="40% - Accent2 4 4 2 4" xfId="15328" xr:uid="{00000000-0005-0000-0000-0000A5390000}"/>
    <cellStyle name="40% - Accent2 4 4 2 4 2" xfId="15329" xr:uid="{00000000-0005-0000-0000-0000A6390000}"/>
    <cellStyle name="40% - Accent2 4 4 2 4 3" xfId="15330" xr:uid="{00000000-0005-0000-0000-0000A7390000}"/>
    <cellStyle name="40% - Accent2 4 4 2 5" xfId="15331" xr:uid="{00000000-0005-0000-0000-0000A8390000}"/>
    <cellStyle name="40% - Accent2 4 4 2 6" xfId="15332" xr:uid="{00000000-0005-0000-0000-0000A9390000}"/>
    <cellStyle name="40% - Accent2 4 4 2 7" xfId="15333" xr:uid="{00000000-0005-0000-0000-0000AA390000}"/>
    <cellStyle name="40% - Accent2 4 4 2 8" xfId="15334" xr:uid="{00000000-0005-0000-0000-0000AB390000}"/>
    <cellStyle name="40% - Accent2 4 4 3" xfId="15335" xr:uid="{00000000-0005-0000-0000-0000AC390000}"/>
    <cellStyle name="40% - Accent2 4 4 3 2" xfId="15336" xr:uid="{00000000-0005-0000-0000-0000AD390000}"/>
    <cellStyle name="40% - Accent2 4 4 3 2 2" xfId="15337" xr:uid="{00000000-0005-0000-0000-0000AE390000}"/>
    <cellStyle name="40% - Accent2 4 4 3 2 2 2" xfId="15338" xr:uid="{00000000-0005-0000-0000-0000AF390000}"/>
    <cellStyle name="40% - Accent2 4 4 3 2 2 3" xfId="15339" xr:uid="{00000000-0005-0000-0000-0000B0390000}"/>
    <cellStyle name="40% - Accent2 4 4 3 2 3" xfId="15340" xr:uid="{00000000-0005-0000-0000-0000B1390000}"/>
    <cellStyle name="40% - Accent2 4 4 3 2 4" xfId="15341" xr:uid="{00000000-0005-0000-0000-0000B2390000}"/>
    <cellStyle name="40% - Accent2 4 4 3 2 5" xfId="15342" xr:uid="{00000000-0005-0000-0000-0000B3390000}"/>
    <cellStyle name="40% - Accent2 4 4 3 2 6" xfId="15343" xr:uid="{00000000-0005-0000-0000-0000B4390000}"/>
    <cellStyle name="40% - Accent2 4 4 3 3" xfId="15344" xr:uid="{00000000-0005-0000-0000-0000B5390000}"/>
    <cellStyle name="40% - Accent2 4 4 3 3 2" xfId="15345" xr:uid="{00000000-0005-0000-0000-0000B6390000}"/>
    <cellStyle name="40% - Accent2 4 4 3 3 3" xfId="15346" xr:uid="{00000000-0005-0000-0000-0000B7390000}"/>
    <cellStyle name="40% - Accent2 4 4 3 4" xfId="15347" xr:uid="{00000000-0005-0000-0000-0000B8390000}"/>
    <cellStyle name="40% - Accent2 4 4 3 5" xfId="15348" xr:uid="{00000000-0005-0000-0000-0000B9390000}"/>
    <cellStyle name="40% - Accent2 4 4 3 6" xfId="15349" xr:uid="{00000000-0005-0000-0000-0000BA390000}"/>
    <cellStyle name="40% - Accent2 4 4 3 7" xfId="15350" xr:uid="{00000000-0005-0000-0000-0000BB390000}"/>
    <cellStyle name="40% - Accent2 4 4 4" xfId="15351" xr:uid="{00000000-0005-0000-0000-0000BC390000}"/>
    <cellStyle name="40% - Accent2 4 4 4 2" xfId="15352" xr:uid="{00000000-0005-0000-0000-0000BD390000}"/>
    <cellStyle name="40% - Accent2 4 4 4 2 2" xfId="15353" xr:uid="{00000000-0005-0000-0000-0000BE390000}"/>
    <cellStyle name="40% - Accent2 4 4 4 2 3" xfId="15354" xr:uid="{00000000-0005-0000-0000-0000BF390000}"/>
    <cellStyle name="40% - Accent2 4 4 4 3" xfId="15355" xr:uid="{00000000-0005-0000-0000-0000C0390000}"/>
    <cellStyle name="40% - Accent2 4 4 4 4" xfId="15356" xr:uid="{00000000-0005-0000-0000-0000C1390000}"/>
    <cellStyle name="40% - Accent2 4 4 4 5" xfId="15357" xr:uid="{00000000-0005-0000-0000-0000C2390000}"/>
    <cellStyle name="40% - Accent2 4 4 4 6" xfId="15358" xr:uid="{00000000-0005-0000-0000-0000C3390000}"/>
    <cellStyle name="40% - Accent2 4 4 5" xfId="15359" xr:uid="{00000000-0005-0000-0000-0000C4390000}"/>
    <cellStyle name="40% - Accent2 4 4 5 2" xfId="15360" xr:uid="{00000000-0005-0000-0000-0000C5390000}"/>
    <cellStyle name="40% - Accent2 4 4 5 2 2" xfId="15361" xr:uid="{00000000-0005-0000-0000-0000C6390000}"/>
    <cellStyle name="40% - Accent2 4 4 5 2 3" xfId="15362" xr:uid="{00000000-0005-0000-0000-0000C7390000}"/>
    <cellStyle name="40% - Accent2 4 4 5 3" xfId="15363" xr:uid="{00000000-0005-0000-0000-0000C8390000}"/>
    <cellStyle name="40% - Accent2 4 4 5 4" xfId="15364" xr:uid="{00000000-0005-0000-0000-0000C9390000}"/>
    <cellStyle name="40% - Accent2 4 4 5 5" xfId="15365" xr:uid="{00000000-0005-0000-0000-0000CA390000}"/>
    <cellStyle name="40% - Accent2 4 4 5 6" xfId="15366" xr:uid="{00000000-0005-0000-0000-0000CB390000}"/>
    <cellStyle name="40% - Accent2 4 4 6" xfId="15367" xr:uid="{00000000-0005-0000-0000-0000CC390000}"/>
    <cellStyle name="40% - Accent2 4 4 6 2" xfId="15368" xr:uid="{00000000-0005-0000-0000-0000CD390000}"/>
    <cellStyle name="40% - Accent2 4 4 6 3" xfId="15369" xr:uid="{00000000-0005-0000-0000-0000CE390000}"/>
    <cellStyle name="40% - Accent2 4 4 7" xfId="15370" xr:uid="{00000000-0005-0000-0000-0000CF390000}"/>
    <cellStyle name="40% - Accent2 4 4 8" xfId="15371" xr:uid="{00000000-0005-0000-0000-0000D0390000}"/>
    <cellStyle name="40% - Accent2 4 4 9" xfId="15372" xr:uid="{00000000-0005-0000-0000-0000D1390000}"/>
    <cellStyle name="40% - Accent2 4 5" xfId="15373" xr:uid="{00000000-0005-0000-0000-0000D2390000}"/>
    <cellStyle name="40% - Accent2 4 5 2" xfId="15374" xr:uid="{00000000-0005-0000-0000-0000D3390000}"/>
    <cellStyle name="40% - Accent2 4 5 2 2" xfId="15375" xr:uid="{00000000-0005-0000-0000-0000D4390000}"/>
    <cellStyle name="40% - Accent2 4 5 2 2 2" xfId="15376" xr:uid="{00000000-0005-0000-0000-0000D5390000}"/>
    <cellStyle name="40% - Accent2 4 5 2 2 2 2" xfId="15377" xr:uid="{00000000-0005-0000-0000-0000D6390000}"/>
    <cellStyle name="40% - Accent2 4 5 2 2 2 3" xfId="15378" xr:uid="{00000000-0005-0000-0000-0000D7390000}"/>
    <cellStyle name="40% - Accent2 4 5 2 2 3" xfId="15379" xr:uid="{00000000-0005-0000-0000-0000D8390000}"/>
    <cellStyle name="40% - Accent2 4 5 2 2 4" xfId="15380" xr:uid="{00000000-0005-0000-0000-0000D9390000}"/>
    <cellStyle name="40% - Accent2 4 5 2 2 5" xfId="15381" xr:uid="{00000000-0005-0000-0000-0000DA390000}"/>
    <cellStyle name="40% - Accent2 4 5 2 2 6" xfId="15382" xr:uid="{00000000-0005-0000-0000-0000DB390000}"/>
    <cellStyle name="40% - Accent2 4 5 2 3" xfId="15383" xr:uid="{00000000-0005-0000-0000-0000DC390000}"/>
    <cellStyle name="40% - Accent2 4 5 2 3 2" xfId="15384" xr:uid="{00000000-0005-0000-0000-0000DD390000}"/>
    <cellStyle name="40% - Accent2 4 5 2 3 3" xfId="15385" xr:uid="{00000000-0005-0000-0000-0000DE390000}"/>
    <cellStyle name="40% - Accent2 4 5 2 4" xfId="15386" xr:uid="{00000000-0005-0000-0000-0000DF390000}"/>
    <cellStyle name="40% - Accent2 4 5 2 5" xfId="15387" xr:uid="{00000000-0005-0000-0000-0000E0390000}"/>
    <cellStyle name="40% - Accent2 4 5 2 6" xfId="15388" xr:uid="{00000000-0005-0000-0000-0000E1390000}"/>
    <cellStyle name="40% - Accent2 4 5 2 7" xfId="15389" xr:uid="{00000000-0005-0000-0000-0000E2390000}"/>
    <cellStyle name="40% - Accent2 4 5 3" xfId="15390" xr:uid="{00000000-0005-0000-0000-0000E3390000}"/>
    <cellStyle name="40% - Accent2 4 5 3 2" xfId="15391" xr:uid="{00000000-0005-0000-0000-0000E4390000}"/>
    <cellStyle name="40% - Accent2 4 5 3 2 2" xfId="15392" xr:uid="{00000000-0005-0000-0000-0000E5390000}"/>
    <cellStyle name="40% - Accent2 4 5 3 2 3" xfId="15393" xr:uid="{00000000-0005-0000-0000-0000E6390000}"/>
    <cellStyle name="40% - Accent2 4 5 3 3" xfId="15394" xr:uid="{00000000-0005-0000-0000-0000E7390000}"/>
    <cellStyle name="40% - Accent2 4 5 3 4" xfId="15395" xr:uid="{00000000-0005-0000-0000-0000E8390000}"/>
    <cellStyle name="40% - Accent2 4 5 3 5" xfId="15396" xr:uid="{00000000-0005-0000-0000-0000E9390000}"/>
    <cellStyle name="40% - Accent2 4 5 3 6" xfId="15397" xr:uid="{00000000-0005-0000-0000-0000EA390000}"/>
    <cellStyle name="40% - Accent2 4 5 4" xfId="15398" xr:uid="{00000000-0005-0000-0000-0000EB390000}"/>
    <cellStyle name="40% - Accent2 4 5 4 2" xfId="15399" xr:uid="{00000000-0005-0000-0000-0000EC390000}"/>
    <cellStyle name="40% - Accent2 4 5 4 2 2" xfId="15400" xr:uid="{00000000-0005-0000-0000-0000ED390000}"/>
    <cellStyle name="40% - Accent2 4 5 4 2 3" xfId="15401" xr:uid="{00000000-0005-0000-0000-0000EE390000}"/>
    <cellStyle name="40% - Accent2 4 5 4 3" xfId="15402" xr:uid="{00000000-0005-0000-0000-0000EF390000}"/>
    <cellStyle name="40% - Accent2 4 5 4 4" xfId="15403" xr:uid="{00000000-0005-0000-0000-0000F0390000}"/>
    <cellStyle name="40% - Accent2 4 5 4 5" xfId="15404" xr:uid="{00000000-0005-0000-0000-0000F1390000}"/>
    <cellStyle name="40% - Accent2 4 5 4 6" xfId="15405" xr:uid="{00000000-0005-0000-0000-0000F2390000}"/>
    <cellStyle name="40% - Accent2 4 5 5" xfId="15406" xr:uid="{00000000-0005-0000-0000-0000F3390000}"/>
    <cellStyle name="40% - Accent2 4 5 5 2" xfId="15407" xr:uid="{00000000-0005-0000-0000-0000F4390000}"/>
    <cellStyle name="40% - Accent2 4 5 5 3" xfId="15408" xr:uid="{00000000-0005-0000-0000-0000F5390000}"/>
    <cellStyle name="40% - Accent2 4 5 6" xfId="15409" xr:uid="{00000000-0005-0000-0000-0000F6390000}"/>
    <cellStyle name="40% - Accent2 4 5 7" xfId="15410" xr:uid="{00000000-0005-0000-0000-0000F7390000}"/>
    <cellStyle name="40% - Accent2 4 5 8" xfId="15411" xr:uid="{00000000-0005-0000-0000-0000F8390000}"/>
    <cellStyle name="40% - Accent2 4 5 9" xfId="15412" xr:uid="{00000000-0005-0000-0000-0000F9390000}"/>
    <cellStyle name="40% - Accent2 4 6" xfId="15413" xr:uid="{00000000-0005-0000-0000-0000FA390000}"/>
    <cellStyle name="40% - Accent2 4 6 2" xfId="15414" xr:uid="{00000000-0005-0000-0000-0000FB390000}"/>
    <cellStyle name="40% - Accent2 4 6 2 2" xfId="15415" xr:uid="{00000000-0005-0000-0000-0000FC390000}"/>
    <cellStyle name="40% - Accent2 4 6 2 2 2" xfId="15416" xr:uid="{00000000-0005-0000-0000-0000FD390000}"/>
    <cellStyle name="40% - Accent2 4 6 2 2 3" xfId="15417" xr:uid="{00000000-0005-0000-0000-0000FE390000}"/>
    <cellStyle name="40% - Accent2 4 6 2 3" xfId="15418" xr:uid="{00000000-0005-0000-0000-0000FF390000}"/>
    <cellStyle name="40% - Accent2 4 6 2 4" xfId="15419" xr:uid="{00000000-0005-0000-0000-0000003A0000}"/>
    <cellStyle name="40% - Accent2 4 6 2 5" xfId="15420" xr:uid="{00000000-0005-0000-0000-0000013A0000}"/>
    <cellStyle name="40% - Accent2 4 6 2 6" xfId="15421" xr:uid="{00000000-0005-0000-0000-0000023A0000}"/>
    <cellStyle name="40% - Accent2 4 6 3" xfId="15422" xr:uid="{00000000-0005-0000-0000-0000033A0000}"/>
    <cellStyle name="40% - Accent2 4 6 3 2" xfId="15423" xr:uid="{00000000-0005-0000-0000-0000043A0000}"/>
    <cellStyle name="40% - Accent2 4 6 3 3" xfId="15424" xr:uid="{00000000-0005-0000-0000-0000053A0000}"/>
    <cellStyle name="40% - Accent2 4 6 4" xfId="15425" xr:uid="{00000000-0005-0000-0000-0000063A0000}"/>
    <cellStyle name="40% - Accent2 4 6 5" xfId="15426" xr:uid="{00000000-0005-0000-0000-0000073A0000}"/>
    <cellStyle name="40% - Accent2 4 6 6" xfId="15427" xr:uid="{00000000-0005-0000-0000-0000083A0000}"/>
    <cellStyle name="40% - Accent2 4 6 7" xfId="15428" xr:uid="{00000000-0005-0000-0000-0000093A0000}"/>
    <cellStyle name="40% - Accent2 4 7" xfId="15429" xr:uid="{00000000-0005-0000-0000-00000A3A0000}"/>
    <cellStyle name="40% - Accent2 4 7 2" xfId="15430" xr:uid="{00000000-0005-0000-0000-00000B3A0000}"/>
    <cellStyle name="40% - Accent2 4 7 2 2" xfId="15431" xr:uid="{00000000-0005-0000-0000-00000C3A0000}"/>
    <cellStyle name="40% - Accent2 4 7 2 3" xfId="15432" xr:uid="{00000000-0005-0000-0000-00000D3A0000}"/>
    <cellStyle name="40% - Accent2 4 7 3" xfId="15433" xr:uid="{00000000-0005-0000-0000-00000E3A0000}"/>
    <cellStyle name="40% - Accent2 4 7 4" xfId="15434" xr:uid="{00000000-0005-0000-0000-00000F3A0000}"/>
    <cellStyle name="40% - Accent2 4 7 5" xfId="15435" xr:uid="{00000000-0005-0000-0000-0000103A0000}"/>
    <cellStyle name="40% - Accent2 4 7 6" xfId="15436" xr:uid="{00000000-0005-0000-0000-0000113A0000}"/>
    <cellStyle name="40% - Accent2 4 8" xfId="15437" xr:uid="{00000000-0005-0000-0000-0000123A0000}"/>
    <cellStyle name="40% - Accent2 4 8 2" xfId="15438" xr:uid="{00000000-0005-0000-0000-0000133A0000}"/>
    <cellStyle name="40% - Accent2 4 8 2 2" xfId="15439" xr:uid="{00000000-0005-0000-0000-0000143A0000}"/>
    <cellStyle name="40% - Accent2 4 8 2 3" xfId="15440" xr:uid="{00000000-0005-0000-0000-0000153A0000}"/>
    <cellStyle name="40% - Accent2 4 8 3" xfId="15441" xr:uid="{00000000-0005-0000-0000-0000163A0000}"/>
    <cellStyle name="40% - Accent2 4 8 4" xfId="15442" xr:uid="{00000000-0005-0000-0000-0000173A0000}"/>
    <cellStyle name="40% - Accent2 4 8 5" xfId="15443" xr:uid="{00000000-0005-0000-0000-0000183A0000}"/>
    <cellStyle name="40% - Accent2 4 8 6" xfId="15444" xr:uid="{00000000-0005-0000-0000-0000193A0000}"/>
    <cellStyle name="40% - Accent2 4 9" xfId="15445" xr:uid="{00000000-0005-0000-0000-00001A3A0000}"/>
    <cellStyle name="40% - Accent2 4 9 2" xfId="15446" xr:uid="{00000000-0005-0000-0000-00001B3A0000}"/>
    <cellStyle name="40% - Accent2 4 9 2 2" xfId="15447" xr:uid="{00000000-0005-0000-0000-00001C3A0000}"/>
    <cellStyle name="40% - Accent2 4 9 2 3" xfId="15448" xr:uid="{00000000-0005-0000-0000-00001D3A0000}"/>
    <cellStyle name="40% - Accent2 4 9 3" xfId="15449" xr:uid="{00000000-0005-0000-0000-00001E3A0000}"/>
    <cellStyle name="40% - Accent2 4 9 4" xfId="15450" xr:uid="{00000000-0005-0000-0000-00001F3A0000}"/>
    <cellStyle name="40% - Accent2 4 9 5" xfId="15451" xr:uid="{00000000-0005-0000-0000-0000203A0000}"/>
    <cellStyle name="40% - Accent2 4 9 6" xfId="15452" xr:uid="{00000000-0005-0000-0000-0000213A0000}"/>
    <cellStyle name="40% - Accent2 5" xfId="15453" xr:uid="{00000000-0005-0000-0000-0000223A0000}"/>
    <cellStyle name="40% - Accent2 5 10" xfId="15454" xr:uid="{00000000-0005-0000-0000-0000233A0000}"/>
    <cellStyle name="40% - Accent2 5 11" xfId="15455" xr:uid="{00000000-0005-0000-0000-0000243A0000}"/>
    <cellStyle name="40% - Accent2 5 12" xfId="15456" xr:uid="{00000000-0005-0000-0000-0000253A0000}"/>
    <cellStyle name="40% - Accent2 5 13" xfId="15457" xr:uid="{00000000-0005-0000-0000-0000263A0000}"/>
    <cellStyle name="40% - Accent2 5 2" xfId="15458" xr:uid="{00000000-0005-0000-0000-0000273A0000}"/>
    <cellStyle name="40% - Accent2 5 2 10" xfId="15459" xr:uid="{00000000-0005-0000-0000-0000283A0000}"/>
    <cellStyle name="40% - Accent2 5 2 2" xfId="15460" xr:uid="{00000000-0005-0000-0000-0000293A0000}"/>
    <cellStyle name="40% - Accent2 5 2 2 2" xfId="15461" xr:uid="{00000000-0005-0000-0000-00002A3A0000}"/>
    <cellStyle name="40% - Accent2 5 2 2 2 2" xfId="15462" xr:uid="{00000000-0005-0000-0000-00002B3A0000}"/>
    <cellStyle name="40% - Accent2 5 2 2 2 2 2" xfId="15463" xr:uid="{00000000-0005-0000-0000-00002C3A0000}"/>
    <cellStyle name="40% - Accent2 5 2 2 2 2 3" xfId="15464" xr:uid="{00000000-0005-0000-0000-00002D3A0000}"/>
    <cellStyle name="40% - Accent2 5 2 2 2 3" xfId="15465" xr:uid="{00000000-0005-0000-0000-00002E3A0000}"/>
    <cellStyle name="40% - Accent2 5 2 2 2 4" xfId="15466" xr:uid="{00000000-0005-0000-0000-00002F3A0000}"/>
    <cellStyle name="40% - Accent2 5 2 2 2 5" xfId="15467" xr:uid="{00000000-0005-0000-0000-0000303A0000}"/>
    <cellStyle name="40% - Accent2 5 2 2 2 6" xfId="15468" xr:uid="{00000000-0005-0000-0000-0000313A0000}"/>
    <cellStyle name="40% - Accent2 5 2 2 3" xfId="15469" xr:uid="{00000000-0005-0000-0000-0000323A0000}"/>
    <cellStyle name="40% - Accent2 5 2 2 3 2" xfId="15470" xr:uid="{00000000-0005-0000-0000-0000333A0000}"/>
    <cellStyle name="40% - Accent2 5 2 2 3 2 2" xfId="15471" xr:uid="{00000000-0005-0000-0000-0000343A0000}"/>
    <cellStyle name="40% - Accent2 5 2 2 3 2 3" xfId="15472" xr:uid="{00000000-0005-0000-0000-0000353A0000}"/>
    <cellStyle name="40% - Accent2 5 2 2 3 3" xfId="15473" xr:uid="{00000000-0005-0000-0000-0000363A0000}"/>
    <cellStyle name="40% - Accent2 5 2 2 3 4" xfId="15474" xr:uid="{00000000-0005-0000-0000-0000373A0000}"/>
    <cellStyle name="40% - Accent2 5 2 2 3 5" xfId="15475" xr:uid="{00000000-0005-0000-0000-0000383A0000}"/>
    <cellStyle name="40% - Accent2 5 2 2 3 6" xfId="15476" xr:uid="{00000000-0005-0000-0000-0000393A0000}"/>
    <cellStyle name="40% - Accent2 5 2 2 4" xfId="15477" xr:uid="{00000000-0005-0000-0000-00003A3A0000}"/>
    <cellStyle name="40% - Accent2 5 2 2 4 2" xfId="15478" xr:uid="{00000000-0005-0000-0000-00003B3A0000}"/>
    <cellStyle name="40% - Accent2 5 2 2 4 3" xfId="15479" xr:uid="{00000000-0005-0000-0000-00003C3A0000}"/>
    <cellStyle name="40% - Accent2 5 2 2 5" xfId="15480" xr:uid="{00000000-0005-0000-0000-00003D3A0000}"/>
    <cellStyle name="40% - Accent2 5 2 2 6" xfId="15481" xr:uid="{00000000-0005-0000-0000-00003E3A0000}"/>
    <cellStyle name="40% - Accent2 5 2 2 7" xfId="15482" xr:uid="{00000000-0005-0000-0000-00003F3A0000}"/>
    <cellStyle name="40% - Accent2 5 2 2 8" xfId="15483" xr:uid="{00000000-0005-0000-0000-0000403A0000}"/>
    <cellStyle name="40% - Accent2 5 2 3" xfId="15484" xr:uid="{00000000-0005-0000-0000-0000413A0000}"/>
    <cellStyle name="40% - Accent2 5 2 3 2" xfId="15485" xr:uid="{00000000-0005-0000-0000-0000423A0000}"/>
    <cellStyle name="40% - Accent2 5 2 3 2 2" xfId="15486" xr:uid="{00000000-0005-0000-0000-0000433A0000}"/>
    <cellStyle name="40% - Accent2 5 2 3 2 2 2" xfId="15487" xr:uid="{00000000-0005-0000-0000-0000443A0000}"/>
    <cellStyle name="40% - Accent2 5 2 3 2 2 3" xfId="15488" xr:uid="{00000000-0005-0000-0000-0000453A0000}"/>
    <cellStyle name="40% - Accent2 5 2 3 2 3" xfId="15489" xr:uid="{00000000-0005-0000-0000-0000463A0000}"/>
    <cellStyle name="40% - Accent2 5 2 3 2 4" xfId="15490" xr:uid="{00000000-0005-0000-0000-0000473A0000}"/>
    <cellStyle name="40% - Accent2 5 2 3 2 5" xfId="15491" xr:uid="{00000000-0005-0000-0000-0000483A0000}"/>
    <cellStyle name="40% - Accent2 5 2 3 2 6" xfId="15492" xr:uid="{00000000-0005-0000-0000-0000493A0000}"/>
    <cellStyle name="40% - Accent2 5 2 3 3" xfId="15493" xr:uid="{00000000-0005-0000-0000-00004A3A0000}"/>
    <cellStyle name="40% - Accent2 5 2 3 3 2" xfId="15494" xr:uid="{00000000-0005-0000-0000-00004B3A0000}"/>
    <cellStyle name="40% - Accent2 5 2 3 3 3" xfId="15495" xr:uid="{00000000-0005-0000-0000-00004C3A0000}"/>
    <cellStyle name="40% - Accent2 5 2 3 4" xfId="15496" xr:uid="{00000000-0005-0000-0000-00004D3A0000}"/>
    <cellStyle name="40% - Accent2 5 2 3 5" xfId="15497" xr:uid="{00000000-0005-0000-0000-00004E3A0000}"/>
    <cellStyle name="40% - Accent2 5 2 3 6" xfId="15498" xr:uid="{00000000-0005-0000-0000-00004F3A0000}"/>
    <cellStyle name="40% - Accent2 5 2 3 7" xfId="15499" xr:uid="{00000000-0005-0000-0000-0000503A0000}"/>
    <cellStyle name="40% - Accent2 5 2 4" xfId="15500" xr:uid="{00000000-0005-0000-0000-0000513A0000}"/>
    <cellStyle name="40% - Accent2 5 2 4 2" xfId="15501" xr:uid="{00000000-0005-0000-0000-0000523A0000}"/>
    <cellStyle name="40% - Accent2 5 2 4 2 2" xfId="15502" xr:uid="{00000000-0005-0000-0000-0000533A0000}"/>
    <cellStyle name="40% - Accent2 5 2 4 2 3" xfId="15503" xr:uid="{00000000-0005-0000-0000-0000543A0000}"/>
    <cellStyle name="40% - Accent2 5 2 4 3" xfId="15504" xr:uid="{00000000-0005-0000-0000-0000553A0000}"/>
    <cellStyle name="40% - Accent2 5 2 4 4" xfId="15505" xr:uid="{00000000-0005-0000-0000-0000563A0000}"/>
    <cellStyle name="40% - Accent2 5 2 4 5" xfId="15506" xr:uid="{00000000-0005-0000-0000-0000573A0000}"/>
    <cellStyle name="40% - Accent2 5 2 4 6" xfId="15507" xr:uid="{00000000-0005-0000-0000-0000583A0000}"/>
    <cellStyle name="40% - Accent2 5 2 5" xfId="15508" xr:uid="{00000000-0005-0000-0000-0000593A0000}"/>
    <cellStyle name="40% - Accent2 5 2 5 2" xfId="15509" xr:uid="{00000000-0005-0000-0000-00005A3A0000}"/>
    <cellStyle name="40% - Accent2 5 2 5 2 2" xfId="15510" xr:uid="{00000000-0005-0000-0000-00005B3A0000}"/>
    <cellStyle name="40% - Accent2 5 2 5 2 3" xfId="15511" xr:uid="{00000000-0005-0000-0000-00005C3A0000}"/>
    <cellStyle name="40% - Accent2 5 2 5 3" xfId="15512" xr:uid="{00000000-0005-0000-0000-00005D3A0000}"/>
    <cellStyle name="40% - Accent2 5 2 5 4" xfId="15513" xr:uid="{00000000-0005-0000-0000-00005E3A0000}"/>
    <cellStyle name="40% - Accent2 5 2 5 5" xfId="15514" xr:uid="{00000000-0005-0000-0000-00005F3A0000}"/>
    <cellStyle name="40% - Accent2 5 2 5 6" xfId="15515" xr:uid="{00000000-0005-0000-0000-0000603A0000}"/>
    <cellStyle name="40% - Accent2 5 2 6" xfId="15516" xr:uid="{00000000-0005-0000-0000-0000613A0000}"/>
    <cellStyle name="40% - Accent2 5 2 6 2" xfId="15517" xr:uid="{00000000-0005-0000-0000-0000623A0000}"/>
    <cellStyle name="40% - Accent2 5 2 6 3" xfId="15518" xr:uid="{00000000-0005-0000-0000-0000633A0000}"/>
    <cellStyle name="40% - Accent2 5 2 7" xfId="15519" xr:uid="{00000000-0005-0000-0000-0000643A0000}"/>
    <cellStyle name="40% - Accent2 5 2 8" xfId="15520" xr:uid="{00000000-0005-0000-0000-0000653A0000}"/>
    <cellStyle name="40% - Accent2 5 2 9" xfId="15521" xr:uid="{00000000-0005-0000-0000-0000663A0000}"/>
    <cellStyle name="40% - Accent2 5 3" xfId="15522" xr:uid="{00000000-0005-0000-0000-0000673A0000}"/>
    <cellStyle name="40% - Accent2 5 3 2" xfId="15523" xr:uid="{00000000-0005-0000-0000-0000683A0000}"/>
    <cellStyle name="40% - Accent2 5 3 2 2" xfId="15524" xr:uid="{00000000-0005-0000-0000-0000693A0000}"/>
    <cellStyle name="40% - Accent2 5 3 2 2 2" xfId="15525" xr:uid="{00000000-0005-0000-0000-00006A3A0000}"/>
    <cellStyle name="40% - Accent2 5 3 2 2 2 2" xfId="15526" xr:uid="{00000000-0005-0000-0000-00006B3A0000}"/>
    <cellStyle name="40% - Accent2 5 3 2 2 2 3" xfId="15527" xr:uid="{00000000-0005-0000-0000-00006C3A0000}"/>
    <cellStyle name="40% - Accent2 5 3 2 2 3" xfId="15528" xr:uid="{00000000-0005-0000-0000-00006D3A0000}"/>
    <cellStyle name="40% - Accent2 5 3 2 2 4" xfId="15529" xr:uid="{00000000-0005-0000-0000-00006E3A0000}"/>
    <cellStyle name="40% - Accent2 5 3 2 2 5" xfId="15530" xr:uid="{00000000-0005-0000-0000-00006F3A0000}"/>
    <cellStyle name="40% - Accent2 5 3 2 2 6" xfId="15531" xr:uid="{00000000-0005-0000-0000-0000703A0000}"/>
    <cellStyle name="40% - Accent2 5 3 2 3" xfId="15532" xr:uid="{00000000-0005-0000-0000-0000713A0000}"/>
    <cellStyle name="40% - Accent2 5 3 2 3 2" xfId="15533" xr:uid="{00000000-0005-0000-0000-0000723A0000}"/>
    <cellStyle name="40% - Accent2 5 3 2 3 3" xfId="15534" xr:uid="{00000000-0005-0000-0000-0000733A0000}"/>
    <cellStyle name="40% - Accent2 5 3 2 4" xfId="15535" xr:uid="{00000000-0005-0000-0000-0000743A0000}"/>
    <cellStyle name="40% - Accent2 5 3 2 5" xfId="15536" xr:uid="{00000000-0005-0000-0000-0000753A0000}"/>
    <cellStyle name="40% - Accent2 5 3 2 6" xfId="15537" xr:uid="{00000000-0005-0000-0000-0000763A0000}"/>
    <cellStyle name="40% - Accent2 5 3 2 7" xfId="15538" xr:uid="{00000000-0005-0000-0000-0000773A0000}"/>
    <cellStyle name="40% - Accent2 5 3 3" xfId="15539" xr:uid="{00000000-0005-0000-0000-0000783A0000}"/>
    <cellStyle name="40% - Accent2 5 3 3 2" xfId="15540" xr:uid="{00000000-0005-0000-0000-0000793A0000}"/>
    <cellStyle name="40% - Accent2 5 3 3 2 2" xfId="15541" xr:uid="{00000000-0005-0000-0000-00007A3A0000}"/>
    <cellStyle name="40% - Accent2 5 3 3 2 3" xfId="15542" xr:uid="{00000000-0005-0000-0000-00007B3A0000}"/>
    <cellStyle name="40% - Accent2 5 3 3 3" xfId="15543" xr:uid="{00000000-0005-0000-0000-00007C3A0000}"/>
    <cellStyle name="40% - Accent2 5 3 3 4" xfId="15544" xr:uid="{00000000-0005-0000-0000-00007D3A0000}"/>
    <cellStyle name="40% - Accent2 5 3 3 5" xfId="15545" xr:uid="{00000000-0005-0000-0000-00007E3A0000}"/>
    <cellStyle name="40% - Accent2 5 3 3 6" xfId="15546" xr:uid="{00000000-0005-0000-0000-00007F3A0000}"/>
    <cellStyle name="40% - Accent2 5 3 4" xfId="15547" xr:uid="{00000000-0005-0000-0000-0000803A0000}"/>
    <cellStyle name="40% - Accent2 5 3 4 2" xfId="15548" xr:uid="{00000000-0005-0000-0000-0000813A0000}"/>
    <cellStyle name="40% - Accent2 5 3 4 2 2" xfId="15549" xr:uid="{00000000-0005-0000-0000-0000823A0000}"/>
    <cellStyle name="40% - Accent2 5 3 4 2 3" xfId="15550" xr:uid="{00000000-0005-0000-0000-0000833A0000}"/>
    <cellStyle name="40% - Accent2 5 3 4 3" xfId="15551" xr:uid="{00000000-0005-0000-0000-0000843A0000}"/>
    <cellStyle name="40% - Accent2 5 3 4 4" xfId="15552" xr:uid="{00000000-0005-0000-0000-0000853A0000}"/>
    <cellStyle name="40% - Accent2 5 3 4 5" xfId="15553" xr:uid="{00000000-0005-0000-0000-0000863A0000}"/>
    <cellStyle name="40% - Accent2 5 3 4 6" xfId="15554" xr:uid="{00000000-0005-0000-0000-0000873A0000}"/>
    <cellStyle name="40% - Accent2 5 3 5" xfId="15555" xr:uid="{00000000-0005-0000-0000-0000883A0000}"/>
    <cellStyle name="40% - Accent2 5 3 5 2" xfId="15556" xr:uid="{00000000-0005-0000-0000-0000893A0000}"/>
    <cellStyle name="40% - Accent2 5 3 5 3" xfId="15557" xr:uid="{00000000-0005-0000-0000-00008A3A0000}"/>
    <cellStyle name="40% - Accent2 5 3 6" xfId="15558" xr:uid="{00000000-0005-0000-0000-00008B3A0000}"/>
    <cellStyle name="40% - Accent2 5 3 7" xfId="15559" xr:uid="{00000000-0005-0000-0000-00008C3A0000}"/>
    <cellStyle name="40% - Accent2 5 3 8" xfId="15560" xr:uid="{00000000-0005-0000-0000-00008D3A0000}"/>
    <cellStyle name="40% - Accent2 5 3 9" xfId="15561" xr:uid="{00000000-0005-0000-0000-00008E3A0000}"/>
    <cellStyle name="40% - Accent2 5 4" xfId="15562" xr:uid="{00000000-0005-0000-0000-00008F3A0000}"/>
    <cellStyle name="40% - Accent2 5 4 2" xfId="15563" xr:uid="{00000000-0005-0000-0000-0000903A0000}"/>
    <cellStyle name="40% - Accent2 5 4 2 2" xfId="15564" xr:uid="{00000000-0005-0000-0000-0000913A0000}"/>
    <cellStyle name="40% - Accent2 5 4 2 2 2" xfId="15565" xr:uid="{00000000-0005-0000-0000-0000923A0000}"/>
    <cellStyle name="40% - Accent2 5 4 2 2 3" xfId="15566" xr:uid="{00000000-0005-0000-0000-0000933A0000}"/>
    <cellStyle name="40% - Accent2 5 4 2 3" xfId="15567" xr:uid="{00000000-0005-0000-0000-0000943A0000}"/>
    <cellStyle name="40% - Accent2 5 4 2 4" xfId="15568" xr:uid="{00000000-0005-0000-0000-0000953A0000}"/>
    <cellStyle name="40% - Accent2 5 4 2 5" xfId="15569" xr:uid="{00000000-0005-0000-0000-0000963A0000}"/>
    <cellStyle name="40% - Accent2 5 4 2 6" xfId="15570" xr:uid="{00000000-0005-0000-0000-0000973A0000}"/>
    <cellStyle name="40% - Accent2 5 4 3" xfId="15571" xr:uid="{00000000-0005-0000-0000-0000983A0000}"/>
    <cellStyle name="40% - Accent2 5 4 3 2" xfId="15572" xr:uid="{00000000-0005-0000-0000-0000993A0000}"/>
    <cellStyle name="40% - Accent2 5 4 3 3" xfId="15573" xr:uid="{00000000-0005-0000-0000-00009A3A0000}"/>
    <cellStyle name="40% - Accent2 5 4 4" xfId="15574" xr:uid="{00000000-0005-0000-0000-00009B3A0000}"/>
    <cellStyle name="40% - Accent2 5 4 5" xfId="15575" xr:uid="{00000000-0005-0000-0000-00009C3A0000}"/>
    <cellStyle name="40% - Accent2 5 4 6" xfId="15576" xr:uid="{00000000-0005-0000-0000-00009D3A0000}"/>
    <cellStyle name="40% - Accent2 5 4 7" xfId="15577" xr:uid="{00000000-0005-0000-0000-00009E3A0000}"/>
    <cellStyle name="40% - Accent2 5 5" xfId="15578" xr:uid="{00000000-0005-0000-0000-00009F3A0000}"/>
    <cellStyle name="40% - Accent2 5 5 2" xfId="15579" xr:uid="{00000000-0005-0000-0000-0000A03A0000}"/>
    <cellStyle name="40% - Accent2 5 5 2 2" xfId="15580" xr:uid="{00000000-0005-0000-0000-0000A13A0000}"/>
    <cellStyle name="40% - Accent2 5 5 2 3" xfId="15581" xr:uid="{00000000-0005-0000-0000-0000A23A0000}"/>
    <cellStyle name="40% - Accent2 5 5 3" xfId="15582" xr:uid="{00000000-0005-0000-0000-0000A33A0000}"/>
    <cellStyle name="40% - Accent2 5 5 4" xfId="15583" xr:uid="{00000000-0005-0000-0000-0000A43A0000}"/>
    <cellStyle name="40% - Accent2 5 5 5" xfId="15584" xr:uid="{00000000-0005-0000-0000-0000A53A0000}"/>
    <cellStyle name="40% - Accent2 5 5 6" xfId="15585" xr:uid="{00000000-0005-0000-0000-0000A63A0000}"/>
    <cellStyle name="40% - Accent2 5 6" xfId="15586" xr:uid="{00000000-0005-0000-0000-0000A73A0000}"/>
    <cellStyle name="40% - Accent2 5 6 2" xfId="15587" xr:uid="{00000000-0005-0000-0000-0000A83A0000}"/>
    <cellStyle name="40% - Accent2 5 6 2 2" xfId="15588" xr:uid="{00000000-0005-0000-0000-0000A93A0000}"/>
    <cellStyle name="40% - Accent2 5 6 2 3" xfId="15589" xr:uid="{00000000-0005-0000-0000-0000AA3A0000}"/>
    <cellStyle name="40% - Accent2 5 6 3" xfId="15590" xr:uid="{00000000-0005-0000-0000-0000AB3A0000}"/>
    <cellStyle name="40% - Accent2 5 6 4" xfId="15591" xr:uid="{00000000-0005-0000-0000-0000AC3A0000}"/>
    <cellStyle name="40% - Accent2 5 6 5" xfId="15592" xr:uid="{00000000-0005-0000-0000-0000AD3A0000}"/>
    <cellStyle name="40% - Accent2 5 6 6" xfId="15593" xr:uid="{00000000-0005-0000-0000-0000AE3A0000}"/>
    <cellStyle name="40% - Accent2 5 7" xfId="15594" xr:uid="{00000000-0005-0000-0000-0000AF3A0000}"/>
    <cellStyle name="40% - Accent2 5 7 2" xfId="15595" xr:uid="{00000000-0005-0000-0000-0000B03A0000}"/>
    <cellStyle name="40% - Accent2 5 7 2 2" xfId="15596" xr:uid="{00000000-0005-0000-0000-0000B13A0000}"/>
    <cellStyle name="40% - Accent2 5 7 2 3" xfId="15597" xr:uid="{00000000-0005-0000-0000-0000B23A0000}"/>
    <cellStyle name="40% - Accent2 5 7 3" xfId="15598" xr:uid="{00000000-0005-0000-0000-0000B33A0000}"/>
    <cellStyle name="40% - Accent2 5 7 4" xfId="15599" xr:uid="{00000000-0005-0000-0000-0000B43A0000}"/>
    <cellStyle name="40% - Accent2 5 7 5" xfId="15600" xr:uid="{00000000-0005-0000-0000-0000B53A0000}"/>
    <cellStyle name="40% - Accent2 5 7 6" xfId="15601" xr:uid="{00000000-0005-0000-0000-0000B63A0000}"/>
    <cellStyle name="40% - Accent2 5 8" xfId="15602" xr:uid="{00000000-0005-0000-0000-0000B73A0000}"/>
    <cellStyle name="40% - Accent2 5 8 2" xfId="15603" xr:uid="{00000000-0005-0000-0000-0000B83A0000}"/>
    <cellStyle name="40% - Accent2 5 8 2 2" xfId="15604" xr:uid="{00000000-0005-0000-0000-0000B93A0000}"/>
    <cellStyle name="40% - Accent2 5 8 2 3" xfId="15605" xr:uid="{00000000-0005-0000-0000-0000BA3A0000}"/>
    <cellStyle name="40% - Accent2 5 8 3" xfId="15606" xr:uid="{00000000-0005-0000-0000-0000BB3A0000}"/>
    <cellStyle name="40% - Accent2 5 8 4" xfId="15607" xr:uid="{00000000-0005-0000-0000-0000BC3A0000}"/>
    <cellStyle name="40% - Accent2 5 8 5" xfId="15608" xr:uid="{00000000-0005-0000-0000-0000BD3A0000}"/>
    <cellStyle name="40% - Accent2 5 8 6" xfId="15609" xr:uid="{00000000-0005-0000-0000-0000BE3A0000}"/>
    <cellStyle name="40% - Accent2 5 9" xfId="15610" xr:uid="{00000000-0005-0000-0000-0000BF3A0000}"/>
    <cellStyle name="40% - Accent2 5 9 2" xfId="15611" xr:uid="{00000000-0005-0000-0000-0000C03A0000}"/>
    <cellStyle name="40% - Accent2 5 9 3" xfId="15612" xr:uid="{00000000-0005-0000-0000-0000C13A0000}"/>
    <cellStyle name="40% - Accent2 6" xfId="15613" xr:uid="{00000000-0005-0000-0000-0000C23A0000}"/>
    <cellStyle name="40% - Accent2 6 10" xfId="15614" xr:uid="{00000000-0005-0000-0000-0000C33A0000}"/>
    <cellStyle name="40% - Accent2 6 11" xfId="15615" xr:uid="{00000000-0005-0000-0000-0000C43A0000}"/>
    <cellStyle name="40% - Accent2 6 2" xfId="15616" xr:uid="{00000000-0005-0000-0000-0000C53A0000}"/>
    <cellStyle name="40% - Accent2 6 2 2" xfId="15617" xr:uid="{00000000-0005-0000-0000-0000C63A0000}"/>
    <cellStyle name="40% - Accent2 6 2 2 2" xfId="15618" xr:uid="{00000000-0005-0000-0000-0000C73A0000}"/>
    <cellStyle name="40% - Accent2 6 2 2 2 2" xfId="15619" xr:uid="{00000000-0005-0000-0000-0000C83A0000}"/>
    <cellStyle name="40% - Accent2 6 2 2 2 3" xfId="15620" xr:uid="{00000000-0005-0000-0000-0000C93A0000}"/>
    <cellStyle name="40% - Accent2 6 2 2 3" xfId="15621" xr:uid="{00000000-0005-0000-0000-0000CA3A0000}"/>
    <cellStyle name="40% - Accent2 6 2 2 4" xfId="15622" xr:uid="{00000000-0005-0000-0000-0000CB3A0000}"/>
    <cellStyle name="40% - Accent2 6 2 2 5" xfId="15623" xr:uid="{00000000-0005-0000-0000-0000CC3A0000}"/>
    <cellStyle name="40% - Accent2 6 2 2 6" xfId="15624" xr:uid="{00000000-0005-0000-0000-0000CD3A0000}"/>
    <cellStyle name="40% - Accent2 6 2 3" xfId="15625" xr:uid="{00000000-0005-0000-0000-0000CE3A0000}"/>
    <cellStyle name="40% - Accent2 6 2 3 2" xfId="15626" xr:uid="{00000000-0005-0000-0000-0000CF3A0000}"/>
    <cellStyle name="40% - Accent2 6 2 3 2 2" xfId="15627" xr:uid="{00000000-0005-0000-0000-0000D03A0000}"/>
    <cellStyle name="40% - Accent2 6 2 3 2 3" xfId="15628" xr:uid="{00000000-0005-0000-0000-0000D13A0000}"/>
    <cellStyle name="40% - Accent2 6 2 3 3" xfId="15629" xr:uid="{00000000-0005-0000-0000-0000D23A0000}"/>
    <cellStyle name="40% - Accent2 6 2 3 4" xfId="15630" xr:uid="{00000000-0005-0000-0000-0000D33A0000}"/>
    <cellStyle name="40% - Accent2 6 2 3 5" xfId="15631" xr:uid="{00000000-0005-0000-0000-0000D43A0000}"/>
    <cellStyle name="40% - Accent2 6 2 3 6" xfId="15632" xr:uid="{00000000-0005-0000-0000-0000D53A0000}"/>
    <cellStyle name="40% - Accent2 6 2 4" xfId="15633" xr:uid="{00000000-0005-0000-0000-0000D63A0000}"/>
    <cellStyle name="40% - Accent2 6 2 4 2" xfId="15634" xr:uid="{00000000-0005-0000-0000-0000D73A0000}"/>
    <cellStyle name="40% - Accent2 6 2 4 3" xfId="15635" xr:uid="{00000000-0005-0000-0000-0000D83A0000}"/>
    <cellStyle name="40% - Accent2 6 2 5" xfId="15636" xr:uid="{00000000-0005-0000-0000-0000D93A0000}"/>
    <cellStyle name="40% - Accent2 6 2 6" xfId="15637" xr:uid="{00000000-0005-0000-0000-0000DA3A0000}"/>
    <cellStyle name="40% - Accent2 6 2 7" xfId="15638" xr:uid="{00000000-0005-0000-0000-0000DB3A0000}"/>
    <cellStyle name="40% - Accent2 6 2 8" xfId="15639" xr:uid="{00000000-0005-0000-0000-0000DC3A0000}"/>
    <cellStyle name="40% - Accent2 6 3" xfId="15640" xr:uid="{00000000-0005-0000-0000-0000DD3A0000}"/>
    <cellStyle name="40% - Accent2 6 3 2" xfId="15641" xr:uid="{00000000-0005-0000-0000-0000DE3A0000}"/>
    <cellStyle name="40% - Accent2 6 3 2 2" xfId="15642" xr:uid="{00000000-0005-0000-0000-0000DF3A0000}"/>
    <cellStyle name="40% - Accent2 6 3 2 2 2" xfId="15643" xr:uid="{00000000-0005-0000-0000-0000E03A0000}"/>
    <cellStyle name="40% - Accent2 6 3 2 2 3" xfId="15644" xr:uid="{00000000-0005-0000-0000-0000E13A0000}"/>
    <cellStyle name="40% - Accent2 6 3 2 3" xfId="15645" xr:uid="{00000000-0005-0000-0000-0000E23A0000}"/>
    <cellStyle name="40% - Accent2 6 3 2 4" xfId="15646" xr:uid="{00000000-0005-0000-0000-0000E33A0000}"/>
    <cellStyle name="40% - Accent2 6 3 2 5" xfId="15647" xr:uid="{00000000-0005-0000-0000-0000E43A0000}"/>
    <cellStyle name="40% - Accent2 6 3 2 6" xfId="15648" xr:uid="{00000000-0005-0000-0000-0000E53A0000}"/>
    <cellStyle name="40% - Accent2 6 3 3" xfId="15649" xr:uid="{00000000-0005-0000-0000-0000E63A0000}"/>
    <cellStyle name="40% - Accent2 6 3 3 2" xfId="15650" xr:uid="{00000000-0005-0000-0000-0000E73A0000}"/>
    <cellStyle name="40% - Accent2 6 3 3 3" xfId="15651" xr:uid="{00000000-0005-0000-0000-0000E83A0000}"/>
    <cellStyle name="40% - Accent2 6 3 4" xfId="15652" xr:uid="{00000000-0005-0000-0000-0000E93A0000}"/>
    <cellStyle name="40% - Accent2 6 3 5" xfId="15653" xr:uid="{00000000-0005-0000-0000-0000EA3A0000}"/>
    <cellStyle name="40% - Accent2 6 3 6" xfId="15654" xr:uid="{00000000-0005-0000-0000-0000EB3A0000}"/>
    <cellStyle name="40% - Accent2 6 3 7" xfId="15655" xr:uid="{00000000-0005-0000-0000-0000EC3A0000}"/>
    <cellStyle name="40% - Accent2 6 4" xfId="15656" xr:uid="{00000000-0005-0000-0000-0000ED3A0000}"/>
    <cellStyle name="40% - Accent2 6 4 2" xfId="15657" xr:uid="{00000000-0005-0000-0000-0000EE3A0000}"/>
    <cellStyle name="40% - Accent2 6 4 2 2" xfId="15658" xr:uid="{00000000-0005-0000-0000-0000EF3A0000}"/>
    <cellStyle name="40% - Accent2 6 4 2 3" xfId="15659" xr:uid="{00000000-0005-0000-0000-0000F03A0000}"/>
    <cellStyle name="40% - Accent2 6 4 3" xfId="15660" xr:uid="{00000000-0005-0000-0000-0000F13A0000}"/>
    <cellStyle name="40% - Accent2 6 4 4" xfId="15661" xr:uid="{00000000-0005-0000-0000-0000F23A0000}"/>
    <cellStyle name="40% - Accent2 6 4 5" xfId="15662" xr:uid="{00000000-0005-0000-0000-0000F33A0000}"/>
    <cellStyle name="40% - Accent2 6 4 6" xfId="15663" xr:uid="{00000000-0005-0000-0000-0000F43A0000}"/>
    <cellStyle name="40% - Accent2 6 5" xfId="15664" xr:uid="{00000000-0005-0000-0000-0000F53A0000}"/>
    <cellStyle name="40% - Accent2 6 5 2" xfId="15665" xr:uid="{00000000-0005-0000-0000-0000F63A0000}"/>
    <cellStyle name="40% - Accent2 6 5 2 2" xfId="15666" xr:uid="{00000000-0005-0000-0000-0000F73A0000}"/>
    <cellStyle name="40% - Accent2 6 5 2 3" xfId="15667" xr:uid="{00000000-0005-0000-0000-0000F83A0000}"/>
    <cellStyle name="40% - Accent2 6 5 3" xfId="15668" xr:uid="{00000000-0005-0000-0000-0000F93A0000}"/>
    <cellStyle name="40% - Accent2 6 5 4" xfId="15669" xr:uid="{00000000-0005-0000-0000-0000FA3A0000}"/>
    <cellStyle name="40% - Accent2 6 5 5" xfId="15670" xr:uid="{00000000-0005-0000-0000-0000FB3A0000}"/>
    <cellStyle name="40% - Accent2 6 5 6" xfId="15671" xr:uid="{00000000-0005-0000-0000-0000FC3A0000}"/>
    <cellStyle name="40% - Accent2 6 6" xfId="15672" xr:uid="{00000000-0005-0000-0000-0000FD3A0000}"/>
    <cellStyle name="40% - Accent2 6 6 2" xfId="15673" xr:uid="{00000000-0005-0000-0000-0000FE3A0000}"/>
    <cellStyle name="40% - Accent2 6 6 2 2" xfId="15674" xr:uid="{00000000-0005-0000-0000-0000FF3A0000}"/>
    <cellStyle name="40% - Accent2 6 6 2 3" xfId="15675" xr:uid="{00000000-0005-0000-0000-0000003B0000}"/>
    <cellStyle name="40% - Accent2 6 6 3" xfId="15676" xr:uid="{00000000-0005-0000-0000-0000013B0000}"/>
    <cellStyle name="40% - Accent2 6 6 4" xfId="15677" xr:uid="{00000000-0005-0000-0000-0000023B0000}"/>
    <cellStyle name="40% - Accent2 6 6 5" xfId="15678" xr:uid="{00000000-0005-0000-0000-0000033B0000}"/>
    <cellStyle name="40% - Accent2 6 6 6" xfId="15679" xr:uid="{00000000-0005-0000-0000-0000043B0000}"/>
    <cellStyle name="40% - Accent2 6 7" xfId="15680" xr:uid="{00000000-0005-0000-0000-0000053B0000}"/>
    <cellStyle name="40% - Accent2 6 7 2" xfId="15681" xr:uid="{00000000-0005-0000-0000-0000063B0000}"/>
    <cellStyle name="40% - Accent2 6 7 3" xfId="15682" xr:uid="{00000000-0005-0000-0000-0000073B0000}"/>
    <cellStyle name="40% - Accent2 6 8" xfId="15683" xr:uid="{00000000-0005-0000-0000-0000083B0000}"/>
    <cellStyle name="40% - Accent2 6 9" xfId="15684" xr:uid="{00000000-0005-0000-0000-0000093B0000}"/>
    <cellStyle name="40% - Accent2 7" xfId="15685" xr:uid="{00000000-0005-0000-0000-00000A3B0000}"/>
    <cellStyle name="40% - Accent2 7 2" xfId="15686" xr:uid="{00000000-0005-0000-0000-00000B3B0000}"/>
    <cellStyle name="40% - Accent2 7 2 2" xfId="15687" xr:uid="{00000000-0005-0000-0000-00000C3B0000}"/>
    <cellStyle name="40% - Accent2 7 2 3" xfId="15688" xr:uid="{00000000-0005-0000-0000-00000D3B0000}"/>
    <cellStyle name="40% - Accent2 7 3" xfId="15689" xr:uid="{00000000-0005-0000-0000-00000E3B0000}"/>
    <cellStyle name="40% - Accent2 7 4" xfId="15690" xr:uid="{00000000-0005-0000-0000-00000F3B0000}"/>
    <cellStyle name="40% - Accent2 7 5" xfId="15691" xr:uid="{00000000-0005-0000-0000-0000103B0000}"/>
    <cellStyle name="40% - Accent2 7 6" xfId="15692" xr:uid="{00000000-0005-0000-0000-0000113B0000}"/>
    <cellStyle name="40% - Accent2 8" xfId="15693" xr:uid="{00000000-0005-0000-0000-0000123B0000}"/>
    <cellStyle name="40% - Accent2 8 2" xfId="15694" xr:uid="{00000000-0005-0000-0000-0000133B0000}"/>
    <cellStyle name="40% - Accent2 8 2 2" xfId="15695" xr:uid="{00000000-0005-0000-0000-0000143B0000}"/>
    <cellStyle name="40% - Accent2 8 2 3" xfId="15696" xr:uid="{00000000-0005-0000-0000-0000153B0000}"/>
    <cellStyle name="40% - Accent2 8 3" xfId="15697" xr:uid="{00000000-0005-0000-0000-0000163B0000}"/>
    <cellStyle name="40% - Accent2 8 4" xfId="15698" xr:uid="{00000000-0005-0000-0000-0000173B0000}"/>
    <cellStyle name="40% - Accent2 8 5" xfId="15699" xr:uid="{00000000-0005-0000-0000-0000183B0000}"/>
    <cellStyle name="40% - Accent2 8 6" xfId="15700" xr:uid="{00000000-0005-0000-0000-0000193B0000}"/>
    <cellStyle name="40% - Accent2 9" xfId="15701" xr:uid="{00000000-0005-0000-0000-00001A3B0000}"/>
    <cellStyle name="40% - Accent2 9 2" xfId="15702" xr:uid="{00000000-0005-0000-0000-00001B3B0000}"/>
    <cellStyle name="40% - Accent2 9 2 2" xfId="15703" xr:uid="{00000000-0005-0000-0000-00001C3B0000}"/>
    <cellStyle name="40% - Accent2 9 2 3" xfId="15704" xr:uid="{00000000-0005-0000-0000-00001D3B0000}"/>
    <cellStyle name="40% - Accent2 9 3" xfId="15705" xr:uid="{00000000-0005-0000-0000-00001E3B0000}"/>
    <cellStyle name="40% - Accent2 9 4" xfId="15706" xr:uid="{00000000-0005-0000-0000-00001F3B0000}"/>
    <cellStyle name="40% - Accent2 9 5" xfId="15707" xr:uid="{00000000-0005-0000-0000-0000203B0000}"/>
    <cellStyle name="40% - Accent2 9 6" xfId="15708" xr:uid="{00000000-0005-0000-0000-0000213B0000}"/>
    <cellStyle name="40% - Accent3" xfId="30" builtinId="39" customBuiltin="1"/>
    <cellStyle name="40% - Accent3 10" xfId="15709" xr:uid="{00000000-0005-0000-0000-0000233B0000}"/>
    <cellStyle name="40% - Accent3 10 2" xfId="15710" xr:uid="{00000000-0005-0000-0000-0000243B0000}"/>
    <cellStyle name="40% - Accent3 10 2 2" xfId="15711" xr:uid="{00000000-0005-0000-0000-0000253B0000}"/>
    <cellStyle name="40% - Accent3 10 2 3" xfId="15712" xr:uid="{00000000-0005-0000-0000-0000263B0000}"/>
    <cellStyle name="40% - Accent3 10 3" xfId="15713" xr:uid="{00000000-0005-0000-0000-0000273B0000}"/>
    <cellStyle name="40% - Accent3 10 4" xfId="15714" xr:uid="{00000000-0005-0000-0000-0000283B0000}"/>
    <cellStyle name="40% - Accent3 10 5" xfId="15715" xr:uid="{00000000-0005-0000-0000-0000293B0000}"/>
    <cellStyle name="40% - Accent3 10 6" xfId="15716" xr:uid="{00000000-0005-0000-0000-00002A3B0000}"/>
    <cellStyle name="40% - Accent3 11" xfId="15717" xr:uid="{00000000-0005-0000-0000-00002B3B0000}"/>
    <cellStyle name="40% - Accent3 11 2" xfId="15718" xr:uid="{00000000-0005-0000-0000-00002C3B0000}"/>
    <cellStyle name="40% - Accent3 11 2 2" xfId="15719" xr:uid="{00000000-0005-0000-0000-00002D3B0000}"/>
    <cellStyle name="40% - Accent3 11 2 3" xfId="15720" xr:uid="{00000000-0005-0000-0000-00002E3B0000}"/>
    <cellStyle name="40% - Accent3 11 3" xfId="15721" xr:uid="{00000000-0005-0000-0000-00002F3B0000}"/>
    <cellStyle name="40% - Accent3 11 4" xfId="15722" xr:uid="{00000000-0005-0000-0000-0000303B0000}"/>
    <cellStyle name="40% - Accent3 11 5" xfId="15723" xr:uid="{00000000-0005-0000-0000-0000313B0000}"/>
    <cellStyle name="40% - Accent3 11 6" xfId="15724" xr:uid="{00000000-0005-0000-0000-0000323B0000}"/>
    <cellStyle name="40% - Accent3 12" xfId="15725" xr:uid="{00000000-0005-0000-0000-0000333B0000}"/>
    <cellStyle name="40% - Accent3 12 2" xfId="15726" xr:uid="{00000000-0005-0000-0000-0000343B0000}"/>
    <cellStyle name="40% - Accent3 12 2 2" xfId="15727" xr:uid="{00000000-0005-0000-0000-0000353B0000}"/>
    <cellStyle name="40% - Accent3 12 2 3" xfId="15728" xr:uid="{00000000-0005-0000-0000-0000363B0000}"/>
    <cellStyle name="40% - Accent3 12 3" xfId="15729" xr:uid="{00000000-0005-0000-0000-0000373B0000}"/>
    <cellStyle name="40% - Accent3 12 4" xfId="15730" xr:uid="{00000000-0005-0000-0000-0000383B0000}"/>
    <cellStyle name="40% - Accent3 12 5" xfId="15731" xr:uid="{00000000-0005-0000-0000-0000393B0000}"/>
    <cellStyle name="40% - Accent3 12 6" xfId="15732" xr:uid="{00000000-0005-0000-0000-00003A3B0000}"/>
    <cellStyle name="40% - Accent3 13" xfId="15733" xr:uid="{00000000-0005-0000-0000-00003B3B0000}"/>
    <cellStyle name="40% - Accent3 13 2" xfId="15734" xr:uid="{00000000-0005-0000-0000-00003C3B0000}"/>
    <cellStyle name="40% - Accent3 13 3" xfId="15735" xr:uid="{00000000-0005-0000-0000-00003D3B0000}"/>
    <cellStyle name="40% - Accent3 14" xfId="15736" xr:uid="{00000000-0005-0000-0000-00003E3B0000}"/>
    <cellStyle name="40% - Accent3 15" xfId="15737" xr:uid="{00000000-0005-0000-0000-00003F3B0000}"/>
    <cellStyle name="40% - Accent3 16" xfId="15738" xr:uid="{00000000-0005-0000-0000-0000403B0000}"/>
    <cellStyle name="40% - Accent3 17" xfId="15739" xr:uid="{00000000-0005-0000-0000-0000413B0000}"/>
    <cellStyle name="40% - Accent3 18" xfId="15740" xr:uid="{00000000-0005-0000-0000-0000423B0000}"/>
    <cellStyle name="40% - Accent3 2" xfId="60" xr:uid="{00000000-0005-0000-0000-0000433B0000}"/>
    <cellStyle name="40% - Accent3 2 2" xfId="303" xr:uid="{00000000-0005-0000-0000-0000443B0000}"/>
    <cellStyle name="40% - Accent3 2 3" xfId="304" xr:uid="{00000000-0005-0000-0000-0000453B0000}"/>
    <cellStyle name="40% - Accent3 3" xfId="305" xr:uid="{00000000-0005-0000-0000-0000463B0000}"/>
    <cellStyle name="40% - Accent3 3 10" xfId="15741" xr:uid="{00000000-0005-0000-0000-0000473B0000}"/>
    <cellStyle name="40% - Accent3 3 10 2" xfId="15742" xr:uid="{00000000-0005-0000-0000-0000483B0000}"/>
    <cellStyle name="40% - Accent3 3 10 2 2" xfId="15743" xr:uid="{00000000-0005-0000-0000-0000493B0000}"/>
    <cellStyle name="40% - Accent3 3 10 2 3" xfId="15744" xr:uid="{00000000-0005-0000-0000-00004A3B0000}"/>
    <cellStyle name="40% - Accent3 3 10 3" xfId="15745" xr:uid="{00000000-0005-0000-0000-00004B3B0000}"/>
    <cellStyle name="40% - Accent3 3 10 4" xfId="15746" xr:uid="{00000000-0005-0000-0000-00004C3B0000}"/>
    <cellStyle name="40% - Accent3 3 10 5" xfId="15747" xr:uid="{00000000-0005-0000-0000-00004D3B0000}"/>
    <cellStyle name="40% - Accent3 3 10 6" xfId="15748" xr:uid="{00000000-0005-0000-0000-00004E3B0000}"/>
    <cellStyle name="40% - Accent3 3 11" xfId="15749" xr:uid="{00000000-0005-0000-0000-00004F3B0000}"/>
    <cellStyle name="40% - Accent3 3 11 2" xfId="15750" xr:uid="{00000000-0005-0000-0000-0000503B0000}"/>
    <cellStyle name="40% - Accent3 3 11 2 2" xfId="15751" xr:uid="{00000000-0005-0000-0000-0000513B0000}"/>
    <cellStyle name="40% - Accent3 3 11 2 3" xfId="15752" xr:uid="{00000000-0005-0000-0000-0000523B0000}"/>
    <cellStyle name="40% - Accent3 3 11 3" xfId="15753" xr:uid="{00000000-0005-0000-0000-0000533B0000}"/>
    <cellStyle name="40% - Accent3 3 11 4" xfId="15754" xr:uid="{00000000-0005-0000-0000-0000543B0000}"/>
    <cellStyle name="40% - Accent3 3 11 5" xfId="15755" xr:uid="{00000000-0005-0000-0000-0000553B0000}"/>
    <cellStyle name="40% - Accent3 3 11 6" xfId="15756" xr:uid="{00000000-0005-0000-0000-0000563B0000}"/>
    <cellStyle name="40% - Accent3 3 12" xfId="15757" xr:uid="{00000000-0005-0000-0000-0000573B0000}"/>
    <cellStyle name="40% - Accent3 3 12 2" xfId="15758" xr:uid="{00000000-0005-0000-0000-0000583B0000}"/>
    <cellStyle name="40% - Accent3 3 12 3" xfId="15759" xr:uid="{00000000-0005-0000-0000-0000593B0000}"/>
    <cellStyle name="40% - Accent3 3 13" xfId="15760" xr:uid="{00000000-0005-0000-0000-00005A3B0000}"/>
    <cellStyle name="40% - Accent3 3 14" xfId="15761" xr:uid="{00000000-0005-0000-0000-00005B3B0000}"/>
    <cellStyle name="40% - Accent3 3 15" xfId="15762" xr:uid="{00000000-0005-0000-0000-00005C3B0000}"/>
    <cellStyle name="40% - Accent3 3 16" xfId="15763" xr:uid="{00000000-0005-0000-0000-00005D3B0000}"/>
    <cellStyle name="40% - Accent3 3 2" xfId="15764" xr:uid="{00000000-0005-0000-0000-00005E3B0000}"/>
    <cellStyle name="40% - Accent3 3 2 10" xfId="15765" xr:uid="{00000000-0005-0000-0000-00005F3B0000}"/>
    <cellStyle name="40% - Accent3 3 2 10 2" xfId="15766" xr:uid="{00000000-0005-0000-0000-0000603B0000}"/>
    <cellStyle name="40% - Accent3 3 2 10 3" xfId="15767" xr:uid="{00000000-0005-0000-0000-0000613B0000}"/>
    <cellStyle name="40% - Accent3 3 2 11" xfId="15768" xr:uid="{00000000-0005-0000-0000-0000623B0000}"/>
    <cellStyle name="40% - Accent3 3 2 12" xfId="15769" xr:uid="{00000000-0005-0000-0000-0000633B0000}"/>
    <cellStyle name="40% - Accent3 3 2 13" xfId="15770" xr:uid="{00000000-0005-0000-0000-0000643B0000}"/>
    <cellStyle name="40% - Accent3 3 2 14" xfId="15771" xr:uid="{00000000-0005-0000-0000-0000653B0000}"/>
    <cellStyle name="40% - Accent3 3 2 2" xfId="15772" xr:uid="{00000000-0005-0000-0000-0000663B0000}"/>
    <cellStyle name="40% - Accent3 3 2 2 10" xfId="15773" xr:uid="{00000000-0005-0000-0000-0000673B0000}"/>
    <cellStyle name="40% - Accent3 3 2 2 11" xfId="15774" xr:uid="{00000000-0005-0000-0000-0000683B0000}"/>
    <cellStyle name="40% - Accent3 3 2 2 12" xfId="15775" xr:uid="{00000000-0005-0000-0000-0000693B0000}"/>
    <cellStyle name="40% - Accent3 3 2 2 13" xfId="15776" xr:uid="{00000000-0005-0000-0000-00006A3B0000}"/>
    <cellStyle name="40% - Accent3 3 2 2 2" xfId="15777" xr:uid="{00000000-0005-0000-0000-00006B3B0000}"/>
    <cellStyle name="40% - Accent3 3 2 2 2 10" xfId="15778" xr:uid="{00000000-0005-0000-0000-00006C3B0000}"/>
    <cellStyle name="40% - Accent3 3 2 2 2 2" xfId="15779" xr:uid="{00000000-0005-0000-0000-00006D3B0000}"/>
    <cellStyle name="40% - Accent3 3 2 2 2 2 2" xfId="15780" xr:uid="{00000000-0005-0000-0000-00006E3B0000}"/>
    <cellStyle name="40% - Accent3 3 2 2 2 2 2 2" xfId="15781" xr:uid="{00000000-0005-0000-0000-00006F3B0000}"/>
    <cellStyle name="40% - Accent3 3 2 2 2 2 2 2 2" xfId="15782" xr:uid="{00000000-0005-0000-0000-0000703B0000}"/>
    <cellStyle name="40% - Accent3 3 2 2 2 2 2 2 3" xfId="15783" xr:uid="{00000000-0005-0000-0000-0000713B0000}"/>
    <cellStyle name="40% - Accent3 3 2 2 2 2 2 3" xfId="15784" xr:uid="{00000000-0005-0000-0000-0000723B0000}"/>
    <cellStyle name="40% - Accent3 3 2 2 2 2 2 4" xfId="15785" xr:uid="{00000000-0005-0000-0000-0000733B0000}"/>
    <cellStyle name="40% - Accent3 3 2 2 2 2 2 5" xfId="15786" xr:uid="{00000000-0005-0000-0000-0000743B0000}"/>
    <cellStyle name="40% - Accent3 3 2 2 2 2 2 6" xfId="15787" xr:uid="{00000000-0005-0000-0000-0000753B0000}"/>
    <cellStyle name="40% - Accent3 3 2 2 2 2 3" xfId="15788" xr:uid="{00000000-0005-0000-0000-0000763B0000}"/>
    <cellStyle name="40% - Accent3 3 2 2 2 2 3 2" xfId="15789" xr:uid="{00000000-0005-0000-0000-0000773B0000}"/>
    <cellStyle name="40% - Accent3 3 2 2 2 2 3 2 2" xfId="15790" xr:uid="{00000000-0005-0000-0000-0000783B0000}"/>
    <cellStyle name="40% - Accent3 3 2 2 2 2 3 2 3" xfId="15791" xr:uid="{00000000-0005-0000-0000-0000793B0000}"/>
    <cellStyle name="40% - Accent3 3 2 2 2 2 3 3" xfId="15792" xr:uid="{00000000-0005-0000-0000-00007A3B0000}"/>
    <cellStyle name="40% - Accent3 3 2 2 2 2 3 4" xfId="15793" xr:uid="{00000000-0005-0000-0000-00007B3B0000}"/>
    <cellStyle name="40% - Accent3 3 2 2 2 2 3 5" xfId="15794" xr:uid="{00000000-0005-0000-0000-00007C3B0000}"/>
    <cellStyle name="40% - Accent3 3 2 2 2 2 3 6" xfId="15795" xr:uid="{00000000-0005-0000-0000-00007D3B0000}"/>
    <cellStyle name="40% - Accent3 3 2 2 2 2 4" xfId="15796" xr:uid="{00000000-0005-0000-0000-00007E3B0000}"/>
    <cellStyle name="40% - Accent3 3 2 2 2 2 4 2" xfId="15797" xr:uid="{00000000-0005-0000-0000-00007F3B0000}"/>
    <cellStyle name="40% - Accent3 3 2 2 2 2 4 3" xfId="15798" xr:uid="{00000000-0005-0000-0000-0000803B0000}"/>
    <cellStyle name="40% - Accent3 3 2 2 2 2 5" xfId="15799" xr:uid="{00000000-0005-0000-0000-0000813B0000}"/>
    <cellStyle name="40% - Accent3 3 2 2 2 2 6" xfId="15800" xr:uid="{00000000-0005-0000-0000-0000823B0000}"/>
    <cellStyle name="40% - Accent3 3 2 2 2 2 7" xfId="15801" xr:uid="{00000000-0005-0000-0000-0000833B0000}"/>
    <cellStyle name="40% - Accent3 3 2 2 2 2 8" xfId="15802" xr:uid="{00000000-0005-0000-0000-0000843B0000}"/>
    <cellStyle name="40% - Accent3 3 2 2 2 3" xfId="15803" xr:uid="{00000000-0005-0000-0000-0000853B0000}"/>
    <cellStyle name="40% - Accent3 3 2 2 2 3 2" xfId="15804" xr:uid="{00000000-0005-0000-0000-0000863B0000}"/>
    <cellStyle name="40% - Accent3 3 2 2 2 3 2 2" xfId="15805" xr:uid="{00000000-0005-0000-0000-0000873B0000}"/>
    <cellStyle name="40% - Accent3 3 2 2 2 3 2 2 2" xfId="15806" xr:uid="{00000000-0005-0000-0000-0000883B0000}"/>
    <cellStyle name="40% - Accent3 3 2 2 2 3 2 2 3" xfId="15807" xr:uid="{00000000-0005-0000-0000-0000893B0000}"/>
    <cellStyle name="40% - Accent3 3 2 2 2 3 2 3" xfId="15808" xr:uid="{00000000-0005-0000-0000-00008A3B0000}"/>
    <cellStyle name="40% - Accent3 3 2 2 2 3 2 4" xfId="15809" xr:uid="{00000000-0005-0000-0000-00008B3B0000}"/>
    <cellStyle name="40% - Accent3 3 2 2 2 3 2 5" xfId="15810" xr:uid="{00000000-0005-0000-0000-00008C3B0000}"/>
    <cellStyle name="40% - Accent3 3 2 2 2 3 2 6" xfId="15811" xr:uid="{00000000-0005-0000-0000-00008D3B0000}"/>
    <cellStyle name="40% - Accent3 3 2 2 2 3 3" xfId="15812" xr:uid="{00000000-0005-0000-0000-00008E3B0000}"/>
    <cellStyle name="40% - Accent3 3 2 2 2 3 3 2" xfId="15813" xr:uid="{00000000-0005-0000-0000-00008F3B0000}"/>
    <cellStyle name="40% - Accent3 3 2 2 2 3 3 3" xfId="15814" xr:uid="{00000000-0005-0000-0000-0000903B0000}"/>
    <cellStyle name="40% - Accent3 3 2 2 2 3 4" xfId="15815" xr:uid="{00000000-0005-0000-0000-0000913B0000}"/>
    <cellStyle name="40% - Accent3 3 2 2 2 3 5" xfId="15816" xr:uid="{00000000-0005-0000-0000-0000923B0000}"/>
    <cellStyle name="40% - Accent3 3 2 2 2 3 6" xfId="15817" xr:uid="{00000000-0005-0000-0000-0000933B0000}"/>
    <cellStyle name="40% - Accent3 3 2 2 2 3 7" xfId="15818" xr:uid="{00000000-0005-0000-0000-0000943B0000}"/>
    <cellStyle name="40% - Accent3 3 2 2 2 4" xfId="15819" xr:uid="{00000000-0005-0000-0000-0000953B0000}"/>
    <cellStyle name="40% - Accent3 3 2 2 2 4 2" xfId="15820" xr:uid="{00000000-0005-0000-0000-0000963B0000}"/>
    <cellStyle name="40% - Accent3 3 2 2 2 4 2 2" xfId="15821" xr:uid="{00000000-0005-0000-0000-0000973B0000}"/>
    <cellStyle name="40% - Accent3 3 2 2 2 4 2 3" xfId="15822" xr:uid="{00000000-0005-0000-0000-0000983B0000}"/>
    <cellStyle name="40% - Accent3 3 2 2 2 4 3" xfId="15823" xr:uid="{00000000-0005-0000-0000-0000993B0000}"/>
    <cellStyle name="40% - Accent3 3 2 2 2 4 4" xfId="15824" xr:uid="{00000000-0005-0000-0000-00009A3B0000}"/>
    <cellStyle name="40% - Accent3 3 2 2 2 4 5" xfId="15825" xr:uid="{00000000-0005-0000-0000-00009B3B0000}"/>
    <cellStyle name="40% - Accent3 3 2 2 2 4 6" xfId="15826" xr:uid="{00000000-0005-0000-0000-00009C3B0000}"/>
    <cellStyle name="40% - Accent3 3 2 2 2 5" xfId="15827" xr:uid="{00000000-0005-0000-0000-00009D3B0000}"/>
    <cellStyle name="40% - Accent3 3 2 2 2 5 2" xfId="15828" xr:uid="{00000000-0005-0000-0000-00009E3B0000}"/>
    <cellStyle name="40% - Accent3 3 2 2 2 5 2 2" xfId="15829" xr:uid="{00000000-0005-0000-0000-00009F3B0000}"/>
    <cellStyle name="40% - Accent3 3 2 2 2 5 2 3" xfId="15830" xr:uid="{00000000-0005-0000-0000-0000A03B0000}"/>
    <cellStyle name="40% - Accent3 3 2 2 2 5 3" xfId="15831" xr:uid="{00000000-0005-0000-0000-0000A13B0000}"/>
    <cellStyle name="40% - Accent3 3 2 2 2 5 4" xfId="15832" xr:uid="{00000000-0005-0000-0000-0000A23B0000}"/>
    <cellStyle name="40% - Accent3 3 2 2 2 5 5" xfId="15833" xr:uid="{00000000-0005-0000-0000-0000A33B0000}"/>
    <cellStyle name="40% - Accent3 3 2 2 2 5 6" xfId="15834" xr:uid="{00000000-0005-0000-0000-0000A43B0000}"/>
    <cellStyle name="40% - Accent3 3 2 2 2 6" xfId="15835" xr:uid="{00000000-0005-0000-0000-0000A53B0000}"/>
    <cellStyle name="40% - Accent3 3 2 2 2 6 2" xfId="15836" xr:uid="{00000000-0005-0000-0000-0000A63B0000}"/>
    <cellStyle name="40% - Accent3 3 2 2 2 6 3" xfId="15837" xr:uid="{00000000-0005-0000-0000-0000A73B0000}"/>
    <cellStyle name="40% - Accent3 3 2 2 2 7" xfId="15838" xr:uid="{00000000-0005-0000-0000-0000A83B0000}"/>
    <cellStyle name="40% - Accent3 3 2 2 2 8" xfId="15839" xr:uid="{00000000-0005-0000-0000-0000A93B0000}"/>
    <cellStyle name="40% - Accent3 3 2 2 2 9" xfId="15840" xr:uid="{00000000-0005-0000-0000-0000AA3B0000}"/>
    <cellStyle name="40% - Accent3 3 2 2 3" xfId="15841" xr:uid="{00000000-0005-0000-0000-0000AB3B0000}"/>
    <cellStyle name="40% - Accent3 3 2 2 3 2" xfId="15842" xr:uid="{00000000-0005-0000-0000-0000AC3B0000}"/>
    <cellStyle name="40% - Accent3 3 2 2 3 2 2" xfId="15843" xr:uid="{00000000-0005-0000-0000-0000AD3B0000}"/>
    <cellStyle name="40% - Accent3 3 2 2 3 2 2 2" xfId="15844" xr:uid="{00000000-0005-0000-0000-0000AE3B0000}"/>
    <cellStyle name="40% - Accent3 3 2 2 3 2 2 2 2" xfId="15845" xr:uid="{00000000-0005-0000-0000-0000AF3B0000}"/>
    <cellStyle name="40% - Accent3 3 2 2 3 2 2 2 3" xfId="15846" xr:uid="{00000000-0005-0000-0000-0000B03B0000}"/>
    <cellStyle name="40% - Accent3 3 2 2 3 2 2 3" xfId="15847" xr:uid="{00000000-0005-0000-0000-0000B13B0000}"/>
    <cellStyle name="40% - Accent3 3 2 2 3 2 2 4" xfId="15848" xr:uid="{00000000-0005-0000-0000-0000B23B0000}"/>
    <cellStyle name="40% - Accent3 3 2 2 3 2 2 5" xfId="15849" xr:uid="{00000000-0005-0000-0000-0000B33B0000}"/>
    <cellStyle name="40% - Accent3 3 2 2 3 2 2 6" xfId="15850" xr:uid="{00000000-0005-0000-0000-0000B43B0000}"/>
    <cellStyle name="40% - Accent3 3 2 2 3 2 3" xfId="15851" xr:uid="{00000000-0005-0000-0000-0000B53B0000}"/>
    <cellStyle name="40% - Accent3 3 2 2 3 2 3 2" xfId="15852" xr:uid="{00000000-0005-0000-0000-0000B63B0000}"/>
    <cellStyle name="40% - Accent3 3 2 2 3 2 3 3" xfId="15853" xr:uid="{00000000-0005-0000-0000-0000B73B0000}"/>
    <cellStyle name="40% - Accent3 3 2 2 3 2 4" xfId="15854" xr:uid="{00000000-0005-0000-0000-0000B83B0000}"/>
    <cellStyle name="40% - Accent3 3 2 2 3 2 5" xfId="15855" xr:uid="{00000000-0005-0000-0000-0000B93B0000}"/>
    <cellStyle name="40% - Accent3 3 2 2 3 2 6" xfId="15856" xr:uid="{00000000-0005-0000-0000-0000BA3B0000}"/>
    <cellStyle name="40% - Accent3 3 2 2 3 2 7" xfId="15857" xr:uid="{00000000-0005-0000-0000-0000BB3B0000}"/>
    <cellStyle name="40% - Accent3 3 2 2 3 3" xfId="15858" xr:uid="{00000000-0005-0000-0000-0000BC3B0000}"/>
    <cellStyle name="40% - Accent3 3 2 2 3 3 2" xfId="15859" xr:uid="{00000000-0005-0000-0000-0000BD3B0000}"/>
    <cellStyle name="40% - Accent3 3 2 2 3 3 2 2" xfId="15860" xr:uid="{00000000-0005-0000-0000-0000BE3B0000}"/>
    <cellStyle name="40% - Accent3 3 2 2 3 3 2 3" xfId="15861" xr:uid="{00000000-0005-0000-0000-0000BF3B0000}"/>
    <cellStyle name="40% - Accent3 3 2 2 3 3 3" xfId="15862" xr:uid="{00000000-0005-0000-0000-0000C03B0000}"/>
    <cellStyle name="40% - Accent3 3 2 2 3 3 4" xfId="15863" xr:uid="{00000000-0005-0000-0000-0000C13B0000}"/>
    <cellStyle name="40% - Accent3 3 2 2 3 3 5" xfId="15864" xr:uid="{00000000-0005-0000-0000-0000C23B0000}"/>
    <cellStyle name="40% - Accent3 3 2 2 3 3 6" xfId="15865" xr:uid="{00000000-0005-0000-0000-0000C33B0000}"/>
    <cellStyle name="40% - Accent3 3 2 2 3 4" xfId="15866" xr:uid="{00000000-0005-0000-0000-0000C43B0000}"/>
    <cellStyle name="40% - Accent3 3 2 2 3 4 2" xfId="15867" xr:uid="{00000000-0005-0000-0000-0000C53B0000}"/>
    <cellStyle name="40% - Accent3 3 2 2 3 4 2 2" xfId="15868" xr:uid="{00000000-0005-0000-0000-0000C63B0000}"/>
    <cellStyle name="40% - Accent3 3 2 2 3 4 2 3" xfId="15869" xr:uid="{00000000-0005-0000-0000-0000C73B0000}"/>
    <cellStyle name="40% - Accent3 3 2 2 3 4 3" xfId="15870" xr:uid="{00000000-0005-0000-0000-0000C83B0000}"/>
    <cellStyle name="40% - Accent3 3 2 2 3 4 4" xfId="15871" xr:uid="{00000000-0005-0000-0000-0000C93B0000}"/>
    <cellStyle name="40% - Accent3 3 2 2 3 4 5" xfId="15872" xr:uid="{00000000-0005-0000-0000-0000CA3B0000}"/>
    <cellStyle name="40% - Accent3 3 2 2 3 4 6" xfId="15873" xr:uid="{00000000-0005-0000-0000-0000CB3B0000}"/>
    <cellStyle name="40% - Accent3 3 2 2 3 5" xfId="15874" xr:uid="{00000000-0005-0000-0000-0000CC3B0000}"/>
    <cellStyle name="40% - Accent3 3 2 2 3 5 2" xfId="15875" xr:uid="{00000000-0005-0000-0000-0000CD3B0000}"/>
    <cellStyle name="40% - Accent3 3 2 2 3 5 3" xfId="15876" xr:uid="{00000000-0005-0000-0000-0000CE3B0000}"/>
    <cellStyle name="40% - Accent3 3 2 2 3 6" xfId="15877" xr:uid="{00000000-0005-0000-0000-0000CF3B0000}"/>
    <cellStyle name="40% - Accent3 3 2 2 3 7" xfId="15878" xr:uid="{00000000-0005-0000-0000-0000D03B0000}"/>
    <cellStyle name="40% - Accent3 3 2 2 3 8" xfId="15879" xr:uid="{00000000-0005-0000-0000-0000D13B0000}"/>
    <cellStyle name="40% - Accent3 3 2 2 3 9" xfId="15880" xr:uid="{00000000-0005-0000-0000-0000D23B0000}"/>
    <cellStyle name="40% - Accent3 3 2 2 4" xfId="15881" xr:uid="{00000000-0005-0000-0000-0000D33B0000}"/>
    <cellStyle name="40% - Accent3 3 2 2 4 2" xfId="15882" xr:uid="{00000000-0005-0000-0000-0000D43B0000}"/>
    <cellStyle name="40% - Accent3 3 2 2 4 2 2" xfId="15883" xr:uid="{00000000-0005-0000-0000-0000D53B0000}"/>
    <cellStyle name="40% - Accent3 3 2 2 4 2 2 2" xfId="15884" xr:uid="{00000000-0005-0000-0000-0000D63B0000}"/>
    <cellStyle name="40% - Accent3 3 2 2 4 2 2 3" xfId="15885" xr:uid="{00000000-0005-0000-0000-0000D73B0000}"/>
    <cellStyle name="40% - Accent3 3 2 2 4 2 3" xfId="15886" xr:uid="{00000000-0005-0000-0000-0000D83B0000}"/>
    <cellStyle name="40% - Accent3 3 2 2 4 2 4" xfId="15887" xr:uid="{00000000-0005-0000-0000-0000D93B0000}"/>
    <cellStyle name="40% - Accent3 3 2 2 4 2 5" xfId="15888" xr:uid="{00000000-0005-0000-0000-0000DA3B0000}"/>
    <cellStyle name="40% - Accent3 3 2 2 4 2 6" xfId="15889" xr:uid="{00000000-0005-0000-0000-0000DB3B0000}"/>
    <cellStyle name="40% - Accent3 3 2 2 4 3" xfId="15890" xr:uid="{00000000-0005-0000-0000-0000DC3B0000}"/>
    <cellStyle name="40% - Accent3 3 2 2 4 3 2" xfId="15891" xr:uid="{00000000-0005-0000-0000-0000DD3B0000}"/>
    <cellStyle name="40% - Accent3 3 2 2 4 3 3" xfId="15892" xr:uid="{00000000-0005-0000-0000-0000DE3B0000}"/>
    <cellStyle name="40% - Accent3 3 2 2 4 4" xfId="15893" xr:uid="{00000000-0005-0000-0000-0000DF3B0000}"/>
    <cellStyle name="40% - Accent3 3 2 2 4 5" xfId="15894" xr:uid="{00000000-0005-0000-0000-0000E03B0000}"/>
    <cellStyle name="40% - Accent3 3 2 2 4 6" xfId="15895" xr:uid="{00000000-0005-0000-0000-0000E13B0000}"/>
    <cellStyle name="40% - Accent3 3 2 2 4 7" xfId="15896" xr:uid="{00000000-0005-0000-0000-0000E23B0000}"/>
    <cellStyle name="40% - Accent3 3 2 2 5" xfId="15897" xr:uid="{00000000-0005-0000-0000-0000E33B0000}"/>
    <cellStyle name="40% - Accent3 3 2 2 5 2" xfId="15898" xr:uid="{00000000-0005-0000-0000-0000E43B0000}"/>
    <cellStyle name="40% - Accent3 3 2 2 5 2 2" xfId="15899" xr:uid="{00000000-0005-0000-0000-0000E53B0000}"/>
    <cellStyle name="40% - Accent3 3 2 2 5 2 3" xfId="15900" xr:uid="{00000000-0005-0000-0000-0000E63B0000}"/>
    <cellStyle name="40% - Accent3 3 2 2 5 3" xfId="15901" xr:uid="{00000000-0005-0000-0000-0000E73B0000}"/>
    <cellStyle name="40% - Accent3 3 2 2 5 4" xfId="15902" xr:uid="{00000000-0005-0000-0000-0000E83B0000}"/>
    <cellStyle name="40% - Accent3 3 2 2 5 5" xfId="15903" xr:uid="{00000000-0005-0000-0000-0000E93B0000}"/>
    <cellStyle name="40% - Accent3 3 2 2 5 6" xfId="15904" xr:uid="{00000000-0005-0000-0000-0000EA3B0000}"/>
    <cellStyle name="40% - Accent3 3 2 2 6" xfId="15905" xr:uid="{00000000-0005-0000-0000-0000EB3B0000}"/>
    <cellStyle name="40% - Accent3 3 2 2 6 2" xfId="15906" xr:uid="{00000000-0005-0000-0000-0000EC3B0000}"/>
    <cellStyle name="40% - Accent3 3 2 2 6 2 2" xfId="15907" xr:uid="{00000000-0005-0000-0000-0000ED3B0000}"/>
    <cellStyle name="40% - Accent3 3 2 2 6 2 3" xfId="15908" xr:uid="{00000000-0005-0000-0000-0000EE3B0000}"/>
    <cellStyle name="40% - Accent3 3 2 2 6 3" xfId="15909" xr:uid="{00000000-0005-0000-0000-0000EF3B0000}"/>
    <cellStyle name="40% - Accent3 3 2 2 6 4" xfId="15910" xr:uid="{00000000-0005-0000-0000-0000F03B0000}"/>
    <cellStyle name="40% - Accent3 3 2 2 6 5" xfId="15911" xr:uid="{00000000-0005-0000-0000-0000F13B0000}"/>
    <cellStyle name="40% - Accent3 3 2 2 6 6" xfId="15912" xr:uid="{00000000-0005-0000-0000-0000F23B0000}"/>
    <cellStyle name="40% - Accent3 3 2 2 7" xfId="15913" xr:uid="{00000000-0005-0000-0000-0000F33B0000}"/>
    <cellStyle name="40% - Accent3 3 2 2 7 2" xfId="15914" xr:uid="{00000000-0005-0000-0000-0000F43B0000}"/>
    <cellStyle name="40% - Accent3 3 2 2 7 2 2" xfId="15915" xr:uid="{00000000-0005-0000-0000-0000F53B0000}"/>
    <cellStyle name="40% - Accent3 3 2 2 7 2 3" xfId="15916" xr:uid="{00000000-0005-0000-0000-0000F63B0000}"/>
    <cellStyle name="40% - Accent3 3 2 2 7 3" xfId="15917" xr:uid="{00000000-0005-0000-0000-0000F73B0000}"/>
    <cellStyle name="40% - Accent3 3 2 2 7 4" xfId="15918" xr:uid="{00000000-0005-0000-0000-0000F83B0000}"/>
    <cellStyle name="40% - Accent3 3 2 2 7 5" xfId="15919" xr:uid="{00000000-0005-0000-0000-0000F93B0000}"/>
    <cellStyle name="40% - Accent3 3 2 2 7 6" xfId="15920" xr:uid="{00000000-0005-0000-0000-0000FA3B0000}"/>
    <cellStyle name="40% - Accent3 3 2 2 8" xfId="15921" xr:uid="{00000000-0005-0000-0000-0000FB3B0000}"/>
    <cellStyle name="40% - Accent3 3 2 2 8 2" xfId="15922" xr:uid="{00000000-0005-0000-0000-0000FC3B0000}"/>
    <cellStyle name="40% - Accent3 3 2 2 8 2 2" xfId="15923" xr:uid="{00000000-0005-0000-0000-0000FD3B0000}"/>
    <cellStyle name="40% - Accent3 3 2 2 8 2 3" xfId="15924" xr:uid="{00000000-0005-0000-0000-0000FE3B0000}"/>
    <cellStyle name="40% - Accent3 3 2 2 8 3" xfId="15925" xr:uid="{00000000-0005-0000-0000-0000FF3B0000}"/>
    <cellStyle name="40% - Accent3 3 2 2 8 4" xfId="15926" xr:uid="{00000000-0005-0000-0000-0000003C0000}"/>
    <cellStyle name="40% - Accent3 3 2 2 8 5" xfId="15927" xr:uid="{00000000-0005-0000-0000-0000013C0000}"/>
    <cellStyle name="40% - Accent3 3 2 2 8 6" xfId="15928" xr:uid="{00000000-0005-0000-0000-0000023C0000}"/>
    <cellStyle name="40% - Accent3 3 2 2 9" xfId="15929" xr:uid="{00000000-0005-0000-0000-0000033C0000}"/>
    <cellStyle name="40% - Accent3 3 2 2 9 2" xfId="15930" xr:uid="{00000000-0005-0000-0000-0000043C0000}"/>
    <cellStyle name="40% - Accent3 3 2 2 9 3" xfId="15931" xr:uid="{00000000-0005-0000-0000-0000053C0000}"/>
    <cellStyle name="40% - Accent3 3 2 3" xfId="15932" xr:uid="{00000000-0005-0000-0000-0000063C0000}"/>
    <cellStyle name="40% - Accent3 3 2 3 10" xfId="15933" xr:uid="{00000000-0005-0000-0000-0000073C0000}"/>
    <cellStyle name="40% - Accent3 3 2 3 2" xfId="15934" xr:uid="{00000000-0005-0000-0000-0000083C0000}"/>
    <cellStyle name="40% - Accent3 3 2 3 2 2" xfId="15935" xr:uid="{00000000-0005-0000-0000-0000093C0000}"/>
    <cellStyle name="40% - Accent3 3 2 3 2 2 2" xfId="15936" xr:uid="{00000000-0005-0000-0000-00000A3C0000}"/>
    <cellStyle name="40% - Accent3 3 2 3 2 2 2 2" xfId="15937" xr:uid="{00000000-0005-0000-0000-00000B3C0000}"/>
    <cellStyle name="40% - Accent3 3 2 3 2 2 2 3" xfId="15938" xr:uid="{00000000-0005-0000-0000-00000C3C0000}"/>
    <cellStyle name="40% - Accent3 3 2 3 2 2 3" xfId="15939" xr:uid="{00000000-0005-0000-0000-00000D3C0000}"/>
    <cellStyle name="40% - Accent3 3 2 3 2 2 4" xfId="15940" xr:uid="{00000000-0005-0000-0000-00000E3C0000}"/>
    <cellStyle name="40% - Accent3 3 2 3 2 2 5" xfId="15941" xr:uid="{00000000-0005-0000-0000-00000F3C0000}"/>
    <cellStyle name="40% - Accent3 3 2 3 2 2 6" xfId="15942" xr:uid="{00000000-0005-0000-0000-0000103C0000}"/>
    <cellStyle name="40% - Accent3 3 2 3 2 3" xfId="15943" xr:uid="{00000000-0005-0000-0000-0000113C0000}"/>
    <cellStyle name="40% - Accent3 3 2 3 2 3 2" xfId="15944" xr:uid="{00000000-0005-0000-0000-0000123C0000}"/>
    <cellStyle name="40% - Accent3 3 2 3 2 3 2 2" xfId="15945" xr:uid="{00000000-0005-0000-0000-0000133C0000}"/>
    <cellStyle name="40% - Accent3 3 2 3 2 3 2 3" xfId="15946" xr:uid="{00000000-0005-0000-0000-0000143C0000}"/>
    <cellStyle name="40% - Accent3 3 2 3 2 3 3" xfId="15947" xr:uid="{00000000-0005-0000-0000-0000153C0000}"/>
    <cellStyle name="40% - Accent3 3 2 3 2 3 4" xfId="15948" xr:uid="{00000000-0005-0000-0000-0000163C0000}"/>
    <cellStyle name="40% - Accent3 3 2 3 2 3 5" xfId="15949" xr:uid="{00000000-0005-0000-0000-0000173C0000}"/>
    <cellStyle name="40% - Accent3 3 2 3 2 3 6" xfId="15950" xr:uid="{00000000-0005-0000-0000-0000183C0000}"/>
    <cellStyle name="40% - Accent3 3 2 3 2 4" xfId="15951" xr:uid="{00000000-0005-0000-0000-0000193C0000}"/>
    <cellStyle name="40% - Accent3 3 2 3 2 4 2" xfId="15952" xr:uid="{00000000-0005-0000-0000-00001A3C0000}"/>
    <cellStyle name="40% - Accent3 3 2 3 2 4 3" xfId="15953" xr:uid="{00000000-0005-0000-0000-00001B3C0000}"/>
    <cellStyle name="40% - Accent3 3 2 3 2 5" xfId="15954" xr:uid="{00000000-0005-0000-0000-00001C3C0000}"/>
    <cellStyle name="40% - Accent3 3 2 3 2 6" xfId="15955" xr:uid="{00000000-0005-0000-0000-00001D3C0000}"/>
    <cellStyle name="40% - Accent3 3 2 3 2 7" xfId="15956" xr:uid="{00000000-0005-0000-0000-00001E3C0000}"/>
    <cellStyle name="40% - Accent3 3 2 3 2 8" xfId="15957" xr:uid="{00000000-0005-0000-0000-00001F3C0000}"/>
    <cellStyle name="40% - Accent3 3 2 3 3" xfId="15958" xr:uid="{00000000-0005-0000-0000-0000203C0000}"/>
    <cellStyle name="40% - Accent3 3 2 3 3 2" xfId="15959" xr:uid="{00000000-0005-0000-0000-0000213C0000}"/>
    <cellStyle name="40% - Accent3 3 2 3 3 2 2" xfId="15960" xr:uid="{00000000-0005-0000-0000-0000223C0000}"/>
    <cellStyle name="40% - Accent3 3 2 3 3 2 2 2" xfId="15961" xr:uid="{00000000-0005-0000-0000-0000233C0000}"/>
    <cellStyle name="40% - Accent3 3 2 3 3 2 2 3" xfId="15962" xr:uid="{00000000-0005-0000-0000-0000243C0000}"/>
    <cellStyle name="40% - Accent3 3 2 3 3 2 3" xfId="15963" xr:uid="{00000000-0005-0000-0000-0000253C0000}"/>
    <cellStyle name="40% - Accent3 3 2 3 3 2 4" xfId="15964" xr:uid="{00000000-0005-0000-0000-0000263C0000}"/>
    <cellStyle name="40% - Accent3 3 2 3 3 2 5" xfId="15965" xr:uid="{00000000-0005-0000-0000-0000273C0000}"/>
    <cellStyle name="40% - Accent3 3 2 3 3 2 6" xfId="15966" xr:uid="{00000000-0005-0000-0000-0000283C0000}"/>
    <cellStyle name="40% - Accent3 3 2 3 3 3" xfId="15967" xr:uid="{00000000-0005-0000-0000-0000293C0000}"/>
    <cellStyle name="40% - Accent3 3 2 3 3 3 2" xfId="15968" xr:uid="{00000000-0005-0000-0000-00002A3C0000}"/>
    <cellStyle name="40% - Accent3 3 2 3 3 3 3" xfId="15969" xr:uid="{00000000-0005-0000-0000-00002B3C0000}"/>
    <cellStyle name="40% - Accent3 3 2 3 3 4" xfId="15970" xr:uid="{00000000-0005-0000-0000-00002C3C0000}"/>
    <cellStyle name="40% - Accent3 3 2 3 3 5" xfId="15971" xr:uid="{00000000-0005-0000-0000-00002D3C0000}"/>
    <cellStyle name="40% - Accent3 3 2 3 3 6" xfId="15972" xr:uid="{00000000-0005-0000-0000-00002E3C0000}"/>
    <cellStyle name="40% - Accent3 3 2 3 3 7" xfId="15973" xr:uid="{00000000-0005-0000-0000-00002F3C0000}"/>
    <cellStyle name="40% - Accent3 3 2 3 4" xfId="15974" xr:uid="{00000000-0005-0000-0000-0000303C0000}"/>
    <cellStyle name="40% - Accent3 3 2 3 4 2" xfId="15975" xr:uid="{00000000-0005-0000-0000-0000313C0000}"/>
    <cellStyle name="40% - Accent3 3 2 3 4 2 2" xfId="15976" xr:uid="{00000000-0005-0000-0000-0000323C0000}"/>
    <cellStyle name="40% - Accent3 3 2 3 4 2 3" xfId="15977" xr:uid="{00000000-0005-0000-0000-0000333C0000}"/>
    <cellStyle name="40% - Accent3 3 2 3 4 3" xfId="15978" xr:uid="{00000000-0005-0000-0000-0000343C0000}"/>
    <cellStyle name="40% - Accent3 3 2 3 4 4" xfId="15979" xr:uid="{00000000-0005-0000-0000-0000353C0000}"/>
    <cellStyle name="40% - Accent3 3 2 3 4 5" xfId="15980" xr:uid="{00000000-0005-0000-0000-0000363C0000}"/>
    <cellStyle name="40% - Accent3 3 2 3 4 6" xfId="15981" xr:uid="{00000000-0005-0000-0000-0000373C0000}"/>
    <cellStyle name="40% - Accent3 3 2 3 5" xfId="15982" xr:uid="{00000000-0005-0000-0000-0000383C0000}"/>
    <cellStyle name="40% - Accent3 3 2 3 5 2" xfId="15983" xr:uid="{00000000-0005-0000-0000-0000393C0000}"/>
    <cellStyle name="40% - Accent3 3 2 3 5 2 2" xfId="15984" xr:uid="{00000000-0005-0000-0000-00003A3C0000}"/>
    <cellStyle name="40% - Accent3 3 2 3 5 2 3" xfId="15985" xr:uid="{00000000-0005-0000-0000-00003B3C0000}"/>
    <cellStyle name="40% - Accent3 3 2 3 5 3" xfId="15986" xr:uid="{00000000-0005-0000-0000-00003C3C0000}"/>
    <cellStyle name="40% - Accent3 3 2 3 5 4" xfId="15987" xr:uid="{00000000-0005-0000-0000-00003D3C0000}"/>
    <cellStyle name="40% - Accent3 3 2 3 5 5" xfId="15988" xr:uid="{00000000-0005-0000-0000-00003E3C0000}"/>
    <cellStyle name="40% - Accent3 3 2 3 5 6" xfId="15989" xr:uid="{00000000-0005-0000-0000-00003F3C0000}"/>
    <cellStyle name="40% - Accent3 3 2 3 6" xfId="15990" xr:uid="{00000000-0005-0000-0000-0000403C0000}"/>
    <cellStyle name="40% - Accent3 3 2 3 6 2" xfId="15991" xr:uid="{00000000-0005-0000-0000-0000413C0000}"/>
    <cellStyle name="40% - Accent3 3 2 3 6 3" xfId="15992" xr:uid="{00000000-0005-0000-0000-0000423C0000}"/>
    <cellStyle name="40% - Accent3 3 2 3 7" xfId="15993" xr:uid="{00000000-0005-0000-0000-0000433C0000}"/>
    <cellStyle name="40% - Accent3 3 2 3 8" xfId="15994" xr:uid="{00000000-0005-0000-0000-0000443C0000}"/>
    <cellStyle name="40% - Accent3 3 2 3 9" xfId="15995" xr:uid="{00000000-0005-0000-0000-0000453C0000}"/>
    <cellStyle name="40% - Accent3 3 2 4" xfId="15996" xr:uid="{00000000-0005-0000-0000-0000463C0000}"/>
    <cellStyle name="40% - Accent3 3 2 4 2" xfId="15997" xr:uid="{00000000-0005-0000-0000-0000473C0000}"/>
    <cellStyle name="40% - Accent3 3 2 4 2 2" xfId="15998" xr:uid="{00000000-0005-0000-0000-0000483C0000}"/>
    <cellStyle name="40% - Accent3 3 2 4 2 2 2" xfId="15999" xr:uid="{00000000-0005-0000-0000-0000493C0000}"/>
    <cellStyle name="40% - Accent3 3 2 4 2 2 2 2" xfId="16000" xr:uid="{00000000-0005-0000-0000-00004A3C0000}"/>
    <cellStyle name="40% - Accent3 3 2 4 2 2 2 3" xfId="16001" xr:uid="{00000000-0005-0000-0000-00004B3C0000}"/>
    <cellStyle name="40% - Accent3 3 2 4 2 2 3" xfId="16002" xr:uid="{00000000-0005-0000-0000-00004C3C0000}"/>
    <cellStyle name="40% - Accent3 3 2 4 2 2 4" xfId="16003" xr:uid="{00000000-0005-0000-0000-00004D3C0000}"/>
    <cellStyle name="40% - Accent3 3 2 4 2 2 5" xfId="16004" xr:uid="{00000000-0005-0000-0000-00004E3C0000}"/>
    <cellStyle name="40% - Accent3 3 2 4 2 2 6" xfId="16005" xr:uid="{00000000-0005-0000-0000-00004F3C0000}"/>
    <cellStyle name="40% - Accent3 3 2 4 2 3" xfId="16006" xr:uid="{00000000-0005-0000-0000-0000503C0000}"/>
    <cellStyle name="40% - Accent3 3 2 4 2 3 2" xfId="16007" xr:uid="{00000000-0005-0000-0000-0000513C0000}"/>
    <cellStyle name="40% - Accent3 3 2 4 2 3 3" xfId="16008" xr:uid="{00000000-0005-0000-0000-0000523C0000}"/>
    <cellStyle name="40% - Accent3 3 2 4 2 4" xfId="16009" xr:uid="{00000000-0005-0000-0000-0000533C0000}"/>
    <cellStyle name="40% - Accent3 3 2 4 2 5" xfId="16010" xr:uid="{00000000-0005-0000-0000-0000543C0000}"/>
    <cellStyle name="40% - Accent3 3 2 4 2 6" xfId="16011" xr:uid="{00000000-0005-0000-0000-0000553C0000}"/>
    <cellStyle name="40% - Accent3 3 2 4 2 7" xfId="16012" xr:uid="{00000000-0005-0000-0000-0000563C0000}"/>
    <cellStyle name="40% - Accent3 3 2 4 3" xfId="16013" xr:uid="{00000000-0005-0000-0000-0000573C0000}"/>
    <cellStyle name="40% - Accent3 3 2 4 3 2" xfId="16014" xr:uid="{00000000-0005-0000-0000-0000583C0000}"/>
    <cellStyle name="40% - Accent3 3 2 4 3 2 2" xfId="16015" xr:uid="{00000000-0005-0000-0000-0000593C0000}"/>
    <cellStyle name="40% - Accent3 3 2 4 3 2 3" xfId="16016" xr:uid="{00000000-0005-0000-0000-00005A3C0000}"/>
    <cellStyle name="40% - Accent3 3 2 4 3 3" xfId="16017" xr:uid="{00000000-0005-0000-0000-00005B3C0000}"/>
    <cellStyle name="40% - Accent3 3 2 4 3 4" xfId="16018" xr:uid="{00000000-0005-0000-0000-00005C3C0000}"/>
    <cellStyle name="40% - Accent3 3 2 4 3 5" xfId="16019" xr:uid="{00000000-0005-0000-0000-00005D3C0000}"/>
    <cellStyle name="40% - Accent3 3 2 4 3 6" xfId="16020" xr:uid="{00000000-0005-0000-0000-00005E3C0000}"/>
    <cellStyle name="40% - Accent3 3 2 4 4" xfId="16021" xr:uid="{00000000-0005-0000-0000-00005F3C0000}"/>
    <cellStyle name="40% - Accent3 3 2 4 4 2" xfId="16022" xr:uid="{00000000-0005-0000-0000-0000603C0000}"/>
    <cellStyle name="40% - Accent3 3 2 4 4 2 2" xfId="16023" xr:uid="{00000000-0005-0000-0000-0000613C0000}"/>
    <cellStyle name="40% - Accent3 3 2 4 4 2 3" xfId="16024" xr:uid="{00000000-0005-0000-0000-0000623C0000}"/>
    <cellStyle name="40% - Accent3 3 2 4 4 3" xfId="16025" xr:uid="{00000000-0005-0000-0000-0000633C0000}"/>
    <cellStyle name="40% - Accent3 3 2 4 4 4" xfId="16026" xr:uid="{00000000-0005-0000-0000-0000643C0000}"/>
    <cellStyle name="40% - Accent3 3 2 4 4 5" xfId="16027" xr:uid="{00000000-0005-0000-0000-0000653C0000}"/>
    <cellStyle name="40% - Accent3 3 2 4 4 6" xfId="16028" xr:uid="{00000000-0005-0000-0000-0000663C0000}"/>
    <cellStyle name="40% - Accent3 3 2 4 5" xfId="16029" xr:uid="{00000000-0005-0000-0000-0000673C0000}"/>
    <cellStyle name="40% - Accent3 3 2 4 5 2" xfId="16030" xr:uid="{00000000-0005-0000-0000-0000683C0000}"/>
    <cellStyle name="40% - Accent3 3 2 4 5 3" xfId="16031" xr:uid="{00000000-0005-0000-0000-0000693C0000}"/>
    <cellStyle name="40% - Accent3 3 2 4 6" xfId="16032" xr:uid="{00000000-0005-0000-0000-00006A3C0000}"/>
    <cellStyle name="40% - Accent3 3 2 4 7" xfId="16033" xr:uid="{00000000-0005-0000-0000-00006B3C0000}"/>
    <cellStyle name="40% - Accent3 3 2 4 8" xfId="16034" xr:uid="{00000000-0005-0000-0000-00006C3C0000}"/>
    <cellStyle name="40% - Accent3 3 2 4 9" xfId="16035" xr:uid="{00000000-0005-0000-0000-00006D3C0000}"/>
    <cellStyle name="40% - Accent3 3 2 5" xfId="16036" xr:uid="{00000000-0005-0000-0000-00006E3C0000}"/>
    <cellStyle name="40% - Accent3 3 2 5 2" xfId="16037" xr:uid="{00000000-0005-0000-0000-00006F3C0000}"/>
    <cellStyle name="40% - Accent3 3 2 5 2 2" xfId="16038" xr:uid="{00000000-0005-0000-0000-0000703C0000}"/>
    <cellStyle name="40% - Accent3 3 2 5 2 2 2" xfId="16039" xr:uid="{00000000-0005-0000-0000-0000713C0000}"/>
    <cellStyle name="40% - Accent3 3 2 5 2 2 3" xfId="16040" xr:uid="{00000000-0005-0000-0000-0000723C0000}"/>
    <cellStyle name="40% - Accent3 3 2 5 2 3" xfId="16041" xr:uid="{00000000-0005-0000-0000-0000733C0000}"/>
    <cellStyle name="40% - Accent3 3 2 5 2 4" xfId="16042" xr:uid="{00000000-0005-0000-0000-0000743C0000}"/>
    <cellStyle name="40% - Accent3 3 2 5 2 5" xfId="16043" xr:uid="{00000000-0005-0000-0000-0000753C0000}"/>
    <cellStyle name="40% - Accent3 3 2 5 2 6" xfId="16044" xr:uid="{00000000-0005-0000-0000-0000763C0000}"/>
    <cellStyle name="40% - Accent3 3 2 5 3" xfId="16045" xr:uid="{00000000-0005-0000-0000-0000773C0000}"/>
    <cellStyle name="40% - Accent3 3 2 5 3 2" xfId="16046" xr:uid="{00000000-0005-0000-0000-0000783C0000}"/>
    <cellStyle name="40% - Accent3 3 2 5 3 3" xfId="16047" xr:uid="{00000000-0005-0000-0000-0000793C0000}"/>
    <cellStyle name="40% - Accent3 3 2 5 4" xfId="16048" xr:uid="{00000000-0005-0000-0000-00007A3C0000}"/>
    <cellStyle name="40% - Accent3 3 2 5 5" xfId="16049" xr:uid="{00000000-0005-0000-0000-00007B3C0000}"/>
    <cellStyle name="40% - Accent3 3 2 5 6" xfId="16050" xr:uid="{00000000-0005-0000-0000-00007C3C0000}"/>
    <cellStyle name="40% - Accent3 3 2 5 7" xfId="16051" xr:uid="{00000000-0005-0000-0000-00007D3C0000}"/>
    <cellStyle name="40% - Accent3 3 2 6" xfId="16052" xr:uid="{00000000-0005-0000-0000-00007E3C0000}"/>
    <cellStyle name="40% - Accent3 3 2 6 2" xfId="16053" xr:uid="{00000000-0005-0000-0000-00007F3C0000}"/>
    <cellStyle name="40% - Accent3 3 2 6 2 2" xfId="16054" xr:uid="{00000000-0005-0000-0000-0000803C0000}"/>
    <cellStyle name="40% - Accent3 3 2 6 2 3" xfId="16055" xr:uid="{00000000-0005-0000-0000-0000813C0000}"/>
    <cellStyle name="40% - Accent3 3 2 6 3" xfId="16056" xr:uid="{00000000-0005-0000-0000-0000823C0000}"/>
    <cellStyle name="40% - Accent3 3 2 6 4" xfId="16057" xr:uid="{00000000-0005-0000-0000-0000833C0000}"/>
    <cellStyle name="40% - Accent3 3 2 6 5" xfId="16058" xr:uid="{00000000-0005-0000-0000-0000843C0000}"/>
    <cellStyle name="40% - Accent3 3 2 6 6" xfId="16059" xr:uid="{00000000-0005-0000-0000-0000853C0000}"/>
    <cellStyle name="40% - Accent3 3 2 7" xfId="16060" xr:uid="{00000000-0005-0000-0000-0000863C0000}"/>
    <cellStyle name="40% - Accent3 3 2 7 2" xfId="16061" xr:uid="{00000000-0005-0000-0000-0000873C0000}"/>
    <cellStyle name="40% - Accent3 3 2 7 2 2" xfId="16062" xr:uid="{00000000-0005-0000-0000-0000883C0000}"/>
    <cellStyle name="40% - Accent3 3 2 7 2 3" xfId="16063" xr:uid="{00000000-0005-0000-0000-0000893C0000}"/>
    <cellStyle name="40% - Accent3 3 2 7 3" xfId="16064" xr:uid="{00000000-0005-0000-0000-00008A3C0000}"/>
    <cellStyle name="40% - Accent3 3 2 7 4" xfId="16065" xr:uid="{00000000-0005-0000-0000-00008B3C0000}"/>
    <cellStyle name="40% - Accent3 3 2 7 5" xfId="16066" xr:uid="{00000000-0005-0000-0000-00008C3C0000}"/>
    <cellStyle name="40% - Accent3 3 2 7 6" xfId="16067" xr:uid="{00000000-0005-0000-0000-00008D3C0000}"/>
    <cellStyle name="40% - Accent3 3 2 8" xfId="16068" xr:uid="{00000000-0005-0000-0000-00008E3C0000}"/>
    <cellStyle name="40% - Accent3 3 2 8 2" xfId="16069" xr:uid="{00000000-0005-0000-0000-00008F3C0000}"/>
    <cellStyle name="40% - Accent3 3 2 8 2 2" xfId="16070" xr:uid="{00000000-0005-0000-0000-0000903C0000}"/>
    <cellStyle name="40% - Accent3 3 2 8 2 3" xfId="16071" xr:uid="{00000000-0005-0000-0000-0000913C0000}"/>
    <cellStyle name="40% - Accent3 3 2 8 3" xfId="16072" xr:uid="{00000000-0005-0000-0000-0000923C0000}"/>
    <cellStyle name="40% - Accent3 3 2 8 4" xfId="16073" xr:uid="{00000000-0005-0000-0000-0000933C0000}"/>
    <cellStyle name="40% - Accent3 3 2 8 5" xfId="16074" xr:uid="{00000000-0005-0000-0000-0000943C0000}"/>
    <cellStyle name="40% - Accent3 3 2 8 6" xfId="16075" xr:uid="{00000000-0005-0000-0000-0000953C0000}"/>
    <cellStyle name="40% - Accent3 3 2 9" xfId="16076" xr:uid="{00000000-0005-0000-0000-0000963C0000}"/>
    <cellStyle name="40% - Accent3 3 2 9 2" xfId="16077" xr:uid="{00000000-0005-0000-0000-0000973C0000}"/>
    <cellStyle name="40% - Accent3 3 2 9 2 2" xfId="16078" xr:uid="{00000000-0005-0000-0000-0000983C0000}"/>
    <cellStyle name="40% - Accent3 3 2 9 2 3" xfId="16079" xr:uid="{00000000-0005-0000-0000-0000993C0000}"/>
    <cellStyle name="40% - Accent3 3 2 9 3" xfId="16080" xr:uid="{00000000-0005-0000-0000-00009A3C0000}"/>
    <cellStyle name="40% - Accent3 3 2 9 4" xfId="16081" xr:uid="{00000000-0005-0000-0000-00009B3C0000}"/>
    <cellStyle name="40% - Accent3 3 2 9 5" xfId="16082" xr:uid="{00000000-0005-0000-0000-00009C3C0000}"/>
    <cellStyle name="40% - Accent3 3 2 9 6" xfId="16083" xr:uid="{00000000-0005-0000-0000-00009D3C0000}"/>
    <cellStyle name="40% - Accent3 3 3" xfId="16084" xr:uid="{00000000-0005-0000-0000-00009E3C0000}"/>
    <cellStyle name="40% - Accent3 3 3 10" xfId="16085" xr:uid="{00000000-0005-0000-0000-00009F3C0000}"/>
    <cellStyle name="40% - Accent3 3 3 10 2" xfId="16086" xr:uid="{00000000-0005-0000-0000-0000A03C0000}"/>
    <cellStyle name="40% - Accent3 3 3 10 3" xfId="16087" xr:uid="{00000000-0005-0000-0000-0000A13C0000}"/>
    <cellStyle name="40% - Accent3 3 3 11" xfId="16088" xr:uid="{00000000-0005-0000-0000-0000A23C0000}"/>
    <cellStyle name="40% - Accent3 3 3 12" xfId="16089" xr:uid="{00000000-0005-0000-0000-0000A33C0000}"/>
    <cellStyle name="40% - Accent3 3 3 13" xfId="16090" xr:uid="{00000000-0005-0000-0000-0000A43C0000}"/>
    <cellStyle name="40% - Accent3 3 3 14" xfId="16091" xr:uid="{00000000-0005-0000-0000-0000A53C0000}"/>
    <cellStyle name="40% - Accent3 3 3 2" xfId="16092" xr:uid="{00000000-0005-0000-0000-0000A63C0000}"/>
    <cellStyle name="40% - Accent3 3 3 2 10" xfId="16093" xr:uid="{00000000-0005-0000-0000-0000A73C0000}"/>
    <cellStyle name="40% - Accent3 3 3 2 11" xfId="16094" xr:uid="{00000000-0005-0000-0000-0000A83C0000}"/>
    <cellStyle name="40% - Accent3 3 3 2 12" xfId="16095" xr:uid="{00000000-0005-0000-0000-0000A93C0000}"/>
    <cellStyle name="40% - Accent3 3 3 2 13" xfId="16096" xr:uid="{00000000-0005-0000-0000-0000AA3C0000}"/>
    <cellStyle name="40% - Accent3 3 3 2 2" xfId="16097" xr:uid="{00000000-0005-0000-0000-0000AB3C0000}"/>
    <cellStyle name="40% - Accent3 3 3 2 2 10" xfId="16098" xr:uid="{00000000-0005-0000-0000-0000AC3C0000}"/>
    <cellStyle name="40% - Accent3 3 3 2 2 2" xfId="16099" xr:uid="{00000000-0005-0000-0000-0000AD3C0000}"/>
    <cellStyle name="40% - Accent3 3 3 2 2 2 2" xfId="16100" xr:uid="{00000000-0005-0000-0000-0000AE3C0000}"/>
    <cellStyle name="40% - Accent3 3 3 2 2 2 2 2" xfId="16101" xr:uid="{00000000-0005-0000-0000-0000AF3C0000}"/>
    <cellStyle name="40% - Accent3 3 3 2 2 2 2 2 2" xfId="16102" xr:uid="{00000000-0005-0000-0000-0000B03C0000}"/>
    <cellStyle name="40% - Accent3 3 3 2 2 2 2 2 3" xfId="16103" xr:uid="{00000000-0005-0000-0000-0000B13C0000}"/>
    <cellStyle name="40% - Accent3 3 3 2 2 2 2 3" xfId="16104" xr:uid="{00000000-0005-0000-0000-0000B23C0000}"/>
    <cellStyle name="40% - Accent3 3 3 2 2 2 2 4" xfId="16105" xr:uid="{00000000-0005-0000-0000-0000B33C0000}"/>
    <cellStyle name="40% - Accent3 3 3 2 2 2 2 5" xfId="16106" xr:uid="{00000000-0005-0000-0000-0000B43C0000}"/>
    <cellStyle name="40% - Accent3 3 3 2 2 2 2 6" xfId="16107" xr:uid="{00000000-0005-0000-0000-0000B53C0000}"/>
    <cellStyle name="40% - Accent3 3 3 2 2 2 3" xfId="16108" xr:uid="{00000000-0005-0000-0000-0000B63C0000}"/>
    <cellStyle name="40% - Accent3 3 3 2 2 2 3 2" xfId="16109" xr:uid="{00000000-0005-0000-0000-0000B73C0000}"/>
    <cellStyle name="40% - Accent3 3 3 2 2 2 3 2 2" xfId="16110" xr:uid="{00000000-0005-0000-0000-0000B83C0000}"/>
    <cellStyle name="40% - Accent3 3 3 2 2 2 3 2 3" xfId="16111" xr:uid="{00000000-0005-0000-0000-0000B93C0000}"/>
    <cellStyle name="40% - Accent3 3 3 2 2 2 3 3" xfId="16112" xr:uid="{00000000-0005-0000-0000-0000BA3C0000}"/>
    <cellStyle name="40% - Accent3 3 3 2 2 2 3 4" xfId="16113" xr:uid="{00000000-0005-0000-0000-0000BB3C0000}"/>
    <cellStyle name="40% - Accent3 3 3 2 2 2 3 5" xfId="16114" xr:uid="{00000000-0005-0000-0000-0000BC3C0000}"/>
    <cellStyle name="40% - Accent3 3 3 2 2 2 3 6" xfId="16115" xr:uid="{00000000-0005-0000-0000-0000BD3C0000}"/>
    <cellStyle name="40% - Accent3 3 3 2 2 2 4" xfId="16116" xr:uid="{00000000-0005-0000-0000-0000BE3C0000}"/>
    <cellStyle name="40% - Accent3 3 3 2 2 2 4 2" xfId="16117" xr:uid="{00000000-0005-0000-0000-0000BF3C0000}"/>
    <cellStyle name="40% - Accent3 3 3 2 2 2 4 3" xfId="16118" xr:uid="{00000000-0005-0000-0000-0000C03C0000}"/>
    <cellStyle name="40% - Accent3 3 3 2 2 2 5" xfId="16119" xr:uid="{00000000-0005-0000-0000-0000C13C0000}"/>
    <cellStyle name="40% - Accent3 3 3 2 2 2 6" xfId="16120" xr:uid="{00000000-0005-0000-0000-0000C23C0000}"/>
    <cellStyle name="40% - Accent3 3 3 2 2 2 7" xfId="16121" xr:uid="{00000000-0005-0000-0000-0000C33C0000}"/>
    <cellStyle name="40% - Accent3 3 3 2 2 2 8" xfId="16122" xr:uid="{00000000-0005-0000-0000-0000C43C0000}"/>
    <cellStyle name="40% - Accent3 3 3 2 2 3" xfId="16123" xr:uid="{00000000-0005-0000-0000-0000C53C0000}"/>
    <cellStyle name="40% - Accent3 3 3 2 2 3 2" xfId="16124" xr:uid="{00000000-0005-0000-0000-0000C63C0000}"/>
    <cellStyle name="40% - Accent3 3 3 2 2 3 2 2" xfId="16125" xr:uid="{00000000-0005-0000-0000-0000C73C0000}"/>
    <cellStyle name="40% - Accent3 3 3 2 2 3 2 2 2" xfId="16126" xr:uid="{00000000-0005-0000-0000-0000C83C0000}"/>
    <cellStyle name="40% - Accent3 3 3 2 2 3 2 2 3" xfId="16127" xr:uid="{00000000-0005-0000-0000-0000C93C0000}"/>
    <cellStyle name="40% - Accent3 3 3 2 2 3 2 3" xfId="16128" xr:uid="{00000000-0005-0000-0000-0000CA3C0000}"/>
    <cellStyle name="40% - Accent3 3 3 2 2 3 2 4" xfId="16129" xr:uid="{00000000-0005-0000-0000-0000CB3C0000}"/>
    <cellStyle name="40% - Accent3 3 3 2 2 3 2 5" xfId="16130" xr:uid="{00000000-0005-0000-0000-0000CC3C0000}"/>
    <cellStyle name="40% - Accent3 3 3 2 2 3 2 6" xfId="16131" xr:uid="{00000000-0005-0000-0000-0000CD3C0000}"/>
    <cellStyle name="40% - Accent3 3 3 2 2 3 3" xfId="16132" xr:uid="{00000000-0005-0000-0000-0000CE3C0000}"/>
    <cellStyle name="40% - Accent3 3 3 2 2 3 3 2" xfId="16133" xr:uid="{00000000-0005-0000-0000-0000CF3C0000}"/>
    <cellStyle name="40% - Accent3 3 3 2 2 3 3 3" xfId="16134" xr:uid="{00000000-0005-0000-0000-0000D03C0000}"/>
    <cellStyle name="40% - Accent3 3 3 2 2 3 4" xfId="16135" xr:uid="{00000000-0005-0000-0000-0000D13C0000}"/>
    <cellStyle name="40% - Accent3 3 3 2 2 3 5" xfId="16136" xr:uid="{00000000-0005-0000-0000-0000D23C0000}"/>
    <cellStyle name="40% - Accent3 3 3 2 2 3 6" xfId="16137" xr:uid="{00000000-0005-0000-0000-0000D33C0000}"/>
    <cellStyle name="40% - Accent3 3 3 2 2 3 7" xfId="16138" xr:uid="{00000000-0005-0000-0000-0000D43C0000}"/>
    <cellStyle name="40% - Accent3 3 3 2 2 4" xfId="16139" xr:uid="{00000000-0005-0000-0000-0000D53C0000}"/>
    <cellStyle name="40% - Accent3 3 3 2 2 4 2" xfId="16140" xr:uid="{00000000-0005-0000-0000-0000D63C0000}"/>
    <cellStyle name="40% - Accent3 3 3 2 2 4 2 2" xfId="16141" xr:uid="{00000000-0005-0000-0000-0000D73C0000}"/>
    <cellStyle name="40% - Accent3 3 3 2 2 4 2 3" xfId="16142" xr:uid="{00000000-0005-0000-0000-0000D83C0000}"/>
    <cellStyle name="40% - Accent3 3 3 2 2 4 3" xfId="16143" xr:uid="{00000000-0005-0000-0000-0000D93C0000}"/>
    <cellStyle name="40% - Accent3 3 3 2 2 4 4" xfId="16144" xr:uid="{00000000-0005-0000-0000-0000DA3C0000}"/>
    <cellStyle name="40% - Accent3 3 3 2 2 4 5" xfId="16145" xr:uid="{00000000-0005-0000-0000-0000DB3C0000}"/>
    <cellStyle name="40% - Accent3 3 3 2 2 4 6" xfId="16146" xr:uid="{00000000-0005-0000-0000-0000DC3C0000}"/>
    <cellStyle name="40% - Accent3 3 3 2 2 5" xfId="16147" xr:uid="{00000000-0005-0000-0000-0000DD3C0000}"/>
    <cellStyle name="40% - Accent3 3 3 2 2 5 2" xfId="16148" xr:uid="{00000000-0005-0000-0000-0000DE3C0000}"/>
    <cellStyle name="40% - Accent3 3 3 2 2 5 2 2" xfId="16149" xr:uid="{00000000-0005-0000-0000-0000DF3C0000}"/>
    <cellStyle name="40% - Accent3 3 3 2 2 5 2 3" xfId="16150" xr:uid="{00000000-0005-0000-0000-0000E03C0000}"/>
    <cellStyle name="40% - Accent3 3 3 2 2 5 3" xfId="16151" xr:uid="{00000000-0005-0000-0000-0000E13C0000}"/>
    <cellStyle name="40% - Accent3 3 3 2 2 5 4" xfId="16152" xr:uid="{00000000-0005-0000-0000-0000E23C0000}"/>
    <cellStyle name="40% - Accent3 3 3 2 2 5 5" xfId="16153" xr:uid="{00000000-0005-0000-0000-0000E33C0000}"/>
    <cellStyle name="40% - Accent3 3 3 2 2 5 6" xfId="16154" xr:uid="{00000000-0005-0000-0000-0000E43C0000}"/>
    <cellStyle name="40% - Accent3 3 3 2 2 6" xfId="16155" xr:uid="{00000000-0005-0000-0000-0000E53C0000}"/>
    <cellStyle name="40% - Accent3 3 3 2 2 6 2" xfId="16156" xr:uid="{00000000-0005-0000-0000-0000E63C0000}"/>
    <cellStyle name="40% - Accent3 3 3 2 2 6 3" xfId="16157" xr:uid="{00000000-0005-0000-0000-0000E73C0000}"/>
    <cellStyle name="40% - Accent3 3 3 2 2 7" xfId="16158" xr:uid="{00000000-0005-0000-0000-0000E83C0000}"/>
    <cellStyle name="40% - Accent3 3 3 2 2 8" xfId="16159" xr:uid="{00000000-0005-0000-0000-0000E93C0000}"/>
    <cellStyle name="40% - Accent3 3 3 2 2 9" xfId="16160" xr:uid="{00000000-0005-0000-0000-0000EA3C0000}"/>
    <cellStyle name="40% - Accent3 3 3 2 3" xfId="16161" xr:uid="{00000000-0005-0000-0000-0000EB3C0000}"/>
    <cellStyle name="40% - Accent3 3 3 2 3 2" xfId="16162" xr:uid="{00000000-0005-0000-0000-0000EC3C0000}"/>
    <cellStyle name="40% - Accent3 3 3 2 3 2 2" xfId="16163" xr:uid="{00000000-0005-0000-0000-0000ED3C0000}"/>
    <cellStyle name="40% - Accent3 3 3 2 3 2 2 2" xfId="16164" xr:uid="{00000000-0005-0000-0000-0000EE3C0000}"/>
    <cellStyle name="40% - Accent3 3 3 2 3 2 2 2 2" xfId="16165" xr:uid="{00000000-0005-0000-0000-0000EF3C0000}"/>
    <cellStyle name="40% - Accent3 3 3 2 3 2 2 2 3" xfId="16166" xr:uid="{00000000-0005-0000-0000-0000F03C0000}"/>
    <cellStyle name="40% - Accent3 3 3 2 3 2 2 3" xfId="16167" xr:uid="{00000000-0005-0000-0000-0000F13C0000}"/>
    <cellStyle name="40% - Accent3 3 3 2 3 2 2 4" xfId="16168" xr:uid="{00000000-0005-0000-0000-0000F23C0000}"/>
    <cellStyle name="40% - Accent3 3 3 2 3 2 2 5" xfId="16169" xr:uid="{00000000-0005-0000-0000-0000F33C0000}"/>
    <cellStyle name="40% - Accent3 3 3 2 3 2 2 6" xfId="16170" xr:uid="{00000000-0005-0000-0000-0000F43C0000}"/>
    <cellStyle name="40% - Accent3 3 3 2 3 2 3" xfId="16171" xr:uid="{00000000-0005-0000-0000-0000F53C0000}"/>
    <cellStyle name="40% - Accent3 3 3 2 3 2 3 2" xfId="16172" xr:uid="{00000000-0005-0000-0000-0000F63C0000}"/>
    <cellStyle name="40% - Accent3 3 3 2 3 2 3 3" xfId="16173" xr:uid="{00000000-0005-0000-0000-0000F73C0000}"/>
    <cellStyle name="40% - Accent3 3 3 2 3 2 4" xfId="16174" xr:uid="{00000000-0005-0000-0000-0000F83C0000}"/>
    <cellStyle name="40% - Accent3 3 3 2 3 2 5" xfId="16175" xr:uid="{00000000-0005-0000-0000-0000F93C0000}"/>
    <cellStyle name="40% - Accent3 3 3 2 3 2 6" xfId="16176" xr:uid="{00000000-0005-0000-0000-0000FA3C0000}"/>
    <cellStyle name="40% - Accent3 3 3 2 3 2 7" xfId="16177" xr:uid="{00000000-0005-0000-0000-0000FB3C0000}"/>
    <cellStyle name="40% - Accent3 3 3 2 3 3" xfId="16178" xr:uid="{00000000-0005-0000-0000-0000FC3C0000}"/>
    <cellStyle name="40% - Accent3 3 3 2 3 3 2" xfId="16179" xr:uid="{00000000-0005-0000-0000-0000FD3C0000}"/>
    <cellStyle name="40% - Accent3 3 3 2 3 3 2 2" xfId="16180" xr:uid="{00000000-0005-0000-0000-0000FE3C0000}"/>
    <cellStyle name="40% - Accent3 3 3 2 3 3 2 3" xfId="16181" xr:uid="{00000000-0005-0000-0000-0000FF3C0000}"/>
    <cellStyle name="40% - Accent3 3 3 2 3 3 3" xfId="16182" xr:uid="{00000000-0005-0000-0000-0000003D0000}"/>
    <cellStyle name="40% - Accent3 3 3 2 3 3 4" xfId="16183" xr:uid="{00000000-0005-0000-0000-0000013D0000}"/>
    <cellStyle name="40% - Accent3 3 3 2 3 3 5" xfId="16184" xr:uid="{00000000-0005-0000-0000-0000023D0000}"/>
    <cellStyle name="40% - Accent3 3 3 2 3 3 6" xfId="16185" xr:uid="{00000000-0005-0000-0000-0000033D0000}"/>
    <cellStyle name="40% - Accent3 3 3 2 3 4" xfId="16186" xr:uid="{00000000-0005-0000-0000-0000043D0000}"/>
    <cellStyle name="40% - Accent3 3 3 2 3 4 2" xfId="16187" xr:uid="{00000000-0005-0000-0000-0000053D0000}"/>
    <cellStyle name="40% - Accent3 3 3 2 3 4 2 2" xfId="16188" xr:uid="{00000000-0005-0000-0000-0000063D0000}"/>
    <cellStyle name="40% - Accent3 3 3 2 3 4 2 3" xfId="16189" xr:uid="{00000000-0005-0000-0000-0000073D0000}"/>
    <cellStyle name="40% - Accent3 3 3 2 3 4 3" xfId="16190" xr:uid="{00000000-0005-0000-0000-0000083D0000}"/>
    <cellStyle name="40% - Accent3 3 3 2 3 4 4" xfId="16191" xr:uid="{00000000-0005-0000-0000-0000093D0000}"/>
    <cellStyle name="40% - Accent3 3 3 2 3 4 5" xfId="16192" xr:uid="{00000000-0005-0000-0000-00000A3D0000}"/>
    <cellStyle name="40% - Accent3 3 3 2 3 4 6" xfId="16193" xr:uid="{00000000-0005-0000-0000-00000B3D0000}"/>
    <cellStyle name="40% - Accent3 3 3 2 3 5" xfId="16194" xr:uid="{00000000-0005-0000-0000-00000C3D0000}"/>
    <cellStyle name="40% - Accent3 3 3 2 3 5 2" xfId="16195" xr:uid="{00000000-0005-0000-0000-00000D3D0000}"/>
    <cellStyle name="40% - Accent3 3 3 2 3 5 3" xfId="16196" xr:uid="{00000000-0005-0000-0000-00000E3D0000}"/>
    <cellStyle name="40% - Accent3 3 3 2 3 6" xfId="16197" xr:uid="{00000000-0005-0000-0000-00000F3D0000}"/>
    <cellStyle name="40% - Accent3 3 3 2 3 7" xfId="16198" xr:uid="{00000000-0005-0000-0000-0000103D0000}"/>
    <cellStyle name="40% - Accent3 3 3 2 3 8" xfId="16199" xr:uid="{00000000-0005-0000-0000-0000113D0000}"/>
    <cellStyle name="40% - Accent3 3 3 2 3 9" xfId="16200" xr:uid="{00000000-0005-0000-0000-0000123D0000}"/>
    <cellStyle name="40% - Accent3 3 3 2 4" xfId="16201" xr:uid="{00000000-0005-0000-0000-0000133D0000}"/>
    <cellStyle name="40% - Accent3 3 3 2 4 2" xfId="16202" xr:uid="{00000000-0005-0000-0000-0000143D0000}"/>
    <cellStyle name="40% - Accent3 3 3 2 4 2 2" xfId="16203" xr:uid="{00000000-0005-0000-0000-0000153D0000}"/>
    <cellStyle name="40% - Accent3 3 3 2 4 2 2 2" xfId="16204" xr:uid="{00000000-0005-0000-0000-0000163D0000}"/>
    <cellStyle name="40% - Accent3 3 3 2 4 2 2 3" xfId="16205" xr:uid="{00000000-0005-0000-0000-0000173D0000}"/>
    <cellStyle name="40% - Accent3 3 3 2 4 2 3" xfId="16206" xr:uid="{00000000-0005-0000-0000-0000183D0000}"/>
    <cellStyle name="40% - Accent3 3 3 2 4 2 4" xfId="16207" xr:uid="{00000000-0005-0000-0000-0000193D0000}"/>
    <cellStyle name="40% - Accent3 3 3 2 4 2 5" xfId="16208" xr:uid="{00000000-0005-0000-0000-00001A3D0000}"/>
    <cellStyle name="40% - Accent3 3 3 2 4 2 6" xfId="16209" xr:uid="{00000000-0005-0000-0000-00001B3D0000}"/>
    <cellStyle name="40% - Accent3 3 3 2 4 3" xfId="16210" xr:uid="{00000000-0005-0000-0000-00001C3D0000}"/>
    <cellStyle name="40% - Accent3 3 3 2 4 3 2" xfId="16211" xr:uid="{00000000-0005-0000-0000-00001D3D0000}"/>
    <cellStyle name="40% - Accent3 3 3 2 4 3 3" xfId="16212" xr:uid="{00000000-0005-0000-0000-00001E3D0000}"/>
    <cellStyle name="40% - Accent3 3 3 2 4 4" xfId="16213" xr:uid="{00000000-0005-0000-0000-00001F3D0000}"/>
    <cellStyle name="40% - Accent3 3 3 2 4 5" xfId="16214" xr:uid="{00000000-0005-0000-0000-0000203D0000}"/>
    <cellStyle name="40% - Accent3 3 3 2 4 6" xfId="16215" xr:uid="{00000000-0005-0000-0000-0000213D0000}"/>
    <cellStyle name="40% - Accent3 3 3 2 4 7" xfId="16216" xr:uid="{00000000-0005-0000-0000-0000223D0000}"/>
    <cellStyle name="40% - Accent3 3 3 2 5" xfId="16217" xr:uid="{00000000-0005-0000-0000-0000233D0000}"/>
    <cellStyle name="40% - Accent3 3 3 2 5 2" xfId="16218" xr:uid="{00000000-0005-0000-0000-0000243D0000}"/>
    <cellStyle name="40% - Accent3 3 3 2 5 2 2" xfId="16219" xr:uid="{00000000-0005-0000-0000-0000253D0000}"/>
    <cellStyle name="40% - Accent3 3 3 2 5 2 3" xfId="16220" xr:uid="{00000000-0005-0000-0000-0000263D0000}"/>
    <cellStyle name="40% - Accent3 3 3 2 5 3" xfId="16221" xr:uid="{00000000-0005-0000-0000-0000273D0000}"/>
    <cellStyle name="40% - Accent3 3 3 2 5 4" xfId="16222" xr:uid="{00000000-0005-0000-0000-0000283D0000}"/>
    <cellStyle name="40% - Accent3 3 3 2 5 5" xfId="16223" xr:uid="{00000000-0005-0000-0000-0000293D0000}"/>
    <cellStyle name="40% - Accent3 3 3 2 5 6" xfId="16224" xr:uid="{00000000-0005-0000-0000-00002A3D0000}"/>
    <cellStyle name="40% - Accent3 3 3 2 6" xfId="16225" xr:uid="{00000000-0005-0000-0000-00002B3D0000}"/>
    <cellStyle name="40% - Accent3 3 3 2 6 2" xfId="16226" xr:uid="{00000000-0005-0000-0000-00002C3D0000}"/>
    <cellStyle name="40% - Accent3 3 3 2 6 2 2" xfId="16227" xr:uid="{00000000-0005-0000-0000-00002D3D0000}"/>
    <cellStyle name="40% - Accent3 3 3 2 6 2 3" xfId="16228" xr:uid="{00000000-0005-0000-0000-00002E3D0000}"/>
    <cellStyle name="40% - Accent3 3 3 2 6 3" xfId="16229" xr:uid="{00000000-0005-0000-0000-00002F3D0000}"/>
    <cellStyle name="40% - Accent3 3 3 2 6 4" xfId="16230" xr:uid="{00000000-0005-0000-0000-0000303D0000}"/>
    <cellStyle name="40% - Accent3 3 3 2 6 5" xfId="16231" xr:uid="{00000000-0005-0000-0000-0000313D0000}"/>
    <cellStyle name="40% - Accent3 3 3 2 6 6" xfId="16232" xr:uid="{00000000-0005-0000-0000-0000323D0000}"/>
    <cellStyle name="40% - Accent3 3 3 2 7" xfId="16233" xr:uid="{00000000-0005-0000-0000-0000333D0000}"/>
    <cellStyle name="40% - Accent3 3 3 2 7 2" xfId="16234" xr:uid="{00000000-0005-0000-0000-0000343D0000}"/>
    <cellStyle name="40% - Accent3 3 3 2 7 2 2" xfId="16235" xr:uid="{00000000-0005-0000-0000-0000353D0000}"/>
    <cellStyle name="40% - Accent3 3 3 2 7 2 3" xfId="16236" xr:uid="{00000000-0005-0000-0000-0000363D0000}"/>
    <cellStyle name="40% - Accent3 3 3 2 7 3" xfId="16237" xr:uid="{00000000-0005-0000-0000-0000373D0000}"/>
    <cellStyle name="40% - Accent3 3 3 2 7 4" xfId="16238" xr:uid="{00000000-0005-0000-0000-0000383D0000}"/>
    <cellStyle name="40% - Accent3 3 3 2 7 5" xfId="16239" xr:uid="{00000000-0005-0000-0000-0000393D0000}"/>
    <cellStyle name="40% - Accent3 3 3 2 7 6" xfId="16240" xr:uid="{00000000-0005-0000-0000-00003A3D0000}"/>
    <cellStyle name="40% - Accent3 3 3 2 8" xfId="16241" xr:uid="{00000000-0005-0000-0000-00003B3D0000}"/>
    <cellStyle name="40% - Accent3 3 3 2 8 2" xfId="16242" xr:uid="{00000000-0005-0000-0000-00003C3D0000}"/>
    <cellStyle name="40% - Accent3 3 3 2 8 2 2" xfId="16243" xr:uid="{00000000-0005-0000-0000-00003D3D0000}"/>
    <cellStyle name="40% - Accent3 3 3 2 8 2 3" xfId="16244" xr:uid="{00000000-0005-0000-0000-00003E3D0000}"/>
    <cellStyle name="40% - Accent3 3 3 2 8 3" xfId="16245" xr:uid="{00000000-0005-0000-0000-00003F3D0000}"/>
    <cellStyle name="40% - Accent3 3 3 2 8 4" xfId="16246" xr:uid="{00000000-0005-0000-0000-0000403D0000}"/>
    <cellStyle name="40% - Accent3 3 3 2 8 5" xfId="16247" xr:uid="{00000000-0005-0000-0000-0000413D0000}"/>
    <cellStyle name="40% - Accent3 3 3 2 8 6" xfId="16248" xr:uid="{00000000-0005-0000-0000-0000423D0000}"/>
    <cellStyle name="40% - Accent3 3 3 2 9" xfId="16249" xr:uid="{00000000-0005-0000-0000-0000433D0000}"/>
    <cellStyle name="40% - Accent3 3 3 2 9 2" xfId="16250" xr:uid="{00000000-0005-0000-0000-0000443D0000}"/>
    <cellStyle name="40% - Accent3 3 3 2 9 3" xfId="16251" xr:uid="{00000000-0005-0000-0000-0000453D0000}"/>
    <cellStyle name="40% - Accent3 3 3 3" xfId="16252" xr:uid="{00000000-0005-0000-0000-0000463D0000}"/>
    <cellStyle name="40% - Accent3 3 3 3 10" xfId="16253" xr:uid="{00000000-0005-0000-0000-0000473D0000}"/>
    <cellStyle name="40% - Accent3 3 3 3 2" xfId="16254" xr:uid="{00000000-0005-0000-0000-0000483D0000}"/>
    <cellStyle name="40% - Accent3 3 3 3 2 2" xfId="16255" xr:uid="{00000000-0005-0000-0000-0000493D0000}"/>
    <cellStyle name="40% - Accent3 3 3 3 2 2 2" xfId="16256" xr:uid="{00000000-0005-0000-0000-00004A3D0000}"/>
    <cellStyle name="40% - Accent3 3 3 3 2 2 2 2" xfId="16257" xr:uid="{00000000-0005-0000-0000-00004B3D0000}"/>
    <cellStyle name="40% - Accent3 3 3 3 2 2 2 3" xfId="16258" xr:uid="{00000000-0005-0000-0000-00004C3D0000}"/>
    <cellStyle name="40% - Accent3 3 3 3 2 2 3" xfId="16259" xr:uid="{00000000-0005-0000-0000-00004D3D0000}"/>
    <cellStyle name="40% - Accent3 3 3 3 2 2 4" xfId="16260" xr:uid="{00000000-0005-0000-0000-00004E3D0000}"/>
    <cellStyle name="40% - Accent3 3 3 3 2 2 5" xfId="16261" xr:uid="{00000000-0005-0000-0000-00004F3D0000}"/>
    <cellStyle name="40% - Accent3 3 3 3 2 2 6" xfId="16262" xr:uid="{00000000-0005-0000-0000-0000503D0000}"/>
    <cellStyle name="40% - Accent3 3 3 3 2 3" xfId="16263" xr:uid="{00000000-0005-0000-0000-0000513D0000}"/>
    <cellStyle name="40% - Accent3 3 3 3 2 3 2" xfId="16264" xr:uid="{00000000-0005-0000-0000-0000523D0000}"/>
    <cellStyle name="40% - Accent3 3 3 3 2 3 2 2" xfId="16265" xr:uid="{00000000-0005-0000-0000-0000533D0000}"/>
    <cellStyle name="40% - Accent3 3 3 3 2 3 2 3" xfId="16266" xr:uid="{00000000-0005-0000-0000-0000543D0000}"/>
    <cellStyle name="40% - Accent3 3 3 3 2 3 3" xfId="16267" xr:uid="{00000000-0005-0000-0000-0000553D0000}"/>
    <cellStyle name="40% - Accent3 3 3 3 2 3 4" xfId="16268" xr:uid="{00000000-0005-0000-0000-0000563D0000}"/>
    <cellStyle name="40% - Accent3 3 3 3 2 3 5" xfId="16269" xr:uid="{00000000-0005-0000-0000-0000573D0000}"/>
    <cellStyle name="40% - Accent3 3 3 3 2 3 6" xfId="16270" xr:uid="{00000000-0005-0000-0000-0000583D0000}"/>
    <cellStyle name="40% - Accent3 3 3 3 2 4" xfId="16271" xr:uid="{00000000-0005-0000-0000-0000593D0000}"/>
    <cellStyle name="40% - Accent3 3 3 3 2 4 2" xfId="16272" xr:uid="{00000000-0005-0000-0000-00005A3D0000}"/>
    <cellStyle name="40% - Accent3 3 3 3 2 4 3" xfId="16273" xr:uid="{00000000-0005-0000-0000-00005B3D0000}"/>
    <cellStyle name="40% - Accent3 3 3 3 2 5" xfId="16274" xr:uid="{00000000-0005-0000-0000-00005C3D0000}"/>
    <cellStyle name="40% - Accent3 3 3 3 2 6" xfId="16275" xr:uid="{00000000-0005-0000-0000-00005D3D0000}"/>
    <cellStyle name="40% - Accent3 3 3 3 2 7" xfId="16276" xr:uid="{00000000-0005-0000-0000-00005E3D0000}"/>
    <cellStyle name="40% - Accent3 3 3 3 2 8" xfId="16277" xr:uid="{00000000-0005-0000-0000-00005F3D0000}"/>
    <cellStyle name="40% - Accent3 3 3 3 3" xfId="16278" xr:uid="{00000000-0005-0000-0000-0000603D0000}"/>
    <cellStyle name="40% - Accent3 3 3 3 3 2" xfId="16279" xr:uid="{00000000-0005-0000-0000-0000613D0000}"/>
    <cellStyle name="40% - Accent3 3 3 3 3 2 2" xfId="16280" xr:uid="{00000000-0005-0000-0000-0000623D0000}"/>
    <cellStyle name="40% - Accent3 3 3 3 3 2 2 2" xfId="16281" xr:uid="{00000000-0005-0000-0000-0000633D0000}"/>
    <cellStyle name="40% - Accent3 3 3 3 3 2 2 3" xfId="16282" xr:uid="{00000000-0005-0000-0000-0000643D0000}"/>
    <cellStyle name="40% - Accent3 3 3 3 3 2 3" xfId="16283" xr:uid="{00000000-0005-0000-0000-0000653D0000}"/>
    <cellStyle name="40% - Accent3 3 3 3 3 2 4" xfId="16284" xr:uid="{00000000-0005-0000-0000-0000663D0000}"/>
    <cellStyle name="40% - Accent3 3 3 3 3 2 5" xfId="16285" xr:uid="{00000000-0005-0000-0000-0000673D0000}"/>
    <cellStyle name="40% - Accent3 3 3 3 3 2 6" xfId="16286" xr:uid="{00000000-0005-0000-0000-0000683D0000}"/>
    <cellStyle name="40% - Accent3 3 3 3 3 3" xfId="16287" xr:uid="{00000000-0005-0000-0000-0000693D0000}"/>
    <cellStyle name="40% - Accent3 3 3 3 3 3 2" xfId="16288" xr:uid="{00000000-0005-0000-0000-00006A3D0000}"/>
    <cellStyle name="40% - Accent3 3 3 3 3 3 3" xfId="16289" xr:uid="{00000000-0005-0000-0000-00006B3D0000}"/>
    <cellStyle name="40% - Accent3 3 3 3 3 4" xfId="16290" xr:uid="{00000000-0005-0000-0000-00006C3D0000}"/>
    <cellStyle name="40% - Accent3 3 3 3 3 5" xfId="16291" xr:uid="{00000000-0005-0000-0000-00006D3D0000}"/>
    <cellStyle name="40% - Accent3 3 3 3 3 6" xfId="16292" xr:uid="{00000000-0005-0000-0000-00006E3D0000}"/>
    <cellStyle name="40% - Accent3 3 3 3 3 7" xfId="16293" xr:uid="{00000000-0005-0000-0000-00006F3D0000}"/>
    <cellStyle name="40% - Accent3 3 3 3 4" xfId="16294" xr:uid="{00000000-0005-0000-0000-0000703D0000}"/>
    <cellStyle name="40% - Accent3 3 3 3 4 2" xfId="16295" xr:uid="{00000000-0005-0000-0000-0000713D0000}"/>
    <cellStyle name="40% - Accent3 3 3 3 4 2 2" xfId="16296" xr:uid="{00000000-0005-0000-0000-0000723D0000}"/>
    <cellStyle name="40% - Accent3 3 3 3 4 2 3" xfId="16297" xr:uid="{00000000-0005-0000-0000-0000733D0000}"/>
    <cellStyle name="40% - Accent3 3 3 3 4 3" xfId="16298" xr:uid="{00000000-0005-0000-0000-0000743D0000}"/>
    <cellStyle name="40% - Accent3 3 3 3 4 4" xfId="16299" xr:uid="{00000000-0005-0000-0000-0000753D0000}"/>
    <cellStyle name="40% - Accent3 3 3 3 4 5" xfId="16300" xr:uid="{00000000-0005-0000-0000-0000763D0000}"/>
    <cellStyle name="40% - Accent3 3 3 3 4 6" xfId="16301" xr:uid="{00000000-0005-0000-0000-0000773D0000}"/>
    <cellStyle name="40% - Accent3 3 3 3 5" xfId="16302" xr:uid="{00000000-0005-0000-0000-0000783D0000}"/>
    <cellStyle name="40% - Accent3 3 3 3 5 2" xfId="16303" xr:uid="{00000000-0005-0000-0000-0000793D0000}"/>
    <cellStyle name="40% - Accent3 3 3 3 5 2 2" xfId="16304" xr:uid="{00000000-0005-0000-0000-00007A3D0000}"/>
    <cellStyle name="40% - Accent3 3 3 3 5 2 3" xfId="16305" xr:uid="{00000000-0005-0000-0000-00007B3D0000}"/>
    <cellStyle name="40% - Accent3 3 3 3 5 3" xfId="16306" xr:uid="{00000000-0005-0000-0000-00007C3D0000}"/>
    <cellStyle name="40% - Accent3 3 3 3 5 4" xfId="16307" xr:uid="{00000000-0005-0000-0000-00007D3D0000}"/>
    <cellStyle name="40% - Accent3 3 3 3 5 5" xfId="16308" xr:uid="{00000000-0005-0000-0000-00007E3D0000}"/>
    <cellStyle name="40% - Accent3 3 3 3 5 6" xfId="16309" xr:uid="{00000000-0005-0000-0000-00007F3D0000}"/>
    <cellStyle name="40% - Accent3 3 3 3 6" xfId="16310" xr:uid="{00000000-0005-0000-0000-0000803D0000}"/>
    <cellStyle name="40% - Accent3 3 3 3 6 2" xfId="16311" xr:uid="{00000000-0005-0000-0000-0000813D0000}"/>
    <cellStyle name="40% - Accent3 3 3 3 6 3" xfId="16312" xr:uid="{00000000-0005-0000-0000-0000823D0000}"/>
    <cellStyle name="40% - Accent3 3 3 3 7" xfId="16313" xr:uid="{00000000-0005-0000-0000-0000833D0000}"/>
    <cellStyle name="40% - Accent3 3 3 3 8" xfId="16314" xr:uid="{00000000-0005-0000-0000-0000843D0000}"/>
    <cellStyle name="40% - Accent3 3 3 3 9" xfId="16315" xr:uid="{00000000-0005-0000-0000-0000853D0000}"/>
    <cellStyle name="40% - Accent3 3 3 4" xfId="16316" xr:uid="{00000000-0005-0000-0000-0000863D0000}"/>
    <cellStyle name="40% - Accent3 3 3 4 2" xfId="16317" xr:uid="{00000000-0005-0000-0000-0000873D0000}"/>
    <cellStyle name="40% - Accent3 3 3 4 2 2" xfId="16318" xr:uid="{00000000-0005-0000-0000-0000883D0000}"/>
    <cellStyle name="40% - Accent3 3 3 4 2 2 2" xfId="16319" xr:uid="{00000000-0005-0000-0000-0000893D0000}"/>
    <cellStyle name="40% - Accent3 3 3 4 2 2 2 2" xfId="16320" xr:uid="{00000000-0005-0000-0000-00008A3D0000}"/>
    <cellStyle name="40% - Accent3 3 3 4 2 2 2 3" xfId="16321" xr:uid="{00000000-0005-0000-0000-00008B3D0000}"/>
    <cellStyle name="40% - Accent3 3 3 4 2 2 3" xfId="16322" xr:uid="{00000000-0005-0000-0000-00008C3D0000}"/>
    <cellStyle name="40% - Accent3 3 3 4 2 2 4" xfId="16323" xr:uid="{00000000-0005-0000-0000-00008D3D0000}"/>
    <cellStyle name="40% - Accent3 3 3 4 2 2 5" xfId="16324" xr:uid="{00000000-0005-0000-0000-00008E3D0000}"/>
    <cellStyle name="40% - Accent3 3 3 4 2 2 6" xfId="16325" xr:uid="{00000000-0005-0000-0000-00008F3D0000}"/>
    <cellStyle name="40% - Accent3 3 3 4 2 3" xfId="16326" xr:uid="{00000000-0005-0000-0000-0000903D0000}"/>
    <cellStyle name="40% - Accent3 3 3 4 2 3 2" xfId="16327" xr:uid="{00000000-0005-0000-0000-0000913D0000}"/>
    <cellStyle name="40% - Accent3 3 3 4 2 3 3" xfId="16328" xr:uid="{00000000-0005-0000-0000-0000923D0000}"/>
    <cellStyle name="40% - Accent3 3 3 4 2 4" xfId="16329" xr:uid="{00000000-0005-0000-0000-0000933D0000}"/>
    <cellStyle name="40% - Accent3 3 3 4 2 5" xfId="16330" xr:uid="{00000000-0005-0000-0000-0000943D0000}"/>
    <cellStyle name="40% - Accent3 3 3 4 2 6" xfId="16331" xr:uid="{00000000-0005-0000-0000-0000953D0000}"/>
    <cellStyle name="40% - Accent3 3 3 4 2 7" xfId="16332" xr:uid="{00000000-0005-0000-0000-0000963D0000}"/>
    <cellStyle name="40% - Accent3 3 3 4 3" xfId="16333" xr:uid="{00000000-0005-0000-0000-0000973D0000}"/>
    <cellStyle name="40% - Accent3 3 3 4 3 2" xfId="16334" xr:uid="{00000000-0005-0000-0000-0000983D0000}"/>
    <cellStyle name="40% - Accent3 3 3 4 3 2 2" xfId="16335" xr:uid="{00000000-0005-0000-0000-0000993D0000}"/>
    <cellStyle name="40% - Accent3 3 3 4 3 2 3" xfId="16336" xr:uid="{00000000-0005-0000-0000-00009A3D0000}"/>
    <cellStyle name="40% - Accent3 3 3 4 3 3" xfId="16337" xr:uid="{00000000-0005-0000-0000-00009B3D0000}"/>
    <cellStyle name="40% - Accent3 3 3 4 3 4" xfId="16338" xr:uid="{00000000-0005-0000-0000-00009C3D0000}"/>
    <cellStyle name="40% - Accent3 3 3 4 3 5" xfId="16339" xr:uid="{00000000-0005-0000-0000-00009D3D0000}"/>
    <cellStyle name="40% - Accent3 3 3 4 3 6" xfId="16340" xr:uid="{00000000-0005-0000-0000-00009E3D0000}"/>
    <cellStyle name="40% - Accent3 3 3 4 4" xfId="16341" xr:uid="{00000000-0005-0000-0000-00009F3D0000}"/>
    <cellStyle name="40% - Accent3 3 3 4 4 2" xfId="16342" xr:uid="{00000000-0005-0000-0000-0000A03D0000}"/>
    <cellStyle name="40% - Accent3 3 3 4 4 2 2" xfId="16343" xr:uid="{00000000-0005-0000-0000-0000A13D0000}"/>
    <cellStyle name="40% - Accent3 3 3 4 4 2 3" xfId="16344" xr:uid="{00000000-0005-0000-0000-0000A23D0000}"/>
    <cellStyle name="40% - Accent3 3 3 4 4 3" xfId="16345" xr:uid="{00000000-0005-0000-0000-0000A33D0000}"/>
    <cellStyle name="40% - Accent3 3 3 4 4 4" xfId="16346" xr:uid="{00000000-0005-0000-0000-0000A43D0000}"/>
    <cellStyle name="40% - Accent3 3 3 4 4 5" xfId="16347" xr:uid="{00000000-0005-0000-0000-0000A53D0000}"/>
    <cellStyle name="40% - Accent3 3 3 4 4 6" xfId="16348" xr:uid="{00000000-0005-0000-0000-0000A63D0000}"/>
    <cellStyle name="40% - Accent3 3 3 4 5" xfId="16349" xr:uid="{00000000-0005-0000-0000-0000A73D0000}"/>
    <cellStyle name="40% - Accent3 3 3 4 5 2" xfId="16350" xr:uid="{00000000-0005-0000-0000-0000A83D0000}"/>
    <cellStyle name="40% - Accent3 3 3 4 5 3" xfId="16351" xr:uid="{00000000-0005-0000-0000-0000A93D0000}"/>
    <cellStyle name="40% - Accent3 3 3 4 6" xfId="16352" xr:uid="{00000000-0005-0000-0000-0000AA3D0000}"/>
    <cellStyle name="40% - Accent3 3 3 4 7" xfId="16353" xr:uid="{00000000-0005-0000-0000-0000AB3D0000}"/>
    <cellStyle name="40% - Accent3 3 3 4 8" xfId="16354" xr:uid="{00000000-0005-0000-0000-0000AC3D0000}"/>
    <cellStyle name="40% - Accent3 3 3 4 9" xfId="16355" xr:uid="{00000000-0005-0000-0000-0000AD3D0000}"/>
    <cellStyle name="40% - Accent3 3 3 5" xfId="16356" xr:uid="{00000000-0005-0000-0000-0000AE3D0000}"/>
    <cellStyle name="40% - Accent3 3 3 5 2" xfId="16357" xr:uid="{00000000-0005-0000-0000-0000AF3D0000}"/>
    <cellStyle name="40% - Accent3 3 3 5 2 2" xfId="16358" xr:uid="{00000000-0005-0000-0000-0000B03D0000}"/>
    <cellStyle name="40% - Accent3 3 3 5 2 2 2" xfId="16359" xr:uid="{00000000-0005-0000-0000-0000B13D0000}"/>
    <cellStyle name="40% - Accent3 3 3 5 2 2 3" xfId="16360" xr:uid="{00000000-0005-0000-0000-0000B23D0000}"/>
    <cellStyle name="40% - Accent3 3 3 5 2 3" xfId="16361" xr:uid="{00000000-0005-0000-0000-0000B33D0000}"/>
    <cellStyle name="40% - Accent3 3 3 5 2 4" xfId="16362" xr:uid="{00000000-0005-0000-0000-0000B43D0000}"/>
    <cellStyle name="40% - Accent3 3 3 5 2 5" xfId="16363" xr:uid="{00000000-0005-0000-0000-0000B53D0000}"/>
    <cellStyle name="40% - Accent3 3 3 5 2 6" xfId="16364" xr:uid="{00000000-0005-0000-0000-0000B63D0000}"/>
    <cellStyle name="40% - Accent3 3 3 5 3" xfId="16365" xr:uid="{00000000-0005-0000-0000-0000B73D0000}"/>
    <cellStyle name="40% - Accent3 3 3 5 3 2" xfId="16366" xr:uid="{00000000-0005-0000-0000-0000B83D0000}"/>
    <cellStyle name="40% - Accent3 3 3 5 3 3" xfId="16367" xr:uid="{00000000-0005-0000-0000-0000B93D0000}"/>
    <cellStyle name="40% - Accent3 3 3 5 4" xfId="16368" xr:uid="{00000000-0005-0000-0000-0000BA3D0000}"/>
    <cellStyle name="40% - Accent3 3 3 5 5" xfId="16369" xr:uid="{00000000-0005-0000-0000-0000BB3D0000}"/>
    <cellStyle name="40% - Accent3 3 3 5 6" xfId="16370" xr:uid="{00000000-0005-0000-0000-0000BC3D0000}"/>
    <cellStyle name="40% - Accent3 3 3 5 7" xfId="16371" xr:uid="{00000000-0005-0000-0000-0000BD3D0000}"/>
    <cellStyle name="40% - Accent3 3 3 6" xfId="16372" xr:uid="{00000000-0005-0000-0000-0000BE3D0000}"/>
    <cellStyle name="40% - Accent3 3 3 6 2" xfId="16373" xr:uid="{00000000-0005-0000-0000-0000BF3D0000}"/>
    <cellStyle name="40% - Accent3 3 3 6 2 2" xfId="16374" xr:uid="{00000000-0005-0000-0000-0000C03D0000}"/>
    <cellStyle name="40% - Accent3 3 3 6 2 3" xfId="16375" xr:uid="{00000000-0005-0000-0000-0000C13D0000}"/>
    <cellStyle name="40% - Accent3 3 3 6 3" xfId="16376" xr:uid="{00000000-0005-0000-0000-0000C23D0000}"/>
    <cellStyle name="40% - Accent3 3 3 6 4" xfId="16377" xr:uid="{00000000-0005-0000-0000-0000C33D0000}"/>
    <cellStyle name="40% - Accent3 3 3 6 5" xfId="16378" xr:uid="{00000000-0005-0000-0000-0000C43D0000}"/>
    <cellStyle name="40% - Accent3 3 3 6 6" xfId="16379" xr:uid="{00000000-0005-0000-0000-0000C53D0000}"/>
    <cellStyle name="40% - Accent3 3 3 7" xfId="16380" xr:uid="{00000000-0005-0000-0000-0000C63D0000}"/>
    <cellStyle name="40% - Accent3 3 3 7 2" xfId="16381" xr:uid="{00000000-0005-0000-0000-0000C73D0000}"/>
    <cellStyle name="40% - Accent3 3 3 7 2 2" xfId="16382" xr:uid="{00000000-0005-0000-0000-0000C83D0000}"/>
    <cellStyle name="40% - Accent3 3 3 7 2 3" xfId="16383" xr:uid="{00000000-0005-0000-0000-0000C93D0000}"/>
    <cellStyle name="40% - Accent3 3 3 7 3" xfId="16384" xr:uid="{00000000-0005-0000-0000-0000CA3D0000}"/>
    <cellStyle name="40% - Accent3 3 3 7 4" xfId="16385" xr:uid="{00000000-0005-0000-0000-0000CB3D0000}"/>
    <cellStyle name="40% - Accent3 3 3 7 5" xfId="16386" xr:uid="{00000000-0005-0000-0000-0000CC3D0000}"/>
    <cellStyle name="40% - Accent3 3 3 7 6" xfId="16387" xr:uid="{00000000-0005-0000-0000-0000CD3D0000}"/>
    <cellStyle name="40% - Accent3 3 3 8" xfId="16388" xr:uid="{00000000-0005-0000-0000-0000CE3D0000}"/>
    <cellStyle name="40% - Accent3 3 3 8 2" xfId="16389" xr:uid="{00000000-0005-0000-0000-0000CF3D0000}"/>
    <cellStyle name="40% - Accent3 3 3 8 2 2" xfId="16390" xr:uid="{00000000-0005-0000-0000-0000D03D0000}"/>
    <cellStyle name="40% - Accent3 3 3 8 2 3" xfId="16391" xr:uid="{00000000-0005-0000-0000-0000D13D0000}"/>
    <cellStyle name="40% - Accent3 3 3 8 3" xfId="16392" xr:uid="{00000000-0005-0000-0000-0000D23D0000}"/>
    <cellStyle name="40% - Accent3 3 3 8 4" xfId="16393" xr:uid="{00000000-0005-0000-0000-0000D33D0000}"/>
    <cellStyle name="40% - Accent3 3 3 8 5" xfId="16394" xr:uid="{00000000-0005-0000-0000-0000D43D0000}"/>
    <cellStyle name="40% - Accent3 3 3 8 6" xfId="16395" xr:uid="{00000000-0005-0000-0000-0000D53D0000}"/>
    <cellStyle name="40% - Accent3 3 3 9" xfId="16396" xr:uid="{00000000-0005-0000-0000-0000D63D0000}"/>
    <cellStyle name="40% - Accent3 3 3 9 2" xfId="16397" xr:uid="{00000000-0005-0000-0000-0000D73D0000}"/>
    <cellStyle name="40% - Accent3 3 3 9 2 2" xfId="16398" xr:uid="{00000000-0005-0000-0000-0000D83D0000}"/>
    <cellStyle name="40% - Accent3 3 3 9 2 3" xfId="16399" xr:uid="{00000000-0005-0000-0000-0000D93D0000}"/>
    <cellStyle name="40% - Accent3 3 3 9 3" xfId="16400" xr:uid="{00000000-0005-0000-0000-0000DA3D0000}"/>
    <cellStyle name="40% - Accent3 3 3 9 4" xfId="16401" xr:uid="{00000000-0005-0000-0000-0000DB3D0000}"/>
    <cellStyle name="40% - Accent3 3 3 9 5" xfId="16402" xr:uid="{00000000-0005-0000-0000-0000DC3D0000}"/>
    <cellStyle name="40% - Accent3 3 3 9 6" xfId="16403" xr:uid="{00000000-0005-0000-0000-0000DD3D0000}"/>
    <cellStyle name="40% - Accent3 3 4" xfId="16404" xr:uid="{00000000-0005-0000-0000-0000DE3D0000}"/>
    <cellStyle name="40% - Accent3 3 4 10" xfId="16405" xr:uid="{00000000-0005-0000-0000-0000DF3D0000}"/>
    <cellStyle name="40% - Accent3 3 4 11" xfId="16406" xr:uid="{00000000-0005-0000-0000-0000E03D0000}"/>
    <cellStyle name="40% - Accent3 3 4 12" xfId="16407" xr:uid="{00000000-0005-0000-0000-0000E13D0000}"/>
    <cellStyle name="40% - Accent3 3 4 13" xfId="16408" xr:uid="{00000000-0005-0000-0000-0000E23D0000}"/>
    <cellStyle name="40% - Accent3 3 4 2" xfId="16409" xr:uid="{00000000-0005-0000-0000-0000E33D0000}"/>
    <cellStyle name="40% - Accent3 3 4 2 10" xfId="16410" xr:uid="{00000000-0005-0000-0000-0000E43D0000}"/>
    <cellStyle name="40% - Accent3 3 4 2 2" xfId="16411" xr:uid="{00000000-0005-0000-0000-0000E53D0000}"/>
    <cellStyle name="40% - Accent3 3 4 2 2 2" xfId="16412" xr:uid="{00000000-0005-0000-0000-0000E63D0000}"/>
    <cellStyle name="40% - Accent3 3 4 2 2 2 2" xfId="16413" xr:uid="{00000000-0005-0000-0000-0000E73D0000}"/>
    <cellStyle name="40% - Accent3 3 4 2 2 2 2 2" xfId="16414" xr:uid="{00000000-0005-0000-0000-0000E83D0000}"/>
    <cellStyle name="40% - Accent3 3 4 2 2 2 2 3" xfId="16415" xr:uid="{00000000-0005-0000-0000-0000E93D0000}"/>
    <cellStyle name="40% - Accent3 3 4 2 2 2 3" xfId="16416" xr:uid="{00000000-0005-0000-0000-0000EA3D0000}"/>
    <cellStyle name="40% - Accent3 3 4 2 2 2 4" xfId="16417" xr:uid="{00000000-0005-0000-0000-0000EB3D0000}"/>
    <cellStyle name="40% - Accent3 3 4 2 2 2 5" xfId="16418" xr:uid="{00000000-0005-0000-0000-0000EC3D0000}"/>
    <cellStyle name="40% - Accent3 3 4 2 2 2 6" xfId="16419" xr:uid="{00000000-0005-0000-0000-0000ED3D0000}"/>
    <cellStyle name="40% - Accent3 3 4 2 2 3" xfId="16420" xr:uid="{00000000-0005-0000-0000-0000EE3D0000}"/>
    <cellStyle name="40% - Accent3 3 4 2 2 3 2" xfId="16421" xr:uid="{00000000-0005-0000-0000-0000EF3D0000}"/>
    <cellStyle name="40% - Accent3 3 4 2 2 3 2 2" xfId="16422" xr:uid="{00000000-0005-0000-0000-0000F03D0000}"/>
    <cellStyle name="40% - Accent3 3 4 2 2 3 2 3" xfId="16423" xr:uid="{00000000-0005-0000-0000-0000F13D0000}"/>
    <cellStyle name="40% - Accent3 3 4 2 2 3 3" xfId="16424" xr:uid="{00000000-0005-0000-0000-0000F23D0000}"/>
    <cellStyle name="40% - Accent3 3 4 2 2 3 4" xfId="16425" xr:uid="{00000000-0005-0000-0000-0000F33D0000}"/>
    <cellStyle name="40% - Accent3 3 4 2 2 3 5" xfId="16426" xr:uid="{00000000-0005-0000-0000-0000F43D0000}"/>
    <cellStyle name="40% - Accent3 3 4 2 2 3 6" xfId="16427" xr:uid="{00000000-0005-0000-0000-0000F53D0000}"/>
    <cellStyle name="40% - Accent3 3 4 2 2 4" xfId="16428" xr:uid="{00000000-0005-0000-0000-0000F63D0000}"/>
    <cellStyle name="40% - Accent3 3 4 2 2 4 2" xfId="16429" xr:uid="{00000000-0005-0000-0000-0000F73D0000}"/>
    <cellStyle name="40% - Accent3 3 4 2 2 4 3" xfId="16430" xr:uid="{00000000-0005-0000-0000-0000F83D0000}"/>
    <cellStyle name="40% - Accent3 3 4 2 2 5" xfId="16431" xr:uid="{00000000-0005-0000-0000-0000F93D0000}"/>
    <cellStyle name="40% - Accent3 3 4 2 2 6" xfId="16432" xr:uid="{00000000-0005-0000-0000-0000FA3D0000}"/>
    <cellStyle name="40% - Accent3 3 4 2 2 7" xfId="16433" xr:uid="{00000000-0005-0000-0000-0000FB3D0000}"/>
    <cellStyle name="40% - Accent3 3 4 2 2 8" xfId="16434" xr:uid="{00000000-0005-0000-0000-0000FC3D0000}"/>
    <cellStyle name="40% - Accent3 3 4 2 3" xfId="16435" xr:uid="{00000000-0005-0000-0000-0000FD3D0000}"/>
    <cellStyle name="40% - Accent3 3 4 2 3 2" xfId="16436" xr:uid="{00000000-0005-0000-0000-0000FE3D0000}"/>
    <cellStyle name="40% - Accent3 3 4 2 3 2 2" xfId="16437" xr:uid="{00000000-0005-0000-0000-0000FF3D0000}"/>
    <cellStyle name="40% - Accent3 3 4 2 3 2 2 2" xfId="16438" xr:uid="{00000000-0005-0000-0000-0000003E0000}"/>
    <cellStyle name="40% - Accent3 3 4 2 3 2 2 3" xfId="16439" xr:uid="{00000000-0005-0000-0000-0000013E0000}"/>
    <cellStyle name="40% - Accent3 3 4 2 3 2 3" xfId="16440" xr:uid="{00000000-0005-0000-0000-0000023E0000}"/>
    <cellStyle name="40% - Accent3 3 4 2 3 2 4" xfId="16441" xr:uid="{00000000-0005-0000-0000-0000033E0000}"/>
    <cellStyle name="40% - Accent3 3 4 2 3 2 5" xfId="16442" xr:uid="{00000000-0005-0000-0000-0000043E0000}"/>
    <cellStyle name="40% - Accent3 3 4 2 3 2 6" xfId="16443" xr:uid="{00000000-0005-0000-0000-0000053E0000}"/>
    <cellStyle name="40% - Accent3 3 4 2 3 3" xfId="16444" xr:uid="{00000000-0005-0000-0000-0000063E0000}"/>
    <cellStyle name="40% - Accent3 3 4 2 3 3 2" xfId="16445" xr:uid="{00000000-0005-0000-0000-0000073E0000}"/>
    <cellStyle name="40% - Accent3 3 4 2 3 3 3" xfId="16446" xr:uid="{00000000-0005-0000-0000-0000083E0000}"/>
    <cellStyle name="40% - Accent3 3 4 2 3 4" xfId="16447" xr:uid="{00000000-0005-0000-0000-0000093E0000}"/>
    <cellStyle name="40% - Accent3 3 4 2 3 5" xfId="16448" xr:uid="{00000000-0005-0000-0000-00000A3E0000}"/>
    <cellStyle name="40% - Accent3 3 4 2 3 6" xfId="16449" xr:uid="{00000000-0005-0000-0000-00000B3E0000}"/>
    <cellStyle name="40% - Accent3 3 4 2 3 7" xfId="16450" xr:uid="{00000000-0005-0000-0000-00000C3E0000}"/>
    <cellStyle name="40% - Accent3 3 4 2 4" xfId="16451" xr:uid="{00000000-0005-0000-0000-00000D3E0000}"/>
    <cellStyle name="40% - Accent3 3 4 2 4 2" xfId="16452" xr:uid="{00000000-0005-0000-0000-00000E3E0000}"/>
    <cellStyle name="40% - Accent3 3 4 2 4 2 2" xfId="16453" xr:uid="{00000000-0005-0000-0000-00000F3E0000}"/>
    <cellStyle name="40% - Accent3 3 4 2 4 2 3" xfId="16454" xr:uid="{00000000-0005-0000-0000-0000103E0000}"/>
    <cellStyle name="40% - Accent3 3 4 2 4 3" xfId="16455" xr:uid="{00000000-0005-0000-0000-0000113E0000}"/>
    <cellStyle name="40% - Accent3 3 4 2 4 4" xfId="16456" xr:uid="{00000000-0005-0000-0000-0000123E0000}"/>
    <cellStyle name="40% - Accent3 3 4 2 4 5" xfId="16457" xr:uid="{00000000-0005-0000-0000-0000133E0000}"/>
    <cellStyle name="40% - Accent3 3 4 2 4 6" xfId="16458" xr:uid="{00000000-0005-0000-0000-0000143E0000}"/>
    <cellStyle name="40% - Accent3 3 4 2 5" xfId="16459" xr:uid="{00000000-0005-0000-0000-0000153E0000}"/>
    <cellStyle name="40% - Accent3 3 4 2 5 2" xfId="16460" xr:uid="{00000000-0005-0000-0000-0000163E0000}"/>
    <cellStyle name="40% - Accent3 3 4 2 5 2 2" xfId="16461" xr:uid="{00000000-0005-0000-0000-0000173E0000}"/>
    <cellStyle name="40% - Accent3 3 4 2 5 2 3" xfId="16462" xr:uid="{00000000-0005-0000-0000-0000183E0000}"/>
    <cellStyle name="40% - Accent3 3 4 2 5 3" xfId="16463" xr:uid="{00000000-0005-0000-0000-0000193E0000}"/>
    <cellStyle name="40% - Accent3 3 4 2 5 4" xfId="16464" xr:uid="{00000000-0005-0000-0000-00001A3E0000}"/>
    <cellStyle name="40% - Accent3 3 4 2 5 5" xfId="16465" xr:uid="{00000000-0005-0000-0000-00001B3E0000}"/>
    <cellStyle name="40% - Accent3 3 4 2 5 6" xfId="16466" xr:uid="{00000000-0005-0000-0000-00001C3E0000}"/>
    <cellStyle name="40% - Accent3 3 4 2 6" xfId="16467" xr:uid="{00000000-0005-0000-0000-00001D3E0000}"/>
    <cellStyle name="40% - Accent3 3 4 2 6 2" xfId="16468" xr:uid="{00000000-0005-0000-0000-00001E3E0000}"/>
    <cellStyle name="40% - Accent3 3 4 2 6 3" xfId="16469" xr:uid="{00000000-0005-0000-0000-00001F3E0000}"/>
    <cellStyle name="40% - Accent3 3 4 2 7" xfId="16470" xr:uid="{00000000-0005-0000-0000-0000203E0000}"/>
    <cellStyle name="40% - Accent3 3 4 2 8" xfId="16471" xr:uid="{00000000-0005-0000-0000-0000213E0000}"/>
    <cellStyle name="40% - Accent3 3 4 2 9" xfId="16472" xr:uid="{00000000-0005-0000-0000-0000223E0000}"/>
    <cellStyle name="40% - Accent3 3 4 3" xfId="16473" xr:uid="{00000000-0005-0000-0000-0000233E0000}"/>
    <cellStyle name="40% - Accent3 3 4 3 2" xfId="16474" xr:uid="{00000000-0005-0000-0000-0000243E0000}"/>
    <cellStyle name="40% - Accent3 3 4 3 2 2" xfId="16475" xr:uid="{00000000-0005-0000-0000-0000253E0000}"/>
    <cellStyle name="40% - Accent3 3 4 3 2 2 2" xfId="16476" xr:uid="{00000000-0005-0000-0000-0000263E0000}"/>
    <cellStyle name="40% - Accent3 3 4 3 2 2 2 2" xfId="16477" xr:uid="{00000000-0005-0000-0000-0000273E0000}"/>
    <cellStyle name="40% - Accent3 3 4 3 2 2 2 3" xfId="16478" xr:uid="{00000000-0005-0000-0000-0000283E0000}"/>
    <cellStyle name="40% - Accent3 3 4 3 2 2 3" xfId="16479" xr:uid="{00000000-0005-0000-0000-0000293E0000}"/>
    <cellStyle name="40% - Accent3 3 4 3 2 2 4" xfId="16480" xr:uid="{00000000-0005-0000-0000-00002A3E0000}"/>
    <cellStyle name="40% - Accent3 3 4 3 2 2 5" xfId="16481" xr:uid="{00000000-0005-0000-0000-00002B3E0000}"/>
    <cellStyle name="40% - Accent3 3 4 3 2 2 6" xfId="16482" xr:uid="{00000000-0005-0000-0000-00002C3E0000}"/>
    <cellStyle name="40% - Accent3 3 4 3 2 3" xfId="16483" xr:uid="{00000000-0005-0000-0000-00002D3E0000}"/>
    <cellStyle name="40% - Accent3 3 4 3 2 3 2" xfId="16484" xr:uid="{00000000-0005-0000-0000-00002E3E0000}"/>
    <cellStyle name="40% - Accent3 3 4 3 2 3 3" xfId="16485" xr:uid="{00000000-0005-0000-0000-00002F3E0000}"/>
    <cellStyle name="40% - Accent3 3 4 3 2 4" xfId="16486" xr:uid="{00000000-0005-0000-0000-0000303E0000}"/>
    <cellStyle name="40% - Accent3 3 4 3 2 5" xfId="16487" xr:uid="{00000000-0005-0000-0000-0000313E0000}"/>
    <cellStyle name="40% - Accent3 3 4 3 2 6" xfId="16488" xr:uid="{00000000-0005-0000-0000-0000323E0000}"/>
    <cellStyle name="40% - Accent3 3 4 3 2 7" xfId="16489" xr:uid="{00000000-0005-0000-0000-0000333E0000}"/>
    <cellStyle name="40% - Accent3 3 4 3 3" xfId="16490" xr:uid="{00000000-0005-0000-0000-0000343E0000}"/>
    <cellStyle name="40% - Accent3 3 4 3 3 2" xfId="16491" xr:uid="{00000000-0005-0000-0000-0000353E0000}"/>
    <cellStyle name="40% - Accent3 3 4 3 3 2 2" xfId="16492" xr:uid="{00000000-0005-0000-0000-0000363E0000}"/>
    <cellStyle name="40% - Accent3 3 4 3 3 2 3" xfId="16493" xr:uid="{00000000-0005-0000-0000-0000373E0000}"/>
    <cellStyle name="40% - Accent3 3 4 3 3 3" xfId="16494" xr:uid="{00000000-0005-0000-0000-0000383E0000}"/>
    <cellStyle name="40% - Accent3 3 4 3 3 4" xfId="16495" xr:uid="{00000000-0005-0000-0000-0000393E0000}"/>
    <cellStyle name="40% - Accent3 3 4 3 3 5" xfId="16496" xr:uid="{00000000-0005-0000-0000-00003A3E0000}"/>
    <cellStyle name="40% - Accent3 3 4 3 3 6" xfId="16497" xr:uid="{00000000-0005-0000-0000-00003B3E0000}"/>
    <cellStyle name="40% - Accent3 3 4 3 4" xfId="16498" xr:uid="{00000000-0005-0000-0000-00003C3E0000}"/>
    <cellStyle name="40% - Accent3 3 4 3 4 2" xfId="16499" xr:uid="{00000000-0005-0000-0000-00003D3E0000}"/>
    <cellStyle name="40% - Accent3 3 4 3 4 2 2" xfId="16500" xr:uid="{00000000-0005-0000-0000-00003E3E0000}"/>
    <cellStyle name="40% - Accent3 3 4 3 4 2 3" xfId="16501" xr:uid="{00000000-0005-0000-0000-00003F3E0000}"/>
    <cellStyle name="40% - Accent3 3 4 3 4 3" xfId="16502" xr:uid="{00000000-0005-0000-0000-0000403E0000}"/>
    <cellStyle name="40% - Accent3 3 4 3 4 4" xfId="16503" xr:uid="{00000000-0005-0000-0000-0000413E0000}"/>
    <cellStyle name="40% - Accent3 3 4 3 4 5" xfId="16504" xr:uid="{00000000-0005-0000-0000-0000423E0000}"/>
    <cellStyle name="40% - Accent3 3 4 3 4 6" xfId="16505" xr:uid="{00000000-0005-0000-0000-0000433E0000}"/>
    <cellStyle name="40% - Accent3 3 4 3 5" xfId="16506" xr:uid="{00000000-0005-0000-0000-0000443E0000}"/>
    <cellStyle name="40% - Accent3 3 4 3 5 2" xfId="16507" xr:uid="{00000000-0005-0000-0000-0000453E0000}"/>
    <cellStyle name="40% - Accent3 3 4 3 5 3" xfId="16508" xr:uid="{00000000-0005-0000-0000-0000463E0000}"/>
    <cellStyle name="40% - Accent3 3 4 3 6" xfId="16509" xr:uid="{00000000-0005-0000-0000-0000473E0000}"/>
    <cellStyle name="40% - Accent3 3 4 3 7" xfId="16510" xr:uid="{00000000-0005-0000-0000-0000483E0000}"/>
    <cellStyle name="40% - Accent3 3 4 3 8" xfId="16511" xr:uid="{00000000-0005-0000-0000-0000493E0000}"/>
    <cellStyle name="40% - Accent3 3 4 3 9" xfId="16512" xr:uid="{00000000-0005-0000-0000-00004A3E0000}"/>
    <cellStyle name="40% - Accent3 3 4 4" xfId="16513" xr:uid="{00000000-0005-0000-0000-00004B3E0000}"/>
    <cellStyle name="40% - Accent3 3 4 4 2" xfId="16514" xr:uid="{00000000-0005-0000-0000-00004C3E0000}"/>
    <cellStyle name="40% - Accent3 3 4 4 2 2" xfId="16515" xr:uid="{00000000-0005-0000-0000-00004D3E0000}"/>
    <cellStyle name="40% - Accent3 3 4 4 2 2 2" xfId="16516" xr:uid="{00000000-0005-0000-0000-00004E3E0000}"/>
    <cellStyle name="40% - Accent3 3 4 4 2 2 3" xfId="16517" xr:uid="{00000000-0005-0000-0000-00004F3E0000}"/>
    <cellStyle name="40% - Accent3 3 4 4 2 3" xfId="16518" xr:uid="{00000000-0005-0000-0000-0000503E0000}"/>
    <cellStyle name="40% - Accent3 3 4 4 2 4" xfId="16519" xr:uid="{00000000-0005-0000-0000-0000513E0000}"/>
    <cellStyle name="40% - Accent3 3 4 4 2 5" xfId="16520" xr:uid="{00000000-0005-0000-0000-0000523E0000}"/>
    <cellStyle name="40% - Accent3 3 4 4 2 6" xfId="16521" xr:uid="{00000000-0005-0000-0000-0000533E0000}"/>
    <cellStyle name="40% - Accent3 3 4 4 3" xfId="16522" xr:uid="{00000000-0005-0000-0000-0000543E0000}"/>
    <cellStyle name="40% - Accent3 3 4 4 3 2" xfId="16523" xr:uid="{00000000-0005-0000-0000-0000553E0000}"/>
    <cellStyle name="40% - Accent3 3 4 4 3 3" xfId="16524" xr:uid="{00000000-0005-0000-0000-0000563E0000}"/>
    <cellStyle name="40% - Accent3 3 4 4 4" xfId="16525" xr:uid="{00000000-0005-0000-0000-0000573E0000}"/>
    <cellStyle name="40% - Accent3 3 4 4 5" xfId="16526" xr:uid="{00000000-0005-0000-0000-0000583E0000}"/>
    <cellStyle name="40% - Accent3 3 4 4 6" xfId="16527" xr:uid="{00000000-0005-0000-0000-0000593E0000}"/>
    <cellStyle name="40% - Accent3 3 4 4 7" xfId="16528" xr:uid="{00000000-0005-0000-0000-00005A3E0000}"/>
    <cellStyle name="40% - Accent3 3 4 5" xfId="16529" xr:uid="{00000000-0005-0000-0000-00005B3E0000}"/>
    <cellStyle name="40% - Accent3 3 4 5 2" xfId="16530" xr:uid="{00000000-0005-0000-0000-00005C3E0000}"/>
    <cellStyle name="40% - Accent3 3 4 5 2 2" xfId="16531" xr:uid="{00000000-0005-0000-0000-00005D3E0000}"/>
    <cellStyle name="40% - Accent3 3 4 5 2 3" xfId="16532" xr:uid="{00000000-0005-0000-0000-00005E3E0000}"/>
    <cellStyle name="40% - Accent3 3 4 5 3" xfId="16533" xr:uid="{00000000-0005-0000-0000-00005F3E0000}"/>
    <cellStyle name="40% - Accent3 3 4 5 4" xfId="16534" xr:uid="{00000000-0005-0000-0000-0000603E0000}"/>
    <cellStyle name="40% - Accent3 3 4 5 5" xfId="16535" xr:uid="{00000000-0005-0000-0000-0000613E0000}"/>
    <cellStyle name="40% - Accent3 3 4 5 6" xfId="16536" xr:uid="{00000000-0005-0000-0000-0000623E0000}"/>
    <cellStyle name="40% - Accent3 3 4 6" xfId="16537" xr:uid="{00000000-0005-0000-0000-0000633E0000}"/>
    <cellStyle name="40% - Accent3 3 4 6 2" xfId="16538" xr:uid="{00000000-0005-0000-0000-0000643E0000}"/>
    <cellStyle name="40% - Accent3 3 4 6 2 2" xfId="16539" xr:uid="{00000000-0005-0000-0000-0000653E0000}"/>
    <cellStyle name="40% - Accent3 3 4 6 2 3" xfId="16540" xr:uid="{00000000-0005-0000-0000-0000663E0000}"/>
    <cellStyle name="40% - Accent3 3 4 6 3" xfId="16541" xr:uid="{00000000-0005-0000-0000-0000673E0000}"/>
    <cellStyle name="40% - Accent3 3 4 6 4" xfId="16542" xr:uid="{00000000-0005-0000-0000-0000683E0000}"/>
    <cellStyle name="40% - Accent3 3 4 6 5" xfId="16543" xr:uid="{00000000-0005-0000-0000-0000693E0000}"/>
    <cellStyle name="40% - Accent3 3 4 6 6" xfId="16544" xr:uid="{00000000-0005-0000-0000-00006A3E0000}"/>
    <cellStyle name="40% - Accent3 3 4 7" xfId="16545" xr:uid="{00000000-0005-0000-0000-00006B3E0000}"/>
    <cellStyle name="40% - Accent3 3 4 7 2" xfId="16546" xr:uid="{00000000-0005-0000-0000-00006C3E0000}"/>
    <cellStyle name="40% - Accent3 3 4 7 2 2" xfId="16547" xr:uid="{00000000-0005-0000-0000-00006D3E0000}"/>
    <cellStyle name="40% - Accent3 3 4 7 2 3" xfId="16548" xr:uid="{00000000-0005-0000-0000-00006E3E0000}"/>
    <cellStyle name="40% - Accent3 3 4 7 3" xfId="16549" xr:uid="{00000000-0005-0000-0000-00006F3E0000}"/>
    <cellStyle name="40% - Accent3 3 4 7 4" xfId="16550" xr:uid="{00000000-0005-0000-0000-0000703E0000}"/>
    <cellStyle name="40% - Accent3 3 4 7 5" xfId="16551" xr:uid="{00000000-0005-0000-0000-0000713E0000}"/>
    <cellStyle name="40% - Accent3 3 4 7 6" xfId="16552" xr:uid="{00000000-0005-0000-0000-0000723E0000}"/>
    <cellStyle name="40% - Accent3 3 4 8" xfId="16553" xr:uid="{00000000-0005-0000-0000-0000733E0000}"/>
    <cellStyle name="40% - Accent3 3 4 8 2" xfId="16554" xr:uid="{00000000-0005-0000-0000-0000743E0000}"/>
    <cellStyle name="40% - Accent3 3 4 8 2 2" xfId="16555" xr:uid="{00000000-0005-0000-0000-0000753E0000}"/>
    <cellStyle name="40% - Accent3 3 4 8 2 3" xfId="16556" xr:uid="{00000000-0005-0000-0000-0000763E0000}"/>
    <cellStyle name="40% - Accent3 3 4 8 3" xfId="16557" xr:uid="{00000000-0005-0000-0000-0000773E0000}"/>
    <cellStyle name="40% - Accent3 3 4 8 4" xfId="16558" xr:uid="{00000000-0005-0000-0000-0000783E0000}"/>
    <cellStyle name="40% - Accent3 3 4 8 5" xfId="16559" xr:uid="{00000000-0005-0000-0000-0000793E0000}"/>
    <cellStyle name="40% - Accent3 3 4 8 6" xfId="16560" xr:uid="{00000000-0005-0000-0000-00007A3E0000}"/>
    <cellStyle name="40% - Accent3 3 4 9" xfId="16561" xr:uid="{00000000-0005-0000-0000-00007B3E0000}"/>
    <cellStyle name="40% - Accent3 3 4 9 2" xfId="16562" xr:uid="{00000000-0005-0000-0000-00007C3E0000}"/>
    <cellStyle name="40% - Accent3 3 4 9 3" xfId="16563" xr:uid="{00000000-0005-0000-0000-00007D3E0000}"/>
    <cellStyle name="40% - Accent3 3 5" xfId="16564" xr:uid="{00000000-0005-0000-0000-00007E3E0000}"/>
    <cellStyle name="40% - Accent3 3 5 10" xfId="16565" xr:uid="{00000000-0005-0000-0000-00007F3E0000}"/>
    <cellStyle name="40% - Accent3 3 5 2" xfId="16566" xr:uid="{00000000-0005-0000-0000-0000803E0000}"/>
    <cellStyle name="40% - Accent3 3 5 2 2" xfId="16567" xr:uid="{00000000-0005-0000-0000-0000813E0000}"/>
    <cellStyle name="40% - Accent3 3 5 2 2 2" xfId="16568" xr:uid="{00000000-0005-0000-0000-0000823E0000}"/>
    <cellStyle name="40% - Accent3 3 5 2 2 2 2" xfId="16569" xr:uid="{00000000-0005-0000-0000-0000833E0000}"/>
    <cellStyle name="40% - Accent3 3 5 2 2 2 3" xfId="16570" xr:uid="{00000000-0005-0000-0000-0000843E0000}"/>
    <cellStyle name="40% - Accent3 3 5 2 2 3" xfId="16571" xr:uid="{00000000-0005-0000-0000-0000853E0000}"/>
    <cellStyle name="40% - Accent3 3 5 2 2 4" xfId="16572" xr:uid="{00000000-0005-0000-0000-0000863E0000}"/>
    <cellStyle name="40% - Accent3 3 5 2 2 5" xfId="16573" xr:uid="{00000000-0005-0000-0000-0000873E0000}"/>
    <cellStyle name="40% - Accent3 3 5 2 2 6" xfId="16574" xr:uid="{00000000-0005-0000-0000-0000883E0000}"/>
    <cellStyle name="40% - Accent3 3 5 2 3" xfId="16575" xr:uid="{00000000-0005-0000-0000-0000893E0000}"/>
    <cellStyle name="40% - Accent3 3 5 2 3 2" xfId="16576" xr:uid="{00000000-0005-0000-0000-00008A3E0000}"/>
    <cellStyle name="40% - Accent3 3 5 2 3 2 2" xfId="16577" xr:uid="{00000000-0005-0000-0000-00008B3E0000}"/>
    <cellStyle name="40% - Accent3 3 5 2 3 2 3" xfId="16578" xr:uid="{00000000-0005-0000-0000-00008C3E0000}"/>
    <cellStyle name="40% - Accent3 3 5 2 3 3" xfId="16579" xr:uid="{00000000-0005-0000-0000-00008D3E0000}"/>
    <cellStyle name="40% - Accent3 3 5 2 3 4" xfId="16580" xr:uid="{00000000-0005-0000-0000-00008E3E0000}"/>
    <cellStyle name="40% - Accent3 3 5 2 3 5" xfId="16581" xr:uid="{00000000-0005-0000-0000-00008F3E0000}"/>
    <cellStyle name="40% - Accent3 3 5 2 3 6" xfId="16582" xr:uid="{00000000-0005-0000-0000-0000903E0000}"/>
    <cellStyle name="40% - Accent3 3 5 2 4" xfId="16583" xr:uid="{00000000-0005-0000-0000-0000913E0000}"/>
    <cellStyle name="40% - Accent3 3 5 2 4 2" xfId="16584" xr:uid="{00000000-0005-0000-0000-0000923E0000}"/>
    <cellStyle name="40% - Accent3 3 5 2 4 3" xfId="16585" xr:uid="{00000000-0005-0000-0000-0000933E0000}"/>
    <cellStyle name="40% - Accent3 3 5 2 5" xfId="16586" xr:uid="{00000000-0005-0000-0000-0000943E0000}"/>
    <cellStyle name="40% - Accent3 3 5 2 6" xfId="16587" xr:uid="{00000000-0005-0000-0000-0000953E0000}"/>
    <cellStyle name="40% - Accent3 3 5 2 7" xfId="16588" xr:uid="{00000000-0005-0000-0000-0000963E0000}"/>
    <cellStyle name="40% - Accent3 3 5 2 8" xfId="16589" xr:uid="{00000000-0005-0000-0000-0000973E0000}"/>
    <cellStyle name="40% - Accent3 3 5 3" xfId="16590" xr:uid="{00000000-0005-0000-0000-0000983E0000}"/>
    <cellStyle name="40% - Accent3 3 5 3 2" xfId="16591" xr:uid="{00000000-0005-0000-0000-0000993E0000}"/>
    <cellStyle name="40% - Accent3 3 5 3 2 2" xfId="16592" xr:uid="{00000000-0005-0000-0000-00009A3E0000}"/>
    <cellStyle name="40% - Accent3 3 5 3 2 2 2" xfId="16593" xr:uid="{00000000-0005-0000-0000-00009B3E0000}"/>
    <cellStyle name="40% - Accent3 3 5 3 2 2 3" xfId="16594" xr:uid="{00000000-0005-0000-0000-00009C3E0000}"/>
    <cellStyle name="40% - Accent3 3 5 3 2 3" xfId="16595" xr:uid="{00000000-0005-0000-0000-00009D3E0000}"/>
    <cellStyle name="40% - Accent3 3 5 3 2 4" xfId="16596" xr:uid="{00000000-0005-0000-0000-00009E3E0000}"/>
    <cellStyle name="40% - Accent3 3 5 3 2 5" xfId="16597" xr:uid="{00000000-0005-0000-0000-00009F3E0000}"/>
    <cellStyle name="40% - Accent3 3 5 3 2 6" xfId="16598" xr:uid="{00000000-0005-0000-0000-0000A03E0000}"/>
    <cellStyle name="40% - Accent3 3 5 3 3" xfId="16599" xr:uid="{00000000-0005-0000-0000-0000A13E0000}"/>
    <cellStyle name="40% - Accent3 3 5 3 3 2" xfId="16600" xr:uid="{00000000-0005-0000-0000-0000A23E0000}"/>
    <cellStyle name="40% - Accent3 3 5 3 3 3" xfId="16601" xr:uid="{00000000-0005-0000-0000-0000A33E0000}"/>
    <cellStyle name="40% - Accent3 3 5 3 4" xfId="16602" xr:uid="{00000000-0005-0000-0000-0000A43E0000}"/>
    <cellStyle name="40% - Accent3 3 5 3 5" xfId="16603" xr:uid="{00000000-0005-0000-0000-0000A53E0000}"/>
    <cellStyle name="40% - Accent3 3 5 3 6" xfId="16604" xr:uid="{00000000-0005-0000-0000-0000A63E0000}"/>
    <cellStyle name="40% - Accent3 3 5 3 7" xfId="16605" xr:uid="{00000000-0005-0000-0000-0000A73E0000}"/>
    <cellStyle name="40% - Accent3 3 5 4" xfId="16606" xr:uid="{00000000-0005-0000-0000-0000A83E0000}"/>
    <cellStyle name="40% - Accent3 3 5 4 2" xfId="16607" xr:uid="{00000000-0005-0000-0000-0000A93E0000}"/>
    <cellStyle name="40% - Accent3 3 5 4 2 2" xfId="16608" xr:uid="{00000000-0005-0000-0000-0000AA3E0000}"/>
    <cellStyle name="40% - Accent3 3 5 4 2 3" xfId="16609" xr:uid="{00000000-0005-0000-0000-0000AB3E0000}"/>
    <cellStyle name="40% - Accent3 3 5 4 3" xfId="16610" xr:uid="{00000000-0005-0000-0000-0000AC3E0000}"/>
    <cellStyle name="40% - Accent3 3 5 4 4" xfId="16611" xr:uid="{00000000-0005-0000-0000-0000AD3E0000}"/>
    <cellStyle name="40% - Accent3 3 5 4 5" xfId="16612" xr:uid="{00000000-0005-0000-0000-0000AE3E0000}"/>
    <cellStyle name="40% - Accent3 3 5 4 6" xfId="16613" xr:uid="{00000000-0005-0000-0000-0000AF3E0000}"/>
    <cellStyle name="40% - Accent3 3 5 5" xfId="16614" xr:uid="{00000000-0005-0000-0000-0000B03E0000}"/>
    <cellStyle name="40% - Accent3 3 5 5 2" xfId="16615" xr:uid="{00000000-0005-0000-0000-0000B13E0000}"/>
    <cellStyle name="40% - Accent3 3 5 5 2 2" xfId="16616" xr:uid="{00000000-0005-0000-0000-0000B23E0000}"/>
    <cellStyle name="40% - Accent3 3 5 5 2 3" xfId="16617" xr:uid="{00000000-0005-0000-0000-0000B33E0000}"/>
    <cellStyle name="40% - Accent3 3 5 5 3" xfId="16618" xr:uid="{00000000-0005-0000-0000-0000B43E0000}"/>
    <cellStyle name="40% - Accent3 3 5 5 4" xfId="16619" xr:uid="{00000000-0005-0000-0000-0000B53E0000}"/>
    <cellStyle name="40% - Accent3 3 5 5 5" xfId="16620" xr:uid="{00000000-0005-0000-0000-0000B63E0000}"/>
    <cellStyle name="40% - Accent3 3 5 5 6" xfId="16621" xr:uid="{00000000-0005-0000-0000-0000B73E0000}"/>
    <cellStyle name="40% - Accent3 3 5 6" xfId="16622" xr:uid="{00000000-0005-0000-0000-0000B83E0000}"/>
    <cellStyle name="40% - Accent3 3 5 6 2" xfId="16623" xr:uid="{00000000-0005-0000-0000-0000B93E0000}"/>
    <cellStyle name="40% - Accent3 3 5 6 3" xfId="16624" xr:uid="{00000000-0005-0000-0000-0000BA3E0000}"/>
    <cellStyle name="40% - Accent3 3 5 7" xfId="16625" xr:uid="{00000000-0005-0000-0000-0000BB3E0000}"/>
    <cellStyle name="40% - Accent3 3 5 8" xfId="16626" xr:uid="{00000000-0005-0000-0000-0000BC3E0000}"/>
    <cellStyle name="40% - Accent3 3 5 9" xfId="16627" xr:uid="{00000000-0005-0000-0000-0000BD3E0000}"/>
    <cellStyle name="40% - Accent3 3 6" xfId="16628" xr:uid="{00000000-0005-0000-0000-0000BE3E0000}"/>
    <cellStyle name="40% - Accent3 3 6 2" xfId="16629" xr:uid="{00000000-0005-0000-0000-0000BF3E0000}"/>
    <cellStyle name="40% - Accent3 3 6 2 2" xfId="16630" xr:uid="{00000000-0005-0000-0000-0000C03E0000}"/>
    <cellStyle name="40% - Accent3 3 6 2 2 2" xfId="16631" xr:uid="{00000000-0005-0000-0000-0000C13E0000}"/>
    <cellStyle name="40% - Accent3 3 6 2 2 2 2" xfId="16632" xr:uid="{00000000-0005-0000-0000-0000C23E0000}"/>
    <cellStyle name="40% - Accent3 3 6 2 2 2 3" xfId="16633" xr:uid="{00000000-0005-0000-0000-0000C33E0000}"/>
    <cellStyle name="40% - Accent3 3 6 2 2 3" xfId="16634" xr:uid="{00000000-0005-0000-0000-0000C43E0000}"/>
    <cellStyle name="40% - Accent3 3 6 2 2 4" xfId="16635" xr:uid="{00000000-0005-0000-0000-0000C53E0000}"/>
    <cellStyle name="40% - Accent3 3 6 2 2 5" xfId="16636" xr:uid="{00000000-0005-0000-0000-0000C63E0000}"/>
    <cellStyle name="40% - Accent3 3 6 2 2 6" xfId="16637" xr:uid="{00000000-0005-0000-0000-0000C73E0000}"/>
    <cellStyle name="40% - Accent3 3 6 2 3" xfId="16638" xr:uid="{00000000-0005-0000-0000-0000C83E0000}"/>
    <cellStyle name="40% - Accent3 3 6 2 3 2" xfId="16639" xr:uid="{00000000-0005-0000-0000-0000C93E0000}"/>
    <cellStyle name="40% - Accent3 3 6 2 3 3" xfId="16640" xr:uid="{00000000-0005-0000-0000-0000CA3E0000}"/>
    <cellStyle name="40% - Accent3 3 6 2 4" xfId="16641" xr:uid="{00000000-0005-0000-0000-0000CB3E0000}"/>
    <cellStyle name="40% - Accent3 3 6 2 5" xfId="16642" xr:uid="{00000000-0005-0000-0000-0000CC3E0000}"/>
    <cellStyle name="40% - Accent3 3 6 2 6" xfId="16643" xr:uid="{00000000-0005-0000-0000-0000CD3E0000}"/>
    <cellStyle name="40% - Accent3 3 6 2 7" xfId="16644" xr:uid="{00000000-0005-0000-0000-0000CE3E0000}"/>
    <cellStyle name="40% - Accent3 3 6 3" xfId="16645" xr:uid="{00000000-0005-0000-0000-0000CF3E0000}"/>
    <cellStyle name="40% - Accent3 3 6 3 2" xfId="16646" xr:uid="{00000000-0005-0000-0000-0000D03E0000}"/>
    <cellStyle name="40% - Accent3 3 6 3 2 2" xfId="16647" xr:uid="{00000000-0005-0000-0000-0000D13E0000}"/>
    <cellStyle name="40% - Accent3 3 6 3 2 3" xfId="16648" xr:uid="{00000000-0005-0000-0000-0000D23E0000}"/>
    <cellStyle name="40% - Accent3 3 6 3 3" xfId="16649" xr:uid="{00000000-0005-0000-0000-0000D33E0000}"/>
    <cellStyle name="40% - Accent3 3 6 3 4" xfId="16650" xr:uid="{00000000-0005-0000-0000-0000D43E0000}"/>
    <cellStyle name="40% - Accent3 3 6 3 5" xfId="16651" xr:uid="{00000000-0005-0000-0000-0000D53E0000}"/>
    <cellStyle name="40% - Accent3 3 6 3 6" xfId="16652" xr:uid="{00000000-0005-0000-0000-0000D63E0000}"/>
    <cellStyle name="40% - Accent3 3 6 4" xfId="16653" xr:uid="{00000000-0005-0000-0000-0000D73E0000}"/>
    <cellStyle name="40% - Accent3 3 6 4 2" xfId="16654" xr:uid="{00000000-0005-0000-0000-0000D83E0000}"/>
    <cellStyle name="40% - Accent3 3 6 4 2 2" xfId="16655" xr:uid="{00000000-0005-0000-0000-0000D93E0000}"/>
    <cellStyle name="40% - Accent3 3 6 4 2 3" xfId="16656" xr:uid="{00000000-0005-0000-0000-0000DA3E0000}"/>
    <cellStyle name="40% - Accent3 3 6 4 3" xfId="16657" xr:uid="{00000000-0005-0000-0000-0000DB3E0000}"/>
    <cellStyle name="40% - Accent3 3 6 4 4" xfId="16658" xr:uid="{00000000-0005-0000-0000-0000DC3E0000}"/>
    <cellStyle name="40% - Accent3 3 6 4 5" xfId="16659" xr:uid="{00000000-0005-0000-0000-0000DD3E0000}"/>
    <cellStyle name="40% - Accent3 3 6 4 6" xfId="16660" xr:uid="{00000000-0005-0000-0000-0000DE3E0000}"/>
    <cellStyle name="40% - Accent3 3 6 5" xfId="16661" xr:uid="{00000000-0005-0000-0000-0000DF3E0000}"/>
    <cellStyle name="40% - Accent3 3 6 5 2" xfId="16662" xr:uid="{00000000-0005-0000-0000-0000E03E0000}"/>
    <cellStyle name="40% - Accent3 3 6 5 3" xfId="16663" xr:uid="{00000000-0005-0000-0000-0000E13E0000}"/>
    <cellStyle name="40% - Accent3 3 6 6" xfId="16664" xr:uid="{00000000-0005-0000-0000-0000E23E0000}"/>
    <cellStyle name="40% - Accent3 3 6 7" xfId="16665" xr:uid="{00000000-0005-0000-0000-0000E33E0000}"/>
    <cellStyle name="40% - Accent3 3 6 8" xfId="16666" xr:uid="{00000000-0005-0000-0000-0000E43E0000}"/>
    <cellStyle name="40% - Accent3 3 6 9" xfId="16667" xr:uid="{00000000-0005-0000-0000-0000E53E0000}"/>
    <cellStyle name="40% - Accent3 3 7" xfId="16668" xr:uid="{00000000-0005-0000-0000-0000E63E0000}"/>
    <cellStyle name="40% - Accent3 3 7 2" xfId="16669" xr:uid="{00000000-0005-0000-0000-0000E73E0000}"/>
    <cellStyle name="40% - Accent3 3 7 2 2" xfId="16670" xr:uid="{00000000-0005-0000-0000-0000E83E0000}"/>
    <cellStyle name="40% - Accent3 3 7 2 2 2" xfId="16671" xr:uid="{00000000-0005-0000-0000-0000E93E0000}"/>
    <cellStyle name="40% - Accent3 3 7 2 2 3" xfId="16672" xr:uid="{00000000-0005-0000-0000-0000EA3E0000}"/>
    <cellStyle name="40% - Accent3 3 7 2 3" xfId="16673" xr:uid="{00000000-0005-0000-0000-0000EB3E0000}"/>
    <cellStyle name="40% - Accent3 3 7 2 4" xfId="16674" xr:uid="{00000000-0005-0000-0000-0000EC3E0000}"/>
    <cellStyle name="40% - Accent3 3 7 2 5" xfId="16675" xr:uid="{00000000-0005-0000-0000-0000ED3E0000}"/>
    <cellStyle name="40% - Accent3 3 7 2 6" xfId="16676" xr:uid="{00000000-0005-0000-0000-0000EE3E0000}"/>
    <cellStyle name="40% - Accent3 3 7 3" xfId="16677" xr:uid="{00000000-0005-0000-0000-0000EF3E0000}"/>
    <cellStyle name="40% - Accent3 3 7 3 2" xfId="16678" xr:uid="{00000000-0005-0000-0000-0000F03E0000}"/>
    <cellStyle name="40% - Accent3 3 7 3 3" xfId="16679" xr:uid="{00000000-0005-0000-0000-0000F13E0000}"/>
    <cellStyle name="40% - Accent3 3 7 4" xfId="16680" xr:uid="{00000000-0005-0000-0000-0000F23E0000}"/>
    <cellStyle name="40% - Accent3 3 7 5" xfId="16681" xr:uid="{00000000-0005-0000-0000-0000F33E0000}"/>
    <cellStyle name="40% - Accent3 3 7 6" xfId="16682" xr:uid="{00000000-0005-0000-0000-0000F43E0000}"/>
    <cellStyle name="40% - Accent3 3 7 7" xfId="16683" xr:uid="{00000000-0005-0000-0000-0000F53E0000}"/>
    <cellStyle name="40% - Accent3 3 8" xfId="16684" xr:uid="{00000000-0005-0000-0000-0000F63E0000}"/>
    <cellStyle name="40% - Accent3 3 8 2" xfId="16685" xr:uid="{00000000-0005-0000-0000-0000F73E0000}"/>
    <cellStyle name="40% - Accent3 3 8 2 2" xfId="16686" xr:uid="{00000000-0005-0000-0000-0000F83E0000}"/>
    <cellStyle name="40% - Accent3 3 8 2 3" xfId="16687" xr:uid="{00000000-0005-0000-0000-0000F93E0000}"/>
    <cellStyle name="40% - Accent3 3 8 3" xfId="16688" xr:uid="{00000000-0005-0000-0000-0000FA3E0000}"/>
    <cellStyle name="40% - Accent3 3 8 4" xfId="16689" xr:uid="{00000000-0005-0000-0000-0000FB3E0000}"/>
    <cellStyle name="40% - Accent3 3 8 5" xfId="16690" xr:uid="{00000000-0005-0000-0000-0000FC3E0000}"/>
    <cellStyle name="40% - Accent3 3 8 6" xfId="16691" xr:uid="{00000000-0005-0000-0000-0000FD3E0000}"/>
    <cellStyle name="40% - Accent3 3 9" xfId="16692" xr:uid="{00000000-0005-0000-0000-0000FE3E0000}"/>
    <cellStyle name="40% - Accent3 3 9 2" xfId="16693" xr:uid="{00000000-0005-0000-0000-0000FF3E0000}"/>
    <cellStyle name="40% - Accent3 3 9 2 2" xfId="16694" xr:uid="{00000000-0005-0000-0000-0000003F0000}"/>
    <cellStyle name="40% - Accent3 3 9 2 3" xfId="16695" xr:uid="{00000000-0005-0000-0000-0000013F0000}"/>
    <cellStyle name="40% - Accent3 3 9 3" xfId="16696" xr:uid="{00000000-0005-0000-0000-0000023F0000}"/>
    <cellStyle name="40% - Accent3 3 9 4" xfId="16697" xr:uid="{00000000-0005-0000-0000-0000033F0000}"/>
    <cellStyle name="40% - Accent3 3 9 5" xfId="16698" xr:uid="{00000000-0005-0000-0000-0000043F0000}"/>
    <cellStyle name="40% - Accent3 3 9 6" xfId="16699" xr:uid="{00000000-0005-0000-0000-0000053F0000}"/>
    <cellStyle name="40% - Accent3 4" xfId="16700" xr:uid="{00000000-0005-0000-0000-0000063F0000}"/>
    <cellStyle name="40% - Accent3 4 10" xfId="16701" xr:uid="{00000000-0005-0000-0000-0000073F0000}"/>
    <cellStyle name="40% - Accent3 4 10 2" xfId="16702" xr:uid="{00000000-0005-0000-0000-0000083F0000}"/>
    <cellStyle name="40% - Accent3 4 10 2 2" xfId="16703" xr:uid="{00000000-0005-0000-0000-0000093F0000}"/>
    <cellStyle name="40% - Accent3 4 10 2 3" xfId="16704" xr:uid="{00000000-0005-0000-0000-00000A3F0000}"/>
    <cellStyle name="40% - Accent3 4 10 3" xfId="16705" xr:uid="{00000000-0005-0000-0000-00000B3F0000}"/>
    <cellStyle name="40% - Accent3 4 10 4" xfId="16706" xr:uid="{00000000-0005-0000-0000-00000C3F0000}"/>
    <cellStyle name="40% - Accent3 4 10 5" xfId="16707" xr:uid="{00000000-0005-0000-0000-00000D3F0000}"/>
    <cellStyle name="40% - Accent3 4 10 6" xfId="16708" xr:uid="{00000000-0005-0000-0000-00000E3F0000}"/>
    <cellStyle name="40% - Accent3 4 11" xfId="16709" xr:uid="{00000000-0005-0000-0000-00000F3F0000}"/>
    <cellStyle name="40% - Accent3 4 11 2" xfId="16710" xr:uid="{00000000-0005-0000-0000-0000103F0000}"/>
    <cellStyle name="40% - Accent3 4 11 3" xfId="16711" xr:uid="{00000000-0005-0000-0000-0000113F0000}"/>
    <cellStyle name="40% - Accent3 4 12" xfId="16712" xr:uid="{00000000-0005-0000-0000-0000123F0000}"/>
    <cellStyle name="40% - Accent3 4 13" xfId="16713" xr:uid="{00000000-0005-0000-0000-0000133F0000}"/>
    <cellStyle name="40% - Accent3 4 14" xfId="16714" xr:uid="{00000000-0005-0000-0000-0000143F0000}"/>
    <cellStyle name="40% - Accent3 4 15" xfId="16715" xr:uid="{00000000-0005-0000-0000-0000153F0000}"/>
    <cellStyle name="40% - Accent3 4 2" xfId="16716" xr:uid="{00000000-0005-0000-0000-0000163F0000}"/>
    <cellStyle name="40% - Accent3 4 2 10" xfId="16717" xr:uid="{00000000-0005-0000-0000-0000173F0000}"/>
    <cellStyle name="40% - Accent3 4 2 10 2" xfId="16718" xr:uid="{00000000-0005-0000-0000-0000183F0000}"/>
    <cellStyle name="40% - Accent3 4 2 10 3" xfId="16719" xr:uid="{00000000-0005-0000-0000-0000193F0000}"/>
    <cellStyle name="40% - Accent3 4 2 11" xfId="16720" xr:uid="{00000000-0005-0000-0000-00001A3F0000}"/>
    <cellStyle name="40% - Accent3 4 2 12" xfId="16721" xr:uid="{00000000-0005-0000-0000-00001B3F0000}"/>
    <cellStyle name="40% - Accent3 4 2 13" xfId="16722" xr:uid="{00000000-0005-0000-0000-00001C3F0000}"/>
    <cellStyle name="40% - Accent3 4 2 14" xfId="16723" xr:uid="{00000000-0005-0000-0000-00001D3F0000}"/>
    <cellStyle name="40% - Accent3 4 2 2" xfId="16724" xr:uid="{00000000-0005-0000-0000-00001E3F0000}"/>
    <cellStyle name="40% - Accent3 4 2 2 10" xfId="16725" xr:uid="{00000000-0005-0000-0000-00001F3F0000}"/>
    <cellStyle name="40% - Accent3 4 2 2 11" xfId="16726" xr:uid="{00000000-0005-0000-0000-0000203F0000}"/>
    <cellStyle name="40% - Accent3 4 2 2 12" xfId="16727" xr:uid="{00000000-0005-0000-0000-0000213F0000}"/>
    <cellStyle name="40% - Accent3 4 2 2 13" xfId="16728" xr:uid="{00000000-0005-0000-0000-0000223F0000}"/>
    <cellStyle name="40% - Accent3 4 2 2 2" xfId="16729" xr:uid="{00000000-0005-0000-0000-0000233F0000}"/>
    <cellStyle name="40% - Accent3 4 2 2 2 10" xfId="16730" xr:uid="{00000000-0005-0000-0000-0000243F0000}"/>
    <cellStyle name="40% - Accent3 4 2 2 2 2" xfId="16731" xr:uid="{00000000-0005-0000-0000-0000253F0000}"/>
    <cellStyle name="40% - Accent3 4 2 2 2 2 2" xfId="16732" xr:uid="{00000000-0005-0000-0000-0000263F0000}"/>
    <cellStyle name="40% - Accent3 4 2 2 2 2 2 2" xfId="16733" xr:uid="{00000000-0005-0000-0000-0000273F0000}"/>
    <cellStyle name="40% - Accent3 4 2 2 2 2 2 2 2" xfId="16734" xr:uid="{00000000-0005-0000-0000-0000283F0000}"/>
    <cellStyle name="40% - Accent3 4 2 2 2 2 2 2 3" xfId="16735" xr:uid="{00000000-0005-0000-0000-0000293F0000}"/>
    <cellStyle name="40% - Accent3 4 2 2 2 2 2 3" xfId="16736" xr:uid="{00000000-0005-0000-0000-00002A3F0000}"/>
    <cellStyle name="40% - Accent3 4 2 2 2 2 2 4" xfId="16737" xr:uid="{00000000-0005-0000-0000-00002B3F0000}"/>
    <cellStyle name="40% - Accent3 4 2 2 2 2 2 5" xfId="16738" xr:uid="{00000000-0005-0000-0000-00002C3F0000}"/>
    <cellStyle name="40% - Accent3 4 2 2 2 2 2 6" xfId="16739" xr:uid="{00000000-0005-0000-0000-00002D3F0000}"/>
    <cellStyle name="40% - Accent3 4 2 2 2 2 3" xfId="16740" xr:uid="{00000000-0005-0000-0000-00002E3F0000}"/>
    <cellStyle name="40% - Accent3 4 2 2 2 2 3 2" xfId="16741" xr:uid="{00000000-0005-0000-0000-00002F3F0000}"/>
    <cellStyle name="40% - Accent3 4 2 2 2 2 3 2 2" xfId="16742" xr:uid="{00000000-0005-0000-0000-0000303F0000}"/>
    <cellStyle name="40% - Accent3 4 2 2 2 2 3 2 3" xfId="16743" xr:uid="{00000000-0005-0000-0000-0000313F0000}"/>
    <cellStyle name="40% - Accent3 4 2 2 2 2 3 3" xfId="16744" xr:uid="{00000000-0005-0000-0000-0000323F0000}"/>
    <cellStyle name="40% - Accent3 4 2 2 2 2 3 4" xfId="16745" xr:uid="{00000000-0005-0000-0000-0000333F0000}"/>
    <cellStyle name="40% - Accent3 4 2 2 2 2 3 5" xfId="16746" xr:uid="{00000000-0005-0000-0000-0000343F0000}"/>
    <cellStyle name="40% - Accent3 4 2 2 2 2 3 6" xfId="16747" xr:uid="{00000000-0005-0000-0000-0000353F0000}"/>
    <cellStyle name="40% - Accent3 4 2 2 2 2 4" xfId="16748" xr:uid="{00000000-0005-0000-0000-0000363F0000}"/>
    <cellStyle name="40% - Accent3 4 2 2 2 2 4 2" xfId="16749" xr:uid="{00000000-0005-0000-0000-0000373F0000}"/>
    <cellStyle name="40% - Accent3 4 2 2 2 2 4 3" xfId="16750" xr:uid="{00000000-0005-0000-0000-0000383F0000}"/>
    <cellStyle name="40% - Accent3 4 2 2 2 2 5" xfId="16751" xr:uid="{00000000-0005-0000-0000-0000393F0000}"/>
    <cellStyle name="40% - Accent3 4 2 2 2 2 6" xfId="16752" xr:uid="{00000000-0005-0000-0000-00003A3F0000}"/>
    <cellStyle name="40% - Accent3 4 2 2 2 2 7" xfId="16753" xr:uid="{00000000-0005-0000-0000-00003B3F0000}"/>
    <cellStyle name="40% - Accent3 4 2 2 2 2 8" xfId="16754" xr:uid="{00000000-0005-0000-0000-00003C3F0000}"/>
    <cellStyle name="40% - Accent3 4 2 2 2 3" xfId="16755" xr:uid="{00000000-0005-0000-0000-00003D3F0000}"/>
    <cellStyle name="40% - Accent3 4 2 2 2 3 2" xfId="16756" xr:uid="{00000000-0005-0000-0000-00003E3F0000}"/>
    <cellStyle name="40% - Accent3 4 2 2 2 3 2 2" xfId="16757" xr:uid="{00000000-0005-0000-0000-00003F3F0000}"/>
    <cellStyle name="40% - Accent3 4 2 2 2 3 2 2 2" xfId="16758" xr:uid="{00000000-0005-0000-0000-0000403F0000}"/>
    <cellStyle name="40% - Accent3 4 2 2 2 3 2 2 3" xfId="16759" xr:uid="{00000000-0005-0000-0000-0000413F0000}"/>
    <cellStyle name="40% - Accent3 4 2 2 2 3 2 3" xfId="16760" xr:uid="{00000000-0005-0000-0000-0000423F0000}"/>
    <cellStyle name="40% - Accent3 4 2 2 2 3 2 4" xfId="16761" xr:uid="{00000000-0005-0000-0000-0000433F0000}"/>
    <cellStyle name="40% - Accent3 4 2 2 2 3 2 5" xfId="16762" xr:uid="{00000000-0005-0000-0000-0000443F0000}"/>
    <cellStyle name="40% - Accent3 4 2 2 2 3 2 6" xfId="16763" xr:uid="{00000000-0005-0000-0000-0000453F0000}"/>
    <cellStyle name="40% - Accent3 4 2 2 2 3 3" xfId="16764" xr:uid="{00000000-0005-0000-0000-0000463F0000}"/>
    <cellStyle name="40% - Accent3 4 2 2 2 3 3 2" xfId="16765" xr:uid="{00000000-0005-0000-0000-0000473F0000}"/>
    <cellStyle name="40% - Accent3 4 2 2 2 3 3 3" xfId="16766" xr:uid="{00000000-0005-0000-0000-0000483F0000}"/>
    <cellStyle name="40% - Accent3 4 2 2 2 3 4" xfId="16767" xr:uid="{00000000-0005-0000-0000-0000493F0000}"/>
    <cellStyle name="40% - Accent3 4 2 2 2 3 5" xfId="16768" xr:uid="{00000000-0005-0000-0000-00004A3F0000}"/>
    <cellStyle name="40% - Accent3 4 2 2 2 3 6" xfId="16769" xr:uid="{00000000-0005-0000-0000-00004B3F0000}"/>
    <cellStyle name="40% - Accent3 4 2 2 2 3 7" xfId="16770" xr:uid="{00000000-0005-0000-0000-00004C3F0000}"/>
    <cellStyle name="40% - Accent3 4 2 2 2 4" xfId="16771" xr:uid="{00000000-0005-0000-0000-00004D3F0000}"/>
    <cellStyle name="40% - Accent3 4 2 2 2 4 2" xfId="16772" xr:uid="{00000000-0005-0000-0000-00004E3F0000}"/>
    <cellStyle name="40% - Accent3 4 2 2 2 4 2 2" xfId="16773" xr:uid="{00000000-0005-0000-0000-00004F3F0000}"/>
    <cellStyle name="40% - Accent3 4 2 2 2 4 2 3" xfId="16774" xr:uid="{00000000-0005-0000-0000-0000503F0000}"/>
    <cellStyle name="40% - Accent3 4 2 2 2 4 3" xfId="16775" xr:uid="{00000000-0005-0000-0000-0000513F0000}"/>
    <cellStyle name="40% - Accent3 4 2 2 2 4 4" xfId="16776" xr:uid="{00000000-0005-0000-0000-0000523F0000}"/>
    <cellStyle name="40% - Accent3 4 2 2 2 4 5" xfId="16777" xr:uid="{00000000-0005-0000-0000-0000533F0000}"/>
    <cellStyle name="40% - Accent3 4 2 2 2 4 6" xfId="16778" xr:uid="{00000000-0005-0000-0000-0000543F0000}"/>
    <cellStyle name="40% - Accent3 4 2 2 2 5" xfId="16779" xr:uid="{00000000-0005-0000-0000-0000553F0000}"/>
    <cellStyle name="40% - Accent3 4 2 2 2 5 2" xfId="16780" xr:uid="{00000000-0005-0000-0000-0000563F0000}"/>
    <cellStyle name="40% - Accent3 4 2 2 2 5 2 2" xfId="16781" xr:uid="{00000000-0005-0000-0000-0000573F0000}"/>
    <cellStyle name="40% - Accent3 4 2 2 2 5 2 3" xfId="16782" xr:uid="{00000000-0005-0000-0000-0000583F0000}"/>
    <cellStyle name="40% - Accent3 4 2 2 2 5 3" xfId="16783" xr:uid="{00000000-0005-0000-0000-0000593F0000}"/>
    <cellStyle name="40% - Accent3 4 2 2 2 5 4" xfId="16784" xr:uid="{00000000-0005-0000-0000-00005A3F0000}"/>
    <cellStyle name="40% - Accent3 4 2 2 2 5 5" xfId="16785" xr:uid="{00000000-0005-0000-0000-00005B3F0000}"/>
    <cellStyle name="40% - Accent3 4 2 2 2 5 6" xfId="16786" xr:uid="{00000000-0005-0000-0000-00005C3F0000}"/>
    <cellStyle name="40% - Accent3 4 2 2 2 6" xfId="16787" xr:uid="{00000000-0005-0000-0000-00005D3F0000}"/>
    <cellStyle name="40% - Accent3 4 2 2 2 6 2" xfId="16788" xr:uid="{00000000-0005-0000-0000-00005E3F0000}"/>
    <cellStyle name="40% - Accent3 4 2 2 2 6 3" xfId="16789" xr:uid="{00000000-0005-0000-0000-00005F3F0000}"/>
    <cellStyle name="40% - Accent3 4 2 2 2 7" xfId="16790" xr:uid="{00000000-0005-0000-0000-0000603F0000}"/>
    <cellStyle name="40% - Accent3 4 2 2 2 8" xfId="16791" xr:uid="{00000000-0005-0000-0000-0000613F0000}"/>
    <cellStyle name="40% - Accent3 4 2 2 2 9" xfId="16792" xr:uid="{00000000-0005-0000-0000-0000623F0000}"/>
    <cellStyle name="40% - Accent3 4 2 2 3" xfId="16793" xr:uid="{00000000-0005-0000-0000-0000633F0000}"/>
    <cellStyle name="40% - Accent3 4 2 2 3 2" xfId="16794" xr:uid="{00000000-0005-0000-0000-0000643F0000}"/>
    <cellStyle name="40% - Accent3 4 2 2 3 2 2" xfId="16795" xr:uid="{00000000-0005-0000-0000-0000653F0000}"/>
    <cellStyle name="40% - Accent3 4 2 2 3 2 2 2" xfId="16796" xr:uid="{00000000-0005-0000-0000-0000663F0000}"/>
    <cellStyle name="40% - Accent3 4 2 2 3 2 2 2 2" xfId="16797" xr:uid="{00000000-0005-0000-0000-0000673F0000}"/>
    <cellStyle name="40% - Accent3 4 2 2 3 2 2 2 3" xfId="16798" xr:uid="{00000000-0005-0000-0000-0000683F0000}"/>
    <cellStyle name="40% - Accent3 4 2 2 3 2 2 3" xfId="16799" xr:uid="{00000000-0005-0000-0000-0000693F0000}"/>
    <cellStyle name="40% - Accent3 4 2 2 3 2 2 4" xfId="16800" xr:uid="{00000000-0005-0000-0000-00006A3F0000}"/>
    <cellStyle name="40% - Accent3 4 2 2 3 2 2 5" xfId="16801" xr:uid="{00000000-0005-0000-0000-00006B3F0000}"/>
    <cellStyle name="40% - Accent3 4 2 2 3 2 2 6" xfId="16802" xr:uid="{00000000-0005-0000-0000-00006C3F0000}"/>
    <cellStyle name="40% - Accent3 4 2 2 3 2 3" xfId="16803" xr:uid="{00000000-0005-0000-0000-00006D3F0000}"/>
    <cellStyle name="40% - Accent3 4 2 2 3 2 3 2" xfId="16804" xr:uid="{00000000-0005-0000-0000-00006E3F0000}"/>
    <cellStyle name="40% - Accent3 4 2 2 3 2 3 3" xfId="16805" xr:uid="{00000000-0005-0000-0000-00006F3F0000}"/>
    <cellStyle name="40% - Accent3 4 2 2 3 2 4" xfId="16806" xr:uid="{00000000-0005-0000-0000-0000703F0000}"/>
    <cellStyle name="40% - Accent3 4 2 2 3 2 5" xfId="16807" xr:uid="{00000000-0005-0000-0000-0000713F0000}"/>
    <cellStyle name="40% - Accent3 4 2 2 3 2 6" xfId="16808" xr:uid="{00000000-0005-0000-0000-0000723F0000}"/>
    <cellStyle name="40% - Accent3 4 2 2 3 2 7" xfId="16809" xr:uid="{00000000-0005-0000-0000-0000733F0000}"/>
    <cellStyle name="40% - Accent3 4 2 2 3 3" xfId="16810" xr:uid="{00000000-0005-0000-0000-0000743F0000}"/>
    <cellStyle name="40% - Accent3 4 2 2 3 3 2" xfId="16811" xr:uid="{00000000-0005-0000-0000-0000753F0000}"/>
    <cellStyle name="40% - Accent3 4 2 2 3 3 2 2" xfId="16812" xr:uid="{00000000-0005-0000-0000-0000763F0000}"/>
    <cellStyle name="40% - Accent3 4 2 2 3 3 2 3" xfId="16813" xr:uid="{00000000-0005-0000-0000-0000773F0000}"/>
    <cellStyle name="40% - Accent3 4 2 2 3 3 3" xfId="16814" xr:uid="{00000000-0005-0000-0000-0000783F0000}"/>
    <cellStyle name="40% - Accent3 4 2 2 3 3 4" xfId="16815" xr:uid="{00000000-0005-0000-0000-0000793F0000}"/>
    <cellStyle name="40% - Accent3 4 2 2 3 3 5" xfId="16816" xr:uid="{00000000-0005-0000-0000-00007A3F0000}"/>
    <cellStyle name="40% - Accent3 4 2 2 3 3 6" xfId="16817" xr:uid="{00000000-0005-0000-0000-00007B3F0000}"/>
    <cellStyle name="40% - Accent3 4 2 2 3 4" xfId="16818" xr:uid="{00000000-0005-0000-0000-00007C3F0000}"/>
    <cellStyle name="40% - Accent3 4 2 2 3 4 2" xfId="16819" xr:uid="{00000000-0005-0000-0000-00007D3F0000}"/>
    <cellStyle name="40% - Accent3 4 2 2 3 4 2 2" xfId="16820" xr:uid="{00000000-0005-0000-0000-00007E3F0000}"/>
    <cellStyle name="40% - Accent3 4 2 2 3 4 2 3" xfId="16821" xr:uid="{00000000-0005-0000-0000-00007F3F0000}"/>
    <cellStyle name="40% - Accent3 4 2 2 3 4 3" xfId="16822" xr:uid="{00000000-0005-0000-0000-0000803F0000}"/>
    <cellStyle name="40% - Accent3 4 2 2 3 4 4" xfId="16823" xr:uid="{00000000-0005-0000-0000-0000813F0000}"/>
    <cellStyle name="40% - Accent3 4 2 2 3 4 5" xfId="16824" xr:uid="{00000000-0005-0000-0000-0000823F0000}"/>
    <cellStyle name="40% - Accent3 4 2 2 3 4 6" xfId="16825" xr:uid="{00000000-0005-0000-0000-0000833F0000}"/>
    <cellStyle name="40% - Accent3 4 2 2 3 5" xfId="16826" xr:uid="{00000000-0005-0000-0000-0000843F0000}"/>
    <cellStyle name="40% - Accent3 4 2 2 3 5 2" xfId="16827" xr:uid="{00000000-0005-0000-0000-0000853F0000}"/>
    <cellStyle name="40% - Accent3 4 2 2 3 5 3" xfId="16828" xr:uid="{00000000-0005-0000-0000-0000863F0000}"/>
    <cellStyle name="40% - Accent3 4 2 2 3 6" xfId="16829" xr:uid="{00000000-0005-0000-0000-0000873F0000}"/>
    <cellStyle name="40% - Accent3 4 2 2 3 7" xfId="16830" xr:uid="{00000000-0005-0000-0000-0000883F0000}"/>
    <cellStyle name="40% - Accent3 4 2 2 3 8" xfId="16831" xr:uid="{00000000-0005-0000-0000-0000893F0000}"/>
    <cellStyle name="40% - Accent3 4 2 2 3 9" xfId="16832" xr:uid="{00000000-0005-0000-0000-00008A3F0000}"/>
    <cellStyle name="40% - Accent3 4 2 2 4" xfId="16833" xr:uid="{00000000-0005-0000-0000-00008B3F0000}"/>
    <cellStyle name="40% - Accent3 4 2 2 4 2" xfId="16834" xr:uid="{00000000-0005-0000-0000-00008C3F0000}"/>
    <cellStyle name="40% - Accent3 4 2 2 4 2 2" xfId="16835" xr:uid="{00000000-0005-0000-0000-00008D3F0000}"/>
    <cellStyle name="40% - Accent3 4 2 2 4 2 2 2" xfId="16836" xr:uid="{00000000-0005-0000-0000-00008E3F0000}"/>
    <cellStyle name="40% - Accent3 4 2 2 4 2 2 3" xfId="16837" xr:uid="{00000000-0005-0000-0000-00008F3F0000}"/>
    <cellStyle name="40% - Accent3 4 2 2 4 2 3" xfId="16838" xr:uid="{00000000-0005-0000-0000-0000903F0000}"/>
    <cellStyle name="40% - Accent3 4 2 2 4 2 4" xfId="16839" xr:uid="{00000000-0005-0000-0000-0000913F0000}"/>
    <cellStyle name="40% - Accent3 4 2 2 4 2 5" xfId="16840" xr:uid="{00000000-0005-0000-0000-0000923F0000}"/>
    <cellStyle name="40% - Accent3 4 2 2 4 2 6" xfId="16841" xr:uid="{00000000-0005-0000-0000-0000933F0000}"/>
    <cellStyle name="40% - Accent3 4 2 2 4 3" xfId="16842" xr:uid="{00000000-0005-0000-0000-0000943F0000}"/>
    <cellStyle name="40% - Accent3 4 2 2 4 3 2" xfId="16843" xr:uid="{00000000-0005-0000-0000-0000953F0000}"/>
    <cellStyle name="40% - Accent3 4 2 2 4 3 3" xfId="16844" xr:uid="{00000000-0005-0000-0000-0000963F0000}"/>
    <cellStyle name="40% - Accent3 4 2 2 4 4" xfId="16845" xr:uid="{00000000-0005-0000-0000-0000973F0000}"/>
    <cellStyle name="40% - Accent3 4 2 2 4 5" xfId="16846" xr:uid="{00000000-0005-0000-0000-0000983F0000}"/>
    <cellStyle name="40% - Accent3 4 2 2 4 6" xfId="16847" xr:uid="{00000000-0005-0000-0000-0000993F0000}"/>
    <cellStyle name="40% - Accent3 4 2 2 4 7" xfId="16848" xr:uid="{00000000-0005-0000-0000-00009A3F0000}"/>
    <cellStyle name="40% - Accent3 4 2 2 5" xfId="16849" xr:uid="{00000000-0005-0000-0000-00009B3F0000}"/>
    <cellStyle name="40% - Accent3 4 2 2 5 2" xfId="16850" xr:uid="{00000000-0005-0000-0000-00009C3F0000}"/>
    <cellStyle name="40% - Accent3 4 2 2 5 2 2" xfId="16851" xr:uid="{00000000-0005-0000-0000-00009D3F0000}"/>
    <cellStyle name="40% - Accent3 4 2 2 5 2 3" xfId="16852" xr:uid="{00000000-0005-0000-0000-00009E3F0000}"/>
    <cellStyle name="40% - Accent3 4 2 2 5 3" xfId="16853" xr:uid="{00000000-0005-0000-0000-00009F3F0000}"/>
    <cellStyle name="40% - Accent3 4 2 2 5 4" xfId="16854" xr:uid="{00000000-0005-0000-0000-0000A03F0000}"/>
    <cellStyle name="40% - Accent3 4 2 2 5 5" xfId="16855" xr:uid="{00000000-0005-0000-0000-0000A13F0000}"/>
    <cellStyle name="40% - Accent3 4 2 2 5 6" xfId="16856" xr:uid="{00000000-0005-0000-0000-0000A23F0000}"/>
    <cellStyle name="40% - Accent3 4 2 2 6" xfId="16857" xr:uid="{00000000-0005-0000-0000-0000A33F0000}"/>
    <cellStyle name="40% - Accent3 4 2 2 6 2" xfId="16858" xr:uid="{00000000-0005-0000-0000-0000A43F0000}"/>
    <cellStyle name="40% - Accent3 4 2 2 6 2 2" xfId="16859" xr:uid="{00000000-0005-0000-0000-0000A53F0000}"/>
    <cellStyle name="40% - Accent3 4 2 2 6 2 3" xfId="16860" xr:uid="{00000000-0005-0000-0000-0000A63F0000}"/>
    <cellStyle name="40% - Accent3 4 2 2 6 3" xfId="16861" xr:uid="{00000000-0005-0000-0000-0000A73F0000}"/>
    <cellStyle name="40% - Accent3 4 2 2 6 4" xfId="16862" xr:uid="{00000000-0005-0000-0000-0000A83F0000}"/>
    <cellStyle name="40% - Accent3 4 2 2 6 5" xfId="16863" xr:uid="{00000000-0005-0000-0000-0000A93F0000}"/>
    <cellStyle name="40% - Accent3 4 2 2 6 6" xfId="16864" xr:uid="{00000000-0005-0000-0000-0000AA3F0000}"/>
    <cellStyle name="40% - Accent3 4 2 2 7" xfId="16865" xr:uid="{00000000-0005-0000-0000-0000AB3F0000}"/>
    <cellStyle name="40% - Accent3 4 2 2 7 2" xfId="16866" xr:uid="{00000000-0005-0000-0000-0000AC3F0000}"/>
    <cellStyle name="40% - Accent3 4 2 2 7 2 2" xfId="16867" xr:uid="{00000000-0005-0000-0000-0000AD3F0000}"/>
    <cellStyle name="40% - Accent3 4 2 2 7 2 3" xfId="16868" xr:uid="{00000000-0005-0000-0000-0000AE3F0000}"/>
    <cellStyle name="40% - Accent3 4 2 2 7 3" xfId="16869" xr:uid="{00000000-0005-0000-0000-0000AF3F0000}"/>
    <cellStyle name="40% - Accent3 4 2 2 7 4" xfId="16870" xr:uid="{00000000-0005-0000-0000-0000B03F0000}"/>
    <cellStyle name="40% - Accent3 4 2 2 7 5" xfId="16871" xr:uid="{00000000-0005-0000-0000-0000B13F0000}"/>
    <cellStyle name="40% - Accent3 4 2 2 7 6" xfId="16872" xr:uid="{00000000-0005-0000-0000-0000B23F0000}"/>
    <cellStyle name="40% - Accent3 4 2 2 8" xfId="16873" xr:uid="{00000000-0005-0000-0000-0000B33F0000}"/>
    <cellStyle name="40% - Accent3 4 2 2 8 2" xfId="16874" xr:uid="{00000000-0005-0000-0000-0000B43F0000}"/>
    <cellStyle name="40% - Accent3 4 2 2 8 2 2" xfId="16875" xr:uid="{00000000-0005-0000-0000-0000B53F0000}"/>
    <cellStyle name="40% - Accent3 4 2 2 8 2 3" xfId="16876" xr:uid="{00000000-0005-0000-0000-0000B63F0000}"/>
    <cellStyle name="40% - Accent3 4 2 2 8 3" xfId="16877" xr:uid="{00000000-0005-0000-0000-0000B73F0000}"/>
    <cellStyle name="40% - Accent3 4 2 2 8 4" xfId="16878" xr:uid="{00000000-0005-0000-0000-0000B83F0000}"/>
    <cellStyle name="40% - Accent3 4 2 2 8 5" xfId="16879" xr:uid="{00000000-0005-0000-0000-0000B93F0000}"/>
    <cellStyle name="40% - Accent3 4 2 2 8 6" xfId="16880" xr:uid="{00000000-0005-0000-0000-0000BA3F0000}"/>
    <cellStyle name="40% - Accent3 4 2 2 9" xfId="16881" xr:uid="{00000000-0005-0000-0000-0000BB3F0000}"/>
    <cellStyle name="40% - Accent3 4 2 2 9 2" xfId="16882" xr:uid="{00000000-0005-0000-0000-0000BC3F0000}"/>
    <cellStyle name="40% - Accent3 4 2 2 9 3" xfId="16883" xr:uid="{00000000-0005-0000-0000-0000BD3F0000}"/>
    <cellStyle name="40% - Accent3 4 2 3" xfId="16884" xr:uid="{00000000-0005-0000-0000-0000BE3F0000}"/>
    <cellStyle name="40% - Accent3 4 2 3 10" xfId="16885" xr:uid="{00000000-0005-0000-0000-0000BF3F0000}"/>
    <cellStyle name="40% - Accent3 4 2 3 2" xfId="16886" xr:uid="{00000000-0005-0000-0000-0000C03F0000}"/>
    <cellStyle name="40% - Accent3 4 2 3 2 2" xfId="16887" xr:uid="{00000000-0005-0000-0000-0000C13F0000}"/>
    <cellStyle name="40% - Accent3 4 2 3 2 2 2" xfId="16888" xr:uid="{00000000-0005-0000-0000-0000C23F0000}"/>
    <cellStyle name="40% - Accent3 4 2 3 2 2 2 2" xfId="16889" xr:uid="{00000000-0005-0000-0000-0000C33F0000}"/>
    <cellStyle name="40% - Accent3 4 2 3 2 2 2 3" xfId="16890" xr:uid="{00000000-0005-0000-0000-0000C43F0000}"/>
    <cellStyle name="40% - Accent3 4 2 3 2 2 3" xfId="16891" xr:uid="{00000000-0005-0000-0000-0000C53F0000}"/>
    <cellStyle name="40% - Accent3 4 2 3 2 2 4" xfId="16892" xr:uid="{00000000-0005-0000-0000-0000C63F0000}"/>
    <cellStyle name="40% - Accent3 4 2 3 2 2 5" xfId="16893" xr:uid="{00000000-0005-0000-0000-0000C73F0000}"/>
    <cellStyle name="40% - Accent3 4 2 3 2 2 6" xfId="16894" xr:uid="{00000000-0005-0000-0000-0000C83F0000}"/>
    <cellStyle name="40% - Accent3 4 2 3 2 3" xfId="16895" xr:uid="{00000000-0005-0000-0000-0000C93F0000}"/>
    <cellStyle name="40% - Accent3 4 2 3 2 3 2" xfId="16896" xr:uid="{00000000-0005-0000-0000-0000CA3F0000}"/>
    <cellStyle name="40% - Accent3 4 2 3 2 3 2 2" xfId="16897" xr:uid="{00000000-0005-0000-0000-0000CB3F0000}"/>
    <cellStyle name="40% - Accent3 4 2 3 2 3 2 3" xfId="16898" xr:uid="{00000000-0005-0000-0000-0000CC3F0000}"/>
    <cellStyle name="40% - Accent3 4 2 3 2 3 3" xfId="16899" xr:uid="{00000000-0005-0000-0000-0000CD3F0000}"/>
    <cellStyle name="40% - Accent3 4 2 3 2 3 4" xfId="16900" xr:uid="{00000000-0005-0000-0000-0000CE3F0000}"/>
    <cellStyle name="40% - Accent3 4 2 3 2 3 5" xfId="16901" xr:uid="{00000000-0005-0000-0000-0000CF3F0000}"/>
    <cellStyle name="40% - Accent3 4 2 3 2 3 6" xfId="16902" xr:uid="{00000000-0005-0000-0000-0000D03F0000}"/>
    <cellStyle name="40% - Accent3 4 2 3 2 4" xfId="16903" xr:uid="{00000000-0005-0000-0000-0000D13F0000}"/>
    <cellStyle name="40% - Accent3 4 2 3 2 4 2" xfId="16904" xr:uid="{00000000-0005-0000-0000-0000D23F0000}"/>
    <cellStyle name="40% - Accent3 4 2 3 2 4 3" xfId="16905" xr:uid="{00000000-0005-0000-0000-0000D33F0000}"/>
    <cellStyle name="40% - Accent3 4 2 3 2 5" xfId="16906" xr:uid="{00000000-0005-0000-0000-0000D43F0000}"/>
    <cellStyle name="40% - Accent3 4 2 3 2 6" xfId="16907" xr:uid="{00000000-0005-0000-0000-0000D53F0000}"/>
    <cellStyle name="40% - Accent3 4 2 3 2 7" xfId="16908" xr:uid="{00000000-0005-0000-0000-0000D63F0000}"/>
    <cellStyle name="40% - Accent3 4 2 3 2 8" xfId="16909" xr:uid="{00000000-0005-0000-0000-0000D73F0000}"/>
    <cellStyle name="40% - Accent3 4 2 3 3" xfId="16910" xr:uid="{00000000-0005-0000-0000-0000D83F0000}"/>
    <cellStyle name="40% - Accent3 4 2 3 3 2" xfId="16911" xr:uid="{00000000-0005-0000-0000-0000D93F0000}"/>
    <cellStyle name="40% - Accent3 4 2 3 3 2 2" xfId="16912" xr:uid="{00000000-0005-0000-0000-0000DA3F0000}"/>
    <cellStyle name="40% - Accent3 4 2 3 3 2 2 2" xfId="16913" xr:uid="{00000000-0005-0000-0000-0000DB3F0000}"/>
    <cellStyle name="40% - Accent3 4 2 3 3 2 2 3" xfId="16914" xr:uid="{00000000-0005-0000-0000-0000DC3F0000}"/>
    <cellStyle name="40% - Accent3 4 2 3 3 2 3" xfId="16915" xr:uid="{00000000-0005-0000-0000-0000DD3F0000}"/>
    <cellStyle name="40% - Accent3 4 2 3 3 2 4" xfId="16916" xr:uid="{00000000-0005-0000-0000-0000DE3F0000}"/>
    <cellStyle name="40% - Accent3 4 2 3 3 2 5" xfId="16917" xr:uid="{00000000-0005-0000-0000-0000DF3F0000}"/>
    <cellStyle name="40% - Accent3 4 2 3 3 2 6" xfId="16918" xr:uid="{00000000-0005-0000-0000-0000E03F0000}"/>
    <cellStyle name="40% - Accent3 4 2 3 3 3" xfId="16919" xr:uid="{00000000-0005-0000-0000-0000E13F0000}"/>
    <cellStyle name="40% - Accent3 4 2 3 3 3 2" xfId="16920" xr:uid="{00000000-0005-0000-0000-0000E23F0000}"/>
    <cellStyle name="40% - Accent3 4 2 3 3 3 3" xfId="16921" xr:uid="{00000000-0005-0000-0000-0000E33F0000}"/>
    <cellStyle name="40% - Accent3 4 2 3 3 4" xfId="16922" xr:uid="{00000000-0005-0000-0000-0000E43F0000}"/>
    <cellStyle name="40% - Accent3 4 2 3 3 5" xfId="16923" xr:uid="{00000000-0005-0000-0000-0000E53F0000}"/>
    <cellStyle name="40% - Accent3 4 2 3 3 6" xfId="16924" xr:uid="{00000000-0005-0000-0000-0000E63F0000}"/>
    <cellStyle name="40% - Accent3 4 2 3 3 7" xfId="16925" xr:uid="{00000000-0005-0000-0000-0000E73F0000}"/>
    <cellStyle name="40% - Accent3 4 2 3 4" xfId="16926" xr:uid="{00000000-0005-0000-0000-0000E83F0000}"/>
    <cellStyle name="40% - Accent3 4 2 3 4 2" xfId="16927" xr:uid="{00000000-0005-0000-0000-0000E93F0000}"/>
    <cellStyle name="40% - Accent3 4 2 3 4 2 2" xfId="16928" xr:uid="{00000000-0005-0000-0000-0000EA3F0000}"/>
    <cellStyle name="40% - Accent3 4 2 3 4 2 3" xfId="16929" xr:uid="{00000000-0005-0000-0000-0000EB3F0000}"/>
    <cellStyle name="40% - Accent3 4 2 3 4 3" xfId="16930" xr:uid="{00000000-0005-0000-0000-0000EC3F0000}"/>
    <cellStyle name="40% - Accent3 4 2 3 4 4" xfId="16931" xr:uid="{00000000-0005-0000-0000-0000ED3F0000}"/>
    <cellStyle name="40% - Accent3 4 2 3 4 5" xfId="16932" xr:uid="{00000000-0005-0000-0000-0000EE3F0000}"/>
    <cellStyle name="40% - Accent3 4 2 3 4 6" xfId="16933" xr:uid="{00000000-0005-0000-0000-0000EF3F0000}"/>
    <cellStyle name="40% - Accent3 4 2 3 5" xfId="16934" xr:uid="{00000000-0005-0000-0000-0000F03F0000}"/>
    <cellStyle name="40% - Accent3 4 2 3 5 2" xfId="16935" xr:uid="{00000000-0005-0000-0000-0000F13F0000}"/>
    <cellStyle name="40% - Accent3 4 2 3 5 2 2" xfId="16936" xr:uid="{00000000-0005-0000-0000-0000F23F0000}"/>
    <cellStyle name="40% - Accent3 4 2 3 5 2 3" xfId="16937" xr:uid="{00000000-0005-0000-0000-0000F33F0000}"/>
    <cellStyle name="40% - Accent3 4 2 3 5 3" xfId="16938" xr:uid="{00000000-0005-0000-0000-0000F43F0000}"/>
    <cellStyle name="40% - Accent3 4 2 3 5 4" xfId="16939" xr:uid="{00000000-0005-0000-0000-0000F53F0000}"/>
    <cellStyle name="40% - Accent3 4 2 3 5 5" xfId="16940" xr:uid="{00000000-0005-0000-0000-0000F63F0000}"/>
    <cellStyle name="40% - Accent3 4 2 3 5 6" xfId="16941" xr:uid="{00000000-0005-0000-0000-0000F73F0000}"/>
    <cellStyle name="40% - Accent3 4 2 3 6" xfId="16942" xr:uid="{00000000-0005-0000-0000-0000F83F0000}"/>
    <cellStyle name="40% - Accent3 4 2 3 6 2" xfId="16943" xr:uid="{00000000-0005-0000-0000-0000F93F0000}"/>
    <cellStyle name="40% - Accent3 4 2 3 6 3" xfId="16944" xr:uid="{00000000-0005-0000-0000-0000FA3F0000}"/>
    <cellStyle name="40% - Accent3 4 2 3 7" xfId="16945" xr:uid="{00000000-0005-0000-0000-0000FB3F0000}"/>
    <cellStyle name="40% - Accent3 4 2 3 8" xfId="16946" xr:uid="{00000000-0005-0000-0000-0000FC3F0000}"/>
    <cellStyle name="40% - Accent3 4 2 3 9" xfId="16947" xr:uid="{00000000-0005-0000-0000-0000FD3F0000}"/>
    <cellStyle name="40% - Accent3 4 2 4" xfId="16948" xr:uid="{00000000-0005-0000-0000-0000FE3F0000}"/>
    <cellStyle name="40% - Accent3 4 2 4 2" xfId="16949" xr:uid="{00000000-0005-0000-0000-0000FF3F0000}"/>
    <cellStyle name="40% - Accent3 4 2 4 2 2" xfId="16950" xr:uid="{00000000-0005-0000-0000-000000400000}"/>
    <cellStyle name="40% - Accent3 4 2 4 2 2 2" xfId="16951" xr:uid="{00000000-0005-0000-0000-000001400000}"/>
    <cellStyle name="40% - Accent3 4 2 4 2 2 2 2" xfId="16952" xr:uid="{00000000-0005-0000-0000-000002400000}"/>
    <cellStyle name="40% - Accent3 4 2 4 2 2 2 3" xfId="16953" xr:uid="{00000000-0005-0000-0000-000003400000}"/>
    <cellStyle name="40% - Accent3 4 2 4 2 2 3" xfId="16954" xr:uid="{00000000-0005-0000-0000-000004400000}"/>
    <cellStyle name="40% - Accent3 4 2 4 2 2 4" xfId="16955" xr:uid="{00000000-0005-0000-0000-000005400000}"/>
    <cellStyle name="40% - Accent3 4 2 4 2 2 5" xfId="16956" xr:uid="{00000000-0005-0000-0000-000006400000}"/>
    <cellStyle name="40% - Accent3 4 2 4 2 2 6" xfId="16957" xr:uid="{00000000-0005-0000-0000-000007400000}"/>
    <cellStyle name="40% - Accent3 4 2 4 2 3" xfId="16958" xr:uid="{00000000-0005-0000-0000-000008400000}"/>
    <cellStyle name="40% - Accent3 4 2 4 2 3 2" xfId="16959" xr:uid="{00000000-0005-0000-0000-000009400000}"/>
    <cellStyle name="40% - Accent3 4 2 4 2 3 3" xfId="16960" xr:uid="{00000000-0005-0000-0000-00000A400000}"/>
    <cellStyle name="40% - Accent3 4 2 4 2 4" xfId="16961" xr:uid="{00000000-0005-0000-0000-00000B400000}"/>
    <cellStyle name="40% - Accent3 4 2 4 2 5" xfId="16962" xr:uid="{00000000-0005-0000-0000-00000C400000}"/>
    <cellStyle name="40% - Accent3 4 2 4 2 6" xfId="16963" xr:uid="{00000000-0005-0000-0000-00000D400000}"/>
    <cellStyle name="40% - Accent3 4 2 4 2 7" xfId="16964" xr:uid="{00000000-0005-0000-0000-00000E400000}"/>
    <cellStyle name="40% - Accent3 4 2 4 3" xfId="16965" xr:uid="{00000000-0005-0000-0000-00000F400000}"/>
    <cellStyle name="40% - Accent3 4 2 4 3 2" xfId="16966" xr:uid="{00000000-0005-0000-0000-000010400000}"/>
    <cellStyle name="40% - Accent3 4 2 4 3 2 2" xfId="16967" xr:uid="{00000000-0005-0000-0000-000011400000}"/>
    <cellStyle name="40% - Accent3 4 2 4 3 2 3" xfId="16968" xr:uid="{00000000-0005-0000-0000-000012400000}"/>
    <cellStyle name="40% - Accent3 4 2 4 3 3" xfId="16969" xr:uid="{00000000-0005-0000-0000-000013400000}"/>
    <cellStyle name="40% - Accent3 4 2 4 3 4" xfId="16970" xr:uid="{00000000-0005-0000-0000-000014400000}"/>
    <cellStyle name="40% - Accent3 4 2 4 3 5" xfId="16971" xr:uid="{00000000-0005-0000-0000-000015400000}"/>
    <cellStyle name="40% - Accent3 4 2 4 3 6" xfId="16972" xr:uid="{00000000-0005-0000-0000-000016400000}"/>
    <cellStyle name="40% - Accent3 4 2 4 4" xfId="16973" xr:uid="{00000000-0005-0000-0000-000017400000}"/>
    <cellStyle name="40% - Accent3 4 2 4 4 2" xfId="16974" xr:uid="{00000000-0005-0000-0000-000018400000}"/>
    <cellStyle name="40% - Accent3 4 2 4 4 2 2" xfId="16975" xr:uid="{00000000-0005-0000-0000-000019400000}"/>
    <cellStyle name="40% - Accent3 4 2 4 4 2 3" xfId="16976" xr:uid="{00000000-0005-0000-0000-00001A400000}"/>
    <cellStyle name="40% - Accent3 4 2 4 4 3" xfId="16977" xr:uid="{00000000-0005-0000-0000-00001B400000}"/>
    <cellStyle name="40% - Accent3 4 2 4 4 4" xfId="16978" xr:uid="{00000000-0005-0000-0000-00001C400000}"/>
    <cellStyle name="40% - Accent3 4 2 4 4 5" xfId="16979" xr:uid="{00000000-0005-0000-0000-00001D400000}"/>
    <cellStyle name="40% - Accent3 4 2 4 4 6" xfId="16980" xr:uid="{00000000-0005-0000-0000-00001E400000}"/>
    <cellStyle name="40% - Accent3 4 2 4 5" xfId="16981" xr:uid="{00000000-0005-0000-0000-00001F400000}"/>
    <cellStyle name="40% - Accent3 4 2 4 5 2" xfId="16982" xr:uid="{00000000-0005-0000-0000-000020400000}"/>
    <cellStyle name="40% - Accent3 4 2 4 5 3" xfId="16983" xr:uid="{00000000-0005-0000-0000-000021400000}"/>
    <cellStyle name="40% - Accent3 4 2 4 6" xfId="16984" xr:uid="{00000000-0005-0000-0000-000022400000}"/>
    <cellStyle name="40% - Accent3 4 2 4 7" xfId="16985" xr:uid="{00000000-0005-0000-0000-000023400000}"/>
    <cellStyle name="40% - Accent3 4 2 4 8" xfId="16986" xr:uid="{00000000-0005-0000-0000-000024400000}"/>
    <cellStyle name="40% - Accent3 4 2 4 9" xfId="16987" xr:uid="{00000000-0005-0000-0000-000025400000}"/>
    <cellStyle name="40% - Accent3 4 2 5" xfId="16988" xr:uid="{00000000-0005-0000-0000-000026400000}"/>
    <cellStyle name="40% - Accent3 4 2 5 2" xfId="16989" xr:uid="{00000000-0005-0000-0000-000027400000}"/>
    <cellStyle name="40% - Accent3 4 2 5 2 2" xfId="16990" xr:uid="{00000000-0005-0000-0000-000028400000}"/>
    <cellStyle name="40% - Accent3 4 2 5 2 2 2" xfId="16991" xr:uid="{00000000-0005-0000-0000-000029400000}"/>
    <cellStyle name="40% - Accent3 4 2 5 2 2 3" xfId="16992" xr:uid="{00000000-0005-0000-0000-00002A400000}"/>
    <cellStyle name="40% - Accent3 4 2 5 2 3" xfId="16993" xr:uid="{00000000-0005-0000-0000-00002B400000}"/>
    <cellStyle name="40% - Accent3 4 2 5 2 4" xfId="16994" xr:uid="{00000000-0005-0000-0000-00002C400000}"/>
    <cellStyle name="40% - Accent3 4 2 5 2 5" xfId="16995" xr:uid="{00000000-0005-0000-0000-00002D400000}"/>
    <cellStyle name="40% - Accent3 4 2 5 2 6" xfId="16996" xr:uid="{00000000-0005-0000-0000-00002E400000}"/>
    <cellStyle name="40% - Accent3 4 2 5 3" xfId="16997" xr:uid="{00000000-0005-0000-0000-00002F400000}"/>
    <cellStyle name="40% - Accent3 4 2 5 3 2" xfId="16998" xr:uid="{00000000-0005-0000-0000-000030400000}"/>
    <cellStyle name="40% - Accent3 4 2 5 3 3" xfId="16999" xr:uid="{00000000-0005-0000-0000-000031400000}"/>
    <cellStyle name="40% - Accent3 4 2 5 4" xfId="17000" xr:uid="{00000000-0005-0000-0000-000032400000}"/>
    <cellStyle name="40% - Accent3 4 2 5 5" xfId="17001" xr:uid="{00000000-0005-0000-0000-000033400000}"/>
    <cellStyle name="40% - Accent3 4 2 5 6" xfId="17002" xr:uid="{00000000-0005-0000-0000-000034400000}"/>
    <cellStyle name="40% - Accent3 4 2 5 7" xfId="17003" xr:uid="{00000000-0005-0000-0000-000035400000}"/>
    <cellStyle name="40% - Accent3 4 2 6" xfId="17004" xr:uid="{00000000-0005-0000-0000-000036400000}"/>
    <cellStyle name="40% - Accent3 4 2 6 2" xfId="17005" xr:uid="{00000000-0005-0000-0000-000037400000}"/>
    <cellStyle name="40% - Accent3 4 2 6 2 2" xfId="17006" xr:uid="{00000000-0005-0000-0000-000038400000}"/>
    <cellStyle name="40% - Accent3 4 2 6 2 3" xfId="17007" xr:uid="{00000000-0005-0000-0000-000039400000}"/>
    <cellStyle name="40% - Accent3 4 2 6 3" xfId="17008" xr:uid="{00000000-0005-0000-0000-00003A400000}"/>
    <cellStyle name="40% - Accent3 4 2 6 4" xfId="17009" xr:uid="{00000000-0005-0000-0000-00003B400000}"/>
    <cellStyle name="40% - Accent3 4 2 6 5" xfId="17010" xr:uid="{00000000-0005-0000-0000-00003C400000}"/>
    <cellStyle name="40% - Accent3 4 2 6 6" xfId="17011" xr:uid="{00000000-0005-0000-0000-00003D400000}"/>
    <cellStyle name="40% - Accent3 4 2 7" xfId="17012" xr:uid="{00000000-0005-0000-0000-00003E400000}"/>
    <cellStyle name="40% - Accent3 4 2 7 2" xfId="17013" xr:uid="{00000000-0005-0000-0000-00003F400000}"/>
    <cellStyle name="40% - Accent3 4 2 7 2 2" xfId="17014" xr:uid="{00000000-0005-0000-0000-000040400000}"/>
    <cellStyle name="40% - Accent3 4 2 7 2 3" xfId="17015" xr:uid="{00000000-0005-0000-0000-000041400000}"/>
    <cellStyle name="40% - Accent3 4 2 7 3" xfId="17016" xr:uid="{00000000-0005-0000-0000-000042400000}"/>
    <cellStyle name="40% - Accent3 4 2 7 4" xfId="17017" xr:uid="{00000000-0005-0000-0000-000043400000}"/>
    <cellStyle name="40% - Accent3 4 2 7 5" xfId="17018" xr:uid="{00000000-0005-0000-0000-000044400000}"/>
    <cellStyle name="40% - Accent3 4 2 7 6" xfId="17019" xr:uid="{00000000-0005-0000-0000-000045400000}"/>
    <cellStyle name="40% - Accent3 4 2 8" xfId="17020" xr:uid="{00000000-0005-0000-0000-000046400000}"/>
    <cellStyle name="40% - Accent3 4 2 8 2" xfId="17021" xr:uid="{00000000-0005-0000-0000-000047400000}"/>
    <cellStyle name="40% - Accent3 4 2 8 2 2" xfId="17022" xr:uid="{00000000-0005-0000-0000-000048400000}"/>
    <cellStyle name="40% - Accent3 4 2 8 2 3" xfId="17023" xr:uid="{00000000-0005-0000-0000-000049400000}"/>
    <cellStyle name="40% - Accent3 4 2 8 3" xfId="17024" xr:uid="{00000000-0005-0000-0000-00004A400000}"/>
    <cellStyle name="40% - Accent3 4 2 8 4" xfId="17025" xr:uid="{00000000-0005-0000-0000-00004B400000}"/>
    <cellStyle name="40% - Accent3 4 2 8 5" xfId="17026" xr:uid="{00000000-0005-0000-0000-00004C400000}"/>
    <cellStyle name="40% - Accent3 4 2 8 6" xfId="17027" xr:uid="{00000000-0005-0000-0000-00004D400000}"/>
    <cellStyle name="40% - Accent3 4 2 9" xfId="17028" xr:uid="{00000000-0005-0000-0000-00004E400000}"/>
    <cellStyle name="40% - Accent3 4 2 9 2" xfId="17029" xr:uid="{00000000-0005-0000-0000-00004F400000}"/>
    <cellStyle name="40% - Accent3 4 2 9 2 2" xfId="17030" xr:uid="{00000000-0005-0000-0000-000050400000}"/>
    <cellStyle name="40% - Accent3 4 2 9 2 3" xfId="17031" xr:uid="{00000000-0005-0000-0000-000051400000}"/>
    <cellStyle name="40% - Accent3 4 2 9 3" xfId="17032" xr:uid="{00000000-0005-0000-0000-000052400000}"/>
    <cellStyle name="40% - Accent3 4 2 9 4" xfId="17033" xr:uid="{00000000-0005-0000-0000-000053400000}"/>
    <cellStyle name="40% - Accent3 4 2 9 5" xfId="17034" xr:uid="{00000000-0005-0000-0000-000054400000}"/>
    <cellStyle name="40% - Accent3 4 2 9 6" xfId="17035" xr:uid="{00000000-0005-0000-0000-000055400000}"/>
    <cellStyle name="40% - Accent3 4 3" xfId="17036" xr:uid="{00000000-0005-0000-0000-000056400000}"/>
    <cellStyle name="40% - Accent3 4 3 10" xfId="17037" xr:uid="{00000000-0005-0000-0000-000057400000}"/>
    <cellStyle name="40% - Accent3 4 3 11" xfId="17038" xr:uid="{00000000-0005-0000-0000-000058400000}"/>
    <cellStyle name="40% - Accent3 4 3 12" xfId="17039" xr:uid="{00000000-0005-0000-0000-000059400000}"/>
    <cellStyle name="40% - Accent3 4 3 13" xfId="17040" xr:uid="{00000000-0005-0000-0000-00005A400000}"/>
    <cellStyle name="40% - Accent3 4 3 2" xfId="17041" xr:uid="{00000000-0005-0000-0000-00005B400000}"/>
    <cellStyle name="40% - Accent3 4 3 2 10" xfId="17042" xr:uid="{00000000-0005-0000-0000-00005C400000}"/>
    <cellStyle name="40% - Accent3 4 3 2 2" xfId="17043" xr:uid="{00000000-0005-0000-0000-00005D400000}"/>
    <cellStyle name="40% - Accent3 4 3 2 2 2" xfId="17044" xr:uid="{00000000-0005-0000-0000-00005E400000}"/>
    <cellStyle name="40% - Accent3 4 3 2 2 2 2" xfId="17045" xr:uid="{00000000-0005-0000-0000-00005F400000}"/>
    <cellStyle name="40% - Accent3 4 3 2 2 2 2 2" xfId="17046" xr:uid="{00000000-0005-0000-0000-000060400000}"/>
    <cellStyle name="40% - Accent3 4 3 2 2 2 2 3" xfId="17047" xr:uid="{00000000-0005-0000-0000-000061400000}"/>
    <cellStyle name="40% - Accent3 4 3 2 2 2 3" xfId="17048" xr:uid="{00000000-0005-0000-0000-000062400000}"/>
    <cellStyle name="40% - Accent3 4 3 2 2 2 4" xfId="17049" xr:uid="{00000000-0005-0000-0000-000063400000}"/>
    <cellStyle name="40% - Accent3 4 3 2 2 2 5" xfId="17050" xr:uid="{00000000-0005-0000-0000-000064400000}"/>
    <cellStyle name="40% - Accent3 4 3 2 2 2 6" xfId="17051" xr:uid="{00000000-0005-0000-0000-000065400000}"/>
    <cellStyle name="40% - Accent3 4 3 2 2 3" xfId="17052" xr:uid="{00000000-0005-0000-0000-000066400000}"/>
    <cellStyle name="40% - Accent3 4 3 2 2 3 2" xfId="17053" xr:uid="{00000000-0005-0000-0000-000067400000}"/>
    <cellStyle name="40% - Accent3 4 3 2 2 3 2 2" xfId="17054" xr:uid="{00000000-0005-0000-0000-000068400000}"/>
    <cellStyle name="40% - Accent3 4 3 2 2 3 2 3" xfId="17055" xr:uid="{00000000-0005-0000-0000-000069400000}"/>
    <cellStyle name="40% - Accent3 4 3 2 2 3 3" xfId="17056" xr:uid="{00000000-0005-0000-0000-00006A400000}"/>
    <cellStyle name="40% - Accent3 4 3 2 2 3 4" xfId="17057" xr:uid="{00000000-0005-0000-0000-00006B400000}"/>
    <cellStyle name="40% - Accent3 4 3 2 2 3 5" xfId="17058" xr:uid="{00000000-0005-0000-0000-00006C400000}"/>
    <cellStyle name="40% - Accent3 4 3 2 2 3 6" xfId="17059" xr:uid="{00000000-0005-0000-0000-00006D400000}"/>
    <cellStyle name="40% - Accent3 4 3 2 2 4" xfId="17060" xr:uid="{00000000-0005-0000-0000-00006E400000}"/>
    <cellStyle name="40% - Accent3 4 3 2 2 4 2" xfId="17061" xr:uid="{00000000-0005-0000-0000-00006F400000}"/>
    <cellStyle name="40% - Accent3 4 3 2 2 4 3" xfId="17062" xr:uid="{00000000-0005-0000-0000-000070400000}"/>
    <cellStyle name="40% - Accent3 4 3 2 2 5" xfId="17063" xr:uid="{00000000-0005-0000-0000-000071400000}"/>
    <cellStyle name="40% - Accent3 4 3 2 2 6" xfId="17064" xr:uid="{00000000-0005-0000-0000-000072400000}"/>
    <cellStyle name="40% - Accent3 4 3 2 2 7" xfId="17065" xr:uid="{00000000-0005-0000-0000-000073400000}"/>
    <cellStyle name="40% - Accent3 4 3 2 2 8" xfId="17066" xr:uid="{00000000-0005-0000-0000-000074400000}"/>
    <cellStyle name="40% - Accent3 4 3 2 3" xfId="17067" xr:uid="{00000000-0005-0000-0000-000075400000}"/>
    <cellStyle name="40% - Accent3 4 3 2 3 2" xfId="17068" xr:uid="{00000000-0005-0000-0000-000076400000}"/>
    <cellStyle name="40% - Accent3 4 3 2 3 2 2" xfId="17069" xr:uid="{00000000-0005-0000-0000-000077400000}"/>
    <cellStyle name="40% - Accent3 4 3 2 3 2 2 2" xfId="17070" xr:uid="{00000000-0005-0000-0000-000078400000}"/>
    <cellStyle name="40% - Accent3 4 3 2 3 2 2 3" xfId="17071" xr:uid="{00000000-0005-0000-0000-000079400000}"/>
    <cellStyle name="40% - Accent3 4 3 2 3 2 3" xfId="17072" xr:uid="{00000000-0005-0000-0000-00007A400000}"/>
    <cellStyle name="40% - Accent3 4 3 2 3 2 4" xfId="17073" xr:uid="{00000000-0005-0000-0000-00007B400000}"/>
    <cellStyle name="40% - Accent3 4 3 2 3 2 5" xfId="17074" xr:uid="{00000000-0005-0000-0000-00007C400000}"/>
    <cellStyle name="40% - Accent3 4 3 2 3 2 6" xfId="17075" xr:uid="{00000000-0005-0000-0000-00007D400000}"/>
    <cellStyle name="40% - Accent3 4 3 2 3 3" xfId="17076" xr:uid="{00000000-0005-0000-0000-00007E400000}"/>
    <cellStyle name="40% - Accent3 4 3 2 3 3 2" xfId="17077" xr:uid="{00000000-0005-0000-0000-00007F400000}"/>
    <cellStyle name="40% - Accent3 4 3 2 3 3 3" xfId="17078" xr:uid="{00000000-0005-0000-0000-000080400000}"/>
    <cellStyle name="40% - Accent3 4 3 2 3 4" xfId="17079" xr:uid="{00000000-0005-0000-0000-000081400000}"/>
    <cellStyle name="40% - Accent3 4 3 2 3 5" xfId="17080" xr:uid="{00000000-0005-0000-0000-000082400000}"/>
    <cellStyle name="40% - Accent3 4 3 2 3 6" xfId="17081" xr:uid="{00000000-0005-0000-0000-000083400000}"/>
    <cellStyle name="40% - Accent3 4 3 2 3 7" xfId="17082" xr:uid="{00000000-0005-0000-0000-000084400000}"/>
    <cellStyle name="40% - Accent3 4 3 2 4" xfId="17083" xr:uid="{00000000-0005-0000-0000-000085400000}"/>
    <cellStyle name="40% - Accent3 4 3 2 4 2" xfId="17084" xr:uid="{00000000-0005-0000-0000-000086400000}"/>
    <cellStyle name="40% - Accent3 4 3 2 4 2 2" xfId="17085" xr:uid="{00000000-0005-0000-0000-000087400000}"/>
    <cellStyle name="40% - Accent3 4 3 2 4 2 3" xfId="17086" xr:uid="{00000000-0005-0000-0000-000088400000}"/>
    <cellStyle name="40% - Accent3 4 3 2 4 3" xfId="17087" xr:uid="{00000000-0005-0000-0000-000089400000}"/>
    <cellStyle name="40% - Accent3 4 3 2 4 4" xfId="17088" xr:uid="{00000000-0005-0000-0000-00008A400000}"/>
    <cellStyle name="40% - Accent3 4 3 2 4 5" xfId="17089" xr:uid="{00000000-0005-0000-0000-00008B400000}"/>
    <cellStyle name="40% - Accent3 4 3 2 4 6" xfId="17090" xr:uid="{00000000-0005-0000-0000-00008C400000}"/>
    <cellStyle name="40% - Accent3 4 3 2 5" xfId="17091" xr:uid="{00000000-0005-0000-0000-00008D400000}"/>
    <cellStyle name="40% - Accent3 4 3 2 5 2" xfId="17092" xr:uid="{00000000-0005-0000-0000-00008E400000}"/>
    <cellStyle name="40% - Accent3 4 3 2 5 2 2" xfId="17093" xr:uid="{00000000-0005-0000-0000-00008F400000}"/>
    <cellStyle name="40% - Accent3 4 3 2 5 2 3" xfId="17094" xr:uid="{00000000-0005-0000-0000-000090400000}"/>
    <cellStyle name="40% - Accent3 4 3 2 5 3" xfId="17095" xr:uid="{00000000-0005-0000-0000-000091400000}"/>
    <cellStyle name="40% - Accent3 4 3 2 5 4" xfId="17096" xr:uid="{00000000-0005-0000-0000-000092400000}"/>
    <cellStyle name="40% - Accent3 4 3 2 5 5" xfId="17097" xr:uid="{00000000-0005-0000-0000-000093400000}"/>
    <cellStyle name="40% - Accent3 4 3 2 5 6" xfId="17098" xr:uid="{00000000-0005-0000-0000-000094400000}"/>
    <cellStyle name="40% - Accent3 4 3 2 6" xfId="17099" xr:uid="{00000000-0005-0000-0000-000095400000}"/>
    <cellStyle name="40% - Accent3 4 3 2 6 2" xfId="17100" xr:uid="{00000000-0005-0000-0000-000096400000}"/>
    <cellStyle name="40% - Accent3 4 3 2 6 3" xfId="17101" xr:uid="{00000000-0005-0000-0000-000097400000}"/>
    <cellStyle name="40% - Accent3 4 3 2 7" xfId="17102" xr:uid="{00000000-0005-0000-0000-000098400000}"/>
    <cellStyle name="40% - Accent3 4 3 2 8" xfId="17103" xr:uid="{00000000-0005-0000-0000-000099400000}"/>
    <cellStyle name="40% - Accent3 4 3 2 9" xfId="17104" xr:uid="{00000000-0005-0000-0000-00009A400000}"/>
    <cellStyle name="40% - Accent3 4 3 3" xfId="17105" xr:uid="{00000000-0005-0000-0000-00009B400000}"/>
    <cellStyle name="40% - Accent3 4 3 3 2" xfId="17106" xr:uid="{00000000-0005-0000-0000-00009C400000}"/>
    <cellStyle name="40% - Accent3 4 3 3 2 2" xfId="17107" xr:uid="{00000000-0005-0000-0000-00009D400000}"/>
    <cellStyle name="40% - Accent3 4 3 3 2 2 2" xfId="17108" xr:uid="{00000000-0005-0000-0000-00009E400000}"/>
    <cellStyle name="40% - Accent3 4 3 3 2 2 2 2" xfId="17109" xr:uid="{00000000-0005-0000-0000-00009F400000}"/>
    <cellStyle name="40% - Accent3 4 3 3 2 2 2 3" xfId="17110" xr:uid="{00000000-0005-0000-0000-0000A0400000}"/>
    <cellStyle name="40% - Accent3 4 3 3 2 2 3" xfId="17111" xr:uid="{00000000-0005-0000-0000-0000A1400000}"/>
    <cellStyle name="40% - Accent3 4 3 3 2 2 4" xfId="17112" xr:uid="{00000000-0005-0000-0000-0000A2400000}"/>
    <cellStyle name="40% - Accent3 4 3 3 2 2 5" xfId="17113" xr:uid="{00000000-0005-0000-0000-0000A3400000}"/>
    <cellStyle name="40% - Accent3 4 3 3 2 2 6" xfId="17114" xr:uid="{00000000-0005-0000-0000-0000A4400000}"/>
    <cellStyle name="40% - Accent3 4 3 3 2 3" xfId="17115" xr:uid="{00000000-0005-0000-0000-0000A5400000}"/>
    <cellStyle name="40% - Accent3 4 3 3 2 3 2" xfId="17116" xr:uid="{00000000-0005-0000-0000-0000A6400000}"/>
    <cellStyle name="40% - Accent3 4 3 3 2 3 3" xfId="17117" xr:uid="{00000000-0005-0000-0000-0000A7400000}"/>
    <cellStyle name="40% - Accent3 4 3 3 2 4" xfId="17118" xr:uid="{00000000-0005-0000-0000-0000A8400000}"/>
    <cellStyle name="40% - Accent3 4 3 3 2 5" xfId="17119" xr:uid="{00000000-0005-0000-0000-0000A9400000}"/>
    <cellStyle name="40% - Accent3 4 3 3 2 6" xfId="17120" xr:uid="{00000000-0005-0000-0000-0000AA400000}"/>
    <cellStyle name="40% - Accent3 4 3 3 2 7" xfId="17121" xr:uid="{00000000-0005-0000-0000-0000AB400000}"/>
    <cellStyle name="40% - Accent3 4 3 3 3" xfId="17122" xr:uid="{00000000-0005-0000-0000-0000AC400000}"/>
    <cellStyle name="40% - Accent3 4 3 3 3 2" xfId="17123" xr:uid="{00000000-0005-0000-0000-0000AD400000}"/>
    <cellStyle name="40% - Accent3 4 3 3 3 2 2" xfId="17124" xr:uid="{00000000-0005-0000-0000-0000AE400000}"/>
    <cellStyle name="40% - Accent3 4 3 3 3 2 3" xfId="17125" xr:uid="{00000000-0005-0000-0000-0000AF400000}"/>
    <cellStyle name="40% - Accent3 4 3 3 3 3" xfId="17126" xr:uid="{00000000-0005-0000-0000-0000B0400000}"/>
    <cellStyle name="40% - Accent3 4 3 3 3 4" xfId="17127" xr:uid="{00000000-0005-0000-0000-0000B1400000}"/>
    <cellStyle name="40% - Accent3 4 3 3 3 5" xfId="17128" xr:uid="{00000000-0005-0000-0000-0000B2400000}"/>
    <cellStyle name="40% - Accent3 4 3 3 3 6" xfId="17129" xr:uid="{00000000-0005-0000-0000-0000B3400000}"/>
    <cellStyle name="40% - Accent3 4 3 3 4" xfId="17130" xr:uid="{00000000-0005-0000-0000-0000B4400000}"/>
    <cellStyle name="40% - Accent3 4 3 3 4 2" xfId="17131" xr:uid="{00000000-0005-0000-0000-0000B5400000}"/>
    <cellStyle name="40% - Accent3 4 3 3 4 2 2" xfId="17132" xr:uid="{00000000-0005-0000-0000-0000B6400000}"/>
    <cellStyle name="40% - Accent3 4 3 3 4 2 3" xfId="17133" xr:uid="{00000000-0005-0000-0000-0000B7400000}"/>
    <cellStyle name="40% - Accent3 4 3 3 4 3" xfId="17134" xr:uid="{00000000-0005-0000-0000-0000B8400000}"/>
    <cellStyle name="40% - Accent3 4 3 3 4 4" xfId="17135" xr:uid="{00000000-0005-0000-0000-0000B9400000}"/>
    <cellStyle name="40% - Accent3 4 3 3 4 5" xfId="17136" xr:uid="{00000000-0005-0000-0000-0000BA400000}"/>
    <cellStyle name="40% - Accent3 4 3 3 4 6" xfId="17137" xr:uid="{00000000-0005-0000-0000-0000BB400000}"/>
    <cellStyle name="40% - Accent3 4 3 3 5" xfId="17138" xr:uid="{00000000-0005-0000-0000-0000BC400000}"/>
    <cellStyle name="40% - Accent3 4 3 3 5 2" xfId="17139" xr:uid="{00000000-0005-0000-0000-0000BD400000}"/>
    <cellStyle name="40% - Accent3 4 3 3 5 3" xfId="17140" xr:uid="{00000000-0005-0000-0000-0000BE400000}"/>
    <cellStyle name="40% - Accent3 4 3 3 6" xfId="17141" xr:uid="{00000000-0005-0000-0000-0000BF400000}"/>
    <cellStyle name="40% - Accent3 4 3 3 7" xfId="17142" xr:uid="{00000000-0005-0000-0000-0000C0400000}"/>
    <cellStyle name="40% - Accent3 4 3 3 8" xfId="17143" xr:uid="{00000000-0005-0000-0000-0000C1400000}"/>
    <cellStyle name="40% - Accent3 4 3 3 9" xfId="17144" xr:uid="{00000000-0005-0000-0000-0000C2400000}"/>
    <cellStyle name="40% - Accent3 4 3 4" xfId="17145" xr:uid="{00000000-0005-0000-0000-0000C3400000}"/>
    <cellStyle name="40% - Accent3 4 3 4 2" xfId="17146" xr:uid="{00000000-0005-0000-0000-0000C4400000}"/>
    <cellStyle name="40% - Accent3 4 3 4 2 2" xfId="17147" xr:uid="{00000000-0005-0000-0000-0000C5400000}"/>
    <cellStyle name="40% - Accent3 4 3 4 2 2 2" xfId="17148" xr:uid="{00000000-0005-0000-0000-0000C6400000}"/>
    <cellStyle name="40% - Accent3 4 3 4 2 2 3" xfId="17149" xr:uid="{00000000-0005-0000-0000-0000C7400000}"/>
    <cellStyle name="40% - Accent3 4 3 4 2 3" xfId="17150" xr:uid="{00000000-0005-0000-0000-0000C8400000}"/>
    <cellStyle name="40% - Accent3 4 3 4 2 4" xfId="17151" xr:uid="{00000000-0005-0000-0000-0000C9400000}"/>
    <cellStyle name="40% - Accent3 4 3 4 2 5" xfId="17152" xr:uid="{00000000-0005-0000-0000-0000CA400000}"/>
    <cellStyle name="40% - Accent3 4 3 4 2 6" xfId="17153" xr:uid="{00000000-0005-0000-0000-0000CB400000}"/>
    <cellStyle name="40% - Accent3 4 3 4 3" xfId="17154" xr:uid="{00000000-0005-0000-0000-0000CC400000}"/>
    <cellStyle name="40% - Accent3 4 3 4 3 2" xfId="17155" xr:uid="{00000000-0005-0000-0000-0000CD400000}"/>
    <cellStyle name="40% - Accent3 4 3 4 3 3" xfId="17156" xr:uid="{00000000-0005-0000-0000-0000CE400000}"/>
    <cellStyle name="40% - Accent3 4 3 4 4" xfId="17157" xr:uid="{00000000-0005-0000-0000-0000CF400000}"/>
    <cellStyle name="40% - Accent3 4 3 4 5" xfId="17158" xr:uid="{00000000-0005-0000-0000-0000D0400000}"/>
    <cellStyle name="40% - Accent3 4 3 4 6" xfId="17159" xr:uid="{00000000-0005-0000-0000-0000D1400000}"/>
    <cellStyle name="40% - Accent3 4 3 4 7" xfId="17160" xr:uid="{00000000-0005-0000-0000-0000D2400000}"/>
    <cellStyle name="40% - Accent3 4 3 5" xfId="17161" xr:uid="{00000000-0005-0000-0000-0000D3400000}"/>
    <cellStyle name="40% - Accent3 4 3 5 2" xfId="17162" xr:uid="{00000000-0005-0000-0000-0000D4400000}"/>
    <cellStyle name="40% - Accent3 4 3 5 2 2" xfId="17163" xr:uid="{00000000-0005-0000-0000-0000D5400000}"/>
    <cellStyle name="40% - Accent3 4 3 5 2 3" xfId="17164" xr:uid="{00000000-0005-0000-0000-0000D6400000}"/>
    <cellStyle name="40% - Accent3 4 3 5 3" xfId="17165" xr:uid="{00000000-0005-0000-0000-0000D7400000}"/>
    <cellStyle name="40% - Accent3 4 3 5 4" xfId="17166" xr:uid="{00000000-0005-0000-0000-0000D8400000}"/>
    <cellStyle name="40% - Accent3 4 3 5 5" xfId="17167" xr:uid="{00000000-0005-0000-0000-0000D9400000}"/>
    <cellStyle name="40% - Accent3 4 3 5 6" xfId="17168" xr:uid="{00000000-0005-0000-0000-0000DA400000}"/>
    <cellStyle name="40% - Accent3 4 3 6" xfId="17169" xr:uid="{00000000-0005-0000-0000-0000DB400000}"/>
    <cellStyle name="40% - Accent3 4 3 6 2" xfId="17170" xr:uid="{00000000-0005-0000-0000-0000DC400000}"/>
    <cellStyle name="40% - Accent3 4 3 6 2 2" xfId="17171" xr:uid="{00000000-0005-0000-0000-0000DD400000}"/>
    <cellStyle name="40% - Accent3 4 3 6 2 3" xfId="17172" xr:uid="{00000000-0005-0000-0000-0000DE400000}"/>
    <cellStyle name="40% - Accent3 4 3 6 3" xfId="17173" xr:uid="{00000000-0005-0000-0000-0000DF400000}"/>
    <cellStyle name="40% - Accent3 4 3 6 4" xfId="17174" xr:uid="{00000000-0005-0000-0000-0000E0400000}"/>
    <cellStyle name="40% - Accent3 4 3 6 5" xfId="17175" xr:uid="{00000000-0005-0000-0000-0000E1400000}"/>
    <cellStyle name="40% - Accent3 4 3 6 6" xfId="17176" xr:uid="{00000000-0005-0000-0000-0000E2400000}"/>
    <cellStyle name="40% - Accent3 4 3 7" xfId="17177" xr:uid="{00000000-0005-0000-0000-0000E3400000}"/>
    <cellStyle name="40% - Accent3 4 3 7 2" xfId="17178" xr:uid="{00000000-0005-0000-0000-0000E4400000}"/>
    <cellStyle name="40% - Accent3 4 3 7 2 2" xfId="17179" xr:uid="{00000000-0005-0000-0000-0000E5400000}"/>
    <cellStyle name="40% - Accent3 4 3 7 2 3" xfId="17180" xr:uid="{00000000-0005-0000-0000-0000E6400000}"/>
    <cellStyle name="40% - Accent3 4 3 7 3" xfId="17181" xr:uid="{00000000-0005-0000-0000-0000E7400000}"/>
    <cellStyle name="40% - Accent3 4 3 7 4" xfId="17182" xr:uid="{00000000-0005-0000-0000-0000E8400000}"/>
    <cellStyle name="40% - Accent3 4 3 7 5" xfId="17183" xr:uid="{00000000-0005-0000-0000-0000E9400000}"/>
    <cellStyle name="40% - Accent3 4 3 7 6" xfId="17184" xr:uid="{00000000-0005-0000-0000-0000EA400000}"/>
    <cellStyle name="40% - Accent3 4 3 8" xfId="17185" xr:uid="{00000000-0005-0000-0000-0000EB400000}"/>
    <cellStyle name="40% - Accent3 4 3 8 2" xfId="17186" xr:uid="{00000000-0005-0000-0000-0000EC400000}"/>
    <cellStyle name="40% - Accent3 4 3 8 2 2" xfId="17187" xr:uid="{00000000-0005-0000-0000-0000ED400000}"/>
    <cellStyle name="40% - Accent3 4 3 8 2 3" xfId="17188" xr:uid="{00000000-0005-0000-0000-0000EE400000}"/>
    <cellStyle name="40% - Accent3 4 3 8 3" xfId="17189" xr:uid="{00000000-0005-0000-0000-0000EF400000}"/>
    <cellStyle name="40% - Accent3 4 3 8 4" xfId="17190" xr:uid="{00000000-0005-0000-0000-0000F0400000}"/>
    <cellStyle name="40% - Accent3 4 3 8 5" xfId="17191" xr:uid="{00000000-0005-0000-0000-0000F1400000}"/>
    <cellStyle name="40% - Accent3 4 3 8 6" xfId="17192" xr:uid="{00000000-0005-0000-0000-0000F2400000}"/>
    <cellStyle name="40% - Accent3 4 3 9" xfId="17193" xr:uid="{00000000-0005-0000-0000-0000F3400000}"/>
    <cellStyle name="40% - Accent3 4 3 9 2" xfId="17194" xr:uid="{00000000-0005-0000-0000-0000F4400000}"/>
    <cellStyle name="40% - Accent3 4 3 9 3" xfId="17195" xr:uid="{00000000-0005-0000-0000-0000F5400000}"/>
    <cellStyle name="40% - Accent3 4 4" xfId="17196" xr:uid="{00000000-0005-0000-0000-0000F6400000}"/>
    <cellStyle name="40% - Accent3 4 4 10" xfId="17197" xr:uid="{00000000-0005-0000-0000-0000F7400000}"/>
    <cellStyle name="40% - Accent3 4 4 2" xfId="17198" xr:uid="{00000000-0005-0000-0000-0000F8400000}"/>
    <cellStyle name="40% - Accent3 4 4 2 2" xfId="17199" xr:uid="{00000000-0005-0000-0000-0000F9400000}"/>
    <cellStyle name="40% - Accent3 4 4 2 2 2" xfId="17200" xr:uid="{00000000-0005-0000-0000-0000FA400000}"/>
    <cellStyle name="40% - Accent3 4 4 2 2 2 2" xfId="17201" xr:uid="{00000000-0005-0000-0000-0000FB400000}"/>
    <cellStyle name="40% - Accent3 4 4 2 2 2 3" xfId="17202" xr:uid="{00000000-0005-0000-0000-0000FC400000}"/>
    <cellStyle name="40% - Accent3 4 4 2 2 3" xfId="17203" xr:uid="{00000000-0005-0000-0000-0000FD400000}"/>
    <cellStyle name="40% - Accent3 4 4 2 2 4" xfId="17204" xr:uid="{00000000-0005-0000-0000-0000FE400000}"/>
    <cellStyle name="40% - Accent3 4 4 2 2 5" xfId="17205" xr:uid="{00000000-0005-0000-0000-0000FF400000}"/>
    <cellStyle name="40% - Accent3 4 4 2 2 6" xfId="17206" xr:uid="{00000000-0005-0000-0000-000000410000}"/>
    <cellStyle name="40% - Accent3 4 4 2 3" xfId="17207" xr:uid="{00000000-0005-0000-0000-000001410000}"/>
    <cellStyle name="40% - Accent3 4 4 2 3 2" xfId="17208" xr:uid="{00000000-0005-0000-0000-000002410000}"/>
    <cellStyle name="40% - Accent3 4 4 2 3 2 2" xfId="17209" xr:uid="{00000000-0005-0000-0000-000003410000}"/>
    <cellStyle name="40% - Accent3 4 4 2 3 2 3" xfId="17210" xr:uid="{00000000-0005-0000-0000-000004410000}"/>
    <cellStyle name="40% - Accent3 4 4 2 3 3" xfId="17211" xr:uid="{00000000-0005-0000-0000-000005410000}"/>
    <cellStyle name="40% - Accent3 4 4 2 3 4" xfId="17212" xr:uid="{00000000-0005-0000-0000-000006410000}"/>
    <cellStyle name="40% - Accent3 4 4 2 3 5" xfId="17213" xr:uid="{00000000-0005-0000-0000-000007410000}"/>
    <cellStyle name="40% - Accent3 4 4 2 3 6" xfId="17214" xr:uid="{00000000-0005-0000-0000-000008410000}"/>
    <cellStyle name="40% - Accent3 4 4 2 4" xfId="17215" xr:uid="{00000000-0005-0000-0000-000009410000}"/>
    <cellStyle name="40% - Accent3 4 4 2 4 2" xfId="17216" xr:uid="{00000000-0005-0000-0000-00000A410000}"/>
    <cellStyle name="40% - Accent3 4 4 2 4 3" xfId="17217" xr:uid="{00000000-0005-0000-0000-00000B410000}"/>
    <cellStyle name="40% - Accent3 4 4 2 5" xfId="17218" xr:uid="{00000000-0005-0000-0000-00000C410000}"/>
    <cellStyle name="40% - Accent3 4 4 2 6" xfId="17219" xr:uid="{00000000-0005-0000-0000-00000D410000}"/>
    <cellStyle name="40% - Accent3 4 4 2 7" xfId="17220" xr:uid="{00000000-0005-0000-0000-00000E410000}"/>
    <cellStyle name="40% - Accent3 4 4 2 8" xfId="17221" xr:uid="{00000000-0005-0000-0000-00000F410000}"/>
    <cellStyle name="40% - Accent3 4 4 3" xfId="17222" xr:uid="{00000000-0005-0000-0000-000010410000}"/>
    <cellStyle name="40% - Accent3 4 4 3 2" xfId="17223" xr:uid="{00000000-0005-0000-0000-000011410000}"/>
    <cellStyle name="40% - Accent3 4 4 3 2 2" xfId="17224" xr:uid="{00000000-0005-0000-0000-000012410000}"/>
    <cellStyle name="40% - Accent3 4 4 3 2 2 2" xfId="17225" xr:uid="{00000000-0005-0000-0000-000013410000}"/>
    <cellStyle name="40% - Accent3 4 4 3 2 2 3" xfId="17226" xr:uid="{00000000-0005-0000-0000-000014410000}"/>
    <cellStyle name="40% - Accent3 4 4 3 2 3" xfId="17227" xr:uid="{00000000-0005-0000-0000-000015410000}"/>
    <cellStyle name="40% - Accent3 4 4 3 2 4" xfId="17228" xr:uid="{00000000-0005-0000-0000-000016410000}"/>
    <cellStyle name="40% - Accent3 4 4 3 2 5" xfId="17229" xr:uid="{00000000-0005-0000-0000-000017410000}"/>
    <cellStyle name="40% - Accent3 4 4 3 2 6" xfId="17230" xr:uid="{00000000-0005-0000-0000-000018410000}"/>
    <cellStyle name="40% - Accent3 4 4 3 3" xfId="17231" xr:uid="{00000000-0005-0000-0000-000019410000}"/>
    <cellStyle name="40% - Accent3 4 4 3 3 2" xfId="17232" xr:uid="{00000000-0005-0000-0000-00001A410000}"/>
    <cellStyle name="40% - Accent3 4 4 3 3 3" xfId="17233" xr:uid="{00000000-0005-0000-0000-00001B410000}"/>
    <cellStyle name="40% - Accent3 4 4 3 4" xfId="17234" xr:uid="{00000000-0005-0000-0000-00001C410000}"/>
    <cellStyle name="40% - Accent3 4 4 3 5" xfId="17235" xr:uid="{00000000-0005-0000-0000-00001D410000}"/>
    <cellStyle name="40% - Accent3 4 4 3 6" xfId="17236" xr:uid="{00000000-0005-0000-0000-00001E410000}"/>
    <cellStyle name="40% - Accent3 4 4 3 7" xfId="17237" xr:uid="{00000000-0005-0000-0000-00001F410000}"/>
    <cellStyle name="40% - Accent3 4 4 4" xfId="17238" xr:uid="{00000000-0005-0000-0000-000020410000}"/>
    <cellStyle name="40% - Accent3 4 4 4 2" xfId="17239" xr:uid="{00000000-0005-0000-0000-000021410000}"/>
    <cellStyle name="40% - Accent3 4 4 4 2 2" xfId="17240" xr:uid="{00000000-0005-0000-0000-000022410000}"/>
    <cellStyle name="40% - Accent3 4 4 4 2 3" xfId="17241" xr:uid="{00000000-0005-0000-0000-000023410000}"/>
    <cellStyle name="40% - Accent3 4 4 4 3" xfId="17242" xr:uid="{00000000-0005-0000-0000-000024410000}"/>
    <cellStyle name="40% - Accent3 4 4 4 4" xfId="17243" xr:uid="{00000000-0005-0000-0000-000025410000}"/>
    <cellStyle name="40% - Accent3 4 4 4 5" xfId="17244" xr:uid="{00000000-0005-0000-0000-000026410000}"/>
    <cellStyle name="40% - Accent3 4 4 4 6" xfId="17245" xr:uid="{00000000-0005-0000-0000-000027410000}"/>
    <cellStyle name="40% - Accent3 4 4 5" xfId="17246" xr:uid="{00000000-0005-0000-0000-000028410000}"/>
    <cellStyle name="40% - Accent3 4 4 5 2" xfId="17247" xr:uid="{00000000-0005-0000-0000-000029410000}"/>
    <cellStyle name="40% - Accent3 4 4 5 2 2" xfId="17248" xr:uid="{00000000-0005-0000-0000-00002A410000}"/>
    <cellStyle name="40% - Accent3 4 4 5 2 3" xfId="17249" xr:uid="{00000000-0005-0000-0000-00002B410000}"/>
    <cellStyle name="40% - Accent3 4 4 5 3" xfId="17250" xr:uid="{00000000-0005-0000-0000-00002C410000}"/>
    <cellStyle name="40% - Accent3 4 4 5 4" xfId="17251" xr:uid="{00000000-0005-0000-0000-00002D410000}"/>
    <cellStyle name="40% - Accent3 4 4 5 5" xfId="17252" xr:uid="{00000000-0005-0000-0000-00002E410000}"/>
    <cellStyle name="40% - Accent3 4 4 5 6" xfId="17253" xr:uid="{00000000-0005-0000-0000-00002F410000}"/>
    <cellStyle name="40% - Accent3 4 4 6" xfId="17254" xr:uid="{00000000-0005-0000-0000-000030410000}"/>
    <cellStyle name="40% - Accent3 4 4 6 2" xfId="17255" xr:uid="{00000000-0005-0000-0000-000031410000}"/>
    <cellStyle name="40% - Accent3 4 4 6 3" xfId="17256" xr:uid="{00000000-0005-0000-0000-000032410000}"/>
    <cellStyle name="40% - Accent3 4 4 7" xfId="17257" xr:uid="{00000000-0005-0000-0000-000033410000}"/>
    <cellStyle name="40% - Accent3 4 4 8" xfId="17258" xr:uid="{00000000-0005-0000-0000-000034410000}"/>
    <cellStyle name="40% - Accent3 4 4 9" xfId="17259" xr:uid="{00000000-0005-0000-0000-000035410000}"/>
    <cellStyle name="40% - Accent3 4 5" xfId="17260" xr:uid="{00000000-0005-0000-0000-000036410000}"/>
    <cellStyle name="40% - Accent3 4 5 2" xfId="17261" xr:uid="{00000000-0005-0000-0000-000037410000}"/>
    <cellStyle name="40% - Accent3 4 5 2 2" xfId="17262" xr:uid="{00000000-0005-0000-0000-000038410000}"/>
    <cellStyle name="40% - Accent3 4 5 2 2 2" xfId="17263" xr:uid="{00000000-0005-0000-0000-000039410000}"/>
    <cellStyle name="40% - Accent3 4 5 2 2 2 2" xfId="17264" xr:uid="{00000000-0005-0000-0000-00003A410000}"/>
    <cellStyle name="40% - Accent3 4 5 2 2 2 3" xfId="17265" xr:uid="{00000000-0005-0000-0000-00003B410000}"/>
    <cellStyle name="40% - Accent3 4 5 2 2 3" xfId="17266" xr:uid="{00000000-0005-0000-0000-00003C410000}"/>
    <cellStyle name="40% - Accent3 4 5 2 2 4" xfId="17267" xr:uid="{00000000-0005-0000-0000-00003D410000}"/>
    <cellStyle name="40% - Accent3 4 5 2 2 5" xfId="17268" xr:uid="{00000000-0005-0000-0000-00003E410000}"/>
    <cellStyle name="40% - Accent3 4 5 2 2 6" xfId="17269" xr:uid="{00000000-0005-0000-0000-00003F410000}"/>
    <cellStyle name="40% - Accent3 4 5 2 3" xfId="17270" xr:uid="{00000000-0005-0000-0000-000040410000}"/>
    <cellStyle name="40% - Accent3 4 5 2 3 2" xfId="17271" xr:uid="{00000000-0005-0000-0000-000041410000}"/>
    <cellStyle name="40% - Accent3 4 5 2 3 3" xfId="17272" xr:uid="{00000000-0005-0000-0000-000042410000}"/>
    <cellStyle name="40% - Accent3 4 5 2 4" xfId="17273" xr:uid="{00000000-0005-0000-0000-000043410000}"/>
    <cellStyle name="40% - Accent3 4 5 2 5" xfId="17274" xr:uid="{00000000-0005-0000-0000-000044410000}"/>
    <cellStyle name="40% - Accent3 4 5 2 6" xfId="17275" xr:uid="{00000000-0005-0000-0000-000045410000}"/>
    <cellStyle name="40% - Accent3 4 5 2 7" xfId="17276" xr:uid="{00000000-0005-0000-0000-000046410000}"/>
    <cellStyle name="40% - Accent3 4 5 3" xfId="17277" xr:uid="{00000000-0005-0000-0000-000047410000}"/>
    <cellStyle name="40% - Accent3 4 5 3 2" xfId="17278" xr:uid="{00000000-0005-0000-0000-000048410000}"/>
    <cellStyle name="40% - Accent3 4 5 3 2 2" xfId="17279" xr:uid="{00000000-0005-0000-0000-000049410000}"/>
    <cellStyle name="40% - Accent3 4 5 3 2 3" xfId="17280" xr:uid="{00000000-0005-0000-0000-00004A410000}"/>
    <cellStyle name="40% - Accent3 4 5 3 3" xfId="17281" xr:uid="{00000000-0005-0000-0000-00004B410000}"/>
    <cellStyle name="40% - Accent3 4 5 3 4" xfId="17282" xr:uid="{00000000-0005-0000-0000-00004C410000}"/>
    <cellStyle name="40% - Accent3 4 5 3 5" xfId="17283" xr:uid="{00000000-0005-0000-0000-00004D410000}"/>
    <cellStyle name="40% - Accent3 4 5 3 6" xfId="17284" xr:uid="{00000000-0005-0000-0000-00004E410000}"/>
    <cellStyle name="40% - Accent3 4 5 4" xfId="17285" xr:uid="{00000000-0005-0000-0000-00004F410000}"/>
    <cellStyle name="40% - Accent3 4 5 4 2" xfId="17286" xr:uid="{00000000-0005-0000-0000-000050410000}"/>
    <cellStyle name="40% - Accent3 4 5 4 2 2" xfId="17287" xr:uid="{00000000-0005-0000-0000-000051410000}"/>
    <cellStyle name="40% - Accent3 4 5 4 2 3" xfId="17288" xr:uid="{00000000-0005-0000-0000-000052410000}"/>
    <cellStyle name="40% - Accent3 4 5 4 3" xfId="17289" xr:uid="{00000000-0005-0000-0000-000053410000}"/>
    <cellStyle name="40% - Accent3 4 5 4 4" xfId="17290" xr:uid="{00000000-0005-0000-0000-000054410000}"/>
    <cellStyle name="40% - Accent3 4 5 4 5" xfId="17291" xr:uid="{00000000-0005-0000-0000-000055410000}"/>
    <cellStyle name="40% - Accent3 4 5 4 6" xfId="17292" xr:uid="{00000000-0005-0000-0000-000056410000}"/>
    <cellStyle name="40% - Accent3 4 5 5" xfId="17293" xr:uid="{00000000-0005-0000-0000-000057410000}"/>
    <cellStyle name="40% - Accent3 4 5 5 2" xfId="17294" xr:uid="{00000000-0005-0000-0000-000058410000}"/>
    <cellStyle name="40% - Accent3 4 5 5 3" xfId="17295" xr:uid="{00000000-0005-0000-0000-000059410000}"/>
    <cellStyle name="40% - Accent3 4 5 6" xfId="17296" xr:uid="{00000000-0005-0000-0000-00005A410000}"/>
    <cellStyle name="40% - Accent3 4 5 7" xfId="17297" xr:uid="{00000000-0005-0000-0000-00005B410000}"/>
    <cellStyle name="40% - Accent3 4 5 8" xfId="17298" xr:uid="{00000000-0005-0000-0000-00005C410000}"/>
    <cellStyle name="40% - Accent3 4 5 9" xfId="17299" xr:uid="{00000000-0005-0000-0000-00005D410000}"/>
    <cellStyle name="40% - Accent3 4 6" xfId="17300" xr:uid="{00000000-0005-0000-0000-00005E410000}"/>
    <cellStyle name="40% - Accent3 4 6 2" xfId="17301" xr:uid="{00000000-0005-0000-0000-00005F410000}"/>
    <cellStyle name="40% - Accent3 4 6 2 2" xfId="17302" xr:uid="{00000000-0005-0000-0000-000060410000}"/>
    <cellStyle name="40% - Accent3 4 6 2 2 2" xfId="17303" xr:uid="{00000000-0005-0000-0000-000061410000}"/>
    <cellStyle name="40% - Accent3 4 6 2 2 3" xfId="17304" xr:uid="{00000000-0005-0000-0000-000062410000}"/>
    <cellStyle name="40% - Accent3 4 6 2 3" xfId="17305" xr:uid="{00000000-0005-0000-0000-000063410000}"/>
    <cellStyle name="40% - Accent3 4 6 2 4" xfId="17306" xr:uid="{00000000-0005-0000-0000-000064410000}"/>
    <cellStyle name="40% - Accent3 4 6 2 5" xfId="17307" xr:uid="{00000000-0005-0000-0000-000065410000}"/>
    <cellStyle name="40% - Accent3 4 6 2 6" xfId="17308" xr:uid="{00000000-0005-0000-0000-000066410000}"/>
    <cellStyle name="40% - Accent3 4 6 3" xfId="17309" xr:uid="{00000000-0005-0000-0000-000067410000}"/>
    <cellStyle name="40% - Accent3 4 6 3 2" xfId="17310" xr:uid="{00000000-0005-0000-0000-000068410000}"/>
    <cellStyle name="40% - Accent3 4 6 3 3" xfId="17311" xr:uid="{00000000-0005-0000-0000-000069410000}"/>
    <cellStyle name="40% - Accent3 4 6 4" xfId="17312" xr:uid="{00000000-0005-0000-0000-00006A410000}"/>
    <cellStyle name="40% - Accent3 4 6 5" xfId="17313" xr:uid="{00000000-0005-0000-0000-00006B410000}"/>
    <cellStyle name="40% - Accent3 4 6 6" xfId="17314" xr:uid="{00000000-0005-0000-0000-00006C410000}"/>
    <cellStyle name="40% - Accent3 4 6 7" xfId="17315" xr:uid="{00000000-0005-0000-0000-00006D410000}"/>
    <cellStyle name="40% - Accent3 4 7" xfId="17316" xr:uid="{00000000-0005-0000-0000-00006E410000}"/>
    <cellStyle name="40% - Accent3 4 7 2" xfId="17317" xr:uid="{00000000-0005-0000-0000-00006F410000}"/>
    <cellStyle name="40% - Accent3 4 7 2 2" xfId="17318" xr:uid="{00000000-0005-0000-0000-000070410000}"/>
    <cellStyle name="40% - Accent3 4 7 2 3" xfId="17319" xr:uid="{00000000-0005-0000-0000-000071410000}"/>
    <cellStyle name="40% - Accent3 4 7 3" xfId="17320" xr:uid="{00000000-0005-0000-0000-000072410000}"/>
    <cellStyle name="40% - Accent3 4 7 4" xfId="17321" xr:uid="{00000000-0005-0000-0000-000073410000}"/>
    <cellStyle name="40% - Accent3 4 7 5" xfId="17322" xr:uid="{00000000-0005-0000-0000-000074410000}"/>
    <cellStyle name="40% - Accent3 4 7 6" xfId="17323" xr:uid="{00000000-0005-0000-0000-000075410000}"/>
    <cellStyle name="40% - Accent3 4 8" xfId="17324" xr:uid="{00000000-0005-0000-0000-000076410000}"/>
    <cellStyle name="40% - Accent3 4 8 2" xfId="17325" xr:uid="{00000000-0005-0000-0000-000077410000}"/>
    <cellStyle name="40% - Accent3 4 8 2 2" xfId="17326" xr:uid="{00000000-0005-0000-0000-000078410000}"/>
    <cellStyle name="40% - Accent3 4 8 2 3" xfId="17327" xr:uid="{00000000-0005-0000-0000-000079410000}"/>
    <cellStyle name="40% - Accent3 4 8 3" xfId="17328" xr:uid="{00000000-0005-0000-0000-00007A410000}"/>
    <cellStyle name="40% - Accent3 4 8 4" xfId="17329" xr:uid="{00000000-0005-0000-0000-00007B410000}"/>
    <cellStyle name="40% - Accent3 4 8 5" xfId="17330" xr:uid="{00000000-0005-0000-0000-00007C410000}"/>
    <cellStyle name="40% - Accent3 4 8 6" xfId="17331" xr:uid="{00000000-0005-0000-0000-00007D410000}"/>
    <cellStyle name="40% - Accent3 4 9" xfId="17332" xr:uid="{00000000-0005-0000-0000-00007E410000}"/>
    <cellStyle name="40% - Accent3 4 9 2" xfId="17333" xr:uid="{00000000-0005-0000-0000-00007F410000}"/>
    <cellStyle name="40% - Accent3 4 9 2 2" xfId="17334" xr:uid="{00000000-0005-0000-0000-000080410000}"/>
    <cellStyle name="40% - Accent3 4 9 2 3" xfId="17335" xr:uid="{00000000-0005-0000-0000-000081410000}"/>
    <cellStyle name="40% - Accent3 4 9 3" xfId="17336" xr:uid="{00000000-0005-0000-0000-000082410000}"/>
    <cellStyle name="40% - Accent3 4 9 4" xfId="17337" xr:uid="{00000000-0005-0000-0000-000083410000}"/>
    <cellStyle name="40% - Accent3 4 9 5" xfId="17338" xr:uid="{00000000-0005-0000-0000-000084410000}"/>
    <cellStyle name="40% - Accent3 4 9 6" xfId="17339" xr:uid="{00000000-0005-0000-0000-000085410000}"/>
    <cellStyle name="40% - Accent3 5" xfId="17340" xr:uid="{00000000-0005-0000-0000-000086410000}"/>
    <cellStyle name="40% - Accent3 5 10" xfId="17341" xr:uid="{00000000-0005-0000-0000-000087410000}"/>
    <cellStyle name="40% - Accent3 5 11" xfId="17342" xr:uid="{00000000-0005-0000-0000-000088410000}"/>
    <cellStyle name="40% - Accent3 5 12" xfId="17343" xr:uid="{00000000-0005-0000-0000-000089410000}"/>
    <cellStyle name="40% - Accent3 5 13" xfId="17344" xr:uid="{00000000-0005-0000-0000-00008A410000}"/>
    <cellStyle name="40% - Accent3 5 2" xfId="17345" xr:uid="{00000000-0005-0000-0000-00008B410000}"/>
    <cellStyle name="40% - Accent3 5 2 10" xfId="17346" xr:uid="{00000000-0005-0000-0000-00008C410000}"/>
    <cellStyle name="40% - Accent3 5 2 2" xfId="17347" xr:uid="{00000000-0005-0000-0000-00008D410000}"/>
    <cellStyle name="40% - Accent3 5 2 2 2" xfId="17348" xr:uid="{00000000-0005-0000-0000-00008E410000}"/>
    <cellStyle name="40% - Accent3 5 2 2 2 2" xfId="17349" xr:uid="{00000000-0005-0000-0000-00008F410000}"/>
    <cellStyle name="40% - Accent3 5 2 2 2 2 2" xfId="17350" xr:uid="{00000000-0005-0000-0000-000090410000}"/>
    <cellStyle name="40% - Accent3 5 2 2 2 2 3" xfId="17351" xr:uid="{00000000-0005-0000-0000-000091410000}"/>
    <cellStyle name="40% - Accent3 5 2 2 2 3" xfId="17352" xr:uid="{00000000-0005-0000-0000-000092410000}"/>
    <cellStyle name="40% - Accent3 5 2 2 2 4" xfId="17353" xr:uid="{00000000-0005-0000-0000-000093410000}"/>
    <cellStyle name="40% - Accent3 5 2 2 2 5" xfId="17354" xr:uid="{00000000-0005-0000-0000-000094410000}"/>
    <cellStyle name="40% - Accent3 5 2 2 2 6" xfId="17355" xr:uid="{00000000-0005-0000-0000-000095410000}"/>
    <cellStyle name="40% - Accent3 5 2 2 3" xfId="17356" xr:uid="{00000000-0005-0000-0000-000096410000}"/>
    <cellStyle name="40% - Accent3 5 2 2 3 2" xfId="17357" xr:uid="{00000000-0005-0000-0000-000097410000}"/>
    <cellStyle name="40% - Accent3 5 2 2 3 2 2" xfId="17358" xr:uid="{00000000-0005-0000-0000-000098410000}"/>
    <cellStyle name="40% - Accent3 5 2 2 3 2 3" xfId="17359" xr:uid="{00000000-0005-0000-0000-000099410000}"/>
    <cellStyle name="40% - Accent3 5 2 2 3 3" xfId="17360" xr:uid="{00000000-0005-0000-0000-00009A410000}"/>
    <cellStyle name="40% - Accent3 5 2 2 3 4" xfId="17361" xr:uid="{00000000-0005-0000-0000-00009B410000}"/>
    <cellStyle name="40% - Accent3 5 2 2 3 5" xfId="17362" xr:uid="{00000000-0005-0000-0000-00009C410000}"/>
    <cellStyle name="40% - Accent3 5 2 2 3 6" xfId="17363" xr:uid="{00000000-0005-0000-0000-00009D410000}"/>
    <cellStyle name="40% - Accent3 5 2 2 4" xfId="17364" xr:uid="{00000000-0005-0000-0000-00009E410000}"/>
    <cellStyle name="40% - Accent3 5 2 2 4 2" xfId="17365" xr:uid="{00000000-0005-0000-0000-00009F410000}"/>
    <cellStyle name="40% - Accent3 5 2 2 4 3" xfId="17366" xr:uid="{00000000-0005-0000-0000-0000A0410000}"/>
    <cellStyle name="40% - Accent3 5 2 2 5" xfId="17367" xr:uid="{00000000-0005-0000-0000-0000A1410000}"/>
    <cellStyle name="40% - Accent3 5 2 2 6" xfId="17368" xr:uid="{00000000-0005-0000-0000-0000A2410000}"/>
    <cellStyle name="40% - Accent3 5 2 2 7" xfId="17369" xr:uid="{00000000-0005-0000-0000-0000A3410000}"/>
    <cellStyle name="40% - Accent3 5 2 2 8" xfId="17370" xr:uid="{00000000-0005-0000-0000-0000A4410000}"/>
    <cellStyle name="40% - Accent3 5 2 3" xfId="17371" xr:uid="{00000000-0005-0000-0000-0000A5410000}"/>
    <cellStyle name="40% - Accent3 5 2 3 2" xfId="17372" xr:uid="{00000000-0005-0000-0000-0000A6410000}"/>
    <cellStyle name="40% - Accent3 5 2 3 2 2" xfId="17373" xr:uid="{00000000-0005-0000-0000-0000A7410000}"/>
    <cellStyle name="40% - Accent3 5 2 3 2 2 2" xfId="17374" xr:uid="{00000000-0005-0000-0000-0000A8410000}"/>
    <cellStyle name="40% - Accent3 5 2 3 2 2 3" xfId="17375" xr:uid="{00000000-0005-0000-0000-0000A9410000}"/>
    <cellStyle name="40% - Accent3 5 2 3 2 3" xfId="17376" xr:uid="{00000000-0005-0000-0000-0000AA410000}"/>
    <cellStyle name="40% - Accent3 5 2 3 2 4" xfId="17377" xr:uid="{00000000-0005-0000-0000-0000AB410000}"/>
    <cellStyle name="40% - Accent3 5 2 3 2 5" xfId="17378" xr:uid="{00000000-0005-0000-0000-0000AC410000}"/>
    <cellStyle name="40% - Accent3 5 2 3 2 6" xfId="17379" xr:uid="{00000000-0005-0000-0000-0000AD410000}"/>
    <cellStyle name="40% - Accent3 5 2 3 3" xfId="17380" xr:uid="{00000000-0005-0000-0000-0000AE410000}"/>
    <cellStyle name="40% - Accent3 5 2 3 3 2" xfId="17381" xr:uid="{00000000-0005-0000-0000-0000AF410000}"/>
    <cellStyle name="40% - Accent3 5 2 3 3 3" xfId="17382" xr:uid="{00000000-0005-0000-0000-0000B0410000}"/>
    <cellStyle name="40% - Accent3 5 2 3 4" xfId="17383" xr:uid="{00000000-0005-0000-0000-0000B1410000}"/>
    <cellStyle name="40% - Accent3 5 2 3 5" xfId="17384" xr:uid="{00000000-0005-0000-0000-0000B2410000}"/>
    <cellStyle name="40% - Accent3 5 2 3 6" xfId="17385" xr:uid="{00000000-0005-0000-0000-0000B3410000}"/>
    <cellStyle name="40% - Accent3 5 2 3 7" xfId="17386" xr:uid="{00000000-0005-0000-0000-0000B4410000}"/>
    <cellStyle name="40% - Accent3 5 2 4" xfId="17387" xr:uid="{00000000-0005-0000-0000-0000B5410000}"/>
    <cellStyle name="40% - Accent3 5 2 4 2" xfId="17388" xr:uid="{00000000-0005-0000-0000-0000B6410000}"/>
    <cellStyle name="40% - Accent3 5 2 4 2 2" xfId="17389" xr:uid="{00000000-0005-0000-0000-0000B7410000}"/>
    <cellStyle name="40% - Accent3 5 2 4 2 3" xfId="17390" xr:uid="{00000000-0005-0000-0000-0000B8410000}"/>
    <cellStyle name="40% - Accent3 5 2 4 3" xfId="17391" xr:uid="{00000000-0005-0000-0000-0000B9410000}"/>
    <cellStyle name="40% - Accent3 5 2 4 4" xfId="17392" xr:uid="{00000000-0005-0000-0000-0000BA410000}"/>
    <cellStyle name="40% - Accent3 5 2 4 5" xfId="17393" xr:uid="{00000000-0005-0000-0000-0000BB410000}"/>
    <cellStyle name="40% - Accent3 5 2 4 6" xfId="17394" xr:uid="{00000000-0005-0000-0000-0000BC410000}"/>
    <cellStyle name="40% - Accent3 5 2 5" xfId="17395" xr:uid="{00000000-0005-0000-0000-0000BD410000}"/>
    <cellStyle name="40% - Accent3 5 2 5 2" xfId="17396" xr:uid="{00000000-0005-0000-0000-0000BE410000}"/>
    <cellStyle name="40% - Accent3 5 2 5 2 2" xfId="17397" xr:uid="{00000000-0005-0000-0000-0000BF410000}"/>
    <cellStyle name="40% - Accent3 5 2 5 2 3" xfId="17398" xr:uid="{00000000-0005-0000-0000-0000C0410000}"/>
    <cellStyle name="40% - Accent3 5 2 5 3" xfId="17399" xr:uid="{00000000-0005-0000-0000-0000C1410000}"/>
    <cellStyle name="40% - Accent3 5 2 5 4" xfId="17400" xr:uid="{00000000-0005-0000-0000-0000C2410000}"/>
    <cellStyle name="40% - Accent3 5 2 5 5" xfId="17401" xr:uid="{00000000-0005-0000-0000-0000C3410000}"/>
    <cellStyle name="40% - Accent3 5 2 5 6" xfId="17402" xr:uid="{00000000-0005-0000-0000-0000C4410000}"/>
    <cellStyle name="40% - Accent3 5 2 6" xfId="17403" xr:uid="{00000000-0005-0000-0000-0000C5410000}"/>
    <cellStyle name="40% - Accent3 5 2 6 2" xfId="17404" xr:uid="{00000000-0005-0000-0000-0000C6410000}"/>
    <cellStyle name="40% - Accent3 5 2 6 3" xfId="17405" xr:uid="{00000000-0005-0000-0000-0000C7410000}"/>
    <cellStyle name="40% - Accent3 5 2 7" xfId="17406" xr:uid="{00000000-0005-0000-0000-0000C8410000}"/>
    <cellStyle name="40% - Accent3 5 2 8" xfId="17407" xr:uid="{00000000-0005-0000-0000-0000C9410000}"/>
    <cellStyle name="40% - Accent3 5 2 9" xfId="17408" xr:uid="{00000000-0005-0000-0000-0000CA410000}"/>
    <cellStyle name="40% - Accent3 5 3" xfId="17409" xr:uid="{00000000-0005-0000-0000-0000CB410000}"/>
    <cellStyle name="40% - Accent3 5 3 2" xfId="17410" xr:uid="{00000000-0005-0000-0000-0000CC410000}"/>
    <cellStyle name="40% - Accent3 5 3 2 2" xfId="17411" xr:uid="{00000000-0005-0000-0000-0000CD410000}"/>
    <cellStyle name="40% - Accent3 5 3 2 2 2" xfId="17412" xr:uid="{00000000-0005-0000-0000-0000CE410000}"/>
    <cellStyle name="40% - Accent3 5 3 2 2 2 2" xfId="17413" xr:uid="{00000000-0005-0000-0000-0000CF410000}"/>
    <cellStyle name="40% - Accent3 5 3 2 2 2 3" xfId="17414" xr:uid="{00000000-0005-0000-0000-0000D0410000}"/>
    <cellStyle name="40% - Accent3 5 3 2 2 3" xfId="17415" xr:uid="{00000000-0005-0000-0000-0000D1410000}"/>
    <cellStyle name="40% - Accent3 5 3 2 2 4" xfId="17416" xr:uid="{00000000-0005-0000-0000-0000D2410000}"/>
    <cellStyle name="40% - Accent3 5 3 2 2 5" xfId="17417" xr:uid="{00000000-0005-0000-0000-0000D3410000}"/>
    <cellStyle name="40% - Accent3 5 3 2 2 6" xfId="17418" xr:uid="{00000000-0005-0000-0000-0000D4410000}"/>
    <cellStyle name="40% - Accent3 5 3 2 3" xfId="17419" xr:uid="{00000000-0005-0000-0000-0000D5410000}"/>
    <cellStyle name="40% - Accent3 5 3 2 3 2" xfId="17420" xr:uid="{00000000-0005-0000-0000-0000D6410000}"/>
    <cellStyle name="40% - Accent3 5 3 2 3 3" xfId="17421" xr:uid="{00000000-0005-0000-0000-0000D7410000}"/>
    <cellStyle name="40% - Accent3 5 3 2 4" xfId="17422" xr:uid="{00000000-0005-0000-0000-0000D8410000}"/>
    <cellStyle name="40% - Accent3 5 3 2 5" xfId="17423" xr:uid="{00000000-0005-0000-0000-0000D9410000}"/>
    <cellStyle name="40% - Accent3 5 3 2 6" xfId="17424" xr:uid="{00000000-0005-0000-0000-0000DA410000}"/>
    <cellStyle name="40% - Accent3 5 3 2 7" xfId="17425" xr:uid="{00000000-0005-0000-0000-0000DB410000}"/>
    <cellStyle name="40% - Accent3 5 3 3" xfId="17426" xr:uid="{00000000-0005-0000-0000-0000DC410000}"/>
    <cellStyle name="40% - Accent3 5 3 3 2" xfId="17427" xr:uid="{00000000-0005-0000-0000-0000DD410000}"/>
    <cellStyle name="40% - Accent3 5 3 3 2 2" xfId="17428" xr:uid="{00000000-0005-0000-0000-0000DE410000}"/>
    <cellStyle name="40% - Accent3 5 3 3 2 3" xfId="17429" xr:uid="{00000000-0005-0000-0000-0000DF410000}"/>
    <cellStyle name="40% - Accent3 5 3 3 3" xfId="17430" xr:uid="{00000000-0005-0000-0000-0000E0410000}"/>
    <cellStyle name="40% - Accent3 5 3 3 4" xfId="17431" xr:uid="{00000000-0005-0000-0000-0000E1410000}"/>
    <cellStyle name="40% - Accent3 5 3 3 5" xfId="17432" xr:uid="{00000000-0005-0000-0000-0000E2410000}"/>
    <cellStyle name="40% - Accent3 5 3 3 6" xfId="17433" xr:uid="{00000000-0005-0000-0000-0000E3410000}"/>
    <cellStyle name="40% - Accent3 5 3 4" xfId="17434" xr:uid="{00000000-0005-0000-0000-0000E4410000}"/>
    <cellStyle name="40% - Accent3 5 3 4 2" xfId="17435" xr:uid="{00000000-0005-0000-0000-0000E5410000}"/>
    <cellStyle name="40% - Accent3 5 3 4 2 2" xfId="17436" xr:uid="{00000000-0005-0000-0000-0000E6410000}"/>
    <cellStyle name="40% - Accent3 5 3 4 2 3" xfId="17437" xr:uid="{00000000-0005-0000-0000-0000E7410000}"/>
    <cellStyle name="40% - Accent3 5 3 4 3" xfId="17438" xr:uid="{00000000-0005-0000-0000-0000E8410000}"/>
    <cellStyle name="40% - Accent3 5 3 4 4" xfId="17439" xr:uid="{00000000-0005-0000-0000-0000E9410000}"/>
    <cellStyle name="40% - Accent3 5 3 4 5" xfId="17440" xr:uid="{00000000-0005-0000-0000-0000EA410000}"/>
    <cellStyle name="40% - Accent3 5 3 4 6" xfId="17441" xr:uid="{00000000-0005-0000-0000-0000EB410000}"/>
    <cellStyle name="40% - Accent3 5 3 5" xfId="17442" xr:uid="{00000000-0005-0000-0000-0000EC410000}"/>
    <cellStyle name="40% - Accent3 5 3 5 2" xfId="17443" xr:uid="{00000000-0005-0000-0000-0000ED410000}"/>
    <cellStyle name="40% - Accent3 5 3 5 3" xfId="17444" xr:uid="{00000000-0005-0000-0000-0000EE410000}"/>
    <cellStyle name="40% - Accent3 5 3 6" xfId="17445" xr:uid="{00000000-0005-0000-0000-0000EF410000}"/>
    <cellStyle name="40% - Accent3 5 3 7" xfId="17446" xr:uid="{00000000-0005-0000-0000-0000F0410000}"/>
    <cellStyle name="40% - Accent3 5 3 8" xfId="17447" xr:uid="{00000000-0005-0000-0000-0000F1410000}"/>
    <cellStyle name="40% - Accent3 5 3 9" xfId="17448" xr:uid="{00000000-0005-0000-0000-0000F2410000}"/>
    <cellStyle name="40% - Accent3 5 4" xfId="17449" xr:uid="{00000000-0005-0000-0000-0000F3410000}"/>
    <cellStyle name="40% - Accent3 5 4 2" xfId="17450" xr:uid="{00000000-0005-0000-0000-0000F4410000}"/>
    <cellStyle name="40% - Accent3 5 4 2 2" xfId="17451" xr:uid="{00000000-0005-0000-0000-0000F5410000}"/>
    <cellStyle name="40% - Accent3 5 4 2 2 2" xfId="17452" xr:uid="{00000000-0005-0000-0000-0000F6410000}"/>
    <cellStyle name="40% - Accent3 5 4 2 2 3" xfId="17453" xr:uid="{00000000-0005-0000-0000-0000F7410000}"/>
    <cellStyle name="40% - Accent3 5 4 2 3" xfId="17454" xr:uid="{00000000-0005-0000-0000-0000F8410000}"/>
    <cellStyle name="40% - Accent3 5 4 2 4" xfId="17455" xr:uid="{00000000-0005-0000-0000-0000F9410000}"/>
    <cellStyle name="40% - Accent3 5 4 2 5" xfId="17456" xr:uid="{00000000-0005-0000-0000-0000FA410000}"/>
    <cellStyle name="40% - Accent3 5 4 2 6" xfId="17457" xr:uid="{00000000-0005-0000-0000-0000FB410000}"/>
    <cellStyle name="40% - Accent3 5 4 3" xfId="17458" xr:uid="{00000000-0005-0000-0000-0000FC410000}"/>
    <cellStyle name="40% - Accent3 5 4 3 2" xfId="17459" xr:uid="{00000000-0005-0000-0000-0000FD410000}"/>
    <cellStyle name="40% - Accent3 5 4 3 3" xfId="17460" xr:uid="{00000000-0005-0000-0000-0000FE410000}"/>
    <cellStyle name="40% - Accent3 5 4 4" xfId="17461" xr:uid="{00000000-0005-0000-0000-0000FF410000}"/>
    <cellStyle name="40% - Accent3 5 4 5" xfId="17462" xr:uid="{00000000-0005-0000-0000-000000420000}"/>
    <cellStyle name="40% - Accent3 5 4 6" xfId="17463" xr:uid="{00000000-0005-0000-0000-000001420000}"/>
    <cellStyle name="40% - Accent3 5 4 7" xfId="17464" xr:uid="{00000000-0005-0000-0000-000002420000}"/>
    <cellStyle name="40% - Accent3 5 5" xfId="17465" xr:uid="{00000000-0005-0000-0000-000003420000}"/>
    <cellStyle name="40% - Accent3 5 5 2" xfId="17466" xr:uid="{00000000-0005-0000-0000-000004420000}"/>
    <cellStyle name="40% - Accent3 5 5 2 2" xfId="17467" xr:uid="{00000000-0005-0000-0000-000005420000}"/>
    <cellStyle name="40% - Accent3 5 5 2 3" xfId="17468" xr:uid="{00000000-0005-0000-0000-000006420000}"/>
    <cellStyle name="40% - Accent3 5 5 3" xfId="17469" xr:uid="{00000000-0005-0000-0000-000007420000}"/>
    <cellStyle name="40% - Accent3 5 5 4" xfId="17470" xr:uid="{00000000-0005-0000-0000-000008420000}"/>
    <cellStyle name="40% - Accent3 5 5 5" xfId="17471" xr:uid="{00000000-0005-0000-0000-000009420000}"/>
    <cellStyle name="40% - Accent3 5 5 6" xfId="17472" xr:uid="{00000000-0005-0000-0000-00000A420000}"/>
    <cellStyle name="40% - Accent3 5 6" xfId="17473" xr:uid="{00000000-0005-0000-0000-00000B420000}"/>
    <cellStyle name="40% - Accent3 5 6 2" xfId="17474" xr:uid="{00000000-0005-0000-0000-00000C420000}"/>
    <cellStyle name="40% - Accent3 5 6 2 2" xfId="17475" xr:uid="{00000000-0005-0000-0000-00000D420000}"/>
    <cellStyle name="40% - Accent3 5 6 2 3" xfId="17476" xr:uid="{00000000-0005-0000-0000-00000E420000}"/>
    <cellStyle name="40% - Accent3 5 6 3" xfId="17477" xr:uid="{00000000-0005-0000-0000-00000F420000}"/>
    <cellStyle name="40% - Accent3 5 6 4" xfId="17478" xr:uid="{00000000-0005-0000-0000-000010420000}"/>
    <cellStyle name="40% - Accent3 5 6 5" xfId="17479" xr:uid="{00000000-0005-0000-0000-000011420000}"/>
    <cellStyle name="40% - Accent3 5 6 6" xfId="17480" xr:uid="{00000000-0005-0000-0000-000012420000}"/>
    <cellStyle name="40% - Accent3 5 7" xfId="17481" xr:uid="{00000000-0005-0000-0000-000013420000}"/>
    <cellStyle name="40% - Accent3 5 7 2" xfId="17482" xr:uid="{00000000-0005-0000-0000-000014420000}"/>
    <cellStyle name="40% - Accent3 5 7 2 2" xfId="17483" xr:uid="{00000000-0005-0000-0000-000015420000}"/>
    <cellStyle name="40% - Accent3 5 7 2 3" xfId="17484" xr:uid="{00000000-0005-0000-0000-000016420000}"/>
    <cellStyle name="40% - Accent3 5 7 3" xfId="17485" xr:uid="{00000000-0005-0000-0000-000017420000}"/>
    <cellStyle name="40% - Accent3 5 7 4" xfId="17486" xr:uid="{00000000-0005-0000-0000-000018420000}"/>
    <cellStyle name="40% - Accent3 5 7 5" xfId="17487" xr:uid="{00000000-0005-0000-0000-000019420000}"/>
    <cellStyle name="40% - Accent3 5 7 6" xfId="17488" xr:uid="{00000000-0005-0000-0000-00001A420000}"/>
    <cellStyle name="40% - Accent3 5 8" xfId="17489" xr:uid="{00000000-0005-0000-0000-00001B420000}"/>
    <cellStyle name="40% - Accent3 5 8 2" xfId="17490" xr:uid="{00000000-0005-0000-0000-00001C420000}"/>
    <cellStyle name="40% - Accent3 5 8 2 2" xfId="17491" xr:uid="{00000000-0005-0000-0000-00001D420000}"/>
    <cellStyle name="40% - Accent3 5 8 2 3" xfId="17492" xr:uid="{00000000-0005-0000-0000-00001E420000}"/>
    <cellStyle name="40% - Accent3 5 8 3" xfId="17493" xr:uid="{00000000-0005-0000-0000-00001F420000}"/>
    <cellStyle name="40% - Accent3 5 8 4" xfId="17494" xr:uid="{00000000-0005-0000-0000-000020420000}"/>
    <cellStyle name="40% - Accent3 5 8 5" xfId="17495" xr:uid="{00000000-0005-0000-0000-000021420000}"/>
    <cellStyle name="40% - Accent3 5 8 6" xfId="17496" xr:uid="{00000000-0005-0000-0000-000022420000}"/>
    <cellStyle name="40% - Accent3 5 9" xfId="17497" xr:uid="{00000000-0005-0000-0000-000023420000}"/>
    <cellStyle name="40% - Accent3 5 9 2" xfId="17498" xr:uid="{00000000-0005-0000-0000-000024420000}"/>
    <cellStyle name="40% - Accent3 5 9 3" xfId="17499" xr:uid="{00000000-0005-0000-0000-000025420000}"/>
    <cellStyle name="40% - Accent3 6" xfId="17500" xr:uid="{00000000-0005-0000-0000-000026420000}"/>
    <cellStyle name="40% - Accent3 6 10" xfId="17501" xr:uid="{00000000-0005-0000-0000-000027420000}"/>
    <cellStyle name="40% - Accent3 6 11" xfId="17502" xr:uid="{00000000-0005-0000-0000-000028420000}"/>
    <cellStyle name="40% - Accent3 6 2" xfId="17503" xr:uid="{00000000-0005-0000-0000-000029420000}"/>
    <cellStyle name="40% - Accent3 6 2 2" xfId="17504" xr:uid="{00000000-0005-0000-0000-00002A420000}"/>
    <cellStyle name="40% - Accent3 6 2 2 2" xfId="17505" xr:uid="{00000000-0005-0000-0000-00002B420000}"/>
    <cellStyle name="40% - Accent3 6 2 2 2 2" xfId="17506" xr:uid="{00000000-0005-0000-0000-00002C420000}"/>
    <cellStyle name="40% - Accent3 6 2 2 2 3" xfId="17507" xr:uid="{00000000-0005-0000-0000-00002D420000}"/>
    <cellStyle name="40% - Accent3 6 2 2 3" xfId="17508" xr:uid="{00000000-0005-0000-0000-00002E420000}"/>
    <cellStyle name="40% - Accent3 6 2 2 4" xfId="17509" xr:uid="{00000000-0005-0000-0000-00002F420000}"/>
    <cellStyle name="40% - Accent3 6 2 2 5" xfId="17510" xr:uid="{00000000-0005-0000-0000-000030420000}"/>
    <cellStyle name="40% - Accent3 6 2 2 6" xfId="17511" xr:uid="{00000000-0005-0000-0000-000031420000}"/>
    <cellStyle name="40% - Accent3 6 2 3" xfId="17512" xr:uid="{00000000-0005-0000-0000-000032420000}"/>
    <cellStyle name="40% - Accent3 6 2 3 2" xfId="17513" xr:uid="{00000000-0005-0000-0000-000033420000}"/>
    <cellStyle name="40% - Accent3 6 2 3 2 2" xfId="17514" xr:uid="{00000000-0005-0000-0000-000034420000}"/>
    <cellStyle name="40% - Accent3 6 2 3 2 3" xfId="17515" xr:uid="{00000000-0005-0000-0000-000035420000}"/>
    <cellStyle name="40% - Accent3 6 2 3 3" xfId="17516" xr:uid="{00000000-0005-0000-0000-000036420000}"/>
    <cellStyle name="40% - Accent3 6 2 3 4" xfId="17517" xr:uid="{00000000-0005-0000-0000-000037420000}"/>
    <cellStyle name="40% - Accent3 6 2 3 5" xfId="17518" xr:uid="{00000000-0005-0000-0000-000038420000}"/>
    <cellStyle name="40% - Accent3 6 2 3 6" xfId="17519" xr:uid="{00000000-0005-0000-0000-000039420000}"/>
    <cellStyle name="40% - Accent3 6 2 4" xfId="17520" xr:uid="{00000000-0005-0000-0000-00003A420000}"/>
    <cellStyle name="40% - Accent3 6 2 4 2" xfId="17521" xr:uid="{00000000-0005-0000-0000-00003B420000}"/>
    <cellStyle name="40% - Accent3 6 2 4 3" xfId="17522" xr:uid="{00000000-0005-0000-0000-00003C420000}"/>
    <cellStyle name="40% - Accent3 6 2 5" xfId="17523" xr:uid="{00000000-0005-0000-0000-00003D420000}"/>
    <cellStyle name="40% - Accent3 6 2 6" xfId="17524" xr:uid="{00000000-0005-0000-0000-00003E420000}"/>
    <cellStyle name="40% - Accent3 6 2 7" xfId="17525" xr:uid="{00000000-0005-0000-0000-00003F420000}"/>
    <cellStyle name="40% - Accent3 6 2 8" xfId="17526" xr:uid="{00000000-0005-0000-0000-000040420000}"/>
    <cellStyle name="40% - Accent3 6 3" xfId="17527" xr:uid="{00000000-0005-0000-0000-000041420000}"/>
    <cellStyle name="40% - Accent3 6 3 2" xfId="17528" xr:uid="{00000000-0005-0000-0000-000042420000}"/>
    <cellStyle name="40% - Accent3 6 3 2 2" xfId="17529" xr:uid="{00000000-0005-0000-0000-000043420000}"/>
    <cellStyle name="40% - Accent3 6 3 2 2 2" xfId="17530" xr:uid="{00000000-0005-0000-0000-000044420000}"/>
    <cellStyle name="40% - Accent3 6 3 2 2 3" xfId="17531" xr:uid="{00000000-0005-0000-0000-000045420000}"/>
    <cellStyle name="40% - Accent3 6 3 2 3" xfId="17532" xr:uid="{00000000-0005-0000-0000-000046420000}"/>
    <cellStyle name="40% - Accent3 6 3 2 4" xfId="17533" xr:uid="{00000000-0005-0000-0000-000047420000}"/>
    <cellStyle name="40% - Accent3 6 3 2 5" xfId="17534" xr:uid="{00000000-0005-0000-0000-000048420000}"/>
    <cellStyle name="40% - Accent3 6 3 2 6" xfId="17535" xr:uid="{00000000-0005-0000-0000-000049420000}"/>
    <cellStyle name="40% - Accent3 6 3 3" xfId="17536" xr:uid="{00000000-0005-0000-0000-00004A420000}"/>
    <cellStyle name="40% - Accent3 6 3 3 2" xfId="17537" xr:uid="{00000000-0005-0000-0000-00004B420000}"/>
    <cellStyle name="40% - Accent3 6 3 3 3" xfId="17538" xr:uid="{00000000-0005-0000-0000-00004C420000}"/>
    <cellStyle name="40% - Accent3 6 3 4" xfId="17539" xr:uid="{00000000-0005-0000-0000-00004D420000}"/>
    <cellStyle name="40% - Accent3 6 3 5" xfId="17540" xr:uid="{00000000-0005-0000-0000-00004E420000}"/>
    <cellStyle name="40% - Accent3 6 3 6" xfId="17541" xr:uid="{00000000-0005-0000-0000-00004F420000}"/>
    <cellStyle name="40% - Accent3 6 3 7" xfId="17542" xr:uid="{00000000-0005-0000-0000-000050420000}"/>
    <cellStyle name="40% - Accent3 6 4" xfId="17543" xr:uid="{00000000-0005-0000-0000-000051420000}"/>
    <cellStyle name="40% - Accent3 6 4 2" xfId="17544" xr:uid="{00000000-0005-0000-0000-000052420000}"/>
    <cellStyle name="40% - Accent3 6 4 2 2" xfId="17545" xr:uid="{00000000-0005-0000-0000-000053420000}"/>
    <cellStyle name="40% - Accent3 6 4 2 3" xfId="17546" xr:uid="{00000000-0005-0000-0000-000054420000}"/>
    <cellStyle name="40% - Accent3 6 4 3" xfId="17547" xr:uid="{00000000-0005-0000-0000-000055420000}"/>
    <cellStyle name="40% - Accent3 6 4 4" xfId="17548" xr:uid="{00000000-0005-0000-0000-000056420000}"/>
    <cellStyle name="40% - Accent3 6 4 5" xfId="17549" xr:uid="{00000000-0005-0000-0000-000057420000}"/>
    <cellStyle name="40% - Accent3 6 4 6" xfId="17550" xr:uid="{00000000-0005-0000-0000-000058420000}"/>
    <cellStyle name="40% - Accent3 6 5" xfId="17551" xr:uid="{00000000-0005-0000-0000-000059420000}"/>
    <cellStyle name="40% - Accent3 6 5 2" xfId="17552" xr:uid="{00000000-0005-0000-0000-00005A420000}"/>
    <cellStyle name="40% - Accent3 6 5 2 2" xfId="17553" xr:uid="{00000000-0005-0000-0000-00005B420000}"/>
    <cellStyle name="40% - Accent3 6 5 2 3" xfId="17554" xr:uid="{00000000-0005-0000-0000-00005C420000}"/>
    <cellStyle name="40% - Accent3 6 5 3" xfId="17555" xr:uid="{00000000-0005-0000-0000-00005D420000}"/>
    <cellStyle name="40% - Accent3 6 5 4" xfId="17556" xr:uid="{00000000-0005-0000-0000-00005E420000}"/>
    <cellStyle name="40% - Accent3 6 5 5" xfId="17557" xr:uid="{00000000-0005-0000-0000-00005F420000}"/>
    <cellStyle name="40% - Accent3 6 5 6" xfId="17558" xr:uid="{00000000-0005-0000-0000-000060420000}"/>
    <cellStyle name="40% - Accent3 6 6" xfId="17559" xr:uid="{00000000-0005-0000-0000-000061420000}"/>
    <cellStyle name="40% - Accent3 6 6 2" xfId="17560" xr:uid="{00000000-0005-0000-0000-000062420000}"/>
    <cellStyle name="40% - Accent3 6 6 2 2" xfId="17561" xr:uid="{00000000-0005-0000-0000-000063420000}"/>
    <cellStyle name="40% - Accent3 6 6 2 3" xfId="17562" xr:uid="{00000000-0005-0000-0000-000064420000}"/>
    <cellStyle name="40% - Accent3 6 6 3" xfId="17563" xr:uid="{00000000-0005-0000-0000-000065420000}"/>
    <cellStyle name="40% - Accent3 6 6 4" xfId="17564" xr:uid="{00000000-0005-0000-0000-000066420000}"/>
    <cellStyle name="40% - Accent3 6 6 5" xfId="17565" xr:uid="{00000000-0005-0000-0000-000067420000}"/>
    <cellStyle name="40% - Accent3 6 6 6" xfId="17566" xr:uid="{00000000-0005-0000-0000-000068420000}"/>
    <cellStyle name="40% - Accent3 6 7" xfId="17567" xr:uid="{00000000-0005-0000-0000-000069420000}"/>
    <cellStyle name="40% - Accent3 6 7 2" xfId="17568" xr:uid="{00000000-0005-0000-0000-00006A420000}"/>
    <cellStyle name="40% - Accent3 6 7 3" xfId="17569" xr:uid="{00000000-0005-0000-0000-00006B420000}"/>
    <cellStyle name="40% - Accent3 6 8" xfId="17570" xr:uid="{00000000-0005-0000-0000-00006C420000}"/>
    <cellStyle name="40% - Accent3 6 9" xfId="17571" xr:uid="{00000000-0005-0000-0000-00006D420000}"/>
    <cellStyle name="40% - Accent3 7" xfId="17572" xr:uid="{00000000-0005-0000-0000-00006E420000}"/>
    <cellStyle name="40% - Accent3 7 2" xfId="17573" xr:uid="{00000000-0005-0000-0000-00006F420000}"/>
    <cellStyle name="40% - Accent3 7 2 2" xfId="17574" xr:uid="{00000000-0005-0000-0000-000070420000}"/>
    <cellStyle name="40% - Accent3 7 2 3" xfId="17575" xr:uid="{00000000-0005-0000-0000-000071420000}"/>
    <cellStyle name="40% - Accent3 7 3" xfId="17576" xr:uid="{00000000-0005-0000-0000-000072420000}"/>
    <cellStyle name="40% - Accent3 7 4" xfId="17577" xr:uid="{00000000-0005-0000-0000-000073420000}"/>
    <cellStyle name="40% - Accent3 7 5" xfId="17578" xr:uid="{00000000-0005-0000-0000-000074420000}"/>
    <cellStyle name="40% - Accent3 7 6" xfId="17579" xr:uid="{00000000-0005-0000-0000-000075420000}"/>
    <cellStyle name="40% - Accent3 8" xfId="17580" xr:uid="{00000000-0005-0000-0000-000076420000}"/>
    <cellStyle name="40% - Accent3 8 2" xfId="17581" xr:uid="{00000000-0005-0000-0000-000077420000}"/>
    <cellStyle name="40% - Accent3 8 2 2" xfId="17582" xr:uid="{00000000-0005-0000-0000-000078420000}"/>
    <cellStyle name="40% - Accent3 8 2 3" xfId="17583" xr:uid="{00000000-0005-0000-0000-000079420000}"/>
    <cellStyle name="40% - Accent3 8 3" xfId="17584" xr:uid="{00000000-0005-0000-0000-00007A420000}"/>
    <cellStyle name="40% - Accent3 8 4" xfId="17585" xr:uid="{00000000-0005-0000-0000-00007B420000}"/>
    <cellStyle name="40% - Accent3 8 5" xfId="17586" xr:uid="{00000000-0005-0000-0000-00007C420000}"/>
    <cellStyle name="40% - Accent3 8 6" xfId="17587" xr:uid="{00000000-0005-0000-0000-00007D420000}"/>
    <cellStyle name="40% - Accent3 9" xfId="17588" xr:uid="{00000000-0005-0000-0000-00007E420000}"/>
    <cellStyle name="40% - Accent3 9 2" xfId="17589" xr:uid="{00000000-0005-0000-0000-00007F420000}"/>
    <cellStyle name="40% - Accent3 9 2 2" xfId="17590" xr:uid="{00000000-0005-0000-0000-000080420000}"/>
    <cellStyle name="40% - Accent3 9 2 3" xfId="17591" xr:uid="{00000000-0005-0000-0000-000081420000}"/>
    <cellStyle name="40% - Accent3 9 3" xfId="17592" xr:uid="{00000000-0005-0000-0000-000082420000}"/>
    <cellStyle name="40% - Accent3 9 4" xfId="17593" xr:uid="{00000000-0005-0000-0000-000083420000}"/>
    <cellStyle name="40% - Accent3 9 5" xfId="17594" xr:uid="{00000000-0005-0000-0000-000084420000}"/>
    <cellStyle name="40% - Accent3 9 6" xfId="17595" xr:uid="{00000000-0005-0000-0000-000085420000}"/>
    <cellStyle name="40% - Accent4" xfId="34" builtinId="43" customBuiltin="1"/>
    <cellStyle name="40% - Accent4 10" xfId="17596" xr:uid="{00000000-0005-0000-0000-000087420000}"/>
    <cellStyle name="40% - Accent4 10 2" xfId="17597" xr:uid="{00000000-0005-0000-0000-000088420000}"/>
    <cellStyle name="40% - Accent4 10 2 2" xfId="17598" xr:uid="{00000000-0005-0000-0000-000089420000}"/>
    <cellStyle name="40% - Accent4 10 2 3" xfId="17599" xr:uid="{00000000-0005-0000-0000-00008A420000}"/>
    <cellStyle name="40% - Accent4 10 3" xfId="17600" xr:uid="{00000000-0005-0000-0000-00008B420000}"/>
    <cellStyle name="40% - Accent4 10 4" xfId="17601" xr:uid="{00000000-0005-0000-0000-00008C420000}"/>
    <cellStyle name="40% - Accent4 10 5" xfId="17602" xr:uid="{00000000-0005-0000-0000-00008D420000}"/>
    <cellStyle name="40% - Accent4 10 6" xfId="17603" xr:uid="{00000000-0005-0000-0000-00008E420000}"/>
    <cellStyle name="40% - Accent4 11" xfId="17604" xr:uid="{00000000-0005-0000-0000-00008F420000}"/>
    <cellStyle name="40% - Accent4 11 2" xfId="17605" xr:uid="{00000000-0005-0000-0000-000090420000}"/>
    <cellStyle name="40% - Accent4 11 2 2" xfId="17606" xr:uid="{00000000-0005-0000-0000-000091420000}"/>
    <cellStyle name="40% - Accent4 11 2 3" xfId="17607" xr:uid="{00000000-0005-0000-0000-000092420000}"/>
    <cellStyle name="40% - Accent4 11 3" xfId="17608" xr:uid="{00000000-0005-0000-0000-000093420000}"/>
    <cellStyle name="40% - Accent4 11 4" xfId="17609" xr:uid="{00000000-0005-0000-0000-000094420000}"/>
    <cellStyle name="40% - Accent4 11 5" xfId="17610" xr:uid="{00000000-0005-0000-0000-000095420000}"/>
    <cellStyle name="40% - Accent4 11 6" xfId="17611" xr:uid="{00000000-0005-0000-0000-000096420000}"/>
    <cellStyle name="40% - Accent4 12" xfId="17612" xr:uid="{00000000-0005-0000-0000-000097420000}"/>
    <cellStyle name="40% - Accent4 12 2" xfId="17613" xr:uid="{00000000-0005-0000-0000-000098420000}"/>
    <cellStyle name="40% - Accent4 12 2 2" xfId="17614" xr:uid="{00000000-0005-0000-0000-000099420000}"/>
    <cellStyle name="40% - Accent4 12 2 3" xfId="17615" xr:uid="{00000000-0005-0000-0000-00009A420000}"/>
    <cellStyle name="40% - Accent4 12 3" xfId="17616" xr:uid="{00000000-0005-0000-0000-00009B420000}"/>
    <cellStyle name="40% - Accent4 12 4" xfId="17617" xr:uid="{00000000-0005-0000-0000-00009C420000}"/>
    <cellStyle name="40% - Accent4 12 5" xfId="17618" xr:uid="{00000000-0005-0000-0000-00009D420000}"/>
    <cellStyle name="40% - Accent4 12 6" xfId="17619" xr:uid="{00000000-0005-0000-0000-00009E420000}"/>
    <cellStyle name="40% - Accent4 13" xfId="17620" xr:uid="{00000000-0005-0000-0000-00009F420000}"/>
    <cellStyle name="40% - Accent4 13 2" xfId="17621" xr:uid="{00000000-0005-0000-0000-0000A0420000}"/>
    <cellStyle name="40% - Accent4 13 3" xfId="17622" xr:uid="{00000000-0005-0000-0000-0000A1420000}"/>
    <cellStyle name="40% - Accent4 14" xfId="17623" xr:uid="{00000000-0005-0000-0000-0000A2420000}"/>
    <cellStyle name="40% - Accent4 15" xfId="17624" xr:uid="{00000000-0005-0000-0000-0000A3420000}"/>
    <cellStyle name="40% - Accent4 16" xfId="17625" xr:uid="{00000000-0005-0000-0000-0000A4420000}"/>
    <cellStyle name="40% - Accent4 17" xfId="17626" xr:uid="{00000000-0005-0000-0000-0000A5420000}"/>
    <cellStyle name="40% - Accent4 18" xfId="17627" xr:uid="{00000000-0005-0000-0000-0000A6420000}"/>
    <cellStyle name="40% - Accent4 2" xfId="61" xr:uid="{00000000-0005-0000-0000-0000A7420000}"/>
    <cellStyle name="40% - Accent4 2 2" xfId="306" xr:uid="{00000000-0005-0000-0000-0000A8420000}"/>
    <cellStyle name="40% - Accent4 2 3" xfId="307" xr:uid="{00000000-0005-0000-0000-0000A9420000}"/>
    <cellStyle name="40% - Accent4 3" xfId="308" xr:uid="{00000000-0005-0000-0000-0000AA420000}"/>
    <cellStyle name="40% - Accent4 3 10" xfId="17628" xr:uid="{00000000-0005-0000-0000-0000AB420000}"/>
    <cellStyle name="40% - Accent4 3 10 2" xfId="17629" xr:uid="{00000000-0005-0000-0000-0000AC420000}"/>
    <cellStyle name="40% - Accent4 3 10 2 2" xfId="17630" xr:uid="{00000000-0005-0000-0000-0000AD420000}"/>
    <cellStyle name="40% - Accent4 3 10 2 3" xfId="17631" xr:uid="{00000000-0005-0000-0000-0000AE420000}"/>
    <cellStyle name="40% - Accent4 3 10 3" xfId="17632" xr:uid="{00000000-0005-0000-0000-0000AF420000}"/>
    <cellStyle name="40% - Accent4 3 10 4" xfId="17633" xr:uid="{00000000-0005-0000-0000-0000B0420000}"/>
    <cellStyle name="40% - Accent4 3 10 5" xfId="17634" xr:uid="{00000000-0005-0000-0000-0000B1420000}"/>
    <cellStyle name="40% - Accent4 3 10 6" xfId="17635" xr:uid="{00000000-0005-0000-0000-0000B2420000}"/>
    <cellStyle name="40% - Accent4 3 11" xfId="17636" xr:uid="{00000000-0005-0000-0000-0000B3420000}"/>
    <cellStyle name="40% - Accent4 3 11 2" xfId="17637" xr:uid="{00000000-0005-0000-0000-0000B4420000}"/>
    <cellStyle name="40% - Accent4 3 11 2 2" xfId="17638" xr:uid="{00000000-0005-0000-0000-0000B5420000}"/>
    <cellStyle name="40% - Accent4 3 11 2 3" xfId="17639" xr:uid="{00000000-0005-0000-0000-0000B6420000}"/>
    <cellStyle name="40% - Accent4 3 11 3" xfId="17640" xr:uid="{00000000-0005-0000-0000-0000B7420000}"/>
    <cellStyle name="40% - Accent4 3 11 4" xfId="17641" xr:uid="{00000000-0005-0000-0000-0000B8420000}"/>
    <cellStyle name="40% - Accent4 3 11 5" xfId="17642" xr:uid="{00000000-0005-0000-0000-0000B9420000}"/>
    <cellStyle name="40% - Accent4 3 11 6" xfId="17643" xr:uid="{00000000-0005-0000-0000-0000BA420000}"/>
    <cellStyle name="40% - Accent4 3 12" xfId="17644" xr:uid="{00000000-0005-0000-0000-0000BB420000}"/>
    <cellStyle name="40% - Accent4 3 12 2" xfId="17645" xr:uid="{00000000-0005-0000-0000-0000BC420000}"/>
    <cellStyle name="40% - Accent4 3 12 3" xfId="17646" xr:uid="{00000000-0005-0000-0000-0000BD420000}"/>
    <cellStyle name="40% - Accent4 3 13" xfId="17647" xr:uid="{00000000-0005-0000-0000-0000BE420000}"/>
    <cellStyle name="40% - Accent4 3 14" xfId="17648" xr:uid="{00000000-0005-0000-0000-0000BF420000}"/>
    <cellStyle name="40% - Accent4 3 15" xfId="17649" xr:uid="{00000000-0005-0000-0000-0000C0420000}"/>
    <cellStyle name="40% - Accent4 3 16" xfId="17650" xr:uid="{00000000-0005-0000-0000-0000C1420000}"/>
    <cellStyle name="40% - Accent4 3 2" xfId="17651" xr:uid="{00000000-0005-0000-0000-0000C2420000}"/>
    <cellStyle name="40% - Accent4 3 2 10" xfId="17652" xr:uid="{00000000-0005-0000-0000-0000C3420000}"/>
    <cellStyle name="40% - Accent4 3 2 10 2" xfId="17653" xr:uid="{00000000-0005-0000-0000-0000C4420000}"/>
    <cellStyle name="40% - Accent4 3 2 10 3" xfId="17654" xr:uid="{00000000-0005-0000-0000-0000C5420000}"/>
    <cellStyle name="40% - Accent4 3 2 11" xfId="17655" xr:uid="{00000000-0005-0000-0000-0000C6420000}"/>
    <cellStyle name="40% - Accent4 3 2 12" xfId="17656" xr:uid="{00000000-0005-0000-0000-0000C7420000}"/>
    <cellStyle name="40% - Accent4 3 2 13" xfId="17657" xr:uid="{00000000-0005-0000-0000-0000C8420000}"/>
    <cellStyle name="40% - Accent4 3 2 14" xfId="17658" xr:uid="{00000000-0005-0000-0000-0000C9420000}"/>
    <cellStyle name="40% - Accent4 3 2 2" xfId="17659" xr:uid="{00000000-0005-0000-0000-0000CA420000}"/>
    <cellStyle name="40% - Accent4 3 2 2 10" xfId="17660" xr:uid="{00000000-0005-0000-0000-0000CB420000}"/>
    <cellStyle name="40% - Accent4 3 2 2 11" xfId="17661" xr:uid="{00000000-0005-0000-0000-0000CC420000}"/>
    <cellStyle name="40% - Accent4 3 2 2 12" xfId="17662" xr:uid="{00000000-0005-0000-0000-0000CD420000}"/>
    <cellStyle name="40% - Accent4 3 2 2 13" xfId="17663" xr:uid="{00000000-0005-0000-0000-0000CE420000}"/>
    <cellStyle name="40% - Accent4 3 2 2 2" xfId="17664" xr:uid="{00000000-0005-0000-0000-0000CF420000}"/>
    <cellStyle name="40% - Accent4 3 2 2 2 10" xfId="17665" xr:uid="{00000000-0005-0000-0000-0000D0420000}"/>
    <cellStyle name="40% - Accent4 3 2 2 2 2" xfId="17666" xr:uid="{00000000-0005-0000-0000-0000D1420000}"/>
    <cellStyle name="40% - Accent4 3 2 2 2 2 2" xfId="17667" xr:uid="{00000000-0005-0000-0000-0000D2420000}"/>
    <cellStyle name="40% - Accent4 3 2 2 2 2 2 2" xfId="17668" xr:uid="{00000000-0005-0000-0000-0000D3420000}"/>
    <cellStyle name="40% - Accent4 3 2 2 2 2 2 2 2" xfId="17669" xr:uid="{00000000-0005-0000-0000-0000D4420000}"/>
    <cellStyle name="40% - Accent4 3 2 2 2 2 2 2 3" xfId="17670" xr:uid="{00000000-0005-0000-0000-0000D5420000}"/>
    <cellStyle name="40% - Accent4 3 2 2 2 2 2 3" xfId="17671" xr:uid="{00000000-0005-0000-0000-0000D6420000}"/>
    <cellStyle name="40% - Accent4 3 2 2 2 2 2 4" xfId="17672" xr:uid="{00000000-0005-0000-0000-0000D7420000}"/>
    <cellStyle name="40% - Accent4 3 2 2 2 2 2 5" xfId="17673" xr:uid="{00000000-0005-0000-0000-0000D8420000}"/>
    <cellStyle name="40% - Accent4 3 2 2 2 2 2 6" xfId="17674" xr:uid="{00000000-0005-0000-0000-0000D9420000}"/>
    <cellStyle name="40% - Accent4 3 2 2 2 2 3" xfId="17675" xr:uid="{00000000-0005-0000-0000-0000DA420000}"/>
    <cellStyle name="40% - Accent4 3 2 2 2 2 3 2" xfId="17676" xr:uid="{00000000-0005-0000-0000-0000DB420000}"/>
    <cellStyle name="40% - Accent4 3 2 2 2 2 3 2 2" xfId="17677" xr:uid="{00000000-0005-0000-0000-0000DC420000}"/>
    <cellStyle name="40% - Accent4 3 2 2 2 2 3 2 3" xfId="17678" xr:uid="{00000000-0005-0000-0000-0000DD420000}"/>
    <cellStyle name="40% - Accent4 3 2 2 2 2 3 3" xfId="17679" xr:uid="{00000000-0005-0000-0000-0000DE420000}"/>
    <cellStyle name="40% - Accent4 3 2 2 2 2 3 4" xfId="17680" xr:uid="{00000000-0005-0000-0000-0000DF420000}"/>
    <cellStyle name="40% - Accent4 3 2 2 2 2 3 5" xfId="17681" xr:uid="{00000000-0005-0000-0000-0000E0420000}"/>
    <cellStyle name="40% - Accent4 3 2 2 2 2 3 6" xfId="17682" xr:uid="{00000000-0005-0000-0000-0000E1420000}"/>
    <cellStyle name="40% - Accent4 3 2 2 2 2 4" xfId="17683" xr:uid="{00000000-0005-0000-0000-0000E2420000}"/>
    <cellStyle name="40% - Accent4 3 2 2 2 2 4 2" xfId="17684" xr:uid="{00000000-0005-0000-0000-0000E3420000}"/>
    <cellStyle name="40% - Accent4 3 2 2 2 2 4 3" xfId="17685" xr:uid="{00000000-0005-0000-0000-0000E4420000}"/>
    <cellStyle name="40% - Accent4 3 2 2 2 2 5" xfId="17686" xr:uid="{00000000-0005-0000-0000-0000E5420000}"/>
    <cellStyle name="40% - Accent4 3 2 2 2 2 6" xfId="17687" xr:uid="{00000000-0005-0000-0000-0000E6420000}"/>
    <cellStyle name="40% - Accent4 3 2 2 2 2 7" xfId="17688" xr:uid="{00000000-0005-0000-0000-0000E7420000}"/>
    <cellStyle name="40% - Accent4 3 2 2 2 2 8" xfId="17689" xr:uid="{00000000-0005-0000-0000-0000E8420000}"/>
    <cellStyle name="40% - Accent4 3 2 2 2 3" xfId="17690" xr:uid="{00000000-0005-0000-0000-0000E9420000}"/>
    <cellStyle name="40% - Accent4 3 2 2 2 3 2" xfId="17691" xr:uid="{00000000-0005-0000-0000-0000EA420000}"/>
    <cellStyle name="40% - Accent4 3 2 2 2 3 2 2" xfId="17692" xr:uid="{00000000-0005-0000-0000-0000EB420000}"/>
    <cellStyle name="40% - Accent4 3 2 2 2 3 2 2 2" xfId="17693" xr:uid="{00000000-0005-0000-0000-0000EC420000}"/>
    <cellStyle name="40% - Accent4 3 2 2 2 3 2 2 3" xfId="17694" xr:uid="{00000000-0005-0000-0000-0000ED420000}"/>
    <cellStyle name="40% - Accent4 3 2 2 2 3 2 3" xfId="17695" xr:uid="{00000000-0005-0000-0000-0000EE420000}"/>
    <cellStyle name="40% - Accent4 3 2 2 2 3 2 4" xfId="17696" xr:uid="{00000000-0005-0000-0000-0000EF420000}"/>
    <cellStyle name="40% - Accent4 3 2 2 2 3 2 5" xfId="17697" xr:uid="{00000000-0005-0000-0000-0000F0420000}"/>
    <cellStyle name="40% - Accent4 3 2 2 2 3 2 6" xfId="17698" xr:uid="{00000000-0005-0000-0000-0000F1420000}"/>
    <cellStyle name="40% - Accent4 3 2 2 2 3 3" xfId="17699" xr:uid="{00000000-0005-0000-0000-0000F2420000}"/>
    <cellStyle name="40% - Accent4 3 2 2 2 3 3 2" xfId="17700" xr:uid="{00000000-0005-0000-0000-0000F3420000}"/>
    <cellStyle name="40% - Accent4 3 2 2 2 3 3 3" xfId="17701" xr:uid="{00000000-0005-0000-0000-0000F4420000}"/>
    <cellStyle name="40% - Accent4 3 2 2 2 3 4" xfId="17702" xr:uid="{00000000-0005-0000-0000-0000F5420000}"/>
    <cellStyle name="40% - Accent4 3 2 2 2 3 5" xfId="17703" xr:uid="{00000000-0005-0000-0000-0000F6420000}"/>
    <cellStyle name="40% - Accent4 3 2 2 2 3 6" xfId="17704" xr:uid="{00000000-0005-0000-0000-0000F7420000}"/>
    <cellStyle name="40% - Accent4 3 2 2 2 3 7" xfId="17705" xr:uid="{00000000-0005-0000-0000-0000F8420000}"/>
    <cellStyle name="40% - Accent4 3 2 2 2 4" xfId="17706" xr:uid="{00000000-0005-0000-0000-0000F9420000}"/>
    <cellStyle name="40% - Accent4 3 2 2 2 4 2" xfId="17707" xr:uid="{00000000-0005-0000-0000-0000FA420000}"/>
    <cellStyle name="40% - Accent4 3 2 2 2 4 2 2" xfId="17708" xr:uid="{00000000-0005-0000-0000-0000FB420000}"/>
    <cellStyle name="40% - Accent4 3 2 2 2 4 2 3" xfId="17709" xr:uid="{00000000-0005-0000-0000-0000FC420000}"/>
    <cellStyle name="40% - Accent4 3 2 2 2 4 3" xfId="17710" xr:uid="{00000000-0005-0000-0000-0000FD420000}"/>
    <cellStyle name="40% - Accent4 3 2 2 2 4 4" xfId="17711" xr:uid="{00000000-0005-0000-0000-0000FE420000}"/>
    <cellStyle name="40% - Accent4 3 2 2 2 4 5" xfId="17712" xr:uid="{00000000-0005-0000-0000-0000FF420000}"/>
    <cellStyle name="40% - Accent4 3 2 2 2 4 6" xfId="17713" xr:uid="{00000000-0005-0000-0000-000000430000}"/>
    <cellStyle name="40% - Accent4 3 2 2 2 5" xfId="17714" xr:uid="{00000000-0005-0000-0000-000001430000}"/>
    <cellStyle name="40% - Accent4 3 2 2 2 5 2" xfId="17715" xr:uid="{00000000-0005-0000-0000-000002430000}"/>
    <cellStyle name="40% - Accent4 3 2 2 2 5 2 2" xfId="17716" xr:uid="{00000000-0005-0000-0000-000003430000}"/>
    <cellStyle name="40% - Accent4 3 2 2 2 5 2 3" xfId="17717" xr:uid="{00000000-0005-0000-0000-000004430000}"/>
    <cellStyle name="40% - Accent4 3 2 2 2 5 3" xfId="17718" xr:uid="{00000000-0005-0000-0000-000005430000}"/>
    <cellStyle name="40% - Accent4 3 2 2 2 5 4" xfId="17719" xr:uid="{00000000-0005-0000-0000-000006430000}"/>
    <cellStyle name="40% - Accent4 3 2 2 2 5 5" xfId="17720" xr:uid="{00000000-0005-0000-0000-000007430000}"/>
    <cellStyle name="40% - Accent4 3 2 2 2 5 6" xfId="17721" xr:uid="{00000000-0005-0000-0000-000008430000}"/>
    <cellStyle name="40% - Accent4 3 2 2 2 6" xfId="17722" xr:uid="{00000000-0005-0000-0000-000009430000}"/>
    <cellStyle name="40% - Accent4 3 2 2 2 6 2" xfId="17723" xr:uid="{00000000-0005-0000-0000-00000A430000}"/>
    <cellStyle name="40% - Accent4 3 2 2 2 6 3" xfId="17724" xr:uid="{00000000-0005-0000-0000-00000B430000}"/>
    <cellStyle name="40% - Accent4 3 2 2 2 7" xfId="17725" xr:uid="{00000000-0005-0000-0000-00000C430000}"/>
    <cellStyle name="40% - Accent4 3 2 2 2 8" xfId="17726" xr:uid="{00000000-0005-0000-0000-00000D430000}"/>
    <cellStyle name="40% - Accent4 3 2 2 2 9" xfId="17727" xr:uid="{00000000-0005-0000-0000-00000E430000}"/>
    <cellStyle name="40% - Accent4 3 2 2 3" xfId="17728" xr:uid="{00000000-0005-0000-0000-00000F430000}"/>
    <cellStyle name="40% - Accent4 3 2 2 3 2" xfId="17729" xr:uid="{00000000-0005-0000-0000-000010430000}"/>
    <cellStyle name="40% - Accent4 3 2 2 3 2 2" xfId="17730" xr:uid="{00000000-0005-0000-0000-000011430000}"/>
    <cellStyle name="40% - Accent4 3 2 2 3 2 2 2" xfId="17731" xr:uid="{00000000-0005-0000-0000-000012430000}"/>
    <cellStyle name="40% - Accent4 3 2 2 3 2 2 2 2" xfId="17732" xr:uid="{00000000-0005-0000-0000-000013430000}"/>
    <cellStyle name="40% - Accent4 3 2 2 3 2 2 2 3" xfId="17733" xr:uid="{00000000-0005-0000-0000-000014430000}"/>
    <cellStyle name="40% - Accent4 3 2 2 3 2 2 3" xfId="17734" xr:uid="{00000000-0005-0000-0000-000015430000}"/>
    <cellStyle name="40% - Accent4 3 2 2 3 2 2 4" xfId="17735" xr:uid="{00000000-0005-0000-0000-000016430000}"/>
    <cellStyle name="40% - Accent4 3 2 2 3 2 2 5" xfId="17736" xr:uid="{00000000-0005-0000-0000-000017430000}"/>
    <cellStyle name="40% - Accent4 3 2 2 3 2 2 6" xfId="17737" xr:uid="{00000000-0005-0000-0000-000018430000}"/>
    <cellStyle name="40% - Accent4 3 2 2 3 2 3" xfId="17738" xr:uid="{00000000-0005-0000-0000-000019430000}"/>
    <cellStyle name="40% - Accent4 3 2 2 3 2 3 2" xfId="17739" xr:uid="{00000000-0005-0000-0000-00001A430000}"/>
    <cellStyle name="40% - Accent4 3 2 2 3 2 3 3" xfId="17740" xr:uid="{00000000-0005-0000-0000-00001B430000}"/>
    <cellStyle name="40% - Accent4 3 2 2 3 2 4" xfId="17741" xr:uid="{00000000-0005-0000-0000-00001C430000}"/>
    <cellStyle name="40% - Accent4 3 2 2 3 2 5" xfId="17742" xr:uid="{00000000-0005-0000-0000-00001D430000}"/>
    <cellStyle name="40% - Accent4 3 2 2 3 2 6" xfId="17743" xr:uid="{00000000-0005-0000-0000-00001E430000}"/>
    <cellStyle name="40% - Accent4 3 2 2 3 2 7" xfId="17744" xr:uid="{00000000-0005-0000-0000-00001F430000}"/>
    <cellStyle name="40% - Accent4 3 2 2 3 3" xfId="17745" xr:uid="{00000000-0005-0000-0000-000020430000}"/>
    <cellStyle name="40% - Accent4 3 2 2 3 3 2" xfId="17746" xr:uid="{00000000-0005-0000-0000-000021430000}"/>
    <cellStyle name="40% - Accent4 3 2 2 3 3 2 2" xfId="17747" xr:uid="{00000000-0005-0000-0000-000022430000}"/>
    <cellStyle name="40% - Accent4 3 2 2 3 3 2 3" xfId="17748" xr:uid="{00000000-0005-0000-0000-000023430000}"/>
    <cellStyle name="40% - Accent4 3 2 2 3 3 3" xfId="17749" xr:uid="{00000000-0005-0000-0000-000024430000}"/>
    <cellStyle name="40% - Accent4 3 2 2 3 3 4" xfId="17750" xr:uid="{00000000-0005-0000-0000-000025430000}"/>
    <cellStyle name="40% - Accent4 3 2 2 3 3 5" xfId="17751" xr:uid="{00000000-0005-0000-0000-000026430000}"/>
    <cellStyle name="40% - Accent4 3 2 2 3 3 6" xfId="17752" xr:uid="{00000000-0005-0000-0000-000027430000}"/>
    <cellStyle name="40% - Accent4 3 2 2 3 4" xfId="17753" xr:uid="{00000000-0005-0000-0000-000028430000}"/>
    <cellStyle name="40% - Accent4 3 2 2 3 4 2" xfId="17754" xr:uid="{00000000-0005-0000-0000-000029430000}"/>
    <cellStyle name="40% - Accent4 3 2 2 3 4 2 2" xfId="17755" xr:uid="{00000000-0005-0000-0000-00002A430000}"/>
    <cellStyle name="40% - Accent4 3 2 2 3 4 2 3" xfId="17756" xr:uid="{00000000-0005-0000-0000-00002B430000}"/>
    <cellStyle name="40% - Accent4 3 2 2 3 4 3" xfId="17757" xr:uid="{00000000-0005-0000-0000-00002C430000}"/>
    <cellStyle name="40% - Accent4 3 2 2 3 4 4" xfId="17758" xr:uid="{00000000-0005-0000-0000-00002D430000}"/>
    <cellStyle name="40% - Accent4 3 2 2 3 4 5" xfId="17759" xr:uid="{00000000-0005-0000-0000-00002E430000}"/>
    <cellStyle name="40% - Accent4 3 2 2 3 4 6" xfId="17760" xr:uid="{00000000-0005-0000-0000-00002F430000}"/>
    <cellStyle name="40% - Accent4 3 2 2 3 5" xfId="17761" xr:uid="{00000000-0005-0000-0000-000030430000}"/>
    <cellStyle name="40% - Accent4 3 2 2 3 5 2" xfId="17762" xr:uid="{00000000-0005-0000-0000-000031430000}"/>
    <cellStyle name="40% - Accent4 3 2 2 3 5 3" xfId="17763" xr:uid="{00000000-0005-0000-0000-000032430000}"/>
    <cellStyle name="40% - Accent4 3 2 2 3 6" xfId="17764" xr:uid="{00000000-0005-0000-0000-000033430000}"/>
    <cellStyle name="40% - Accent4 3 2 2 3 7" xfId="17765" xr:uid="{00000000-0005-0000-0000-000034430000}"/>
    <cellStyle name="40% - Accent4 3 2 2 3 8" xfId="17766" xr:uid="{00000000-0005-0000-0000-000035430000}"/>
    <cellStyle name="40% - Accent4 3 2 2 3 9" xfId="17767" xr:uid="{00000000-0005-0000-0000-000036430000}"/>
    <cellStyle name="40% - Accent4 3 2 2 4" xfId="17768" xr:uid="{00000000-0005-0000-0000-000037430000}"/>
    <cellStyle name="40% - Accent4 3 2 2 4 2" xfId="17769" xr:uid="{00000000-0005-0000-0000-000038430000}"/>
    <cellStyle name="40% - Accent4 3 2 2 4 2 2" xfId="17770" xr:uid="{00000000-0005-0000-0000-000039430000}"/>
    <cellStyle name="40% - Accent4 3 2 2 4 2 2 2" xfId="17771" xr:uid="{00000000-0005-0000-0000-00003A430000}"/>
    <cellStyle name="40% - Accent4 3 2 2 4 2 2 3" xfId="17772" xr:uid="{00000000-0005-0000-0000-00003B430000}"/>
    <cellStyle name="40% - Accent4 3 2 2 4 2 3" xfId="17773" xr:uid="{00000000-0005-0000-0000-00003C430000}"/>
    <cellStyle name="40% - Accent4 3 2 2 4 2 4" xfId="17774" xr:uid="{00000000-0005-0000-0000-00003D430000}"/>
    <cellStyle name="40% - Accent4 3 2 2 4 2 5" xfId="17775" xr:uid="{00000000-0005-0000-0000-00003E430000}"/>
    <cellStyle name="40% - Accent4 3 2 2 4 2 6" xfId="17776" xr:uid="{00000000-0005-0000-0000-00003F430000}"/>
    <cellStyle name="40% - Accent4 3 2 2 4 3" xfId="17777" xr:uid="{00000000-0005-0000-0000-000040430000}"/>
    <cellStyle name="40% - Accent4 3 2 2 4 3 2" xfId="17778" xr:uid="{00000000-0005-0000-0000-000041430000}"/>
    <cellStyle name="40% - Accent4 3 2 2 4 3 3" xfId="17779" xr:uid="{00000000-0005-0000-0000-000042430000}"/>
    <cellStyle name="40% - Accent4 3 2 2 4 4" xfId="17780" xr:uid="{00000000-0005-0000-0000-000043430000}"/>
    <cellStyle name="40% - Accent4 3 2 2 4 5" xfId="17781" xr:uid="{00000000-0005-0000-0000-000044430000}"/>
    <cellStyle name="40% - Accent4 3 2 2 4 6" xfId="17782" xr:uid="{00000000-0005-0000-0000-000045430000}"/>
    <cellStyle name="40% - Accent4 3 2 2 4 7" xfId="17783" xr:uid="{00000000-0005-0000-0000-000046430000}"/>
    <cellStyle name="40% - Accent4 3 2 2 5" xfId="17784" xr:uid="{00000000-0005-0000-0000-000047430000}"/>
    <cellStyle name="40% - Accent4 3 2 2 5 2" xfId="17785" xr:uid="{00000000-0005-0000-0000-000048430000}"/>
    <cellStyle name="40% - Accent4 3 2 2 5 2 2" xfId="17786" xr:uid="{00000000-0005-0000-0000-000049430000}"/>
    <cellStyle name="40% - Accent4 3 2 2 5 2 3" xfId="17787" xr:uid="{00000000-0005-0000-0000-00004A430000}"/>
    <cellStyle name="40% - Accent4 3 2 2 5 3" xfId="17788" xr:uid="{00000000-0005-0000-0000-00004B430000}"/>
    <cellStyle name="40% - Accent4 3 2 2 5 4" xfId="17789" xr:uid="{00000000-0005-0000-0000-00004C430000}"/>
    <cellStyle name="40% - Accent4 3 2 2 5 5" xfId="17790" xr:uid="{00000000-0005-0000-0000-00004D430000}"/>
    <cellStyle name="40% - Accent4 3 2 2 5 6" xfId="17791" xr:uid="{00000000-0005-0000-0000-00004E430000}"/>
    <cellStyle name="40% - Accent4 3 2 2 6" xfId="17792" xr:uid="{00000000-0005-0000-0000-00004F430000}"/>
    <cellStyle name="40% - Accent4 3 2 2 6 2" xfId="17793" xr:uid="{00000000-0005-0000-0000-000050430000}"/>
    <cellStyle name="40% - Accent4 3 2 2 6 2 2" xfId="17794" xr:uid="{00000000-0005-0000-0000-000051430000}"/>
    <cellStyle name="40% - Accent4 3 2 2 6 2 3" xfId="17795" xr:uid="{00000000-0005-0000-0000-000052430000}"/>
    <cellStyle name="40% - Accent4 3 2 2 6 3" xfId="17796" xr:uid="{00000000-0005-0000-0000-000053430000}"/>
    <cellStyle name="40% - Accent4 3 2 2 6 4" xfId="17797" xr:uid="{00000000-0005-0000-0000-000054430000}"/>
    <cellStyle name="40% - Accent4 3 2 2 6 5" xfId="17798" xr:uid="{00000000-0005-0000-0000-000055430000}"/>
    <cellStyle name="40% - Accent4 3 2 2 6 6" xfId="17799" xr:uid="{00000000-0005-0000-0000-000056430000}"/>
    <cellStyle name="40% - Accent4 3 2 2 7" xfId="17800" xr:uid="{00000000-0005-0000-0000-000057430000}"/>
    <cellStyle name="40% - Accent4 3 2 2 7 2" xfId="17801" xr:uid="{00000000-0005-0000-0000-000058430000}"/>
    <cellStyle name="40% - Accent4 3 2 2 7 2 2" xfId="17802" xr:uid="{00000000-0005-0000-0000-000059430000}"/>
    <cellStyle name="40% - Accent4 3 2 2 7 2 3" xfId="17803" xr:uid="{00000000-0005-0000-0000-00005A430000}"/>
    <cellStyle name="40% - Accent4 3 2 2 7 3" xfId="17804" xr:uid="{00000000-0005-0000-0000-00005B430000}"/>
    <cellStyle name="40% - Accent4 3 2 2 7 4" xfId="17805" xr:uid="{00000000-0005-0000-0000-00005C430000}"/>
    <cellStyle name="40% - Accent4 3 2 2 7 5" xfId="17806" xr:uid="{00000000-0005-0000-0000-00005D430000}"/>
    <cellStyle name="40% - Accent4 3 2 2 7 6" xfId="17807" xr:uid="{00000000-0005-0000-0000-00005E430000}"/>
    <cellStyle name="40% - Accent4 3 2 2 8" xfId="17808" xr:uid="{00000000-0005-0000-0000-00005F430000}"/>
    <cellStyle name="40% - Accent4 3 2 2 8 2" xfId="17809" xr:uid="{00000000-0005-0000-0000-000060430000}"/>
    <cellStyle name="40% - Accent4 3 2 2 8 2 2" xfId="17810" xr:uid="{00000000-0005-0000-0000-000061430000}"/>
    <cellStyle name="40% - Accent4 3 2 2 8 2 3" xfId="17811" xr:uid="{00000000-0005-0000-0000-000062430000}"/>
    <cellStyle name="40% - Accent4 3 2 2 8 3" xfId="17812" xr:uid="{00000000-0005-0000-0000-000063430000}"/>
    <cellStyle name="40% - Accent4 3 2 2 8 4" xfId="17813" xr:uid="{00000000-0005-0000-0000-000064430000}"/>
    <cellStyle name="40% - Accent4 3 2 2 8 5" xfId="17814" xr:uid="{00000000-0005-0000-0000-000065430000}"/>
    <cellStyle name="40% - Accent4 3 2 2 8 6" xfId="17815" xr:uid="{00000000-0005-0000-0000-000066430000}"/>
    <cellStyle name="40% - Accent4 3 2 2 9" xfId="17816" xr:uid="{00000000-0005-0000-0000-000067430000}"/>
    <cellStyle name="40% - Accent4 3 2 2 9 2" xfId="17817" xr:uid="{00000000-0005-0000-0000-000068430000}"/>
    <cellStyle name="40% - Accent4 3 2 2 9 3" xfId="17818" xr:uid="{00000000-0005-0000-0000-000069430000}"/>
    <cellStyle name="40% - Accent4 3 2 3" xfId="17819" xr:uid="{00000000-0005-0000-0000-00006A430000}"/>
    <cellStyle name="40% - Accent4 3 2 3 10" xfId="17820" xr:uid="{00000000-0005-0000-0000-00006B430000}"/>
    <cellStyle name="40% - Accent4 3 2 3 2" xfId="17821" xr:uid="{00000000-0005-0000-0000-00006C430000}"/>
    <cellStyle name="40% - Accent4 3 2 3 2 2" xfId="17822" xr:uid="{00000000-0005-0000-0000-00006D430000}"/>
    <cellStyle name="40% - Accent4 3 2 3 2 2 2" xfId="17823" xr:uid="{00000000-0005-0000-0000-00006E430000}"/>
    <cellStyle name="40% - Accent4 3 2 3 2 2 2 2" xfId="17824" xr:uid="{00000000-0005-0000-0000-00006F430000}"/>
    <cellStyle name="40% - Accent4 3 2 3 2 2 2 3" xfId="17825" xr:uid="{00000000-0005-0000-0000-000070430000}"/>
    <cellStyle name="40% - Accent4 3 2 3 2 2 3" xfId="17826" xr:uid="{00000000-0005-0000-0000-000071430000}"/>
    <cellStyle name="40% - Accent4 3 2 3 2 2 4" xfId="17827" xr:uid="{00000000-0005-0000-0000-000072430000}"/>
    <cellStyle name="40% - Accent4 3 2 3 2 2 5" xfId="17828" xr:uid="{00000000-0005-0000-0000-000073430000}"/>
    <cellStyle name="40% - Accent4 3 2 3 2 2 6" xfId="17829" xr:uid="{00000000-0005-0000-0000-000074430000}"/>
    <cellStyle name="40% - Accent4 3 2 3 2 3" xfId="17830" xr:uid="{00000000-0005-0000-0000-000075430000}"/>
    <cellStyle name="40% - Accent4 3 2 3 2 3 2" xfId="17831" xr:uid="{00000000-0005-0000-0000-000076430000}"/>
    <cellStyle name="40% - Accent4 3 2 3 2 3 2 2" xfId="17832" xr:uid="{00000000-0005-0000-0000-000077430000}"/>
    <cellStyle name="40% - Accent4 3 2 3 2 3 2 3" xfId="17833" xr:uid="{00000000-0005-0000-0000-000078430000}"/>
    <cellStyle name="40% - Accent4 3 2 3 2 3 3" xfId="17834" xr:uid="{00000000-0005-0000-0000-000079430000}"/>
    <cellStyle name="40% - Accent4 3 2 3 2 3 4" xfId="17835" xr:uid="{00000000-0005-0000-0000-00007A430000}"/>
    <cellStyle name="40% - Accent4 3 2 3 2 3 5" xfId="17836" xr:uid="{00000000-0005-0000-0000-00007B430000}"/>
    <cellStyle name="40% - Accent4 3 2 3 2 3 6" xfId="17837" xr:uid="{00000000-0005-0000-0000-00007C430000}"/>
    <cellStyle name="40% - Accent4 3 2 3 2 4" xfId="17838" xr:uid="{00000000-0005-0000-0000-00007D430000}"/>
    <cellStyle name="40% - Accent4 3 2 3 2 4 2" xfId="17839" xr:uid="{00000000-0005-0000-0000-00007E430000}"/>
    <cellStyle name="40% - Accent4 3 2 3 2 4 3" xfId="17840" xr:uid="{00000000-0005-0000-0000-00007F430000}"/>
    <cellStyle name="40% - Accent4 3 2 3 2 5" xfId="17841" xr:uid="{00000000-0005-0000-0000-000080430000}"/>
    <cellStyle name="40% - Accent4 3 2 3 2 6" xfId="17842" xr:uid="{00000000-0005-0000-0000-000081430000}"/>
    <cellStyle name="40% - Accent4 3 2 3 2 7" xfId="17843" xr:uid="{00000000-0005-0000-0000-000082430000}"/>
    <cellStyle name="40% - Accent4 3 2 3 2 8" xfId="17844" xr:uid="{00000000-0005-0000-0000-000083430000}"/>
    <cellStyle name="40% - Accent4 3 2 3 3" xfId="17845" xr:uid="{00000000-0005-0000-0000-000084430000}"/>
    <cellStyle name="40% - Accent4 3 2 3 3 2" xfId="17846" xr:uid="{00000000-0005-0000-0000-000085430000}"/>
    <cellStyle name="40% - Accent4 3 2 3 3 2 2" xfId="17847" xr:uid="{00000000-0005-0000-0000-000086430000}"/>
    <cellStyle name="40% - Accent4 3 2 3 3 2 2 2" xfId="17848" xr:uid="{00000000-0005-0000-0000-000087430000}"/>
    <cellStyle name="40% - Accent4 3 2 3 3 2 2 3" xfId="17849" xr:uid="{00000000-0005-0000-0000-000088430000}"/>
    <cellStyle name="40% - Accent4 3 2 3 3 2 3" xfId="17850" xr:uid="{00000000-0005-0000-0000-000089430000}"/>
    <cellStyle name="40% - Accent4 3 2 3 3 2 4" xfId="17851" xr:uid="{00000000-0005-0000-0000-00008A430000}"/>
    <cellStyle name="40% - Accent4 3 2 3 3 2 5" xfId="17852" xr:uid="{00000000-0005-0000-0000-00008B430000}"/>
    <cellStyle name="40% - Accent4 3 2 3 3 2 6" xfId="17853" xr:uid="{00000000-0005-0000-0000-00008C430000}"/>
    <cellStyle name="40% - Accent4 3 2 3 3 3" xfId="17854" xr:uid="{00000000-0005-0000-0000-00008D430000}"/>
    <cellStyle name="40% - Accent4 3 2 3 3 3 2" xfId="17855" xr:uid="{00000000-0005-0000-0000-00008E430000}"/>
    <cellStyle name="40% - Accent4 3 2 3 3 3 3" xfId="17856" xr:uid="{00000000-0005-0000-0000-00008F430000}"/>
    <cellStyle name="40% - Accent4 3 2 3 3 4" xfId="17857" xr:uid="{00000000-0005-0000-0000-000090430000}"/>
    <cellStyle name="40% - Accent4 3 2 3 3 5" xfId="17858" xr:uid="{00000000-0005-0000-0000-000091430000}"/>
    <cellStyle name="40% - Accent4 3 2 3 3 6" xfId="17859" xr:uid="{00000000-0005-0000-0000-000092430000}"/>
    <cellStyle name="40% - Accent4 3 2 3 3 7" xfId="17860" xr:uid="{00000000-0005-0000-0000-000093430000}"/>
    <cellStyle name="40% - Accent4 3 2 3 4" xfId="17861" xr:uid="{00000000-0005-0000-0000-000094430000}"/>
    <cellStyle name="40% - Accent4 3 2 3 4 2" xfId="17862" xr:uid="{00000000-0005-0000-0000-000095430000}"/>
    <cellStyle name="40% - Accent4 3 2 3 4 2 2" xfId="17863" xr:uid="{00000000-0005-0000-0000-000096430000}"/>
    <cellStyle name="40% - Accent4 3 2 3 4 2 3" xfId="17864" xr:uid="{00000000-0005-0000-0000-000097430000}"/>
    <cellStyle name="40% - Accent4 3 2 3 4 3" xfId="17865" xr:uid="{00000000-0005-0000-0000-000098430000}"/>
    <cellStyle name="40% - Accent4 3 2 3 4 4" xfId="17866" xr:uid="{00000000-0005-0000-0000-000099430000}"/>
    <cellStyle name="40% - Accent4 3 2 3 4 5" xfId="17867" xr:uid="{00000000-0005-0000-0000-00009A430000}"/>
    <cellStyle name="40% - Accent4 3 2 3 4 6" xfId="17868" xr:uid="{00000000-0005-0000-0000-00009B430000}"/>
    <cellStyle name="40% - Accent4 3 2 3 5" xfId="17869" xr:uid="{00000000-0005-0000-0000-00009C430000}"/>
    <cellStyle name="40% - Accent4 3 2 3 5 2" xfId="17870" xr:uid="{00000000-0005-0000-0000-00009D430000}"/>
    <cellStyle name="40% - Accent4 3 2 3 5 2 2" xfId="17871" xr:uid="{00000000-0005-0000-0000-00009E430000}"/>
    <cellStyle name="40% - Accent4 3 2 3 5 2 3" xfId="17872" xr:uid="{00000000-0005-0000-0000-00009F430000}"/>
    <cellStyle name="40% - Accent4 3 2 3 5 3" xfId="17873" xr:uid="{00000000-0005-0000-0000-0000A0430000}"/>
    <cellStyle name="40% - Accent4 3 2 3 5 4" xfId="17874" xr:uid="{00000000-0005-0000-0000-0000A1430000}"/>
    <cellStyle name="40% - Accent4 3 2 3 5 5" xfId="17875" xr:uid="{00000000-0005-0000-0000-0000A2430000}"/>
    <cellStyle name="40% - Accent4 3 2 3 5 6" xfId="17876" xr:uid="{00000000-0005-0000-0000-0000A3430000}"/>
    <cellStyle name="40% - Accent4 3 2 3 6" xfId="17877" xr:uid="{00000000-0005-0000-0000-0000A4430000}"/>
    <cellStyle name="40% - Accent4 3 2 3 6 2" xfId="17878" xr:uid="{00000000-0005-0000-0000-0000A5430000}"/>
    <cellStyle name="40% - Accent4 3 2 3 6 3" xfId="17879" xr:uid="{00000000-0005-0000-0000-0000A6430000}"/>
    <cellStyle name="40% - Accent4 3 2 3 7" xfId="17880" xr:uid="{00000000-0005-0000-0000-0000A7430000}"/>
    <cellStyle name="40% - Accent4 3 2 3 8" xfId="17881" xr:uid="{00000000-0005-0000-0000-0000A8430000}"/>
    <cellStyle name="40% - Accent4 3 2 3 9" xfId="17882" xr:uid="{00000000-0005-0000-0000-0000A9430000}"/>
    <cellStyle name="40% - Accent4 3 2 4" xfId="17883" xr:uid="{00000000-0005-0000-0000-0000AA430000}"/>
    <cellStyle name="40% - Accent4 3 2 4 2" xfId="17884" xr:uid="{00000000-0005-0000-0000-0000AB430000}"/>
    <cellStyle name="40% - Accent4 3 2 4 2 2" xfId="17885" xr:uid="{00000000-0005-0000-0000-0000AC430000}"/>
    <cellStyle name="40% - Accent4 3 2 4 2 2 2" xfId="17886" xr:uid="{00000000-0005-0000-0000-0000AD430000}"/>
    <cellStyle name="40% - Accent4 3 2 4 2 2 2 2" xfId="17887" xr:uid="{00000000-0005-0000-0000-0000AE430000}"/>
    <cellStyle name="40% - Accent4 3 2 4 2 2 2 3" xfId="17888" xr:uid="{00000000-0005-0000-0000-0000AF430000}"/>
    <cellStyle name="40% - Accent4 3 2 4 2 2 3" xfId="17889" xr:uid="{00000000-0005-0000-0000-0000B0430000}"/>
    <cellStyle name="40% - Accent4 3 2 4 2 2 4" xfId="17890" xr:uid="{00000000-0005-0000-0000-0000B1430000}"/>
    <cellStyle name="40% - Accent4 3 2 4 2 2 5" xfId="17891" xr:uid="{00000000-0005-0000-0000-0000B2430000}"/>
    <cellStyle name="40% - Accent4 3 2 4 2 2 6" xfId="17892" xr:uid="{00000000-0005-0000-0000-0000B3430000}"/>
    <cellStyle name="40% - Accent4 3 2 4 2 3" xfId="17893" xr:uid="{00000000-0005-0000-0000-0000B4430000}"/>
    <cellStyle name="40% - Accent4 3 2 4 2 3 2" xfId="17894" xr:uid="{00000000-0005-0000-0000-0000B5430000}"/>
    <cellStyle name="40% - Accent4 3 2 4 2 3 3" xfId="17895" xr:uid="{00000000-0005-0000-0000-0000B6430000}"/>
    <cellStyle name="40% - Accent4 3 2 4 2 4" xfId="17896" xr:uid="{00000000-0005-0000-0000-0000B7430000}"/>
    <cellStyle name="40% - Accent4 3 2 4 2 5" xfId="17897" xr:uid="{00000000-0005-0000-0000-0000B8430000}"/>
    <cellStyle name="40% - Accent4 3 2 4 2 6" xfId="17898" xr:uid="{00000000-0005-0000-0000-0000B9430000}"/>
    <cellStyle name="40% - Accent4 3 2 4 2 7" xfId="17899" xr:uid="{00000000-0005-0000-0000-0000BA430000}"/>
    <cellStyle name="40% - Accent4 3 2 4 3" xfId="17900" xr:uid="{00000000-0005-0000-0000-0000BB430000}"/>
    <cellStyle name="40% - Accent4 3 2 4 3 2" xfId="17901" xr:uid="{00000000-0005-0000-0000-0000BC430000}"/>
    <cellStyle name="40% - Accent4 3 2 4 3 2 2" xfId="17902" xr:uid="{00000000-0005-0000-0000-0000BD430000}"/>
    <cellStyle name="40% - Accent4 3 2 4 3 2 3" xfId="17903" xr:uid="{00000000-0005-0000-0000-0000BE430000}"/>
    <cellStyle name="40% - Accent4 3 2 4 3 3" xfId="17904" xr:uid="{00000000-0005-0000-0000-0000BF430000}"/>
    <cellStyle name="40% - Accent4 3 2 4 3 4" xfId="17905" xr:uid="{00000000-0005-0000-0000-0000C0430000}"/>
    <cellStyle name="40% - Accent4 3 2 4 3 5" xfId="17906" xr:uid="{00000000-0005-0000-0000-0000C1430000}"/>
    <cellStyle name="40% - Accent4 3 2 4 3 6" xfId="17907" xr:uid="{00000000-0005-0000-0000-0000C2430000}"/>
    <cellStyle name="40% - Accent4 3 2 4 4" xfId="17908" xr:uid="{00000000-0005-0000-0000-0000C3430000}"/>
    <cellStyle name="40% - Accent4 3 2 4 4 2" xfId="17909" xr:uid="{00000000-0005-0000-0000-0000C4430000}"/>
    <cellStyle name="40% - Accent4 3 2 4 4 2 2" xfId="17910" xr:uid="{00000000-0005-0000-0000-0000C5430000}"/>
    <cellStyle name="40% - Accent4 3 2 4 4 2 3" xfId="17911" xr:uid="{00000000-0005-0000-0000-0000C6430000}"/>
    <cellStyle name="40% - Accent4 3 2 4 4 3" xfId="17912" xr:uid="{00000000-0005-0000-0000-0000C7430000}"/>
    <cellStyle name="40% - Accent4 3 2 4 4 4" xfId="17913" xr:uid="{00000000-0005-0000-0000-0000C8430000}"/>
    <cellStyle name="40% - Accent4 3 2 4 4 5" xfId="17914" xr:uid="{00000000-0005-0000-0000-0000C9430000}"/>
    <cellStyle name="40% - Accent4 3 2 4 4 6" xfId="17915" xr:uid="{00000000-0005-0000-0000-0000CA430000}"/>
    <cellStyle name="40% - Accent4 3 2 4 5" xfId="17916" xr:uid="{00000000-0005-0000-0000-0000CB430000}"/>
    <cellStyle name="40% - Accent4 3 2 4 5 2" xfId="17917" xr:uid="{00000000-0005-0000-0000-0000CC430000}"/>
    <cellStyle name="40% - Accent4 3 2 4 5 3" xfId="17918" xr:uid="{00000000-0005-0000-0000-0000CD430000}"/>
    <cellStyle name="40% - Accent4 3 2 4 6" xfId="17919" xr:uid="{00000000-0005-0000-0000-0000CE430000}"/>
    <cellStyle name="40% - Accent4 3 2 4 7" xfId="17920" xr:uid="{00000000-0005-0000-0000-0000CF430000}"/>
    <cellStyle name="40% - Accent4 3 2 4 8" xfId="17921" xr:uid="{00000000-0005-0000-0000-0000D0430000}"/>
    <cellStyle name="40% - Accent4 3 2 4 9" xfId="17922" xr:uid="{00000000-0005-0000-0000-0000D1430000}"/>
    <cellStyle name="40% - Accent4 3 2 5" xfId="17923" xr:uid="{00000000-0005-0000-0000-0000D2430000}"/>
    <cellStyle name="40% - Accent4 3 2 5 2" xfId="17924" xr:uid="{00000000-0005-0000-0000-0000D3430000}"/>
    <cellStyle name="40% - Accent4 3 2 5 2 2" xfId="17925" xr:uid="{00000000-0005-0000-0000-0000D4430000}"/>
    <cellStyle name="40% - Accent4 3 2 5 2 2 2" xfId="17926" xr:uid="{00000000-0005-0000-0000-0000D5430000}"/>
    <cellStyle name="40% - Accent4 3 2 5 2 2 3" xfId="17927" xr:uid="{00000000-0005-0000-0000-0000D6430000}"/>
    <cellStyle name="40% - Accent4 3 2 5 2 3" xfId="17928" xr:uid="{00000000-0005-0000-0000-0000D7430000}"/>
    <cellStyle name="40% - Accent4 3 2 5 2 4" xfId="17929" xr:uid="{00000000-0005-0000-0000-0000D8430000}"/>
    <cellStyle name="40% - Accent4 3 2 5 2 5" xfId="17930" xr:uid="{00000000-0005-0000-0000-0000D9430000}"/>
    <cellStyle name="40% - Accent4 3 2 5 2 6" xfId="17931" xr:uid="{00000000-0005-0000-0000-0000DA430000}"/>
    <cellStyle name="40% - Accent4 3 2 5 3" xfId="17932" xr:uid="{00000000-0005-0000-0000-0000DB430000}"/>
    <cellStyle name="40% - Accent4 3 2 5 3 2" xfId="17933" xr:uid="{00000000-0005-0000-0000-0000DC430000}"/>
    <cellStyle name="40% - Accent4 3 2 5 3 3" xfId="17934" xr:uid="{00000000-0005-0000-0000-0000DD430000}"/>
    <cellStyle name="40% - Accent4 3 2 5 4" xfId="17935" xr:uid="{00000000-0005-0000-0000-0000DE430000}"/>
    <cellStyle name="40% - Accent4 3 2 5 5" xfId="17936" xr:uid="{00000000-0005-0000-0000-0000DF430000}"/>
    <cellStyle name="40% - Accent4 3 2 5 6" xfId="17937" xr:uid="{00000000-0005-0000-0000-0000E0430000}"/>
    <cellStyle name="40% - Accent4 3 2 5 7" xfId="17938" xr:uid="{00000000-0005-0000-0000-0000E1430000}"/>
    <cellStyle name="40% - Accent4 3 2 6" xfId="17939" xr:uid="{00000000-0005-0000-0000-0000E2430000}"/>
    <cellStyle name="40% - Accent4 3 2 6 2" xfId="17940" xr:uid="{00000000-0005-0000-0000-0000E3430000}"/>
    <cellStyle name="40% - Accent4 3 2 6 2 2" xfId="17941" xr:uid="{00000000-0005-0000-0000-0000E4430000}"/>
    <cellStyle name="40% - Accent4 3 2 6 2 3" xfId="17942" xr:uid="{00000000-0005-0000-0000-0000E5430000}"/>
    <cellStyle name="40% - Accent4 3 2 6 3" xfId="17943" xr:uid="{00000000-0005-0000-0000-0000E6430000}"/>
    <cellStyle name="40% - Accent4 3 2 6 4" xfId="17944" xr:uid="{00000000-0005-0000-0000-0000E7430000}"/>
    <cellStyle name="40% - Accent4 3 2 6 5" xfId="17945" xr:uid="{00000000-0005-0000-0000-0000E8430000}"/>
    <cellStyle name="40% - Accent4 3 2 6 6" xfId="17946" xr:uid="{00000000-0005-0000-0000-0000E9430000}"/>
    <cellStyle name="40% - Accent4 3 2 7" xfId="17947" xr:uid="{00000000-0005-0000-0000-0000EA430000}"/>
    <cellStyle name="40% - Accent4 3 2 7 2" xfId="17948" xr:uid="{00000000-0005-0000-0000-0000EB430000}"/>
    <cellStyle name="40% - Accent4 3 2 7 2 2" xfId="17949" xr:uid="{00000000-0005-0000-0000-0000EC430000}"/>
    <cellStyle name="40% - Accent4 3 2 7 2 3" xfId="17950" xr:uid="{00000000-0005-0000-0000-0000ED430000}"/>
    <cellStyle name="40% - Accent4 3 2 7 3" xfId="17951" xr:uid="{00000000-0005-0000-0000-0000EE430000}"/>
    <cellStyle name="40% - Accent4 3 2 7 4" xfId="17952" xr:uid="{00000000-0005-0000-0000-0000EF430000}"/>
    <cellStyle name="40% - Accent4 3 2 7 5" xfId="17953" xr:uid="{00000000-0005-0000-0000-0000F0430000}"/>
    <cellStyle name="40% - Accent4 3 2 7 6" xfId="17954" xr:uid="{00000000-0005-0000-0000-0000F1430000}"/>
    <cellStyle name="40% - Accent4 3 2 8" xfId="17955" xr:uid="{00000000-0005-0000-0000-0000F2430000}"/>
    <cellStyle name="40% - Accent4 3 2 8 2" xfId="17956" xr:uid="{00000000-0005-0000-0000-0000F3430000}"/>
    <cellStyle name="40% - Accent4 3 2 8 2 2" xfId="17957" xr:uid="{00000000-0005-0000-0000-0000F4430000}"/>
    <cellStyle name="40% - Accent4 3 2 8 2 3" xfId="17958" xr:uid="{00000000-0005-0000-0000-0000F5430000}"/>
    <cellStyle name="40% - Accent4 3 2 8 3" xfId="17959" xr:uid="{00000000-0005-0000-0000-0000F6430000}"/>
    <cellStyle name="40% - Accent4 3 2 8 4" xfId="17960" xr:uid="{00000000-0005-0000-0000-0000F7430000}"/>
    <cellStyle name="40% - Accent4 3 2 8 5" xfId="17961" xr:uid="{00000000-0005-0000-0000-0000F8430000}"/>
    <cellStyle name="40% - Accent4 3 2 8 6" xfId="17962" xr:uid="{00000000-0005-0000-0000-0000F9430000}"/>
    <cellStyle name="40% - Accent4 3 2 9" xfId="17963" xr:uid="{00000000-0005-0000-0000-0000FA430000}"/>
    <cellStyle name="40% - Accent4 3 2 9 2" xfId="17964" xr:uid="{00000000-0005-0000-0000-0000FB430000}"/>
    <cellStyle name="40% - Accent4 3 2 9 2 2" xfId="17965" xr:uid="{00000000-0005-0000-0000-0000FC430000}"/>
    <cellStyle name="40% - Accent4 3 2 9 2 3" xfId="17966" xr:uid="{00000000-0005-0000-0000-0000FD430000}"/>
    <cellStyle name="40% - Accent4 3 2 9 3" xfId="17967" xr:uid="{00000000-0005-0000-0000-0000FE430000}"/>
    <cellStyle name="40% - Accent4 3 2 9 4" xfId="17968" xr:uid="{00000000-0005-0000-0000-0000FF430000}"/>
    <cellStyle name="40% - Accent4 3 2 9 5" xfId="17969" xr:uid="{00000000-0005-0000-0000-000000440000}"/>
    <cellStyle name="40% - Accent4 3 2 9 6" xfId="17970" xr:uid="{00000000-0005-0000-0000-000001440000}"/>
    <cellStyle name="40% - Accent4 3 3" xfId="17971" xr:uid="{00000000-0005-0000-0000-000002440000}"/>
    <cellStyle name="40% - Accent4 3 3 10" xfId="17972" xr:uid="{00000000-0005-0000-0000-000003440000}"/>
    <cellStyle name="40% - Accent4 3 3 10 2" xfId="17973" xr:uid="{00000000-0005-0000-0000-000004440000}"/>
    <cellStyle name="40% - Accent4 3 3 10 3" xfId="17974" xr:uid="{00000000-0005-0000-0000-000005440000}"/>
    <cellStyle name="40% - Accent4 3 3 11" xfId="17975" xr:uid="{00000000-0005-0000-0000-000006440000}"/>
    <cellStyle name="40% - Accent4 3 3 12" xfId="17976" xr:uid="{00000000-0005-0000-0000-000007440000}"/>
    <cellStyle name="40% - Accent4 3 3 13" xfId="17977" xr:uid="{00000000-0005-0000-0000-000008440000}"/>
    <cellStyle name="40% - Accent4 3 3 14" xfId="17978" xr:uid="{00000000-0005-0000-0000-000009440000}"/>
    <cellStyle name="40% - Accent4 3 3 2" xfId="17979" xr:uid="{00000000-0005-0000-0000-00000A440000}"/>
    <cellStyle name="40% - Accent4 3 3 2 10" xfId="17980" xr:uid="{00000000-0005-0000-0000-00000B440000}"/>
    <cellStyle name="40% - Accent4 3 3 2 11" xfId="17981" xr:uid="{00000000-0005-0000-0000-00000C440000}"/>
    <cellStyle name="40% - Accent4 3 3 2 12" xfId="17982" xr:uid="{00000000-0005-0000-0000-00000D440000}"/>
    <cellStyle name="40% - Accent4 3 3 2 13" xfId="17983" xr:uid="{00000000-0005-0000-0000-00000E440000}"/>
    <cellStyle name="40% - Accent4 3 3 2 2" xfId="17984" xr:uid="{00000000-0005-0000-0000-00000F440000}"/>
    <cellStyle name="40% - Accent4 3 3 2 2 10" xfId="17985" xr:uid="{00000000-0005-0000-0000-000010440000}"/>
    <cellStyle name="40% - Accent4 3 3 2 2 2" xfId="17986" xr:uid="{00000000-0005-0000-0000-000011440000}"/>
    <cellStyle name="40% - Accent4 3 3 2 2 2 2" xfId="17987" xr:uid="{00000000-0005-0000-0000-000012440000}"/>
    <cellStyle name="40% - Accent4 3 3 2 2 2 2 2" xfId="17988" xr:uid="{00000000-0005-0000-0000-000013440000}"/>
    <cellStyle name="40% - Accent4 3 3 2 2 2 2 2 2" xfId="17989" xr:uid="{00000000-0005-0000-0000-000014440000}"/>
    <cellStyle name="40% - Accent4 3 3 2 2 2 2 2 3" xfId="17990" xr:uid="{00000000-0005-0000-0000-000015440000}"/>
    <cellStyle name="40% - Accent4 3 3 2 2 2 2 3" xfId="17991" xr:uid="{00000000-0005-0000-0000-000016440000}"/>
    <cellStyle name="40% - Accent4 3 3 2 2 2 2 4" xfId="17992" xr:uid="{00000000-0005-0000-0000-000017440000}"/>
    <cellStyle name="40% - Accent4 3 3 2 2 2 2 5" xfId="17993" xr:uid="{00000000-0005-0000-0000-000018440000}"/>
    <cellStyle name="40% - Accent4 3 3 2 2 2 2 6" xfId="17994" xr:uid="{00000000-0005-0000-0000-000019440000}"/>
    <cellStyle name="40% - Accent4 3 3 2 2 2 3" xfId="17995" xr:uid="{00000000-0005-0000-0000-00001A440000}"/>
    <cellStyle name="40% - Accent4 3 3 2 2 2 3 2" xfId="17996" xr:uid="{00000000-0005-0000-0000-00001B440000}"/>
    <cellStyle name="40% - Accent4 3 3 2 2 2 3 2 2" xfId="17997" xr:uid="{00000000-0005-0000-0000-00001C440000}"/>
    <cellStyle name="40% - Accent4 3 3 2 2 2 3 2 3" xfId="17998" xr:uid="{00000000-0005-0000-0000-00001D440000}"/>
    <cellStyle name="40% - Accent4 3 3 2 2 2 3 3" xfId="17999" xr:uid="{00000000-0005-0000-0000-00001E440000}"/>
    <cellStyle name="40% - Accent4 3 3 2 2 2 3 4" xfId="18000" xr:uid="{00000000-0005-0000-0000-00001F440000}"/>
    <cellStyle name="40% - Accent4 3 3 2 2 2 3 5" xfId="18001" xr:uid="{00000000-0005-0000-0000-000020440000}"/>
    <cellStyle name="40% - Accent4 3 3 2 2 2 3 6" xfId="18002" xr:uid="{00000000-0005-0000-0000-000021440000}"/>
    <cellStyle name="40% - Accent4 3 3 2 2 2 4" xfId="18003" xr:uid="{00000000-0005-0000-0000-000022440000}"/>
    <cellStyle name="40% - Accent4 3 3 2 2 2 4 2" xfId="18004" xr:uid="{00000000-0005-0000-0000-000023440000}"/>
    <cellStyle name="40% - Accent4 3 3 2 2 2 4 3" xfId="18005" xr:uid="{00000000-0005-0000-0000-000024440000}"/>
    <cellStyle name="40% - Accent4 3 3 2 2 2 5" xfId="18006" xr:uid="{00000000-0005-0000-0000-000025440000}"/>
    <cellStyle name="40% - Accent4 3 3 2 2 2 6" xfId="18007" xr:uid="{00000000-0005-0000-0000-000026440000}"/>
    <cellStyle name="40% - Accent4 3 3 2 2 2 7" xfId="18008" xr:uid="{00000000-0005-0000-0000-000027440000}"/>
    <cellStyle name="40% - Accent4 3 3 2 2 2 8" xfId="18009" xr:uid="{00000000-0005-0000-0000-000028440000}"/>
    <cellStyle name="40% - Accent4 3 3 2 2 3" xfId="18010" xr:uid="{00000000-0005-0000-0000-000029440000}"/>
    <cellStyle name="40% - Accent4 3 3 2 2 3 2" xfId="18011" xr:uid="{00000000-0005-0000-0000-00002A440000}"/>
    <cellStyle name="40% - Accent4 3 3 2 2 3 2 2" xfId="18012" xr:uid="{00000000-0005-0000-0000-00002B440000}"/>
    <cellStyle name="40% - Accent4 3 3 2 2 3 2 2 2" xfId="18013" xr:uid="{00000000-0005-0000-0000-00002C440000}"/>
    <cellStyle name="40% - Accent4 3 3 2 2 3 2 2 3" xfId="18014" xr:uid="{00000000-0005-0000-0000-00002D440000}"/>
    <cellStyle name="40% - Accent4 3 3 2 2 3 2 3" xfId="18015" xr:uid="{00000000-0005-0000-0000-00002E440000}"/>
    <cellStyle name="40% - Accent4 3 3 2 2 3 2 4" xfId="18016" xr:uid="{00000000-0005-0000-0000-00002F440000}"/>
    <cellStyle name="40% - Accent4 3 3 2 2 3 2 5" xfId="18017" xr:uid="{00000000-0005-0000-0000-000030440000}"/>
    <cellStyle name="40% - Accent4 3 3 2 2 3 2 6" xfId="18018" xr:uid="{00000000-0005-0000-0000-000031440000}"/>
    <cellStyle name="40% - Accent4 3 3 2 2 3 3" xfId="18019" xr:uid="{00000000-0005-0000-0000-000032440000}"/>
    <cellStyle name="40% - Accent4 3 3 2 2 3 3 2" xfId="18020" xr:uid="{00000000-0005-0000-0000-000033440000}"/>
    <cellStyle name="40% - Accent4 3 3 2 2 3 3 3" xfId="18021" xr:uid="{00000000-0005-0000-0000-000034440000}"/>
    <cellStyle name="40% - Accent4 3 3 2 2 3 4" xfId="18022" xr:uid="{00000000-0005-0000-0000-000035440000}"/>
    <cellStyle name="40% - Accent4 3 3 2 2 3 5" xfId="18023" xr:uid="{00000000-0005-0000-0000-000036440000}"/>
    <cellStyle name="40% - Accent4 3 3 2 2 3 6" xfId="18024" xr:uid="{00000000-0005-0000-0000-000037440000}"/>
    <cellStyle name="40% - Accent4 3 3 2 2 3 7" xfId="18025" xr:uid="{00000000-0005-0000-0000-000038440000}"/>
    <cellStyle name="40% - Accent4 3 3 2 2 4" xfId="18026" xr:uid="{00000000-0005-0000-0000-000039440000}"/>
    <cellStyle name="40% - Accent4 3 3 2 2 4 2" xfId="18027" xr:uid="{00000000-0005-0000-0000-00003A440000}"/>
    <cellStyle name="40% - Accent4 3 3 2 2 4 2 2" xfId="18028" xr:uid="{00000000-0005-0000-0000-00003B440000}"/>
    <cellStyle name="40% - Accent4 3 3 2 2 4 2 3" xfId="18029" xr:uid="{00000000-0005-0000-0000-00003C440000}"/>
    <cellStyle name="40% - Accent4 3 3 2 2 4 3" xfId="18030" xr:uid="{00000000-0005-0000-0000-00003D440000}"/>
    <cellStyle name="40% - Accent4 3 3 2 2 4 4" xfId="18031" xr:uid="{00000000-0005-0000-0000-00003E440000}"/>
    <cellStyle name="40% - Accent4 3 3 2 2 4 5" xfId="18032" xr:uid="{00000000-0005-0000-0000-00003F440000}"/>
    <cellStyle name="40% - Accent4 3 3 2 2 4 6" xfId="18033" xr:uid="{00000000-0005-0000-0000-000040440000}"/>
    <cellStyle name="40% - Accent4 3 3 2 2 5" xfId="18034" xr:uid="{00000000-0005-0000-0000-000041440000}"/>
    <cellStyle name="40% - Accent4 3 3 2 2 5 2" xfId="18035" xr:uid="{00000000-0005-0000-0000-000042440000}"/>
    <cellStyle name="40% - Accent4 3 3 2 2 5 2 2" xfId="18036" xr:uid="{00000000-0005-0000-0000-000043440000}"/>
    <cellStyle name="40% - Accent4 3 3 2 2 5 2 3" xfId="18037" xr:uid="{00000000-0005-0000-0000-000044440000}"/>
    <cellStyle name="40% - Accent4 3 3 2 2 5 3" xfId="18038" xr:uid="{00000000-0005-0000-0000-000045440000}"/>
    <cellStyle name="40% - Accent4 3 3 2 2 5 4" xfId="18039" xr:uid="{00000000-0005-0000-0000-000046440000}"/>
    <cellStyle name="40% - Accent4 3 3 2 2 5 5" xfId="18040" xr:uid="{00000000-0005-0000-0000-000047440000}"/>
    <cellStyle name="40% - Accent4 3 3 2 2 5 6" xfId="18041" xr:uid="{00000000-0005-0000-0000-000048440000}"/>
    <cellStyle name="40% - Accent4 3 3 2 2 6" xfId="18042" xr:uid="{00000000-0005-0000-0000-000049440000}"/>
    <cellStyle name="40% - Accent4 3 3 2 2 6 2" xfId="18043" xr:uid="{00000000-0005-0000-0000-00004A440000}"/>
    <cellStyle name="40% - Accent4 3 3 2 2 6 3" xfId="18044" xr:uid="{00000000-0005-0000-0000-00004B440000}"/>
    <cellStyle name="40% - Accent4 3 3 2 2 7" xfId="18045" xr:uid="{00000000-0005-0000-0000-00004C440000}"/>
    <cellStyle name="40% - Accent4 3 3 2 2 8" xfId="18046" xr:uid="{00000000-0005-0000-0000-00004D440000}"/>
    <cellStyle name="40% - Accent4 3 3 2 2 9" xfId="18047" xr:uid="{00000000-0005-0000-0000-00004E440000}"/>
    <cellStyle name="40% - Accent4 3 3 2 3" xfId="18048" xr:uid="{00000000-0005-0000-0000-00004F440000}"/>
    <cellStyle name="40% - Accent4 3 3 2 3 2" xfId="18049" xr:uid="{00000000-0005-0000-0000-000050440000}"/>
    <cellStyle name="40% - Accent4 3 3 2 3 2 2" xfId="18050" xr:uid="{00000000-0005-0000-0000-000051440000}"/>
    <cellStyle name="40% - Accent4 3 3 2 3 2 2 2" xfId="18051" xr:uid="{00000000-0005-0000-0000-000052440000}"/>
    <cellStyle name="40% - Accent4 3 3 2 3 2 2 2 2" xfId="18052" xr:uid="{00000000-0005-0000-0000-000053440000}"/>
    <cellStyle name="40% - Accent4 3 3 2 3 2 2 2 3" xfId="18053" xr:uid="{00000000-0005-0000-0000-000054440000}"/>
    <cellStyle name="40% - Accent4 3 3 2 3 2 2 3" xfId="18054" xr:uid="{00000000-0005-0000-0000-000055440000}"/>
    <cellStyle name="40% - Accent4 3 3 2 3 2 2 4" xfId="18055" xr:uid="{00000000-0005-0000-0000-000056440000}"/>
    <cellStyle name="40% - Accent4 3 3 2 3 2 2 5" xfId="18056" xr:uid="{00000000-0005-0000-0000-000057440000}"/>
    <cellStyle name="40% - Accent4 3 3 2 3 2 2 6" xfId="18057" xr:uid="{00000000-0005-0000-0000-000058440000}"/>
    <cellStyle name="40% - Accent4 3 3 2 3 2 3" xfId="18058" xr:uid="{00000000-0005-0000-0000-000059440000}"/>
    <cellStyle name="40% - Accent4 3 3 2 3 2 3 2" xfId="18059" xr:uid="{00000000-0005-0000-0000-00005A440000}"/>
    <cellStyle name="40% - Accent4 3 3 2 3 2 3 3" xfId="18060" xr:uid="{00000000-0005-0000-0000-00005B440000}"/>
    <cellStyle name="40% - Accent4 3 3 2 3 2 4" xfId="18061" xr:uid="{00000000-0005-0000-0000-00005C440000}"/>
    <cellStyle name="40% - Accent4 3 3 2 3 2 5" xfId="18062" xr:uid="{00000000-0005-0000-0000-00005D440000}"/>
    <cellStyle name="40% - Accent4 3 3 2 3 2 6" xfId="18063" xr:uid="{00000000-0005-0000-0000-00005E440000}"/>
    <cellStyle name="40% - Accent4 3 3 2 3 2 7" xfId="18064" xr:uid="{00000000-0005-0000-0000-00005F440000}"/>
    <cellStyle name="40% - Accent4 3 3 2 3 3" xfId="18065" xr:uid="{00000000-0005-0000-0000-000060440000}"/>
    <cellStyle name="40% - Accent4 3 3 2 3 3 2" xfId="18066" xr:uid="{00000000-0005-0000-0000-000061440000}"/>
    <cellStyle name="40% - Accent4 3 3 2 3 3 2 2" xfId="18067" xr:uid="{00000000-0005-0000-0000-000062440000}"/>
    <cellStyle name="40% - Accent4 3 3 2 3 3 2 3" xfId="18068" xr:uid="{00000000-0005-0000-0000-000063440000}"/>
    <cellStyle name="40% - Accent4 3 3 2 3 3 3" xfId="18069" xr:uid="{00000000-0005-0000-0000-000064440000}"/>
    <cellStyle name="40% - Accent4 3 3 2 3 3 4" xfId="18070" xr:uid="{00000000-0005-0000-0000-000065440000}"/>
    <cellStyle name="40% - Accent4 3 3 2 3 3 5" xfId="18071" xr:uid="{00000000-0005-0000-0000-000066440000}"/>
    <cellStyle name="40% - Accent4 3 3 2 3 3 6" xfId="18072" xr:uid="{00000000-0005-0000-0000-000067440000}"/>
    <cellStyle name="40% - Accent4 3 3 2 3 4" xfId="18073" xr:uid="{00000000-0005-0000-0000-000068440000}"/>
    <cellStyle name="40% - Accent4 3 3 2 3 4 2" xfId="18074" xr:uid="{00000000-0005-0000-0000-000069440000}"/>
    <cellStyle name="40% - Accent4 3 3 2 3 4 2 2" xfId="18075" xr:uid="{00000000-0005-0000-0000-00006A440000}"/>
    <cellStyle name="40% - Accent4 3 3 2 3 4 2 3" xfId="18076" xr:uid="{00000000-0005-0000-0000-00006B440000}"/>
    <cellStyle name="40% - Accent4 3 3 2 3 4 3" xfId="18077" xr:uid="{00000000-0005-0000-0000-00006C440000}"/>
    <cellStyle name="40% - Accent4 3 3 2 3 4 4" xfId="18078" xr:uid="{00000000-0005-0000-0000-00006D440000}"/>
    <cellStyle name="40% - Accent4 3 3 2 3 4 5" xfId="18079" xr:uid="{00000000-0005-0000-0000-00006E440000}"/>
    <cellStyle name="40% - Accent4 3 3 2 3 4 6" xfId="18080" xr:uid="{00000000-0005-0000-0000-00006F440000}"/>
    <cellStyle name="40% - Accent4 3 3 2 3 5" xfId="18081" xr:uid="{00000000-0005-0000-0000-000070440000}"/>
    <cellStyle name="40% - Accent4 3 3 2 3 5 2" xfId="18082" xr:uid="{00000000-0005-0000-0000-000071440000}"/>
    <cellStyle name="40% - Accent4 3 3 2 3 5 3" xfId="18083" xr:uid="{00000000-0005-0000-0000-000072440000}"/>
    <cellStyle name="40% - Accent4 3 3 2 3 6" xfId="18084" xr:uid="{00000000-0005-0000-0000-000073440000}"/>
    <cellStyle name="40% - Accent4 3 3 2 3 7" xfId="18085" xr:uid="{00000000-0005-0000-0000-000074440000}"/>
    <cellStyle name="40% - Accent4 3 3 2 3 8" xfId="18086" xr:uid="{00000000-0005-0000-0000-000075440000}"/>
    <cellStyle name="40% - Accent4 3 3 2 3 9" xfId="18087" xr:uid="{00000000-0005-0000-0000-000076440000}"/>
    <cellStyle name="40% - Accent4 3 3 2 4" xfId="18088" xr:uid="{00000000-0005-0000-0000-000077440000}"/>
    <cellStyle name="40% - Accent4 3 3 2 4 2" xfId="18089" xr:uid="{00000000-0005-0000-0000-000078440000}"/>
    <cellStyle name="40% - Accent4 3 3 2 4 2 2" xfId="18090" xr:uid="{00000000-0005-0000-0000-000079440000}"/>
    <cellStyle name="40% - Accent4 3 3 2 4 2 2 2" xfId="18091" xr:uid="{00000000-0005-0000-0000-00007A440000}"/>
    <cellStyle name="40% - Accent4 3 3 2 4 2 2 3" xfId="18092" xr:uid="{00000000-0005-0000-0000-00007B440000}"/>
    <cellStyle name="40% - Accent4 3 3 2 4 2 3" xfId="18093" xr:uid="{00000000-0005-0000-0000-00007C440000}"/>
    <cellStyle name="40% - Accent4 3 3 2 4 2 4" xfId="18094" xr:uid="{00000000-0005-0000-0000-00007D440000}"/>
    <cellStyle name="40% - Accent4 3 3 2 4 2 5" xfId="18095" xr:uid="{00000000-0005-0000-0000-00007E440000}"/>
    <cellStyle name="40% - Accent4 3 3 2 4 2 6" xfId="18096" xr:uid="{00000000-0005-0000-0000-00007F440000}"/>
    <cellStyle name="40% - Accent4 3 3 2 4 3" xfId="18097" xr:uid="{00000000-0005-0000-0000-000080440000}"/>
    <cellStyle name="40% - Accent4 3 3 2 4 3 2" xfId="18098" xr:uid="{00000000-0005-0000-0000-000081440000}"/>
    <cellStyle name="40% - Accent4 3 3 2 4 3 3" xfId="18099" xr:uid="{00000000-0005-0000-0000-000082440000}"/>
    <cellStyle name="40% - Accent4 3 3 2 4 4" xfId="18100" xr:uid="{00000000-0005-0000-0000-000083440000}"/>
    <cellStyle name="40% - Accent4 3 3 2 4 5" xfId="18101" xr:uid="{00000000-0005-0000-0000-000084440000}"/>
    <cellStyle name="40% - Accent4 3 3 2 4 6" xfId="18102" xr:uid="{00000000-0005-0000-0000-000085440000}"/>
    <cellStyle name="40% - Accent4 3 3 2 4 7" xfId="18103" xr:uid="{00000000-0005-0000-0000-000086440000}"/>
    <cellStyle name="40% - Accent4 3 3 2 5" xfId="18104" xr:uid="{00000000-0005-0000-0000-000087440000}"/>
    <cellStyle name="40% - Accent4 3 3 2 5 2" xfId="18105" xr:uid="{00000000-0005-0000-0000-000088440000}"/>
    <cellStyle name="40% - Accent4 3 3 2 5 2 2" xfId="18106" xr:uid="{00000000-0005-0000-0000-000089440000}"/>
    <cellStyle name="40% - Accent4 3 3 2 5 2 3" xfId="18107" xr:uid="{00000000-0005-0000-0000-00008A440000}"/>
    <cellStyle name="40% - Accent4 3 3 2 5 3" xfId="18108" xr:uid="{00000000-0005-0000-0000-00008B440000}"/>
    <cellStyle name="40% - Accent4 3 3 2 5 4" xfId="18109" xr:uid="{00000000-0005-0000-0000-00008C440000}"/>
    <cellStyle name="40% - Accent4 3 3 2 5 5" xfId="18110" xr:uid="{00000000-0005-0000-0000-00008D440000}"/>
    <cellStyle name="40% - Accent4 3 3 2 5 6" xfId="18111" xr:uid="{00000000-0005-0000-0000-00008E440000}"/>
    <cellStyle name="40% - Accent4 3 3 2 6" xfId="18112" xr:uid="{00000000-0005-0000-0000-00008F440000}"/>
    <cellStyle name="40% - Accent4 3 3 2 6 2" xfId="18113" xr:uid="{00000000-0005-0000-0000-000090440000}"/>
    <cellStyle name="40% - Accent4 3 3 2 6 2 2" xfId="18114" xr:uid="{00000000-0005-0000-0000-000091440000}"/>
    <cellStyle name="40% - Accent4 3 3 2 6 2 3" xfId="18115" xr:uid="{00000000-0005-0000-0000-000092440000}"/>
    <cellStyle name="40% - Accent4 3 3 2 6 3" xfId="18116" xr:uid="{00000000-0005-0000-0000-000093440000}"/>
    <cellStyle name="40% - Accent4 3 3 2 6 4" xfId="18117" xr:uid="{00000000-0005-0000-0000-000094440000}"/>
    <cellStyle name="40% - Accent4 3 3 2 6 5" xfId="18118" xr:uid="{00000000-0005-0000-0000-000095440000}"/>
    <cellStyle name="40% - Accent4 3 3 2 6 6" xfId="18119" xr:uid="{00000000-0005-0000-0000-000096440000}"/>
    <cellStyle name="40% - Accent4 3 3 2 7" xfId="18120" xr:uid="{00000000-0005-0000-0000-000097440000}"/>
    <cellStyle name="40% - Accent4 3 3 2 7 2" xfId="18121" xr:uid="{00000000-0005-0000-0000-000098440000}"/>
    <cellStyle name="40% - Accent4 3 3 2 7 2 2" xfId="18122" xr:uid="{00000000-0005-0000-0000-000099440000}"/>
    <cellStyle name="40% - Accent4 3 3 2 7 2 3" xfId="18123" xr:uid="{00000000-0005-0000-0000-00009A440000}"/>
    <cellStyle name="40% - Accent4 3 3 2 7 3" xfId="18124" xr:uid="{00000000-0005-0000-0000-00009B440000}"/>
    <cellStyle name="40% - Accent4 3 3 2 7 4" xfId="18125" xr:uid="{00000000-0005-0000-0000-00009C440000}"/>
    <cellStyle name="40% - Accent4 3 3 2 7 5" xfId="18126" xr:uid="{00000000-0005-0000-0000-00009D440000}"/>
    <cellStyle name="40% - Accent4 3 3 2 7 6" xfId="18127" xr:uid="{00000000-0005-0000-0000-00009E440000}"/>
    <cellStyle name="40% - Accent4 3 3 2 8" xfId="18128" xr:uid="{00000000-0005-0000-0000-00009F440000}"/>
    <cellStyle name="40% - Accent4 3 3 2 8 2" xfId="18129" xr:uid="{00000000-0005-0000-0000-0000A0440000}"/>
    <cellStyle name="40% - Accent4 3 3 2 8 2 2" xfId="18130" xr:uid="{00000000-0005-0000-0000-0000A1440000}"/>
    <cellStyle name="40% - Accent4 3 3 2 8 2 3" xfId="18131" xr:uid="{00000000-0005-0000-0000-0000A2440000}"/>
    <cellStyle name="40% - Accent4 3 3 2 8 3" xfId="18132" xr:uid="{00000000-0005-0000-0000-0000A3440000}"/>
    <cellStyle name="40% - Accent4 3 3 2 8 4" xfId="18133" xr:uid="{00000000-0005-0000-0000-0000A4440000}"/>
    <cellStyle name="40% - Accent4 3 3 2 8 5" xfId="18134" xr:uid="{00000000-0005-0000-0000-0000A5440000}"/>
    <cellStyle name="40% - Accent4 3 3 2 8 6" xfId="18135" xr:uid="{00000000-0005-0000-0000-0000A6440000}"/>
    <cellStyle name="40% - Accent4 3 3 2 9" xfId="18136" xr:uid="{00000000-0005-0000-0000-0000A7440000}"/>
    <cellStyle name="40% - Accent4 3 3 2 9 2" xfId="18137" xr:uid="{00000000-0005-0000-0000-0000A8440000}"/>
    <cellStyle name="40% - Accent4 3 3 2 9 3" xfId="18138" xr:uid="{00000000-0005-0000-0000-0000A9440000}"/>
    <cellStyle name="40% - Accent4 3 3 3" xfId="18139" xr:uid="{00000000-0005-0000-0000-0000AA440000}"/>
    <cellStyle name="40% - Accent4 3 3 3 10" xfId="18140" xr:uid="{00000000-0005-0000-0000-0000AB440000}"/>
    <cellStyle name="40% - Accent4 3 3 3 2" xfId="18141" xr:uid="{00000000-0005-0000-0000-0000AC440000}"/>
    <cellStyle name="40% - Accent4 3 3 3 2 2" xfId="18142" xr:uid="{00000000-0005-0000-0000-0000AD440000}"/>
    <cellStyle name="40% - Accent4 3 3 3 2 2 2" xfId="18143" xr:uid="{00000000-0005-0000-0000-0000AE440000}"/>
    <cellStyle name="40% - Accent4 3 3 3 2 2 2 2" xfId="18144" xr:uid="{00000000-0005-0000-0000-0000AF440000}"/>
    <cellStyle name="40% - Accent4 3 3 3 2 2 2 3" xfId="18145" xr:uid="{00000000-0005-0000-0000-0000B0440000}"/>
    <cellStyle name="40% - Accent4 3 3 3 2 2 3" xfId="18146" xr:uid="{00000000-0005-0000-0000-0000B1440000}"/>
    <cellStyle name="40% - Accent4 3 3 3 2 2 4" xfId="18147" xr:uid="{00000000-0005-0000-0000-0000B2440000}"/>
    <cellStyle name="40% - Accent4 3 3 3 2 2 5" xfId="18148" xr:uid="{00000000-0005-0000-0000-0000B3440000}"/>
    <cellStyle name="40% - Accent4 3 3 3 2 2 6" xfId="18149" xr:uid="{00000000-0005-0000-0000-0000B4440000}"/>
    <cellStyle name="40% - Accent4 3 3 3 2 3" xfId="18150" xr:uid="{00000000-0005-0000-0000-0000B5440000}"/>
    <cellStyle name="40% - Accent4 3 3 3 2 3 2" xfId="18151" xr:uid="{00000000-0005-0000-0000-0000B6440000}"/>
    <cellStyle name="40% - Accent4 3 3 3 2 3 2 2" xfId="18152" xr:uid="{00000000-0005-0000-0000-0000B7440000}"/>
    <cellStyle name="40% - Accent4 3 3 3 2 3 2 3" xfId="18153" xr:uid="{00000000-0005-0000-0000-0000B8440000}"/>
    <cellStyle name="40% - Accent4 3 3 3 2 3 3" xfId="18154" xr:uid="{00000000-0005-0000-0000-0000B9440000}"/>
    <cellStyle name="40% - Accent4 3 3 3 2 3 4" xfId="18155" xr:uid="{00000000-0005-0000-0000-0000BA440000}"/>
    <cellStyle name="40% - Accent4 3 3 3 2 3 5" xfId="18156" xr:uid="{00000000-0005-0000-0000-0000BB440000}"/>
    <cellStyle name="40% - Accent4 3 3 3 2 3 6" xfId="18157" xr:uid="{00000000-0005-0000-0000-0000BC440000}"/>
    <cellStyle name="40% - Accent4 3 3 3 2 4" xfId="18158" xr:uid="{00000000-0005-0000-0000-0000BD440000}"/>
    <cellStyle name="40% - Accent4 3 3 3 2 4 2" xfId="18159" xr:uid="{00000000-0005-0000-0000-0000BE440000}"/>
    <cellStyle name="40% - Accent4 3 3 3 2 4 3" xfId="18160" xr:uid="{00000000-0005-0000-0000-0000BF440000}"/>
    <cellStyle name="40% - Accent4 3 3 3 2 5" xfId="18161" xr:uid="{00000000-0005-0000-0000-0000C0440000}"/>
    <cellStyle name="40% - Accent4 3 3 3 2 6" xfId="18162" xr:uid="{00000000-0005-0000-0000-0000C1440000}"/>
    <cellStyle name="40% - Accent4 3 3 3 2 7" xfId="18163" xr:uid="{00000000-0005-0000-0000-0000C2440000}"/>
    <cellStyle name="40% - Accent4 3 3 3 2 8" xfId="18164" xr:uid="{00000000-0005-0000-0000-0000C3440000}"/>
    <cellStyle name="40% - Accent4 3 3 3 3" xfId="18165" xr:uid="{00000000-0005-0000-0000-0000C4440000}"/>
    <cellStyle name="40% - Accent4 3 3 3 3 2" xfId="18166" xr:uid="{00000000-0005-0000-0000-0000C5440000}"/>
    <cellStyle name="40% - Accent4 3 3 3 3 2 2" xfId="18167" xr:uid="{00000000-0005-0000-0000-0000C6440000}"/>
    <cellStyle name="40% - Accent4 3 3 3 3 2 2 2" xfId="18168" xr:uid="{00000000-0005-0000-0000-0000C7440000}"/>
    <cellStyle name="40% - Accent4 3 3 3 3 2 2 3" xfId="18169" xr:uid="{00000000-0005-0000-0000-0000C8440000}"/>
    <cellStyle name="40% - Accent4 3 3 3 3 2 3" xfId="18170" xr:uid="{00000000-0005-0000-0000-0000C9440000}"/>
    <cellStyle name="40% - Accent4 3 3 3 3 2 4" xfId="18171" xr:uid="{00000000-0005-0000-0000-0000CA440000}"/>
    <cellStyle name="40% - Accent4 3 3 3 3 2 5" xfId="18172" xr:uid="{00000000-0005-0000-0000-0000CB440000}"/>
    <cellStyle name="40% - Accent4 3 3 3 3 2 6" xfId="18173" xr:uid="{00000000-0005-0000-0000-0000CC440000}"/>
    <cellStyle name="40% - Accent4 3 3 3 3 3" xfId="18174" xr:uid="{00000000-0005-0000-0000-0000CD440000}"/>
    <cellStyle name="40% - Accent4 3 3 3 3 3 2" xfId="18175" xr:uid="{00000000-0005-0000-0000-0000CE440000}"/>
    <cellStyle name="40% - Accent4 3 3 3 3 3 3" xfId="18176" xr:uid="{00000000-0005-0000-0000-0000CF440000}"/>
    <cellStyle name="40% - Accent4 3 3 3 3 4" xfId="18177" xr:uid="{00000000-0005-0000-0000-0000D0440000}"/>
    <cellStyle name="40% - Accent4 3 3 3 3 5" xfId="18178" xr:uid="{00000000-0005-0000-0000-0000D1440000}"/>
    <cellStyle name="40% - Accent4 3 3 3 3 6" xfId="18179" xr:uid="{00000000-0005-0000-0000-0000D2440000}"/>
    <cellStyle name="40% - Accent4 3 3 3 3 7" xfId="18180" xr:uid="{00000000-0005-0000-0000-0000D3440000}"/>
    <cellStyle name="40% - Accent4 3 3 3 4" xfId="18181" xr:uid="{00000000-0005-0000-0000-0000D4440000}"/>
    <cellStyle name="40% - Accent4 3 3 3 4 2" xfId="18182" xr:uid="{00000000-0005-0000-0000-0000D5440000}"/>
    <cellStyle name="40% - Accent4 3 3 3 4 2 2" xfId="18183" xr:uid="{00000000-0005-0000-0000-0000D6440000}"/>
    <cellStyle name="40% - Accent4 3 3 3 4 2 3" xfId="18184" xr:uid="{00000000-0005-0000-0000-0000D7440000}"/>
    <cellStyle name="40% - Accent4 3 3 3 4 3" xfId="18185" xr:uid="{00000000-0005-0000-0000-0000D8440000}"/>
    <cellStyle name="40% - Accent4 3 3 3 4 4" xfId="18186" xr:uid="{00000000-0005-0000-0000-0000D9440000}"/>
    <cellStyle name="40% - Accent4 3 3 3 4 5" xfId="18187" xr:uid="{00000000-0005-0000-0000-0000DA440000}"/>
    <cellStyle name="40% - Accent4 3 3 3 4 6" xfId="18188" xr:uid="{00000000-0005-0000-0000-0000DB440000}"/>
    <cellStyle name="40% - Accent4 3 3 3 5" xfId="18189" xr:uid="{00000000-0005-0000-0000-0000DC440000}"/>
    <cellStyle name="40% - Accent4 3 3 3 5 2" xfId="18190" xr:uid="{00000000-0005-0000-0000-0000DD440000}"/>
    <cellStyle name="40% - Accent4 3 3 3 5 2 2" xfId="18191" xr:uid="{00000000-0005-0000-0000-0000DE440000}"/>
    <cellStyle name="40% - Accent4 3 3 3 5 2 3" xfId="18192" xr:uid="{00000000-0005-0000-0000-0000DF440000}"/>
    <cellStyle name="40% - Accent4 3 3 3 5 3" xfId="18193" xr:uid="{00000000-0005-0000-0000-0000E0440000}"/>
    <cellStyle name="40% - Accent4 3 3 3 5 4" xfId="18194" xr:uid="{00000000-0005-0000-0000-0000E1440000}"/>
    <cellStyle name="40% - Accent4 3 3 3 5 5" xfId="18195" xr:uid="{00000000-0005-0000-0000-0000E2440000}"/>
    <cellStyle name="40% - Accent4 3 3 3 5 6" xfId="18196" xr:uid="{00000000-0005-0000-0000-0000E3440000}"/>
    <cellStyle name="40% - Accent4 3 3 3 6" xfId="18197" xr:uid="{00000000-0005-0000-0000-0000E4440000}"/>
    <cellStyle name="40% - Accent4 3 3 3 6 2" xfId="18198" xr:uid="{00000000-0005-0000-0000-0000E5440000}"/>
    <cellStyle name="40% - Accent4 3 3 3 6 3" xfId="18199" xr:uid="{00000000-0005-0000-0000-0000E6440000}"/>
    <cellStyle name="40% - Accent4 3 3 3 7" xfId="18200" xr:uid="{00000000-0005-0000-0000-0000E7440000}"/>
    <cellStyle name="40% - Accent4 3 3 3 8" xfId="18201" xr:uid="{00000000-0005-0000-0000-0000E8440000}"/>
    <cellStyle name="40% - Accent4 3 3 3 9" xfId="18202" xr:uid="{00000000-0005-0000-0000-0000E9440000}"/>
    <cellStyle name="40% - Accent4 3 3 4" xfId="18203" xr:uid="{00000000-0005-0000-0000-0000EA440000}"/>
    <cellStyle name="40% - Accent4 3 3 4 2" xfId="18204" xr:uid="{00000000-0005-0000-0000-0000EB440000}"/>
    <cellStyle name="40% - Accent4 3 3 4 2 2" xfId="18205" xr:uid="{00000000-0005-0000-0000-0000EC440000}"/>
    <cellStyle name="40% - Accent4 3 3 4 2 2 2" xfId="18206" xr:uid="{00000000-0005-0000-0000-0000ED440000}"/>
    <cellStyle name="40% - Accent4 3 3 4 2 2 2 2" xfId="18207" xr:uid="{00000000-0005-0000-0000-0000EE440000}"/>
    <cellStyle name="40% - Accent4 3 3 4 2 2 2 3" xfId="18208" xr:uid="{00000000-0005-0000-0000-0000EF440000}"/>
    <cellStyle name="40% - Accent4 3 3 4 2 2 3" xfId="18209" xr:uid="{00000000-0005-0000-0000-0000F0440000}"/>
    <cellStyle name="40% - Accent4 3 3 4 2 2 4" xfId="18210" xr:uid="{00000000-0005-0000-0000-0000F1440000}"/>
    <cellStyle name="40% - Accent4 3 3 4 2 2 5" xfId="18211" xr:uid="{00000000-0005-0000-0000-0000F2440000}"/>
    <cellStyle name="40% - Accent4 3 3 4 2 2 6" xfId="18212" xr:uid="{00000000-0005-0000-0000-0000F3440000}"/>
    <cellStyle name="40% - Accent4 3 3 4 2 3" xfId="18213" xr:uid="{00000000-0005-0000-0000-0000F4440000}"/>
    <cellStyle name="40% - Accent4 3 3 4 2 3 2" xfId="18214" xr:uid="{00000000-0005-0000-0000-0000F5440000}"/>
    <cellStyle name="40% - Accent4 3 3 4 2 3 3" xfId="18215" xr:uid="{00000000-0005-0000-0000-0000F6440000}"/>
    <cellStyle name="40% - Accent4 3 3 4 2 4" xfId="18216" xr:uid="{00000000-0005-0000-0000-0000F7440000}"/>
    <cellStyle name="40% - Accent4 3 3 4 2 5" xfId="18217" xr:uid="{00000000-0005-0000-0000-0000F8440000}"/>
    <cellStyle name="40% - Accent4 3 3 4 2 6" xfId="18218" xr:uid="{00000000-0005-0000-0000-0000F9440000}"/>
    <cellStyle name="40% - Accent4 3 3 4 2 7" xfId="18219" xr:uid="{00000000-0005-0000-0000-0000FA440000}"/>
    <cellStyle name="40% - Accent4 3 3 4 3" xfId="18220" xr:uid="{00000000-0005-0000-0000-0000FB440000}"/>
    <cellStyle name="40% - Accent4 3 3 4 3 2" xfId="18221" xr:uid="{00000000-0005-0000-0000-0000FC440000}"/>
    <cellStyle name="40% - Accent4 3 3 4 3 2 2" xfId="18222" xr:uid="{00000000-0005-0000-0000-0000FD440000}"/>
    <cellStyle name="40% - Accent4 3 3 4 3 2 3" xfId="18223" xr:uid="{00000000-0005-0000-0000-0000FE440000}"/>
    <cellStyle name="40% - Accent4 3 3 4 3 3" xfId="18224" xr:uid="{00000000-0005-0000-0000-0000FF440000}"/>
    <cellStyle name="40% - Accent4 3 3 4 3 4" xfId="18225" xr:uid="{00000000-0005-0000-0000-000000450000}"/>
    <cellStyle name="40% - Accent4 3 3 4 3 5" xfId="18226" xr:uid="{00000000-0005-0000-0000-000001450000}"/>
    <cellStyle name="40% - Accent4 3 3 4 3 6" xfId="18227" xr:uid="{00000000-0005-0000-0000-000002450000}"/>
    <cellStyle name="40% - Accent4 3 3 4 4" xfId="18228" xr:uid="{00000000-0005-0000-0000-000003450000}"/>
    <cellStyle name="40% - Accent4 3 3 4 4 2" xfId="18229" xr:uid="{00000000-0005-0000-0000-000004450000}"/>
    <cellStyle name="40% - Accent4 3 3 4 4 2 2" xfId="18230" xr:uid="{00000000-0005-0000-0000-000005450000}"/>
    <cellStyle name="40% - Accent4 3 3 4 4 2 3" xfId="18231" xr:uid="{00000000-0005-0000-0000-000006450000}"/>
    <cellStyle name="40% - Accent4 3 3 4 4 3" xfId="18232" xr:uid="{00000000-0005-0000-0000-000007450000}"/>
    <cellStyle name="40% - Accent4 3 3 4 4 4" xfId="18233" xr:uid="{00000000-0005-0000-0000-000008450000}"/>
    <cellStyle name="40% - Accent4 3 3 4 4 5" xfId="18234" xr:uid="{00000000-0005-0000-0000-000009450000}"/>
    <cellStyle name="40% - Accent4 3 3 4 4 6" xfId="18235" xr:uid="{00000000-0005-0000-0000-00000A450000}"/>
    <cellStyle name="40% - Accent4 3 3 4 5" xfId="18236" xr:uid="{00000000-0005-0000-0000-00000B450000}"/>
    <cellStyle name="40% - Accent4 3 3 4 5 2" xfId="18237" xr:uid="{00000000-0005-0000-0000-00000C450000}"/>
    <cellStyle name="40% - Accent4 3 3 4 5 3" xfId="18238" xr:uid="{00000000-0005-0000-0000-00000D450000}"/>
    <cellStyle name="40% - Accent4 3 3 4 6" xfId="18239" xr:uid="{00000000-0005-0000-0000-00000E450000}"/>
    <cellStyle name="40% - Accent4 3 3 4 7" xfId="18240" xr:uid="{00000000-0005-0000-0000-00000F450000}"/>
    <cellStyle name="40% - Accent4 3 3 4 8" xfId="18241" xr:uid="{00000000-0005-0000-0000-000010450000}"/>
    <cellStyle name="40% - Accent4 3 3 4 9" xfId="18242" xr:uid="{00000000-0005-0000-0000-000011450000}"/>
    <cellStyle name="40% - Accent4 3 3 5" xfId="18243" xr:uid="{00000000-0005-0000-0000-000012450000}"/>
    <cellStyle name="40% - Accent4 3 3 5 2" xfId="18244" xr:uid="{00000000-0005-0000-0000-000013450000}"/>
    <cellStyle name="40% - Accent4 3 3 5 2 2" xfId="18245" xr:uid="{00000000-0005-0000-0000-000014450000}"/>
    <cellStyle name="40% - Accent4 3 3 5 2 2 2" xfId="18246" xr:uid="{00000000-0005-0000-0000-000015450000}"/>
    <cellStyle name="40% - Accent4 3 3 5 2 2 3" xfId="18247" xr:uid="{00000000-0005-0000-0000-000016450000}"/>
    <cellStyle name="40% - Accent4 3 3 5 2 3" xfId="18248" xr:uid="{00000000-0005-0000-0000-000017450000}"/>
    <cellStyle name="40% - Accent4 3 3 5 2 4" xfId="18249" xr:uid="{00000000-0005-0000-0000-000018450000}"/>
    <cellStyle name="40% - Accent4 3 3 5 2 5" xfId="18250" xr:uid="{00000000-0005-0000-0000-000019450000}"/>
    <cellStyle name="40% - Accent4 3 3 5 2 6" xfId="18251" xr:uid="{00000000-0005-0000-0000-00001A450000}"/>
    <cellStyle name="40% - Accent4 3 3 5 3" xfId="18252" xr:uid="{00000000-0005-0000-0000-00001B450000}"/>
    <cellStyle name="40% - Accent4 3 3 5 3 2" xfId="18253" xr:uid="{00000000-0005-0000-0000-00001C450000}"/>
    <cellStyle name="40% - Accent4 3 3 5 3 3" xfId="18254" xr:uid="{00000000-0005-0000-0000-00001D450000}"/>
    <cellStyle name="40% - Accent4 3 3 5 4" xfId="18255" xr:uid="{00000000-0005-0000-0000-00001E450000}"/>
    <cellStyle name="40% - Accent4 3 3 5 5" xfId="18256" xr:uid="{00000000-0005-0000-0000-00001F450000}"/>
    <cellStyle name="40% - Accent4 3 3 5 6" xfId="18257" xr:uid="{00000000-0005-0000-0000-000020450000}"/>
    <cellStyle name="40% - Accent4 3 3 5 7" xfId="18258" xr:uid="{00000000-0005-0000-0000-000021450000}"/>
    <cellStyle name="40% - Accent4 3 3 6" xfId="18259" xr:uid="{00000000-0005-0000-0000-000022450000}"/>
    <cellStyle name="40% - Accent4 3 3 6 2" xfId="18260" xr:uid="{00000000-0005-0000-0000-000023450000}"/>
    <cellStyle name="40% - Accent4 3 3 6 2 2" xfId="18261" xr:uid="{00000000-0005-0000-0000-000024450000}"/>
    <cellStyle name="40% - Accent4 3 3 6 2 3" xfId="18262" xr:uid="{00000000-0005-0000-0000-000025450000}"/>
    <cellStyle name="40% - Accent4 3 3 6 3" xfId="18263" xr:uid="{00000000-0005-0000-0000-000026450000}"/>
    <cellStyle name="40% - Accent4 3 3 6 4" xfId="18264" xr:uid="{00000000-0005-0000-0000-000027450000}"/>
    <cellStyle name="40% - Accent4 3 3 6 5" xfId="18265" xr:uid="{00000000-0005-0000-0000-000028450000}"/>
    <cellStyle name="40% - Accent4 3 3 6 6" xfId="18266" xr:uid="{00000000-0005-0000-0000-000029450000}"/>
    <cellStyle name="40% - Accent4 3 3 7" xfId="18267" xr:uid="{00000000-0005-0000-0000-00002A450000}"/>
    <cellStyle name="40% - Accent4 3 3 7 2" xfId="18268" xr:uid="{00000000-0005-0000-0000-00002B450000}"/>
    <cellStyle name="40% - Accent4 3 3 7 2 2" xfId="18269" xr:uid="{00000000-0005-0000-0000-00002C450000}"/>
    <cellStyle name="40% - Accent4 3 3 7 2 3" xfId="18270" xr:uid="{00000000-0005-0000-0000-00002D450000}"/>
    <cellStyle name="40% - Accent4 3 3 7 3" xfId="18271" xr:uid="{00000000-0005-0000-0000-00002E450000}"/>
    <cellStyle name="40% - Accent4 3 3 7 4" xfId="18272" xr:uid="{00000000-0005-0000-0000-00002F450000}"/>
    <cellStyle name="40% - Accent4 3 3 7 5" xfId="18273" xr:uid="{00000000-0005-0000-0000-000030450000}"/>
    <cellStyle name="40% - Accent4 3 3 7 6" xfId="18274" xr:uid="{00000000-0005-0000-0000-000031450000}"/>
    <cellStyle name="40% - Accent4 3 3 8" xfId="18275" xr:uid="{00000000-0005-0000-0000-000032450000}"/>
    <cellStyle name="40% - Accent4 3 3 8 2" xfId="18276" xr:uid="{00000000-0005-0000-0000-000033450000}"/>
    <cellStyle name="40% - Accent4 3 3 8 2 2" xfId="18277" xr:uid="{00000000-0005-0000-0000-000034450000}"/>
    <cellStyle name="40% - Accent4 3 3 8 2 3" xfId="18278" xr:uid="{00000000-0005-0000-0000-000035450000}"/>
    <cellStyle name="40% - Accent4 3 3 8 3" xfId="18279" xr:uid="{00000000-0005-0000-0000-000036450000}"/>
    <cellStyle name="40% - Accent4 3 3 8 4" xfId="18280" xr:uid="{00000000-0005-0000-0000-000037450000}"/>
    <cellStyle name="40% - Accent4 3 3 8 5" xfId="18281" xr:uid="{00000000-0005-0000-0000-000038450000}"/>
    <cellStyle name="40% - Accent4 3 3 8 6" xfId="18282" xr:uid="{00000000-0005-0000-0000-000039450000}"/>
    <cellStyle name="40% - Accent4 3 3 9" xfId="18283" xr:uid="{00000000-0005-0000-0000-00003A450000}"/>
    <cellStyle name="40% - Accent4 3 3 9 2" xfId="18284" xr:uid="{00000000-0005-0000-0000-00003B450000}"/>
    <cellStyle name="40% - Accent4 3 3 9 2 2" xfId="18285" xr:uid="{00000000-0005-0000-0000-00003C450000}"/>
    <cellStyle name="40% - Accent4 3 3 9 2 3" xfId="18286" xr:uid="{00000000-0005-0000-0000-00003D450000}"/>
    <cellStyle name="40% - Accent4 3 3 9 3" xfId="18287" xr:uid="{00000000-0005-0000-0000-00003E450000}"/>
    <cellStyle name="40% - Accent4 3 3 9 4" xfId="18288" xr:uid="{00000000-0005-0000-0000-00003F450000}"/>
    <cellStyle name="40% - Accent4 3 3 9 5" xfId="18289" xr:uid="{00000000-0005-0000-0000-000040450000}"/>
    <cellStyle name="40% - Accent4 3 3 9 6" xfId="18290" xr:uid="{00000000-0005-0000-0000-000041450000}"/>
    <cellStyle name="40% - Accent4 3 4" xfId="18291" xr:uid="{00000000-0005-0000-0000-000042450000}"/>
    <cellStyle name="40% - Accent4 3 4 10" xfId="18292" xr:uid="{00000000-0005-0000-0000-000043450000}"/>
    <cellStyle name="40% - Accent4 3 4 11" xfId="18293" xr:uid="{00000000-0005-0000-0000-000044450000}"/>
    <cellStyle name="40% - Accent4 3 4 12" xfId="18294" xr:uid="{00000000-0005-0000-0000-000045450000}"/>
    <cellStyle name="40% - Accent4 3 4 13" xfId="18295" xr:uid="{00000000-0005-0000-0000-000046450000}"/>
    <cellStyle name="40% - Accent4 3 4 2" xfId="18296" xr:uid="{00000000-0005-0000-0000-000047450000}"/>
    <cellStyle name="40% - Accent4 3 4 2 10" xfId="18297" xr:uid="{00000000-0005-0000-0000-000048450000}"/>
    <cellStyle name="40% - Accent4 3 4 2 2" xfId="18298" xr:uid="{00000000-0005-0000-0000-000049450000}"/>
    <cellStyle name="40% - Accent4 3 4 2 2 2" xfId="18299" xr:uid="{00000000-0005-0000-0000-00004A450000}"/>
    <cellStyle name="40% - Accent4 3 4 2 2 2 2" xfId="18300" xr:uid="{00000000-0005-0000-0000-00004B450000}"/>
    <cellStyle name="40% - Accent4 3 4 2 2 2 2 2" xfId="18301" xr:uid="{00000000-0005-0000-0000-00004C450000}"/>
    <cellStyle name="40% - Accent4 3 4 2 2 2 2 3" xfId="18302" xr:uid="{00000000-0005-0000-0000-00004D450000}"/>
    <cellStyle name="40% - Accent4 3 4 2 2 2 3" xfId="18303" xr:uid="{00000000-0005-0000-0000-00004E450000}"/>
    <cellStyle name="40% - Accent4 3 4 2 2 2 4" xfId="18304" xr:uid="{00000000-0005-0000-0000-00004F450000}"/>
    <cellStyle name="40% - Accent4 3 4 2 2 2 5" xfId="18305" xr:uid="{00000000-0005-0000-0000-000050450000}"/>
    <cellStyle name="40% - Accent4 3 4 2 2 2 6" xfId="18306" xr:uid="{00000000-0005-0000-0000-000051450000}"/>
    <cellStyle name="40% - Accent4 3 4 2 2 3" xfId="18307" xr:uid="{00000000-0005-0000-0000-000052450000}"/>
    <cellStyle name="40% - Accent4 3 4 2 2 3 2" xfId="18308" xr:uid="{00000000-0005-0000-0000-000053450000}"/>
    <cellStyle name="40% - Accent4 3 4 2 2 3 2 2" xfId="18309" xr:uid="{00000000-0005-0000-0000-000054450000}"/>
    <cellStyle name="40% - Accent4 3 4 2 2 3 2 3" xfId="18310" xr:uid="{00000000-0005-0000-0000-000055450000}"/>
    <cellStyle name="40% - Accent4 3 4 2 2 3 3" xfId="18311" xr:uid="{00000000-0005-0000-0000-000056450000}"/>
    <cellStyle name="40% - Accent4 3 4 2 2 3 4" xfId="18312" xr:uid="{00000000-0005-0000-0000-000057450000}"/>
    <cellStyle name="40% - Accent4 3 4 2 2 3 5" xfId="18313" xr:uid="{00000000-0005-0000-0000-000058450000}"/>
    <cellStyle name="40% - Accent4 3 4 2 2 3 6" xfId="18314" xr:uid="{00000000-0005-0000-0000-000059450000}"/>
    <cellStyle name="40% - Accent4 3 4 2 2 4" xfId="18315" xr:uid="{00000000-0005-0000-0000-00005A450000}"/>
    <cellStyle name="40% - Accent4 3 4 2 2 4 2" xfId="18316" xr:uid="{00000000-0005-0000-0000-00005B450000}"/>
    <cellStyle name="40% - Accent4 3 4 2 2 4 3" xfId="18317" xr:uid="{00000000-0005-0000-0000-00005C450000}"/>
    <cellStyle name="40% - Accent4 3 4 2 2 5" xfId="18318" xr:uid="{00000000-0005-0000-0000-00005D450000}"/>
    <cellStyle name="40% - Accent4 3 4 2 2 6" xfId="18319" xr:uid="{00000000-0005-0000-0000-00005E450000}"/>
    <cellStyle name="40% - Accent4 3 4 2 2 7" xfId="18320" xr:uid="{00000000-0005-0000-0000-00005F450000}"/>
    <cellStyle name="40% - Accent4 3 4 2 2 8" xfId="18321" xr:uid="{00000000-0005-0000-0000-000060450000}"/>
    <cellStyle name="40% - Accent4 3 4 2 3" xfId="18322" xr:uid="{00000000-0005-0000-0000-000061450000}"/>
    <cellStyle name="40% - Accent4 3 4 2 3 2" xfId="18323" xr:uid="{00000000-0005-0000-0000-000062450000}"/>
    <cellStyle name="40% - Accent4 3 4 2 3 2 2" xfId="18324" xr:uid="{00000000-0005-0000-0000-000063450000}"/>
    <cellStyle name="40% - Accent4 3 4 2 3 2 2 2" xfId="18325" xr:uid="{00000000-0005-0000-0000-000064450000}"/>
    <cellStyle name="40% - Accent4 3 4 2 3 2 2 3" xfId="18326" xr:uid="{00000000-0005-0000-0000-000065450000}"/>
    <cellStyle name="40% - Accent4 3 4 2 3 2 3" xfId="18327" xr:uid="{00000000-0005-0000-0000-000066450000}"/>
    <cellStyle name="40% - Accent4 3 4 2 3 2 4" xfId="18328" xr:uid="{00000000-0005-0000-0000-000067450000}"/>
    <cellStyle name="40% - Accent4 3 4 2 3 2 5" xfId="18329" xr:uid="{00000000-0005-0000-0000-000068450000}"/>
    <cellStyle name="40% - Accent4 3 4 2 3 2 6" xfId="18330" xr:uid="{00000000-0005-0000-0000-000069450000}"/>
    <cellStyle name="40% - Accent4 3 4 2 3 3" xfId="18331" xr:uid="{00000000-0005-0000-0000-00006A450000}"/>
    <cellStyle name="40% - Accent4 3 4 2 3 3 2" xfId="18332" xr:uid="{00000000-0005-0000-0000-00006B450000}"/>
    <cellStyle name="40% - Accent4 3 4 2 3 3 3" xfId="18333" xr:uid="{00000000-0005-0000-0000-00006C450000}"/>
    <cellStyle name="40% - Accent4 3 4 2 3 4" xfId="18334" xr:uid="{00000000-0005-0000-0000-00006D450000}"/>
    <cellStyle name="40% - Accent4 3 4 2 3 5" xfId="18335" xr:uid="{00000000-0005-0000-0000-00006E450000}"/>
    <cellStyle name="40% - Accent4 3 4 2 3 6" xfId="18336" xr:uid="{00000000-0005-0000-0000-00006F450000}"/>
    <cellStyle name="40% - Accent4 3 4 2 3 7" xfId="18337" xr:uid="{00000000-0005-0000-0000-000070450000}"/>
    <cellStyle name="40% - Accent4 3 4 2 4" xfId="18338" xr:uid="{00000000-0005-0000-0000-000071450000}"/>
    <cellStyle name="40% - Accent4 3 4 2 4 2" xfId="18339" xr:uid="{00000000-0005-0000-0000-000072450000}"/>
    <cellStyle name="40% - Accent4 3 4 2 4 2 2" xfId="18340" xr:uid="{00000000-0005-0000-0000-000073450000}"/>
    <cellStyle name="40% - Accent4 3 4 2 4 2 3" xfId="18341" xr:uid="{00000000-0005-0000-0000-000074450000}"/>
    <cellStyle name="40% - Accent4 3 4 2 4 3" xfId="18342" xr:uid="{00000000-0005-0000-0000-000075450000}"/>
    <cellStyle name="40% - Accent4 3 4 2 4 4" xfId="18343" xr:uid="{00000000-0005-0000-0000-000076450000}"/>
    <cellStyle name="40% - Accent4 3 4 2 4 5" xfId="18344" xr:uid="{00000000-0005-0000-0000-000077450000}"/>
    <cellStyle name="40% - Accent4 3 4 2 4 6" xfId="18345" xr:uid="{00000000-0005-0000-0000-000078450000}"/>
    <cellStyle name="40% - Accent4 3 4 2 5" xfId="18346" xr:uid="{00000000-0005-0000-0000-000079450000}"/>
    <cellStyle name="40% - Accent4 3 4 2 5 2" xfId="18347" xr:uid="{00000000-0005-0000-0000-00007A450000}"/>
    <cellStyle name="40% - Accent4 3 4 2 5 2 2" xfId="18348" xr:uid="{00000000-0005-0000-0000-00007B450000}"/>
    <cellStyle name="40% - Accent4 3 4 2 5 2 3" xfId="18349" xr:uid="{00000000-0005-0000-0000-00007C450000}"/>
    <cellStyle name="40% - Accent4 3 4 2 5 3" xfId="18350" xr:uid="{00000000-0005-0000-0000-00007D450000}"/>
    <cellStyle name="40% - Accent4 3 4 2 5 4" xfId="18351" xr:uid="{00000000-0005-0000-0000-00007E450000}"/>
    <cellStyle name="40% - Accent4 3 4 2 5 5" xfId="18352" xr:uid="{00000000-0005-0000-0000-00007F450000}"/>
    <cellStyle name="40% - Accent4 3 4 2 5 6" xfId="18353" xr:uid="{00000000-0005-0000-0000-000080450000}"/>
    <cellStyle name="40% - Accent4 3 4 2 6" xfId="18354" xr:uid="{00000000-0005-0000-0000-000081450000}"/>
    <cellStyle name="40% - Accent4 3 4 2 6 2" xfId="18355" xr:uid="{00000000-0005-0000-0000-000082450000}"/>
    <cellStyle name="40% - Accent4 3 4 2 6 3" xfId="18356" xr:uid="{00000000-0005-0000-0000-000083450000}"/>
    <cellStyle name="40% - Accent4 3 4 2 7" xfId="18357" xr:uid="{00000000-0005-0000-0000-000084450000}"/>
    <cellStyle name="40% - Accent4 3 4 2 8" xfId="18358" xr:uid="{00000000-0005-0000-0000-000085450000}"/>
    <cellStyle name="40% - Accent4 3 4 2 9" xfId="18359" xr:uid="{00000000-0005-0000-0000-000086450000}"/>
    <cellStyle name="40% - Accent4 3 4 3" xfId="18360" xr:uid="{00000000-0005-0000-0000-000087450000}"/>
    <cellStyle name="40% - Accent4 3 4 3 2" xfId="18361" xr:uid="{00000000-0005-0000-0000-000088450000}"/>
    <cellStyle name="40% - Accent4 3 4 3 2 2" xfId="18362" xr:uid="{00000000-0005-0000-0000-000089450000}"/>
    <cellStyle name="40% - Accent4 3 4 3 2 2 2" xfId="18363" xr:uid="{00000000-0005-0000-0000-00008A450000}"/>
    <cellStyle name="40% - Accent4 3 4 3 2 2 2 2" xfId="18364" xr:uid="{00000000-0005-0000-0000-00008B450000}"/>
    <cellStyle name="40% - Accent4 3 4 3 2 2 2 3" xfId="18365" xr:uid="{00000000-0005-0000-0000-00008C450000}"/>
    <cellStyle name="40% - Accent4 3 4 3 2 2 3" xfId="18366" xr:uid="{00000000-0005-0000-0000-00008D450000}"/>
    <cellStyle name="40% - Accent4 3 4 3 2 2 4" xfId="18367" xr:uid="{00000000-0005-0000-0000-00008E450000}"/>
    <cellStyle name="40% - Accent4 3 4 3 2 2 5" xfId="18368" xr:uid="{00000000-0005-0000-0000-00008F450000}"/>
    <cellStyle name="40% - Accent4 3 4 3 2 2 6" xfId="18369" xr:uid="{00000000-0005-0000-0000-000090450000}"/>
    <cellStyle name="40% - Accent4 3 4 3 2 3" xfId="18370" xr:uid="{00000000-0005-0000-0000-000091450000}"/>
    <cellStyle name="40% - Accent4 3 4 3 2 3 2" xfId="18371" xr:uid="{00000000-0005-0000-0000-000092450000}"/>
    <cellStyle name="40% - Accent4 3 4 3 2 3 3" xfId="18372" xr:uid="{00000000-0005-0000-0000-000093450000}"/>
    <cellStyle name="40% - Accent4 3 4 3 2 4" xfId="18373" xr:uid="{00000000-0005-0000-0000-000094450000}"/>
    <cellStyle name="40% - Accent4 3 4 3 2 5" xfId="18374" xr:uid="{00000000-0005-0000-0000-000095450000}"/>
    <cellStyle name="40% - Accent4 3 4 3 2 6" xfId="18375" xr:uid="{00000000-0005-0000-0000-000096450000}"/>
    <cellStyle name="40% - Accent4 3 4 3 2 7" xfId="18376" xr:uid="{00000000-0005-0000-0000-000097450000}"/>
    <cellStyle name="40% - Accent4 3 4 3 3" xfId="18377" xr:uid="{00000000-0005-0000-0000-000098450000}"/>
    <cellStyle name="40% - Accent4 3 4 3 3 2" xfId="18378" xr:uid="{00000000-0005-0000-0000-000099450000}"/>
    <cellStyle name="40% - Accent4 3 4 3 3 2 2" xfId="18379" xr:uid="{00000000-0005-0000-0000-00009A450000}"/>
    <cellStyle name="40% - Accent4 3 4 3 3 2 3" xfId="18380" xr:uid="{00000000-0005-0000-0000-00009B450000}"/>
    <cellStyle name="40% - Accent4 3 4 3 3 3" xfId="18381" xr:uid="{00000000-0005-0000-0000-00009C450000}"/>
    <cellStyle name="40% - Accent4 3 4 3 3 4" xfId="18382" xr:uid="{00000000-0005-0000-0000-00009D450000}"/>
    <cellStyle name="40% - Accent4 3 4 3 3 5" xfId="18383" xr:uid="{00000000-0005-0000-0000-00009E450000}"/>
    <cellStyle name="40% - Accent4 3 4 3 3 6" xfId="18384" xr:uid="{00000000-0005-0000-0000-00009F450000}"/>
    <cellStyle name="40% - Accent4 3 4 3 4" xfId="18385" xr:uid="{00000000-0005-0000-0000-0000A0450000}"/>
    <cellStyle name="40% - Accent4 3 4 3 4 2" xfId="18386" xr:uid="{00000000-0005-0000-0000-0000A1450000}"/>
    <cellStyle name="40% - Accent4 3 4 3 4 2 2" xfId="18387" xr:uid="{00000000-0005-0000-0000-0000A2450000}"/>
    <cellStyle name="40% - Accent4 3 4 3 4 2 3" xfId="18388" xr:uid="{00000000-0005-0000-0000-0000A3450000}"/>
    <cellStyle name="40% - Accent4 3 4 3 4 3" xfId="18389" xr:uid="{00000000-0005-0000-0000-0000A4450000}"/>
    <cellStyle name="40% - Accent4 3 4 3 4 4" xfId="18390" xr:uid="{00000000-0005-0000-0000-0000A5450000}"/>
    <cellStyle name="40% - Accent4 3 4 3 4 5" xfId="18391" xr:uid="{00000000-0005-0000-0000-0000A6450000}"/>
    <cellStyle name="40% - Accent4 3 4 3 4 6" xfId="18392" xr:uid="{00000000-0005-0000-0000-0000A7450000}"/>
    <cellStyle name="40% - Accent4 3 4 3 5" xfId="18393" xr:uid="{00000000-0005-0000-0000-0000A8450000}"/>
    <cellStyle name="40% - Accent4 3 4 3 5 2" xfId="18394" xr:uid="{00000000-0005-0000-0000-0000A9450000}"/>
    <cellStyle name="40% - Accent4 3 4 3 5 3" xfId="18395" xr:uid="{00000000-0005-0000-0000-0000AA450000}"/>
    <cellStyle name="40% - Accent4 3 4 3 6" xfId="18396" xr:uid="{00000000-0005-0000-0000-0000AB450000}"/>
    <cellStyle name="40% - Accent4 3 4 3 7" xfId="18397" xr:uid="{00000000-0005-0000-0000-0000AC450000}"/>
    <cellStyle name="40% - Accent4 3 4 3 8" xfId="18398" xr:uid="{00000000-0005-0000-0000-0000AD450000}"/>
    <cellStyle name="40% - Accent4 3 4 3 9" xfId="18399" xr:uid="{00000000-0005-0000-0000-0000AE450000}"/>
    <cellStyle name="40% - Accent4 3 4 4" xfId="18400" xr:uid="{00000000-0005-0000-0000-0000AF450000}"/>
    <cellStyle name="40% - Accent4 3 4 4 2" xfId="18401" xr:uid="{00000000-0005-0000-0000-0000B0450000}"/>
    <cellStyle name="40% - Accent4 3 4 4 2 2" xfId="18402" xr:uid="{00000000-0005-0000-0000-0000B1450000}"/>
    <cellStyle name="40% - Accent4 3 4 4 2 2 2" xfId="18403" xr:uid="{00000000-0005-0000-0000-0000B2450000}"/>
    <cellStyle name="40% - Accent4 3 4 4 2 2 3" xfId="18404" xr:uid="{00000000-0005-0000-0000-0000B3450000}"/>
    <cellStyle name="40% - Accent4 3 4 4 2 3" xfId="18405" xr:uid="{00000000-0005-0000-0000-0000B4450000}"/>
    <cellStyle name="40% - Accent4 3 4 4 2 4" xfId="18406" xr:uid="{00000000-0005-0000-0000-0000B5450000}"/>
    <cellStyle name="40% - Accent4 3 4 4 2 5" xfId="18407" xr:uid="{00000000-0005-0000-0000-0000B6450000}"/>
    <cellStyle name="40% - Accent4 3 4 4 2 6" xfId="18408" xr:uid="{00000000-0005-0000-0000-0000B7450000}"/>
    <cellStyle name="40% - Accent4 3 4 4 3" xfId="18409" xr:uid="{00000000-0005-0000-0000-0000B8450000}"/>
    <cellStyle name="40% - Accent4 3 4 4 3 2" xfId="18410" xr:uid="{00000000-0005-0000-0000-0000B9450000}"/>
    <cellStyle name="40% - Accent4 3 4 4 3 3" xfId="18411" xr:uid="{00000000-0005-0000-0000-0000BA450000}"/>
    <cellStyle name="40% - Accent4 3 4 4 4" xfId="18412" xr:uid="{00000000-0005-0000-0000-0000BB450000}"/>
    <cellStyle name="40% - Accent4 3 4 4 5" xfId="18413" xr:uid="{00000000-0005-0000-0000-0000BC450000}"/>
    <cellStyle name="40% - Accent4 3 4 4 6" xfId="18414" xr:uid="{00000000-0005-0000-0000-0000BD450000}"/>
    <cellStyle name="40% - Accent4 3 4 4 7" xfId="18415" xr:uid="{00000000-0005-0000-0000-0000BE450000}"/>
    <cellStyle name="40% - Accent4 3 4 5" xfId="18416" xr:uid="{00000000-0005-0000-0000-0000BF450000}"/>
    <cellStyle name="40% - Accent4 3 4 5 2" xfId="18417" xr:uid="{00000000-0005-0000-0000-0000C0450000}"/>
    <cellStyle name="40% - Accent4 3 4 5 2 2" xfId="18418" xr:uid="{00000000-0005-0000-0000-0000C1450000}"/>
    <cellStyle name="40% - Accent4 3 4 5 2 3" xfId="18419" xr:uid="{00000000-0005-0000-0000-0000C2450000}"/>
    <cellStyle name="40% - Accent4 3 4 5 3" xfId="18420" xr:uid="{00000000-0005-0000-0000-0000C3450000}"/>
    <cellStyle name="40% - Accent4 3 4 5 4" xfId="18421" xr:uid="{00000000-0005-0000-0000-0000C4450000}"/>
    <cellStyle name="40% - Accent4 3 4 5 5" xfId="18422" xr:uid="{00000000-0005-0000-0000-0000C5450000}"/>
    <cellStyle name="40% - Accent4 3 4 5 6" xfId="18423" xr:uid="{00000000-0005-0000-0000-0000C6450000}"/>
    <cellStyle name="40% - Accent4 3 4 6" xfId="18424" xr:uid="{00000000-0005-0000-0000-0000C7450000}"/>
    <cellStyle name="40% - Accent4 3 4 6 2" xfId="18425" xr:uid="{00000000-0005-0000-0000-0000C8450000}"/>
    <cellStyle name="40% - Accent4 3 4 6 2 2" xfId="18426" xr:uid="{00000000-0005-0000-0000-0000C9450000}"/>
    <cellStyle name="40% - Accent4 3 4 6 2 3" xfId="18427" xr:uid="{00000000-0005-0000-0000-0000CA450000}"/>
    <cellStyle name="40% - Accent4 3 4 6 3" xfId="18428" xr:uid="{00000000-0005-0000-0000-0000CB450000}"/>
    <cellStyle name="40% - Accent4 3 4 6 4" xfId="18429" xr:uid="{00000000-0005-0000-0000-0000CC450000}"/>
    <cellStyle name="40% - Accent4 3 4 6 5" xfId="18430" xr:uid="{00000000-0005-0000-0000-0000CD450000}"/>
    <cellStyle name="40% - Accent4 3 4 6 6" xfId="18431" xr:uid="{00000000-0005-0000-0000-0000CE450000}"/>
    <cellStyle name="40% - Accent4 3 4 7" xfId="18432" xr:uid="{00000000-0005-0000-0000-0000CF450000}"/>
    <cellStyle name="40% - Accent4 3 4 7 2" xfId="18433" xr:uid="{00000000-0005-0000-0000-0000D0450000}"/>
    <cellStyle name="40% - Accent4 3 4 7 2 2" xfId="18434" xr:uid="{00000000-0005-0000-0000-0000D1450000}"/>
    <cellStyle name="40% - Accent4 3 4 7 2 3" xfId="18435" xr:uid="{00000000-0005-0000-0000-0000D2450000}"/>
    <cellStyle name="40% - Accent4 3 4 7 3" xfId="18436" xr:uid="{00000000-0005-0000-0000-0000D3450000}"/>
    <cellStyle name="40% - Accent4 3 4 7 4" xfId="18437" xr:uid="{00000000-0005-0000-0000-0000D4450000}"/>
    <cellStyle name="40% - Accent4 3 4 7 5" xfId="18438" xr:uid="{00000000-0005-0000-0000-0000D5450000}"/>
    <cellStyle name="40% - Accent4 3 4 7 6" xfId="18439" xr:uid="{00000000-0005-0000-0000-0000D6450000}"/>
    <cellStyle name="40% - Accent4 3 4 8" xfId="18440" xr:uid="{00000000-0005-0000-0000-0000D7450000}"/>
    <cellStyle name="40% - Accent4 3 4 8 2" xfId="18441" xr:uid="{00000000-0005-0000-0000-0000D8450000}"/>
    <cellStyle name="40% - Accent4 3 4 8 2 2" xfId="18442" xr:uid="{00000000-0005-0000-0000-0000D9450000}"/>
    <cellStyle name="40% - Accent4 3 4 8 2 3" xfId="18443" xr:uid="{00000000-0005-0000-0000-0000DA450000}"/>
    <cellStyle name="40% - Accent4 3 4 8 3" xfId="18444" xr:uid="{00000000-0005-0000-0000-0000DB450000}"/>
    <cellStyle name="40% - Accent4 3 4 8 4" xfId="18445" xr:uid="{00000000-0005-0000-0000-0000DC450000}"/>
    <cellStyle name="40% - Accent4 3 4 8 5" xfId="18446" xr:uid="{00000000-0005-0000-0000-0000DD450000}"/>
    <cellStyle name="40% - Accent4 3 4 8 6" xfId="18447" xr:uid="{00000000-0005-0000-0000-0000DE450000}"/>
    <cellStyle name="40% - Accent4 3 4 9" xfId="18448" xr:uid="{00000000-0005-0000-0000-0000DF450000}"/>
    <cellStyle name="40% - Accent4 3 4 9 2" xfId="18449" xr:uid="{00000000-0005-0000-0000-0000E0450000}"/>
    <cellStyle name="40% - Accent4 3 4 9 3" xfId="18450" xr:uid="{00000000-0005-0000-0000-0000E1450000}"/>
    <cellStyle name="40% - Accent4 3 5" xfId="18451" xr:uid="{00000000-0005-0000-0000-0000E2450000}"/>
    <cellStyle name="40% - Accent4 3 5 10" xfId="18452" xr:uid="{00000000-0005-0000-0000-0000E3450000}"/>
    <cellStyle name="40% - Accent4 3 5 2" xfId="18453" xr:uid="{00000000-0005-0000-0000-0000E4450000}"/>
    <cellStyle name="40% - Accent4 3 5 2 2" xfId="18454" xr:uid="{00000000-0005-0000-0000-0000E5450000}"/>
    <cellStyle name="40% - Accent4 3 5 2 2 2" xfId="18455" xr:uid="{00000000-0005-0000-0000-0000E6450000}"/>
    <cellStyle name="40% - Accent4 3 5 2 2 2 2" xfId="18456" xr:uid="{00000000-0005-0000-0000-0000E7450000}"/>
    <cellStyle name="40% - Accent4 3 5 2 2 2 3" xfId="18457" xr:uid="{00000000-0005-0000-0000-0000E8450000}"/>
    <cellStyle name="40% - Accent4 3 5 2 2 3" xfId="18458" xr:uid="{00000000-0005-0000-0000-0000E9450000}"/>
    <cellStyle name="40% - Accent4 3 5 2 2 4" xfId="18459" xr:uid="{00000000-0005-0000-0000-0000EA450000}"/>
    <cellStyle name="40% - Accent4 3 5 2 2 5" xfId="18460" xr:uid="{00000000-0005-0000-0000-0000EB450000}"/>
    <cellStyle name="40% - Accent4 3 5 2 2 6" xfId="18461" xr:uid="{00000000-0005-0000-0000-0000EC450000}"/>
    <cellStyle name="40% - Accent4 3 5 2 3" xfId="18462" xr:uid="{00000000-0005-0000-0000-0000ED450000}"/>
    <cellStyle name="40% - Accent4 3 5 2 3 2" xfId="18463" xr:uid="{00000000-0005-0000-0000-0000EE450000}"/>
    <cellStyle name="40% - Accent4 3 5 2 3 2 2" xfId="18464" xr:uid="{00000000-0005-0000-0000-0000EF450000}"/>
    <cellStyle name="40% - Accent4 3 5 2 3 2 3" xfId="18465" xr:uid="{00000000-0005-0000-0000-0000F0450000}"/>
    <cellStyle name="40% - Accent4 3 5 2 3 3" xfId="18466" xr:uid="{00000000-0005-0000-0000-0000F1450000}"/>
    <cellStyle name="40% - Accent4 3 5 2 3 4" xfId="18467" xr:uid="{00000000-0005-0000-0000-0000F2450000}"/>
    <cellStyle name="40% - Accent4 3 5 2 3 5" xfId="18468" xr:uid="{00000000-0005-0000-0000-0000F3450000}"/>
    <cellStyle name="40% - Accent4 3 5 2 3 6" xfId="18469" xr:uid="{00000000-0005-0000-0000-0000F4450000}"/>
    <cellStyle name="40% - Accent4 3 5 2 4" xfId="18470" xr:uid="{00000000-0005-0000-0000-0000F5450000}"/>
    <cellStyle name="40% - Accent4 3 5 2 4 2" xfId="18471" xr:uid="{00000000-0005-0000-0000-0000F6450000}"/>
    <cellStyle name="40% - Accent4 3 5 2 4 3" xfId="18472" xr:uid="{00000000-0005-0000-0000-0000F7450000}"/>
    <cellStyle name="40% - Accent4 3 5 2 5" xfId="18473" xr:uid="{00000000-0005-0000-0000-0000F8450000}"/>
    <cellStyle name="40% - Accent4 3 5 2 6" xfId="18474" xr:uid="{00000000-0005-0000-0000-0000F9450000}"/>
    <cellStyle name="40% - Accent4 3 5 2 7" xfId="18475" xr:uid="{00000000-0005-0000-0000-0000FA450000}"/>
    <cellStyle name="40% - Accent4 3 5 2 8" xfId="18476" xr:uid="{00000000-0005-0000-0000-0000FB450000}"/>
    <cellStyle name="40% - Accent4 3 5 3" xfId="18477" xr:uid="{00000000-0005-0000-0000-0000FC450000}"/>
    <cellStyle name="40% - Accent4 3 5 3 2" xfId="18478" xr:uid="{00000000-0005-0000-0000-0000FD450000}"/>
    <cellStyle name="40% - Accent4 3 5 3 2 2" xfId="18479" xr:uid="{00000000-0005-0000-0000-0000FE450000}"/>
    <cellStyle name="40% - Accent4 3 5 3 2 2 2" xfId="18480" xr:uid="{00000000-0005-0000-0000-0000FF450000}"/>
    <cellStyle name="40% - Accent4 3 5 3 2 2 3" xfId="18481" xr:uid="{00000000-0005-0000-0000-000000460000}"/>
    <cellStyle name="40% - Accent4 3 5 3 2 3" xfId="18482" xr:uid="{00000000-0005-0000-0000-000001460000}"/>
    <cellStyle name="40% - Accent4 3 5 3 2 4" xfId="18483" xr:uid="{00000000-0005-0000-0000-000002460000}"/>
    <cellStyle name="40% - Accent4 3 5 3 2 5" xfId="18484" xr:uid="{00000000-0005-0000-0000-000003460000}"/>
    <cellStyle name="40% - Accent4 3 5 3 2 6" xfId="18485" xr:uid="{00000000-0005-0000-0000-000004460000}"/>
    <cellStyle name="40% - Accent4 3 5 3 3" xfId="18486" xr:uid="{00000000-0005-0000-0000-000005460000}"/>
    <cellStyle name="40% - Accent4 3 5 3 3 2" xfId="18487" xr:uid="{00000000-0005-0000-0000-000006460000}"/>
    <cellStyle name="40% - Accent4 3 5 3 3 3" xfId="18488" xr:uid="{00000000-0005-0000-0000-000007460000}"/>
    <cellStyle name="40% - Accent4 3 5 3 4" xfId="18489" xr:uid="{00000000-0005-0000-0000-000008460000}"/>
    <cellStyle name="40% - Accent4 3 5 3 5" xfId="18490" xr:uid="{00000000-0005-0000-0000-000009460000}"/>
    <cellStyle name="40% - Accent4 3 5 3 6" xfId="18491" xr:uid="{00000000-0005-0000-0000-00000A460000}"/>
    <cellStyle name="40% - Accent4 3 5 3 7" xfId="18492" xr:uid="{00000000-0005-0000-0000-00000B460000}"/>
    <cellStyle name="40% - Accent4 3 5 4" xfId="18493" xr:uid="{00000000-0005-0000-0000-00000C460000}"/>
    <cellStyle name="40% - Accent4 3 5 4 2" xfId="18494" xr:uid="{00000000-0005-0000-0000-00000D460000}"/>
    <cellStyle name="40% - Accent4 3 5 4 2 2" xfId="18495" xr:uid="{00000000-0005-0000-0000-00000E460000}"/>
    <cellStyle name="40% - Accent4 3 5 4 2 3" xfId="18496" xr:uid="{00000000-0005-0000-0000-00000F460000}"/>
    <cellStyle name="40% - Accent4 3 5 4 3" xfId="18497" xr:uid="{00000000-0005-0000-0000-000010460000}"/>
    <cellStyle name="40% - Accent4 3 5 4 4" xfId="18498" xr:uid="{00000000-0005-0000-0000-000011460000}"/>
    <cellStyle name="40% - Accent4 3 5 4 5" xfId="18499" xr:uid="{00000000-0005-0000-0000-000012460000}"/>
    <cellStyle name="40% - Accent4 3 5 4 6" xfId="18500" xr:uid="{00000000-0005-0000-0000-000013460000}"/>
    <cellStyle name="40% - Accent4 3 5 5" xfId="18501" xr:uid="{00000000-0005-0000-0000-000014460000}"/>
    <cellStyle name="40% - Accent4 3 5 5 2" xfId="18502" xr:uid="{00000000-0005-0000-0000-000015460000}"/>
    <cellStyle name="40% - Accent4 3 5 5 2 2" xfId="18503" xr:uid="{00000000-0005-0000-0000-000016460000}"/>
    <cellStyle name="40% - Accent4 3 5 5 2 3" xfId="18504" xr:uid="{00000000-0005-0000-0000-000017460000}"/>
    <cellStyle name="40% - Accent4 3 5 5 3" xfId="18505" xr:uid="{00000000-0005-0000-0000-000018460000}"/>
    <cellStyle name="40% - Accent4 3 5 5 4" xfId="18506" xr:uid="{00000000-0005-0000-0000-000019460000}"/>
    <cellStyle name="40% - Accent4 3 5 5 5" xfId="18507" xr:uid="{00000000-0005-0000-0000-00001A460000}"/>
    <cellStyle name="40% - Accent4 3 5 5 6" xfId="18508" xr:uid="{00000000-0005-0000-0000-00001B460000}"/>
    <cellStyle name="40% - Accent4 3 5 6" xfId="18509" xr:uid="{00000000-0005-0000-0000-00001C460000}"/>
    <cellStyle name="40% - Accent4 3 5 6 2" xfId="18510" xr:uid="{00000000-0005-0000-0000-00001D460000}"/>
    <cellStyle name="40% - Accent4 3 5 6 3" xfId="18511" xr:uid="{00000000-0005-0000-0000-00001E460000}"/>
    <cellStyle name="40% - Accent4 3 5 7" xfId="18512" xr:uid="{00000000-0005-0000-0000-00001F460000}"/>
    <cellStyle name="40% - Accent4 3 5 8" xfId="18513" xr:uid="{00000000-0005-0000-0000-000020460000}"/>
    <cellStyle name="40% - Accent4 3 5 9" xfId="18514" xr:uid="{00000000-0005-0000-0000-000021460000}"/>
    <cellStyle name="40% - Accent4 3 6" xfId="18515" xr:uid="{00000000-0005-0000-0000-000022460000}"/>
    <cellStyle name="40% - Accent4 3 6 2" xfId="18516" xr:uid="{00000000-0005-0000-0000-000023460000}"/>
    <cellStyle name="40% - Accent4 3 6 2 2" xfId="18517" xr:uid="{00000000-0005-0000-0000-000024460000}"/>
    <cellStyle name="40% - Accent4 3 6 2 2 2" xfId="18518" xr:uid="{00000000-0005-0000-0000-000025460000}"/>
    <cellStyle name="40% - Accent4 3 6 2 2 2 2" xfId="18519" xr:uid="{00000000-0005-0000-0000-000026460000}"/>
    <cellStyle name="40% - Accent4 3 6 2 2 2 3" xfId="18520" xr:uid="{00000000-0005-0000-0000-000027460000}"/>
    <cellStyle name="40% - Accent4 3 6 2 2 3" xfId="18521" xr:uid="{00000000-0005-0000-0000-000028460000}"/>
    <cellStyle name="40% - Accent4 3 6 2 2 4" xfId="18522" xr:uid="{00000000-0005-0000-0000-000029460000}"/>
    <cellStyle name="40% - Accent4 3 6 2 2 5" xfId="18523" xr:uid="{00000000-0005-0000-0000-00002A460000}"/>
    <cellStyle name="40% - Accent4 3 6 2 2 6" xfId="18524" xr:uid="{00000000-0005-0000-0000-00002B460000}"/>
    <cellStyle name="40% - Accent4 3 6 2 3" xfId="18525" xr:uid="{00000000-0005-0000-0000-00002C460000}"/>
    <cellStyle name="40% - Accent4 3 6 2 3 2" xfId="18526" xr:uid="{00000000-0005-0000-0000-00002D460000}"/>
    <cellStyle name="40% - Accent4 3 6 2 3 3" xfId="18527" xr:uid="{00000000-0005-0000-0000-00002E460000}"/>
    <cellStyle name="40% - Accent4 3 6 2 4" xfId="18528" xr:uid="{00000000-0005-0000-0000-00002F460000}"/>
    <cellStyle name="40% - Accent4 3 6 2 5" xfId="18529" xr:uid="{00000000-0005-0000-0000-000030460000}"/>
    <cellStyle name="40% - Accent4 3 6 2 6" xfId="18530" xr:uid="{00000000-0005-0000-0000-000031460000}"/>
    <cellStyle name="40% - Accent4 3 6 2 7" xfId="18531" xr:uid="{00000000-0005-0000-0000-000032460000}"/>
    <cellStyle name="40% - Accent4 3 6 3" xfId="18532" xr:uid="{00000000-0005-0000-0000-000033460000}"/>
    <cellStyle name="40% - Accent4 3 6 3 2" xfId="18533" xr:uid="{00000000-0005-0000-0000-000034460000}"/>
    <cellStyle name="40% - Accent4 3 6 3 2 2" xfId="18534" xr:uid="{00000000-0005-0000-0000-000035460000}"/>
    <cellStyle name="40% - Accent4 3 6 3 2 3" xfId="18535" xr:uid="{00000000-0005-0000-0000-000036460000}"/>
    <cellStyle name="40% - Accent4 3 6 3 3" xfId="18536" xr:uid="{00000000-0005-0000-0000-000037460000}"/>
    <cellStyle name="40% - Accent4 3 6 3 4" xfId="18537" xr:uid="{00000000-0005-0000-0000-000038460000}"/>
    <cellStyle name="40% - Accent4 3 6 3 5" xfId="18538" xr:uid="{00000000-0005-0000-0000-000039460000}"/>
    <cellStyle name="40% - Accent4 3 6 3 6" xfId="18539" xr:uid="{00000000-0005-0000-0000-00003A460000}"/>
    <cellStyle name="40% - Accent4 3 6 4" xfId="18540" xr:uid="{00000000-0005-0000-0000-00003B460000}"/>
    <cellStyle name="40% - Accent4 3 6 4 2" xfId="18541" xr:uid="{00000000-0005-0000-0000-00003C460000}"/>
    <cellStyle name="40% - Accent4 3 6 4 2 2" xfId="18542" xr:uid="{00000000-0005-0000-0000-00003D460000}"/>
    <cellStyle name="40% - Accent4 3 6 4 2 3" xfId="18543" xr:uid="{00000000-0005-0000-0000-00003E460000}"/>
    <cellStyle name="40% - Accent4 3 6 4 3" xfId="18544" xr:uid="{00000000-0005-0000-0000-00003F460000}"/>
    <cellStyle name="40% - Accent4 3 6 4 4" xfId="18545" xr:uid="{00000000-0005-0000-0000-000040460000}"/>
    <cellStyle name="40% - Accent4 3 6 4 5" xfId="18546" xr:uid="{00000000-0005-0000-0000-000041460000}"/>
    <cellStyle name="40% - Accent4 3 6 4 6" xfId="18547" xr:uid="{00000000-0005-0000-0000-000042460000}"/>
    <cellStyle name="40% - Accent4 3 6 5" xfId="18548" xr:uid="{00000000-0005-0000-0000-000043460000}"/>
    <cellStyle name="40% - Accent4 3 6 5 2" xfId="18549" xr:uid="{00000000-0005-0000-0000-000044460000}"/>
    <cellStyle name="40% - Accent4 3 6 5 3" xfId="18550" xr:uid="{00000000-0005-0000-0000-000045460000}"/>
    <cellStyle name="40% - Accent4 3 6 6" xfId="18551" xr:uid="{00000000-0005-0000-0000-000046460000}"/>
    <cellStyle name="40% - Accent4 3 6 7" xfId="18552" xr:uid="{00000000-0005-0000-0000-000047460000}"/>
    <cellStyle name="40% - Accent4 3 6 8" xfId="18553" xr:uid="{00000000-0005-0000-0000-000048460000}"/>
    <cellStyle name="40% - Accent4 3 6 9" xfId="18554" xr:uid="{00000000-0005-0000-0000-000049460000}"/>
    <cellStyle name="40% - Accent4 3 7" xfId="18555" xr:uid="{00000000-0005-0000-0000-00004A460000}"/>
    <cellStyle name="40% - Accent4 3 7 2" xfId="18556" xr:uid="{00000000-0005-0000-0000-00004B460000}"/>
    <cellStyle name="40% - Accent4 3 7 2 2" xfId="18557" xr:uid="{00000000-0005-0000-0000-00004C460000}"/>
    <cellStyle name="40% - Accent4 3 7 2 2 2" xfId="18558" xr:uid="{00000000-0005-0000-0000-00004D460000}"/>
    <cellStyle name="40% - Accent4 3 7 2 2 3" xfId="18559" xr:uid="{00000000-0005-0000-0000-00004E460000}"/>
    <cellStyle name="40% - Accent4 3 7 2 3" xfId="18560" xr:uid="{00000000-0005-0000-0000-00004F460000}"/>
    <cellStyle name="40% - Accent4 3 7 2 4" xfId="18561" xr:uid="{00000000-0005-0000-0000-000050460000}"/>
    <cellStyle name="40% - Accent4 3 7 2 5" xfId="18562" xr:uid="{00000000-0005-0000-0000-000051460000}"/>
    <cellStyle name="40% - Accent4 3 7 2 6" xfId="18563" xr:uid="{00000000-0005-0000-0000-000052460000}"/>
    <cellStyle name="40% - Accent4 3 7 3" xfId="18564" xr:uid="{00000000-0005-0000-0000-000053460000}"/>
    <cellStyle name="40% - Accent4 3 7 3 2" xfId="18565" xr:uid="{00000000-0005-0000-0000-000054460000}"/>
    <cellStyle name="40% - Accent4 3 7 3 3" xfId="18566" xr:uid="{00000000-0005-0000-0000-000055460000}"/>
    <cellStyle name="40% - Accent4 3 7 4" xfId="18567" xr:uid="{00000000-0005-0000-0000-000056460000}"/>
    <cellStyle name="40% - Accent4 3 7 5" xfId="18568" xr:uid="{00000000-0005-0000-0000-000057460000}"/>
    <cellStyle name="40% - Accent4 3 7 6" xfId="18569" xr:uid="{00000000-0005-0000-0000-000058460000}"/>
    <cellStyle name="40% - Accent4 3 7 7" xfId="18570" xr:uid="{00000000-0005-0000-0000-000059460000}"/>
    <cellStyle name="40% - Accent4 3 8" xfId="18571" xr:uid="{00000000-0005-0000-0000-00005A460000}"/>
    <cellStyle name="40% - Accent4 3 8 2" xfId="18572" xr:uid="{00000000-0005-0000-0000-00005B460000}"/>
    <cellStyle name="40% - Accent4 3 8 2 2" xfId="18573" xr:uid="{00000000-0005-0000-0000-00005C460000}"/>
    <cellStyle name="40% - Accent4 3 8 2 3" xfId="18574" xr:uid="{00000000-0005-0000-0000-00005D460000}"/>
    <cellStyle name="40% - Accent4 3 8 3" xfId="18575" xr:uid="{00000000-0005-0000-0000-00005E460000}"/>
    <cellStyle name="40% - Accent4 3 8 4" xfId="18576" xr:uid="{00000000-0005-0000-0000-00005F460000}"/>
    <cellStyle name="40% - Accent4 3 8 5" xfId="18577" xr:uid="{00000000-0005-0000-0000-000060460000}"/>
    <cellStyle name="40% - Accent4 3 8 6" xfId="18578" xr:uid="{00000000-0005-0000-0000-000061460000}"/>
    <cellStyle name="40% - Accent4 3 9" xfId="18579" xr:uid="{00000000-0005-0000-0000-000062460000}"/>
    <cellStyle name="40% - Accent4 3 9 2" xfId="18580" xr:uid="{00000000-0005-0000-0000-000063460000}"/>
    <cellStyle name="40% - Accent4 3 9 2 2" xfId="18581" xr:uid="{00000000-0005-0000-0000-000064460000}"/>
    <cellStyle name="40% - Accent4 3 9 2 3" xfId="18582" xr:uid="{00000000-0005-0000-0000-000065460000}"/>
    <cellStyle name="40% - Accent4 3 9 3" xfId="18583" xr:uid="{00000000-0005-0000-0000-000066460000}"/>
    <cellStyle name="40% - Accent4 3 9 4" xfId="18584" xr:uid="{00000000-0005-0000-0000-000067460000}"/>
    <cellStyle name="40% - Accent4 3 9 5" xfId="18585" xr:uid="{00000000-0005-0000-0000-000068460000}"/>
    <cellStyle name="40% - Accent4 3 9 6" xfId="18586" xr:uid="{00000000-0005-0000-0000-000069460000}"/>
    <cellStyle name="40% - Accent4 4" xfId="18587" xr:uid="{00000000-0005-0000-0000-00006A460000}"/>
    <cellStyle name="40% - Accent4 4 10" xfId="18588" xr:uid="{00000000-0005-0000-0000-00006B460000}"/>
    <cellStyle name="40% - Accent4 4 10 2" xfId="18589" xr:uid="{00000000-0005-0000-0000-00006C460000}"/>
    <cellStyle name="40% - Accent4 4 10 2 2" xfId="18590" xr:uid="{00000000-0005-0000-0000-00006D460000}"/>
    <cellStyle name="40% - Accent4 4 10 2 3" xfId="18591" xr:uid="{00000000-0005-0000-0000-00006E460000}"/>
    <cellStyle name="40% - Accent4 4 10 3" xfId="18592" xr:uid="{00000000-0005-0000-0000-00006F460000}"/>
    <cellStyle name="40% - Accent4 4 10 4" xfId="18593" xr:uid="{00000000-0005-0000-0000-000070460000}"/>
    <cellStyle name="40% - Accent4 4 10 5" xfId="18594" xr:uid="{00000000-0005-0000-0000-000071460000}"/>
    <cellStyle name="40% - Accent4 4 10 6" xfId="18595" xr:uid="{00000000-0005-0000-0000-000072460000}"/>
    <cellStyle name="40% - Accent4 4 11" xfId="18596" xr:uid="{00000000-0005-0000-0000-000073460000}"/>
    <cellStyle name="40% - Accent4 4 11 2" xfId="18597" xr:uid="{00000000-0005-0000-0000-000074460000}"/>
    <cellStyle name="40% - Accent4 4 11 3" xfId="18598" xr:uid="{00000000-0005-0000-0000-000075460000}"/>
    <cellStyle name="40% - Accent4 4 12" xfId="18599" xr:uid="{00000000-0005-0000-0000-000076460000}"/>
    <cellStyle name="40% - Accent4 4 13" xfId="18600" xr:uid="{00000000-0005-0000-0000-000077460000}"/>
    <cellStyle name="40% - Accent4 4 14" xfId="18601" xr:uid="{00000000-0005-0000-0000-000078460000}"/>
    <cellStyle name="40% - Accent4 4 15" xfId="18602" xr:uid="{00000000-0005-0000-0000-000079460000}"/>
    <cellStyle name="40% - Accent4 4 2" xfId="18603" xr:uid="{00000000-0005-0000-0000-00007A460000}"/>
    <cellStyle name="40% - Accent4 4 2 10" xfId="18604" xr:uid="{00000000-0005-0000-0000-00007B460000}"/>
    <cellStyle name="40% - Accent4 4 2 10 2" xfId="18605" xr:uid="{00000000-0005-0000-0000-00007C460000}"/>
    <cellStyle name="40% - Accent4 4 2 10 3" xfId="18606" xr:uid="{00000000-0005-0000-0000-00007D460000}"/>
    <cellStyle name="40% - Accent4 4 2 11" xfId="18607" xr:uid="{00000000-0005-0000-0000-00007E460000}"/>
    <cellStyle name="40% - Accent4 4 2 12" xfId="18608" xr:uid="{00000000-0005-0000-0000-00007F460000}"/>
    <cellStyle name="40% - Accent4 4 2 13" xfId="18609" xr:uid="{00000000-0005-0000-0000-000080460000}"/>
    <cellStyle name="40% - Accent4 4 2 14" xfId="18610" xr:uid="{00000000-0005-0000-0000-000081460000}"/>
    <cellStyle name="40% - Accent4 4 2 2" xfId="18611" xr:uid="{00000000-0005-0000-0000-000082460000}"/>
    <cellStyle name="40% - Accent4 4 2 2 10" xfId="18612" xr:uid="{00000000-0005-0000-0000-000083460000}"/>
    <cellStyle name="40% - Accent4 4 2 2 11" xfId="18613" xr:uid="{00000000-0005-0000-0000-000084460000}"/>
    <cellStyle name="40% - Accent4 4 2 2 12" xfId="18614" xr:uid="{00000000-0005-0000-0000-000085460000}"/>
    <cellStyle name="40% - Accent4 4 2 2 13" xfId="18615" xr:uid="{00000000-0005-0000-0000-000086460000}"/>
    <cellStyle name="40% - Accent4 4 2 2 2" xfId="18616" xr:uid="{00000000-0005-0000-0000-000087460000}"/>
    <cellStyle name="40% - Accent4 4 2 2 2 10" xfId="18617" xr:uid="{00000000-0005-0000-0000-000088460000}"/>
    <cellStyle name="40% - Accent4 4 2 2 2 2" xfId="18618" xr:uid="{00000000-0005-0000-0000-000089460000}"/>
    <cellStyle name="40% - Accent4 4 2 2 2 2 2" xfId="18619" xr:uid="{00000000-0005-0000-0000-00008A460000}"/>
    <cellStyle name="40% - Accent4 4 2 2 2 2 2 2" xfId="18620" xr:uid="{00000000-0005-0000-0000-00008B460000}"/>
    <cellStyle name="40% - Accent4 4 2 2 2 2 2 2 2" xfId="18621" xr:uid="{00000000-0005-0000-0000-00008C460000}"/>
    <cellStyle name="40% - Accent4 4 2 2 2 2 2 2 3" xfId="18622" xr:uid="{00000000-0005-0000-0000-00008D460000}"/>
    <cellStyle name="40% - Accent4 4 2 2 2 2 2 3" xfId="18623" xr:uid="{00000000-0005-0000-0000-00008E460000}"/>
    <cellStyle name="40% - Accent4 4 2 2 2 2 2 4" xfId="18624" xr:uid="{00000000-0005-0000-0000-00008F460000}"/>
    <cellStyle name="40% - Accent4 4 2 2 2 2 2 5" xfId="18625" xr:uid="{00000000-0005-0000-0000-000090460000}"/>
    <cellStyle name="40% - Accent4 4 2 2 2 2 2 6" xfId="18626" xr:uid="{00000000-0005-0000-0000-000091460000}"/>
    <cellStyle name="40% - Accent4 4 2 2 2 2 3" xfId="18627" xr:uid="{00000000-0005-0000-0000-000092460000}"/>
    <cellStyle name="40% - Accent4 4 2 2 2 2 3 2" xfId="18628" xr:uid="{00000000-0005-0000-0000-000093460000}"/>
    <cellStyle name="40% - Accent4 4 2 2 2 2 3 2 2" xfId="18629" xr:uid="{00000000-0005-0000-0000-000094460000}"/>
    <cellStyle name="40% - Accent4 4 2 2 2 2 3 2 3" xfId="18630" xr:uid="{00000000-0005-0000-0000-000095460000}"/>
    <cellStyle name="40% - Accent4 4 2 2 2 2 3 3" xfId="18631" xr:uid="{00000000-0005-0000-0000-000096460000}"/>
    <cellStyle name="40% - Accent4 4 2 2 2 2 3 4" xfId="18632" xr:uid="{00000000-0005-0000-0000-000097460000}"/>
    <cellStyle name="40% - Accent4 4 2 2 2 2 3 5" xfId="18633" xr:uid="{00000000-0005-0000-0000-000098460000}"/>
    <cellStyle name="40% - Accent4 4 2 2 2 2 3 6" xfId="18634" xr:uid="{00000000-0005-0000-0000-000099460000}"/>
    <cellStyle name="40% - Accent4 4 2 2 2 2 4" xfId="18635" xr:uid="{00000000-0005-0000-0000-00009A460000}"/>
    <cellStyle name="40% - Accent4 4 2 2 2 2 4 2" xfId="18636" xr:uid="{00000000-0005-0000-0000-00009B460000}"/>
    <cellStyle name="40% - Accent4 4 2 2 2 2 4 3" xfId="18637" xr:uid="{00000000-0005-0000-0000-00009C460000}"/>
    <cellStyle name="40% - Accent4 4 2 2 2 2 5" xfId="18638" xr:uid="{00000000-0005-0000-0000-00009D460000}"/>
    <cellStyle name="40% - Accent4 4 2 2 2 2 6" xfId="18639" xr:uid="{00000000-0005-0000-0000-00009E460000}"/>
    <cellStyle name="40% - Accent4 4 2 2 2 2 7" xfId="18640" xr:uid="{00000000-0005-0000-0000-00009F460000}"/>
    <cellStyle name="40% - Accent4 4 2 2 2 2 8" xfId="18641" xr:uid="{00000000-0005-0000-0000-0000A0460000}"/>
    <cellStyle name="40% - Accent4 4 2 2 2 3" xfId="18642" xr:uid="{00000000-0005-0000-0000-0000A1460000}"/>
    <cellStyle name="40% - Accent4 4 2 2 2 3 2" xfId="18643" xr:uid="{00000000-0005-0000-0000-0000A2460000}"/>
    <cellStyle name="40% - Accent4 4 2 2 2 3 2 2" xfId="18644" xr:uid="{00000000-0005-0000-0000-0000A3460000}"/>
    <cellStyle name="40% - Accent4 4 2 2 2 3 2 2 2" xfId="18645" xr:uid="{00000000-0005-0000-0000-0000A4460000}"/>
    <cellStyle name="40% - Accent4 4 2 2 2 3 2 2 3" xfId="18646" xr:uid="{00000000-0005-0000-0000-0000A5460000}"/>
    <cellStyle name="40% - Accent4 4 2 2 2 3 2 3" xfId="18647" xr:uid="{00000000-0005-0000-0000-0000A6460000}"/>
    <cellStyle name="40% - Accent4 4 2 2 2 3 2 4" xfId="18648" xr:uid="{00000000-0005-0000-0000-0000A7460000}"/>
    <cellStyle name="40% - Accent4 4 2 2 2 3 2 5" xfId="18649" xr:uid="{00000000-0005-0000-0000-0000A8460000}"/>
    <cellStyle name="40% - Accent4 4 2 2 2 3 2 6" xfId="18650" xr:uid="{00000000-0005-0000-0000-0000A9460000}"/>
    <cellStyle name="40% - Accent4 4 2 2 2 3 3" xfId="18651" xr:uid="{00000000-0005-0000-0000-0000AA460000}"/>
    <cellStyle name="40% - Accent4 4 2 2 2 3 3 2" xfId="18652" xr:uid="{00000000-0005-0000-0000-0000AB460000}"/>
    <cellStyle name="40% - Accent4 4 2 2 2 3 3 3" xfId="18653" xr:uid="{00000000-0005-0000-0000-0000AC460000}"/>
    <cellStyle name="40% - Accent4 4 2 2 2 3 4" xfId="18654" xr:uid="{00000000-0005-0000-0000-0000AD460000}"/>
    <cellStyle name="40% - Accent4 4 2 2 2 3 5" xfId="18655" xr:uid="{00000000-0005-0000-0000-0000AE460000}"/>
    <cellStyle name="40% - Accent4 4 2 2 2 3 6" xfId="18656" xr:uid="{00000000-0005-0000-0000-0000AF460000}"/>
    <cellStyle name="40% - Accent4 4 2 2 2 3 7" xfId="18657" xr:uid="{00000000-0005-0000-0000-0000B0460000}"/>
    <cellStyle name="40% - Accent4 4 2 2 2 4" xfId="18658" xr:uid="{00000000-0005-0000-0000-0000B1460000}"/>
    <cellStyle name="40% - Accent4 4 2 2 2 4 2" xfId="18659" xr:uid="{00000000-0005-0000-0000-0000B2460000}"/>
    <cellStyle name="40% - Accent4 4 2 2 2 4 2 2" xfId="18660" xr:uid="{00000000-0005-0000-0000-0000B3460000}"/>
    <cellStyle name="40% - Accent4 4 2 2 2 4 2 3" xfId="18661" xr:uid="{00000000-0005-0000-0000-0000B4460000}"/>
    <cellStyle name="40% - Accent4 4 2 2 2 4 3" xfId="18662" xr:uid="{00000000-0005-0000-0000-0000B5460000}"/>
    <cellStyle name="40% - Accent4 4 2 2 2 4 4" xfId="18663" xr:uid="{00000000-0005-0000-0000-0000B6460000}"/>
    <cellStyle name="40% - Accent4 4 2 2 2 4 5" xfId="18664" xr:uid="{00000000-0005-0000-0000-0000B7460000}"/>
    <cellStyle name="40% - Accent4 4 2 2 2 4 6" xfId="18665" xr:uid="{00000000-0005-0000-0000-0000B8460000}"/>
    <cellStyle name="40% - Accent4 4 2 2 2 5" xfId="18666" xr:uid="{00000000-0005-0000-0000-0000B9460000}"/>
    <cellStyle name="40% - Accent4 4 2 2 2 5 2" xfId="18667" xr:uid="{00000000-0005-0000-0000-0000BA460000}"/>
    <cellStyle name="40% - Accent4 4 2 2 2 5 2 2" xfId="18668" xr:uid="{00000000-0005-0000-0000-0000BB460000}"/>
    <cellStyle name="40% - Accent4 4 2 2 2 5 2 3" xfId="18669" xr:uid="{00000000-0005-0000-0000-0000BC460000}"/>
    <cellStyle name="40% - Accent4 4 2 2 2 5 3" xfId="18670" xr:uid="{00000000-0005-0000-0000-0000BD460000}"/>
    <cellStyle name="40% - Accent4 4 2 2 2 5 4" xfId="18671" xr:uid="{00000000-0005-0000-0000-0000BE460000}"/>
    <cellStyle name="40% - Accent4 4 2 2 2 5 5" xfId="18672" xr:uid="{00000000-0005-0000-0000-0000BF460000}"/>
    <cellStyle name="40% - Accent4 4 2 2 2 5 6" xfId="18673" xr:uid="{00000000-0005-0000-0000-0000C0460000}"/>
    <cellStyle name="40% - Accent4 4 2 2 2 6" xfId="18674" xr:uid="{00000000-0005-0000-0000-0000C1460000}"/>
    <cellStyle name="40% - Accent4 4 2 2 2 6 2" xfId="18675" xr:uid="{00000000-0005-0000-0000-0000C2460000}"/>
    <cellStyle name="40% - Accent4 4 2 2 2 6 3" xfId="18676" xr:uid="{00000000-0005-0000-0000-0000C3460000}"/>
    <cellStyle name="40% - Accent4 4 2 2 2 7" xfId="18677" xr:uid="{00000000-0005-0000-0000-0000C4460000}"/>
    <cellStyle name="40% - Accent4 4 2 2 2 8" xfId="18678" xr:uid="{00000000-0005-0000-0000-0000C5460000}"/>
    <cellStyle name="40% - Accent4 4 2 2 2 9" xfId="18679" xr:uid="{00000000-0005-0000-0000-0000C6460000}"/>
    <cellStyle name="40% - Accent4 4 2 2 3" xfId="18680" xr:uid="{00000000-0005-0000-0000-0000C7460000}"/>
    <cellStyle name="40% - Accent4 4 2 2 3 2" xfId="18681" xr:uid="{00000000-0005-0000-0000-0000C8460000}"/>
    <cellStyle name="40% - Accent4 4 2 2 3 2 2" xfId="18682" xr:uid="{00000000-0005-0000-0000-0000C9460000}"/>
    <cellStyle name="40% - Accent4 4 2 2 3 2 2 2" xfId="18683" xr:uid="{00000000-0005-0000-0000-0000CA460000}"/>
    <cellStyle name="40% - Accent4 4 2 2 3 2 2 2 2" xfId="18684" xr:uid="{00000000-0005-0000-0000-0000CB460000}"/>
    <cellStyle name="40% - Accent4 4 2 2 3 2 2 2 3" xfId="18685" xr:uid="{00000000-0005-0000-0000-0000CC460000}"/>
    <cellStyle name="40% - Accent4 4 2 2 3 2 2 3" xfId="18686" xr:uid="{00000000-0005-0000-0000-0000CD460000}"/>
    <cellStyle name="40% - Accent4 4 2 2 3 2 2 4" xfId="18687" xr:uid="{00000000-0005-0000-0000-0000CE460000}"/>
    <cellStyle name="40% - Accent4 4 2 2 3 2 2 5" xfId="18688" xr:uid="{00000000-0005-0000-0000-0000CF460000}"/>
    <cellStyle name="40% - Accent4 4 2 2 3 2 2 6" xfId="18689" xr:uid="{00000000-0005-0000-0000-0000D0460000}"/>
    <cellStyle name="40% - Accent4 4 2 2 3 2 3" xfId="18690" xr:uid="{00000000-0005-0000-0000-0000D1460000}"/>
    <cellStyle name="40% - Accent4 4 2 2 3 2 3 2" xfId="18691" xr:uid="{00000000-0005-0000-0000-0000D2460000}"/>
    <cellStyle name="40% - Accent4 4 2 2 3 2 3 3" xfId="18692" xr:uid="{00000000-0005-0000-0000-0000D3460000}"/>
    <cellStyle name="40% - Accent4 4 2 2 3 2 4" xfId="18693" xr:uid="{00000000-0005-0000-0000-0000D4460000}"/>
    <cellStyle name="40% - Accent4 4 2 2 3 2 5" xfId="18694" xr:uid="{00000000-0005-0000-0000-0000D5460000}"/>
    <cellStyle name="40% - Accent4 4 2 2 3 2 6" xfId="18695" xr:uid="{00000000-0005-0000-0000-0000D6460000}"/>
    <cellStyle name="40% - Accent4 4 2 2 3 2 7" xfId="18696" xr:uid="{00000000-0005-0000-0000-0000D7460000}"/>
    <cellStyle name="40% - Accent4 4 2 2 3 3" xfId="18697" xr:uid="{00000000-0005-0000-0000-0000D8460000}"/>
    <cellStyle name="40% - Accent4 4 2 2 3 3 2" xfId="18698" xr:uid="{00000000-0005-0000-0000-0000D9460000}"/>
    <cellStyle name="40% - Accent4 4 2 2 3 3 2 2" xfId="18699" xr:uid="{00000000-0005-0000-0000-0000DA460000}"/>
    <cellStyle name="40% - Accent4 4 2 2 3 3 2 3" xfId="18700" xr:uid="{00000000-0005-0000-0000-0000DB460000}"/>
    <cellStyle name="40% - Accent4 4 2 2 3 3 3" xfId="18701" xr:uid="{00000000-0005-0000-0000-0000DC460000}"/>
    <cellStyle name="40% - Accent4 4 2 2 3 3 4" xfId="18702" xr:uid="{00000000-0005-0000-0000-0000DD460000}"/>
    <cellStyle name="40% - Accent4 4 2 2 3 3 5" xfId="18703" xr:uid="{00000000-0005-0000-0000-0000DE460000}"/>
    <cellStyle name="40% - Accent4 4 2 2 3 3 6" xfId="18704" xr:uid="{00000000-0005-0000-0000-0000DF460000}"/>
    <cellStyle name="40% - Accent4 4 2 2 3 4" xfId="18705" xr:uid="{00000000-0005-0000-0000-0000E0460000}"/>
    <cellStyle name="40% - Accent4 4 2 2 3 4 2" xfId="18706" xr:uid="{00000000-0005-0000-0000-0000E1460000}"/>
    <cellStyle name="40% - Accent4 4 2 2 3 4 2 2" xfId="18707" xr:uid="{00000000-0005-0000-0000-0000E2460000}"/>
    <cellStyle name="40% - Accent4 4 2 2 3 4 2 3" xfId="18708" xr:uid="{00000000-0005-0000-0000-0000E3460000}"/>
    <cellStyle name="40% - Accent4 4 2 2 3 4 3" xfId="18709" xr:uid="{00000000-0005-0000-0000-0000E4460000}"/>
    <cellStyle name="40% - Accent4 4 2 2 3 4 4" xfId="18710" xr:uid="{00000000-0005-0000-0000-0000E5460000}"/>
    <cellStyle name="40% - Accent4 4 2 2 3 4 5" xfId="18711" xr:uid="{00000000-0005-0000-0000-0000E6460000}"/>
    <cellStyle name="40% - Accent4 4 2 2 3 4 6" xfId="18712" xr:uid="{00000000-0005-0000-0000-0000E7460000}"/>
    <cellStyle name="40% - Accent4 4 2 2 3 5" xfId="18713" xr:uid="{00000000-0005-0000-0000-0000E8460000}"/>
    <cellStyle name="40% - Accent4 4 2 2 3 5 2" xfId="18714" xr:uid="{00000000-0005-0000-0000-0000E9460000}"/>
    <cellStyle name="40% - Accent4 4 2 2 3 5 3" xfId="18715" xr:uid="{00000000-0005-0000-0000-0000EA460000}"/>
    <cellStyle name="40% - Accent4 4 2 2 3 6" xfId="18716" xr:uid="{00000000-0005-0000-0000-0000EB460000}"/>
    <cellStyle name="40% - Accent4 4 2 2 3 7" xfId="18717" xr:uid="{00000000-0005-0000-0000-0000EC460000}"/>
    <cellStyle name="40% - Accent4 4 2 2 3 8" xfId="18718" xr:uid="{00000000-0005-0000-0000-0000ED460000}"/>
    <cellStyle name="40% - Accent4 4 2 2 3 9" xfId="18719" xr:uid="{00000000-0005-0000-0000-0000EE460000}"/>
    <cellStyle name="40% - Accent4 4 2 2 4" xfId="18720" xr:uid="{00000000-0005-0000-0000-0000EF460000}"/>
    <cellStyle name="40% - Accent4 4 2 2 4 2" xfId="18721" xr:uid="{00000000-0005-0000-0000-0000F0460000}"/>
    <cellStyle name="40% - Accent4 4 2 2 4 2 2" xfId="18722" xr:uid="{00000000-0005-0000-0000-0000F1460000}"/>
    <cellStyle name="40% - Accent4 4 2 2 4 2 2 2" xfId="18723" xr:uid="{00000000-0005-0000-0000-0000F2460000}"/>
    <cellStyle name="40% - Accent4 4 2 2 4 2 2 3" xfId="18724" xr:uid="{00000000-0005-0000-0000-0000F3460000}"/>
    <cellStyle name="40% - Accent4 4 2 2 4 2 3" xfId="18725" xr:uid="{00000000-0005-0000-0000-0000F4460000}"/>
    <cellStyle name="40% - Accent4 4 2 2 4 2 4" xfId="18726" xr:uid="{00000000-0005-0000-0000-0000F5460000}"/>
    <cellStyle name="40% - Accent4 4 2 2 4 2 5" xfId="18727" xr:uid="{00000000-0005-0000-0000-0000F6460000}"/>
    <cellStyle name="40% - Accent4 4 2 2 4 2 6" xfId="18728" xr:uid="{00000000-0005-0000-0000-0000F7460000}"/>
    <cellStyle name="40% - Accent4 4 2 2 4 3" xfId="18729" xr:uid="{00000000-0005-0000-0000-0000F8460000}"/>
    <cellStyle name="40% - Accent4 4 2 2 4 3 2" xfId="18730" xr:uid="{00000000-0005-0000-0000-0000F9460000}"/>
    <cellStyle name="40% - Accent4 4 2 2 4 3 3" xfId="18731" xr:uid="{00000000-0005-0000-0000-0000FA460000}"/>
    <cellStyle name="40% - Accent4 4 2 2 4 4" xfId="18732" xr:uid="{00000000-0005-0000-0000-0000FB460000}"/>
    <cellStyle name="40% - Accent4 4 2 2 4 5" xfId="18733" xr:uid="{00000000-0005-0000-0000-0000FC460000}"/>
    <cellStyle name="40% - Accent4 4 2 2 4 6" xfId="18734" xr:uid="{00000000-0005-0000-0000-0000FD460000}"/>
    <cellStyle name="40% - Accent4 4 2 2 4 7" xfId="18735" xr:uid="{00000000-0005-0000-0000-0000FE460000}"/>
    <cellStyle name="40% - Accent4 4 2 2 5" xfId="18736" xr:uid="{00000000-0005-0000-0000-0000FF460000}"/>
    <cellStyle name="40% - Accent4 4 2 2 5 2" xfId="18737" xr:uid="{00000000-0005-0000-0000-000000470000}"/>
    <cellStyle name="40% - Accent4 4 2 2 5 2 2" xfId="18738" xr:uid="{00000000-0005-0000-0000-000001470000}"/>
    <cellStyle name="40% - Accent4 4 2 2 5 2 3" xfId="18739" xr:uid="{00000000-0005-0000-0000-000002470000}"/>
    <cellStyle name="40% - Accent4 4 2 2 5 3" xfId="18740" xr:uid="{00000000-0005-0000-0000-000003470000}"/>
    <cellStyle name="40% - Accent4 4 2 2 5 4" xfId="18741" xr:uid="{00000000-0005-0000-0000-000004470000}"/>
    <cellStyle name="40% - Accent4 4 2 2 5 5" xfId="18742" xr:uid="{00000000-0005-0000-0000-000005470000}"/>
    <cellStyle name="40% - Accent4 4 2 2 5 6" xfId="18743" xr:uid="{00000000-0005-0000-0000-000006470000}"/>
    <cellStyle name="40% - Accent4 4 2 2 6" xfId="18744" xr:uid="{00000000-0005-0000-0000-000007470000}"/>
    <cellStyle name="40% - Accent4 4 2 2 6 2" xfId="18745" xr:uid="{00000000-0005-0000-0000-000008470000}"/>
    <cellStyle name="40% - Accent4 4 2 2 6 2 2" xfId="18746" xr:uid="{00000000-0005-0000-0000-000009470000}"/>
    <cellStyle name="40% - Accent4 4 2 2 6 2 3" xfId="18747" xr:uid="{00000000-0005-0000-0000-00000A470000}"/>
    <cellStyle name="40% - Accent4 4 2 2 6 3" xfId="18748" xr:uid="{00000000-0005-0000-0000-00000B470000}"/>
    <cellStyle name="40% - Accent4 4 2 2 6 4" xfId="18749" xr:uid="{00000000-0005-0000-0000-00000C470000}"/>
    <cellStyle name="40% - Accent4 4 2 2 6 5" xfId="18750" xr:uid="{00000000-0005-0000-0000-00000D470000}"/>
    <cellStyle name="40% - Accent4 4 2 2 6 6" xfId="18751" xr:uid="{00000000-0005-0000-0000-00000E470000}"/>
    <cellStyle name="40% - Accent4 4 2 2 7" xfId="18752" xr:uid="{00000000-0005-0000-0000-00000F470000}"/>
    <cellStyle name="40% - Accent4 4 2 2 7 2" xfId="18753" xr:uid="{00000000-0005-0000-0000-000010470000}"/>
    <cellStyle name="40% - Accent4 4 2 2 7 2 2" xfId="18754" xr:uid="{00000000-0005-0000-0000-000011470000}"/>
    <cellStyle name="40% - Accent4 4 2 2 7 2 3" xfId="18755" xr:uid="{00000000-0005-0000-0000-000012470000}"/>
    <cellStyle name="40% - Accent4 4 2 2 7 3" xfId="18756" xr:uid="{00000000-0005-0000-0000-000013470000}"/>
    <cellStyle name="40% - Accent4 4 2 2 7 4" xfId="18757" xr:uid="{00000000-0005-0000-0000-000014470000}"/>
    <cellStyle name="40% - Accent4 4 2 2 7 5" xfId="18758" xr:uid="{00000000-0005-0000-0000-000015470000}"/>
    <cellStyle name="40% - Accent4 4 2 2 7 6" xfId="18759" xr:uid="{00000000-0005-0000-0000-000016470000}"/>
    <cellStyle name="40% - Accent4 4 2 2 8" xfId="18760" xr:uid="{00000000-0005-0000-0000-000017470000}"/>
    <cellStyle name="40% - Accent4 4 2 2 8 2" xfId="18761" xr:uid="{00000000-0005-0000-0000-000018470000}"/>
    <cellStyle name="40% - Accent4 4 2 2 8 2 2" xfId="18762" xr:uid="{00000000-0005-0000-0000-000019470000}"/>
    <cellStyle name="40% - Accent4 4 2 2 8 2 3" xfId="18763" xr:uid="{00000000-0005-0000-0000-00001A470000}"/>
    <cellStyle name="40% - Accent4 4 2 2 8 3" xfId="18764" xr:uid="{00000000-0005-0000-0000-00001B470000}"/>
    <cellStyle name="40% - Accent4 4 2 2 8 4" xfId="18765" xr:uid="{00000000-0005-0000-0000-00001C470000}"/>
    <cellStyle name="40% - Accent4 4 2 2 8 5" xfId="18766" xr:uid="{00000000-0005-0000-0000-00001D470000}"/>
    <cellStyle name="40% - Accent4 4 2 2 8 6" xfId="18767" xr:uid="{00000000-0005-0000-0000-00001E470000}"/>
    <cellStyle name="40% - Accent4 4 2 2 9" xfId="18768" xr:uid="{00000000-0005-0000-0000-00001F470000}"/>
    <cellStyle name="40% - Accent4 4 2 2 9 2" xfId="18769" xr:uid="{00000000-0005-0000-0000-000020470000}"/>
    <cellStyle name="40% - Accent4 4 2 2 9 3" xfId="18770" xr:uid="{00000000-0005-0000-0000-000021470000}"/>
    <cellStyle name="40% - Accent4 4 2 3" xfId="18771" xr:uid="{00000000-0005-0000-0000-000022470000}"/>
    <cellStyle name="40% - Accent4 4 2 3 10" xfId="18772" xr:uid="{00000000-0005-0000-0000-000023470000}"/>
    <cellStyle name="40% - Accent4 4 2 3 2" xfId="18773" xr:uid="{00000000-0005-0000-0000-000024470000}"/>
    <cellStyle name="40% - Accent4 4 2 3 2 2" xfId="18774" xr:uid="{00000000-0005-0000-0000-000025470000}"/>
    <cellStyle name="40% - Accent4 4 2 3 2 2 2" xfId="18775" xr:uid="{00000000-0005-0000-0000-000026470000}"/>
    <cellStyle name="40% - Accent4 4 2 3 2 2 2 2" xfId="18776" xr:uid="{00000000-0005-0000-0000-000027470000}"/>
    <cellStyle name="40% - Accent4 4 2 3 2 2 2 3" xfId="18777" xr:uid="{00000000-0005-0000-0000-000028470000}"/>
    <cellStyle name="40% - Accent4 4 2 3 2 2 3" xfId="18778" xr:uid="{00000000-0005-0000-0000-000029470000}"/>
    <cellStyle name="40% - Accent4 4 2 3 2 2 4" xfId="18779" xr:uid="{00000000-0005-0000-0000-00002A470000}"/>
    <cellStyle name="40% - Accent4 4 2 3 2 2 5" xfId="18780" xr:uid="{00000000-0005-0000-0000-00002B470000}"/>
    <cellStyle name="40% - Accent4 4 2 3 2 2 6" xfId="18781" xr:uid="{00000000-0005-0000-0000-00002C470000}"/>
    <cellStyle name="40% - Accent4 4 2 3 2 3" xfId="18782" xr:uid="{00000000-0005-0000-0000-00002D470000}"/>
    <cellStyle name="40% - Accent4 4 2 3 2 3 2" xfId="18783" xr:uid="{00000000-0005-0000-0000-00002E470000}"/>
    <cellStyle name="40% - Accent4 4 2 3 2 3 2 2" xfId="18784" xr:uid="{00000000-0005-0000-0000-00002F470000}"/>
    <cellStyle name="40% - Accent4 4 2 3 2 3 2 3" xfId="18785" xr:uid="{00000000-0005-0000-0000-000030470000}"/>
    <cellStyle name="40% - Accent4 4 2 3 2 3 3" xfId="18786" xr:uid="{00000000-0005-0000-0000-000031470000}"/>
    <cellStyle name="40% - Accent4 4 2 3 2 3 4" xfId="18787" xr:uid="{00000000-0005-0000-0000-000032470000}"/>
    <cellStyle name="40% - Accent4 4 2 3 2 3 5" xfId="18788" xr:uid="{00000000-0005-0000-0000-000033470000}"/>
    <cellStyle name="40% - Accent4 4 2 3 2 3 6" xfId="18789" xr:uid="{00000000-0005-0000-0000-000034470000}"/>
    <cellStyle name="40% - Accent4 4 2 3 2 4" xfId="18790" xr:uid="{00000000-0005-0000-0000-000035470000}"/>
    <cellStyle name="40% - Accent4 4 2 3 2 4 2" xfId="18791" xr:uid="{00000000-0005-0000-0000-000036470000}"/>
    <cellStyle name="40% - Accent4 4 2 3 2 4 3" xfId="18792" xr:uid="{00000000-0005-0000-0000-000037470000}"/>
    <cellStyle name="40% - Accent4 4 2 3 2 5" xfId="18793" xr:uid="{00000000-0005-0000-0000-000038470000}"/>
    <cellStyle name="40% - Accent4 4 2 3 2 6" xfId="18794" xr:uid="{00000000-0005-0000-0000-000039470000}"/>
    <cellStyle name="40% - Accent4 4 2 3 2 7" xfId="18795" xr:uid="{00000000-0005-0000-0000-00003A470000}"/>
    <cellStyle name="40% - Accent4 4 2 3 2 8" xfId="18796" xr:uid="{00000000-0005-0000-0000-00003B470000}"/>
    <cellStyle name="40% - Accent4 4 2 3 3" xfId="18797" xr:uid="{00000000-0005-0000-0000-00003C470000}"/>
    <cellStyle name="40% - Accent4 4 2 3 3 2" xfId="18798" xr:uid="{00000000-0005-0000-0000-00003D470000}"/>
    <cellStyle name="40% - Accent4 4 2 3 3 2 2" xfId="18799" xr:uid="{00000000-0005-0000-0000-00003E470000}"/>
    <cellStyle name="40% - Accent4 4 2 3 3 2 2 2" xfId="18800" xr:uid="{00000000-0005-0000-0000-00003F470000}"/>
    <cellStyle name="40% - Accent4 4 2 3 3 2 2 3" xfId="18801" xr:uid="{00000000-0005-0000-0000-000040470000}"/>
    <cellStyle name="40% - Accent4 4 2 3 3 2 3" xfId="18802" xr:uid="{00000000-0005-0000-0000-000041470000}"/>
    <cellStyle name="40% - Accent4 4 2 3 3 2 4" xfId="18803" xr:uid="{00000000-0005-0000-0000-000042470000}"/>
    <cellStyle name="40% - Accent4 4 2 3 3 2 5" xfId="18804" xr:uid="{00000000-0005-0000-0000-000043470000}"/>
    <cellStyle name="40% - Accent4 4 2 3 3 2 6" xfId="18805" xr:uid="{00000000-0005-0000-0000-000044470000}"/>
    <cellStyle name="40% - Accent4 4 2 3 3 3" xfId="18806" xr:uid="{00000000-0005-0000-0000-000045470000}"/>
    <cellStyle name="40% - Accent4 4 2 3 3 3 2" xfId="18807" xr:uid="{00000000-0005-0000-0000-000046470000}"/>
    <cellStyle name="40% - Accent4 4 2 3 3 3 3" xfId="18808" xr:uid="{00000000-0005-0000-0000-000047470000}"/>
    <cellStyle name="40% - Accent4 4 2 3 3 4" xfId="18809" xr:uid="{00000000-0005-0000-0000-000048470000}"/>
    <cellStyle name="40% - Accent4 4 2 3 3 5" xfId="18810" xr:uid="{00000000-0005-0000-0000-000049470000}"/>
    <cellStyle name="40% - Accent4 4 2 3 3 6" xfId="18811" xr:uid="{00000000-0005-0000-0000-00004A470000}"/>
    <cellStyle name="40% - Accent4 4 2 3 3 7" xfId="18812" xr:uid="{00000000-0005-0000-0000-00004B470000}"/>
    <cellStyle name="40% - Accent4 4 2 3 4" xfId="18813" xr:uid="{00000000-0005-0000-0000-00004C470000}"/>
    <cellStyle name="40% - Accent4 4 2 3 4 2" xfId="18814" xr:uid="{00000000-0005-0000-0000-00004D470000}"/>
    <cellStyle name="40% - Accent4 4 2 3 4 2 2" xfId="18815" xr:uid="{00000000-0005-0000-0000-00004E470000}"/>
    <cellStyle name="40% - Accent4 4 2 3 4 2 3" xfId="18816" xr:uid="{00000000-0005-0000-0000-00004F470000}"/>
    <cellStyle name="40% - Accent4 4 2 3 4 3" xfId="18817" xr:uid="{00000000-0005-0000-0000-000050470000}"/>
    <cellStyle name="40% - Accent4 4 2 3 4 4" xfId="18818" xr:uid="{00000000-0005-0000-0000-000051470000}"/>
    <cellStyle name="40% - Accent4 4 2 3 4 5" xfId="18819" xr:uid="{00000000-0005-0000-0000-000052470000}"/>
    <cellStyle name="40% - Accent4 4 2 3 4 6" xfId="18820" xr:uid="{00000000-0005-0000-0000-000053470000}"/>
    <cellStyle name="40% - Accent4 4 2 3 5" xfId="18821" xr:uid="{00000000-0005-0000-0000-000054470000}"/>
    <cellStyle name="40% - Accent4 4 2 3 5 2" xfId="18822" xr:uid="{00000000-0005-0000-0000-000055470000}"/>
    <cellStyle name="40% - Accent4 4 2 3 5 2 2" xfId="18823" xr:uid="{00000000-0005-0000-0000-000056470000}"/>
    <cellStyle name="40% - Accent4 4 2 3 5 2 3" xfId="18824" xr:uid="{00000000-0005-0000-0000-000057470000}"/>
    <cellStyle name="40% - Accent4 4 2 3 5 3" xfId="18825" xr:uid="{00000000-0005-0000-0000-000058470000}"/>
    <cellStyle name="40% - Accent4 4 2 3 5 4" xfId="18826" xr:uid="{00000000-0005-0000-0000-000059470000}"/>
    <cellStyle name="40% - Accent4 4 2 3 5 5" xfId="18827" xr:uid="{00000000-0005-0000-0000-00005A470000}"/>
    <cellStyle name="40% - Accent4 4 2 3 5 6" xfId="18828" xr:uid="{00000000-0005-0000-0000-00005B470000}"/>
    <cellStyle name="40% - Accent4 4 2 3 6" xfId="18829" xr:uid="{00000000-0005-0000-0000-00005C470000}"/>
    <cellStyle name="40% - Accent4 4 2 3 6 2" xfId="18830" xr:uid="{00000000-0005-0000-0000-00005D470000}"/>
    <cellStyle name="40% - Accent4 4 2 3 6 3" xfId="18831" xr:uid="{00000000-0005-0000-0000-00005E470000}"/>
    <cellStyle name="40% - Accent4 4 2 3 7" xfId="18832" xr:uid="{00000000-0005-0000-0000-00005F470000}"/>
    <cellStyle name="40% - Accent4 4 2 3 8" xfId="18833" xr:uid="{00000000-0005-0000-0000-000060470000}"/>
    <cellStyle name="40% - Accent4 4 2 3 9" xfId="18834" xr:uid="{00000000-0005-0000-0000-000061470000}"/>
    <cellStyle name="40% - Accent4 4 2 4" xfId="18835" xr:uid="{00000000-0005-0000-0000-000062470000}"/>
    <cellStyle name="40% - Accent4 4 2 4 2" xfId="18836" xr:uid="{00000000-0005-0000-0000-000063470000}"/>
    <cellStyle name="40% - Accent4 4 2 4 2 2" xfId="18837" xr:uid="{00000000-0005-0000-0000-000064470000}"/>
    <cellStyle name="40% - Accent4 4 2 4 2 2 2" xfId="18838" xr:uid="{00000000-0005-0000-0000-000065470000}"/>
    <cellStyle name="40% - Accent4 4 2 4 2 2 2 2" xfId="18839" xr:uid="{00000000-0005-0000-0000-000066470000}"/>
    <cellStyle name="40% - Accent4 4 2 4 2 2 2 3" xfId="18840" xr:uid="{00000000-0005-0000-0000-000067470000}"/>
    <cellStyle name="40% - Accent4 4 2 4 2 2 3" xfId="18841" xr:uid="{00000000-0005-0000-0000-000068470000}"/>
    <cellStyle name="40% - Accent4 4 2 4 2 2 4" xfId="18842" xr:uid="{00000000-0005-0000-0000-000069470000}"/>
    <cellStyle name="40% - Accent4 4 2 4 2 2 5" xfId="18843" xr:uid="{00000000-0005-0000-0000-00006A470000}"/>
    <cellStyle name="40% - Accent4 4 2 4 2 2 6" xfId="18844" xr:uid="{00000000-0005-0000-0000-00006B470000}"/>
    <cellStyle name="40% - Accent4 4 2 4 2 3" xfId="18845" xr:uid="{00000000-0005-0000-0000-00006C470000}"/>
    <cellStyle name="40% - Accent4 4 2 4 2 3 2" xfId="18846" xr:uid="{00000000-0005-0000-0000-00006D470000}"/>
    <cellStyle name="40% - Accent4 4 2 4 2 3 3" xfId="18847" xr:uid="{00000000-0005-0000-0000-00006E470000}"/>
    <cellStyle name="40% - Accent4 4 2 4 2 4" xfId="18848" xr:uid="{00000000-0005-0000-0000-00006F470000}"/>
    <cellStyle name="40% - Accent4 4 2 4 2 5" xfId="18849" xr:uid="{00000000-0005-0000-0000-000070470000}"/>
    <cellStyle name="40% - Accent4 4 2 4 2 6" xfId="18850" xr:uid="{00000000-0005-0000-0000-000071470000}"/>
    <cellStyle name="40% - Accent4 4 2 4 2 7" xfId="18851" xr:uid="{00000000-0005-0000-0000-000072470000}"/>
    <cellStyle name="40% - Accent4 4 2 4 3" xfId="18852" xr:uid="{00000000-0005-0000-0000-000073470000}"/>
    <cellStyle name="40% - Accent4 4 2 4 3 2" xfId="18853" xr:uid="{00000000-0005-0000-0000-000074470000}"/>
    <cellStyle name="40% - Accent4 4 2 4 3 2 2" xfId="18854" xr:uid="{00000000-0005-0000-0000-000075470000}"/>
    <cellStyle name="40% - Accent4 4 2 4 3 2 3" xfId="18855" xr:uid="{00000000-0005-0000-0000-000076470000}"/>
    <cellStyle name="40% - Accent4 4 2 4 3 3" xfId="18856" xr:uid="{00000000-0005-0000-0000-000077470000}"/>
    <cellStyle name="40% - Accent4 4 2 4 3 4" xfId="18857" xr:uid="{00000000-0005-0000-0000-000078470000}"/>
    <cellStyle name="40% - Accent4 4 2 4 3 5" xfId="18858" xr:uid="{00000000-0005-0000-0000-000079470000}"/>
    <cellStyle name="40% - Accent4 4 2 4 3 6" xfId="18859" xr:uid="{00000000-0005-0000-0000-00007A470000}"/>
    <cellStyle name="40% - Accent4 4 2 4 4" xfId="18860" xr:uid="{00000000-0005-0000-0000-00007B470000}"/>
    <cellStyle name="40% - Accent4 4 2 4 4 2" xfId="18861" xr:uid="{00000000-0005-0000-0000-00007C470000}"/>
    <cellStyle name="40% - Accent4 4 2 4 4 2 2" xfId="18862" xr:uid="{00000000-0005-0000-0000-00007D470000}"/>
    <cellStyle name="40% - Accent4 4 2 4 4 2 3" xfId="18863" xr:uid="{00000000-0005-0000-0000-00007E470000}"/>
    <cellStyle name="40% - Accent4 4 2 4 4 3" xfId="18864" xr:uid="{00000000-0005-0000-0000-00007F470000}"/>
    <cellStyle name="40% - Accent4 4 2 4 4 4" xfId="18865" xr:uid="{00000000-0005-0000-0000-000080470000}"/>
    <cellStyle name="40% - Accent4 4 2 4 4 5" xfId="18866" xr:uid="{00000000-0005-0000-0000-000081470000}"/>
    <cellStyle name="40% - Accent4 4 2 4 4 6" xfId="18867" xr:uid="{00000000-0005-0000-0000-000082470000}"/>
    <cellStyle name="40% - Accent4 4 2 4 5" xfId="18868" xr:uid="{00000000-0005-0000-0000-000083470000}"/>
    <cellStyle name="40% - Accent4 4 2 4 5 2" xfId="18869" xr:uid="{00000000-0005-0000-0000-000084470000}"/>
    <cellStyle name="40% - Accent4 4 2 4 5 3" xfId="18870" xr:uid="{00000000-0005-0000-0000-000085470000}"/>
    <cellStyle name="40% - Accent4 4 2 4 6" xfId="18871" xr:uid="{00000000-0005-0000-0000-000086470000}"/>
    <cellStyle name="40% - Accent4 4 2 4 7" xfId="18872" xr:uid="{00000000-0005-0000-0000-000087470000}"/>
    <cellStyle name="40% - Accent4 4 2 4 8" xfId="18873" xr:uid="{00000000-0005-0000-0000-000088470000}"/>
    <cellStyle name="40% - Accent4 4 2 4 9" xfId="18874" xr:uid="{00000000-0005-0000-0000-000089470000}"/>
    <cellStyle name="40% - Accent4 4 2 5" xfId="18875" xr:uid="{00000000-0005-0000-0000-00008A470000}"/>
    <cellStyle name="40% - Accent4 4 2 5 2" xfId="18876" xr:uid="{00000000-0005-0000-0000-00008B470000}"/>
    <cellStyle name="40% - Accent4 4 2 5 2 2" xfId="18877" xr:uid="{00000000-0005-0000-0000-00008C470000}"/>
    <cellStyle name="40% - Accent4 4 2 5 2 2 2" xfId="18878" xr:uid="{00000000-0005-0000-0000-00008D470000}"/>
    <cellStyle name="40% - Accent4 4 2 5 2 2 3" xfId="18879" xr:uid="{00000000-0005-0000-0000-00008E470000}"/>
    <cellStyle name="40% - Accent4 4 2 5 2 3" xfId="18880" xr:uid="{00000000-0005-0000-0000-00008F470000}"/>
    <cellStyle name="40% - Accent4 4 2 5 2 4" xfId="18881" xr:uid="{00000000-0005-0000-0000-000090470000}"/>
    <cellStyle name="40% - Accent4 4 2 5 2 5" xfId="18882" xr:uid="{00000000-0005-0000-0000-000091470000}"/>
    <cellStyle name="40% - Accent4 4 2 5 2 6" xfId="18883" xr:uid="{00000000-0005-0000-0000-000092470000}"/>
    <cellStyle name="40% - Accent4 4 2 5 3" xfId="18884" xr:uid="{00000000-0005-0000-0000-000093470000}"/>
    <cellStyle name="40% - Accent4 4 2 5 3 2" xfId="18885" xr:uid="{00000000-0005-0000-0000-000094470000}"/>
    <cellStyle name="40% - Accent4 4 2 5 3 3" xfId="18886" xr:uid="{00000000-0005-0000-0000-000095470000}"/>
    <cellStyle name="40% - Accent4 4 2 5 4" xfId="18887" xr:uid="{00000000-0005-0000-0000-000096470000}"/>
    <cellStyle name="40% - Accent4 4 2 5 5" xfId="18888" xr:uid="{00000000-0005-0000-0000-000097470000}"/>
    <cellStyle name="40% - Accent4 4 2 5 6" xfId="18889" xr:uid="{00000000-0005-0000-0000-000098470000}"/>
    <cellStyle name="40% - Accent4 4 2 5 7" xfId="18890" xr:uid="{00000000-0005-0000-0000-000099470000}"/>
    <cellStyle name="40% - Accent4 4 2 6" xfId="18891" xr:uid="{00000000-0005-0000-0000-00009A470000}"/>
    <cellStyle name="40% - Accent4 4 2 6 2" xfId="18892" xr:uid="{00000000-0005-0000-0000-00009B470000}"/>
    <cellStyle name="40% - Accent4 4 2 6 2 2" xfId="18893" xr:uid="{00000000-0005-0000-0000-00009C470000}"/>
    <cellStyle name="40% - Accent4 4 2 6 2 3" xfId="18894" xr:uid="{00000000-0005-0000-0000-00009D470000}"/>
    <cellStyle name="40% - Accent4 4 2 6 3" xfId="18895" xr:uid="{00000000-0005-0000-0000-00009E470000}"/>
    <cellStyle name="40% - Accent4 4 2 6 4" xfId="18896" xr:uid="{00000000-0005-0000-0000-00009F470000}"/>
    <cellStyle name="40% - Accent4 4 2 6 5" xfId="18897" xr:uid="{00000000-0005-0000-0000-0000A0470000}"/>
    <cellStyle name="40% - Accent4 4 2 6 6" xfId="18898" xr:uid="{00000000-0005-0000-0000-0000A1470000}"/>
    <cellStyle name="40% - Accent4 4 2 7" xfId="18899" xr:uid="{00000000-0005-0000-0000-0000A2470000}"/>
    <cellStyle name="40% - Accent4 4 2 7 2" xfId="18900" xr:uid="{00000000-0005-0000-0000-0000A3470000}"/>
    <cellStyle name="40% - Accent4 4 2 7 2 2" xfId="18901" xr:uid="{00000000-0005-0000-0000-0000A4470000}"/>
    <cellStyle name="40% - Accent4 4 2 7 2 3" xfId="18902" xr:uid="{00000000-0005-0000-0000-0000A5470000}"/>
    <cellStyle name="40% - Accent4 4 2 7 3" xfId="18903" xr:uid="{00000000-0005-0000-0000-0000A6470000}"/>
    <cellStyle name="40% - Accent4 4 2 7 4" xfId="18904" xr:uid="{00000000-0005-0000-0000-0000A7470000}"/>
    <cellStyle name="40% - Accent4 4 2 7 5" xfId="18905" xr:uid="{00000000-0005-0000-0000-0000A8470000}"/>
    <cellStyle name="40% - Accent4 4 2 7 6" xfId="18906" xr:uid="{00000000-0005-0000-0000-0000A9470000}"/>
    <cellStyle name="40% - Accent4 4 2 8" xfId="18907" xr:uid="{00000000-0005-0000-0000-0000AA470000}"/>
    <cellStyle name="40% - Accent4 4 2 8 2" xfId="18908" xr:uid="{00000000-0005-0000-0000-0000AB470000}"/>
    <cellStyle name="40% - Accent4 4 2 8 2 2" xfId="18909" xr:uid="{00000000-0005-0000-0000-0000AC470000}"/>
    <cellStyle name="40% - Accent4 4 2 8 2 3" xfId="18910" xr:uid="{00000000-0005-0000-0000-0000AD470000}"/>
    <cellStyle name="40% - Accent4 4 2 8 3" xfId="18911" xr:uid="{00000000-0005-0000-0000-0000AE470000}"/>
    <cellStyle name="40% - Accent4 4 2 8 4" xfId="18912" xr:uid="{00000000-0005-0000-0000-0000AF470000}"/>
    <cellStyle name="40% - Accent4 4 2 8 5" xfId="18913" xr:uid="{00000000-0005-0000-0000-0000B0470000}"/>
    <cellStyle name="40% - Accent4 4 2 8 6" xfId="18914" xr:uid="{00000000-0005-0000-0000-0000B1470000}"/>
    <cellStyle name="40% - Accent4 4 2 9" xfId="18915" xr:uid="{00000000-0005-0000-0000-0000B2470000}"/>
    <cellStyle name="40% - Accent4 4 2 9 2" xfId="18916" xr:uid="{00000000-0005-0000-0000-0000B3470000}"/>
    <cellStyle name="40% - Accent4 4 2 9 2 2" xfId="18917" xr:uid="{00000000-0005-0000-0000-0000B4470000}"/>
    <cellStyle name="40% - Accent4 4 2 9 2 3" xfId="18918" xr:uid="{00000000-0005-0000-0000-0000B5470000}"/>
    <cellStyle name="40% - Accent4 4 2 9 3" xfId="18919" xr:uid="{00000000-0005-0000-0000-0000B6470000}"/>
    <cellStyle name="40% - Accent4 4 2 9 4" xfId="18920" xr:uid="{00000000-0005-0000-0000-0000B7470000}"/>
    <cellStyle name="40% - Accent4 4 2 9 5" xfId="18921" xr:uid="{00000000-0005-0000-0000-0000B8470000}"/>
    <cellStyle name="40% - Accent4 4 2 9 6" xfId="18922" xr:uid="{00000000-0005-0000-0000-0000B9470000}"/>
    <cellStyle name="40% - Accent4 4 3" xfId="18923" xr:uid="{00000000-0005-0000-0000-0000BA470000}"/>
    <cellStyle name="40% - Accent4 4 3 10" xfId="18924" xr:uid="{00000000-0005-0000-0000-0000BB470000}"/>
    <cellStyle name="40% - Accent4 4 3 11" xfId="18925" xr:uid="{00000000-0005-0000-0000-0000BC470000}"/>
    <cellStyle name="40% - Accent4 4 3 12" xfId="18926" xr:uid="{00000000-0005-0000-0000-0000BD470000}"/>
    <cellStyle name="40% - Accent4 4 3 13" xfId="18927" xr:uid="{00000000-0005-0000-0000-0000BE470000}"/>
    <cellStyle name="40% - Accent4 4 3 2" xfId="18928" xr:uid="{00000000-0005-0000-0000-0000BF470000}"/>
    <cellStyle name="40% - Accent4 4 3 2 10" xfId="18929" xr:uid="{00000000-0005-0000-0000-0000C0470000}"/>
    <cellStyle name="40% - Accent4 4 3 2 2" xfId="18930" xr:uid="{00000000-0005-0000-0000-0000C1470000}"/>
    <cellStyle name="40% - Accent4 4 3 2 2 2" xfId="18931" xr:uid="{00000000-0005-0000-0000-0000C2470000}"/>
    <cellStyle name="40% - Accent4 4 3 2 2 2 2" xfId="18932" xr:uid="{00000000-0005-0000-0000-0000C3470000}"/>
    <cellStyle name="40% - Accent4 4 3 2 2 2 2 2" xfId="18933" xr:uid="{00000000-0005-0000-0000-0000C4470000}"/>
    <cellStyle name="40% - Accent4 4 3 2 2 2 2 3" xfId="18934" xr:uid="{00000000-0005-0000-0000-0000C5470000}"/>
    <cellStyle name="40% - Accent4 4 3 2 2 2 3" xfId="18935" xr:uid="{00000000-0005-0000-0000-0000C6470000}"/>
    <cellStyle name="40% - Accent4 4 3 2 2 2 4" xfId="18936" xr:uid="{00000000-0005-0000-0000-0000C7470000}"/>
    <cellStyle name="40% - Accent4 4 3 2 2 2 5" xfId="18937" xr:uid="{00000000-0005-0000-0000-0000C8470000}"/>
    <cellStyle name="40% - Accent4 4 3 2 2 2 6" xfId="18938" xr:uid="{00000000-0005-0000-0000-0000C9470000}"/>
    <cellStyle name="40% - Accent4 4 3 2 2 3" xfId="18939" xr:uid="{00000000-0005-0000-0000-0000CA470000}"/>
    <cellStyle name="40% - Accent4 4 3 2 2 3 2" xfId="18940" xr:uid="{00000000-0005-0000-0000-0000CB470000}"/>
    <cellStyle name="40% - Accent4 4 3 2 2 3 2 2" xfId="18941" xr:uid="{00000000-0005-0000-0000-0000CC470000}"/>
    <cellStyle name="40% - Accent4 4 3 2 2 3 2 3" xfId="18942" xr:uid="{00000000-0005-0000-0000-0000CD470000}"/>
    <cellStyle name="40% - Accent4 4 3 2 2 3 3" xfId="18943" xr:uid="{00000000-0005-0000-0000-0000CE470000}"/>
    <cellStyle name="40% - Accent4 4 3 2 2 3 4" xfId="18944" xr:uid="{00000000-0005-0000-0000-0000CF470000}"/>
    <cellStyle name="40% - Accent4 4 3 2 2 3 5" xfId="18945" xr:uid="{00000000-0005-0000-0000-0000D0470000}"/>
    <cellStyle name="40% - Accent4 4 3 2 2 3 6" xfId="18946" xr:uid="{00000000-0005-0000-0000-0000D1470000}"/>
    <cellStyle name="40% - Accent4 4 3 2 2 4" xfId="18947" xr:uid="{00000000-0005-0000-0000-0000D2470000}"/>
    <cellStyle name="40% - Accent4 4 3 2 2 4 2" xfId="18948" xr:uid="{00000000-0005-0000-0000-0000D3470000}"/>
    <cellStyle name="40% - Accent4 4 3 2 2 4 3" xfId="18949" xr:uid="{00000000-0005-0000-0000-0000D4470000}"/>
    <cellStyle name="40% - Accent4 4 3 2 2 5" xfId="18950" xr:uid="{00000000-0005-0000-0000-0000D5470000}"/>
    <cellStyle name="40% - Accent4 4 3 2 2 6" xfId="18951" xr:uid="{00000000-0005-0000-0000-0000D6470000}"/>
    <cellStyle name="40% - Accent4 4 3 2 2 7" xfId="18952" xr:uid="{00000000-0005-0000-0000-0000D7470000}"/>
    <cellStyle name="40% - Accent4 4 3 2 2 8" xfId="18953" xr:uid="{00000000-0005-0000-0000-0000D8470000}"/>
    <cellStyle name="40% - Accent4 4 3 2 3" xfId="18954" xr:uid="{00000000-0005-0000-0000-0000D9470000}"/>
    <cellStyle name="40% - Accent4 4 3 2 3 2" xfId="18955" xr:uid="{00000000-0005-0000-0000-0000DA470000}"/>
    <cellStyle name="40% - Accent4 4 3 2 3 2 2" xfId="18956" xr:uid="{00000000-0005-0000-0000-0000DB470000}"/>
    <cellStyle name="40% - Accent4 4 3 2 3 2 2 2" xfId="18957" xr:uid="{00000000-0005-0000-0000-0000DC470000}"/>
    <cellStyle name="40% - Accent4 4 3 2 3 2 2 3" xfId="18958" xr:uid="{00000000-0005-0000-0000-0000DD470000}"/>
    <cellStyle name="40% - Accent4 4 3 2 3 2 3" xfId="18959" xr:uid="{00000000-0005-0000-0000-0000DE470000}"/>
    <cellStyle name="40% - Accent4 4 3 2 3 2 4" xfId="18960" xr:uid="{00000000-0005-0000-0000-0000DF470000}"/>
    <cellStyle name="40% - Accent4 4 3 2 3 2 5" xfId="18961" xr:uid="{00000000-0005-0000-0000-0000E0470000}"/>
    <cellStyle name="40% - Accent4 4 3 2 3 2 6" xfId="18962" xr:uid="{00000000-0005-0000-0000-0000E1470000}"/>
    <cellStyle name="40% - Accent4 4 3 2 3 3" xfId="18963" xr:uid="{00000000-0005-0000-0000-0000E2470000}"/>
    <cellStyle name="40% - Accent4 4 3 2 3 3 2" xfId="18964" xr:uid="{00000000-0005-0000-0000-0000E3470000}"/>
    <cellStyle name="40% - Accent4 4 3 2 3 3 3" xfId="18965" xr:uid="{00000000-0005-0000-0000-0000E4470000}"/>
    <cellStyle name="40% - Accent4 4 3 2 3 4" xfId="18966" xr:uid="{00000000-0005-0000-0000-0000E5470000}"/>
    <cellStyle name="40% - Accent4 4 3 2 3 5" xfId="18967" xr:uid="{00000000-0005-0000-0000-0000E6470000}"/>
    <cellStyle name="40% - Accent4 4 3 2 3 6" xfId="18968" xr:uid="{00000000-0005-0000-0000-0000E7470000}"/>
    <cellStyle name="40% - Accent4 4 3 2 3 7" xfId="18969" xr:uid="{00000000-0005-0000-0000-0000E8470000}"/>
    <cellStyle name="40% - Accent4 4 3 2 4" xfId="18970" xr:uid="{00000000-0005-0000-0000-0000E9470000}"/>
    <cellStyle name="40% - Accent4 4 3 2 4 2" xfId="18971" xr:uid="{00000000-0005-0000-0000-0000EA470000}"/>
    <cellStyle name="40% - Accent4 4 3 2 4 2 2" xfId="18972" xr:uid="{00000000-0005-0000-0000-0000EB470000}"/>
    <cellStyle name="40% - Accent4 4 3 2 4 2 3" xfId="18973" xr:uid="{00000000-0005-0000-0000-0000EC470000}"/>
    <cellStyle name="40% - Accent4 4 3 2 4 3" xfId="18974" xr:uid="{00000000-0005-0000-0000-0000ED470000}"/>
    <cellStyle name="40% - Accent4 4 3 2 4 4" xfId="18975" xr:uid="{00000000-0005-0000-0000-0000EE470000}"/>
    <cellStyle name="40% - Accent4 4 3 2 4 5" xfId="18976" xr:uid="{00000000-0005-0000-0000-0000EF470000}"/>
    <cellStyle name="40% - Accent4 4 3 2 4 6" xfId="18977" xr:uid="{00000000-0005-0000-0000-0000F0470000}"/>
    <cellStyle name="40% - Accent4 4 3 2 5" xfId="18978" xr:uid="{00000000-0005-0000-0000-0000F1470000}"/>
    <cellStyle name="40% - Accent4 4 3 2 5 2" xfId="18979" xr:uid="{00000000-0005-0000-0000-0000F2470000}"/>
    <cellStyle name="40% - Accent4 4 3 2 5 2 2" xfId="18980" xr:uid="{00000000-0005-0000-0000-0000F3470000}"/>
    <cellStyle name="40% - Accent4 4 3 2 5 2 3" xfId="18981" xr:uid="{00000000-0005-0000-0000-0000F4470000}"/>
    <cellStyle name="40% - Accent4 4 3 2 5 3" xfId="18982" xr:uid="{00000000-0005-0000-0000-0000F5470000}"/>
    <cellStyle name="40% - Accent4 4 3 2 5 4" xfId="18983" xr:uid="{00000000-0005-0000-0000-0000F6470000}"/>
    <cellStyle name="40% - Accent4 4 3 2 5 5" xfId="18984" xr:uid="{00000000-0005-0000-0000-0000F7470000}"/>
    <cellStyle name="40% - Accent4 4 3 2 5 6" xfId="18985" xr:uid="{00000000-0005-0000-0000-0000F8470000}"/>
    <cellStyle name="40% - Accent4 4 3 2 6" xfId="18986" xr:uid="{00000000-0005-0000-0000-0000F9470000}"/>
    <cellStyle name="40% - Accent4 4 3 2 6 2" xfId="18987" xr:uid="{00000000-0005-0000-0000-0000FA470000}"/>
    <cellStyle name="40% - Accent4 4 3 2 6 3" xfId="18988" xr:uid="{00000000-0005-0000-0000-0000FB470000}"/>
    <cellStyle name="40% - Accent4 4 3 2 7" xfId="18989" xr:uid="{00000000-0005-0000-0000-0000FC470000}"/>
    <cellStyle name="40% - Accent4 4 3 2 8" xfId="18990" xr:uid="{00000000-0005-0000-0000-0000FD470000}"/>
    <cellStyle name="40% - Accent4 4 3 2 9" xfId="18991" xr:uid="{00000000-0005-0000-0000-0000FE470000}"/>
    <cellStyle name="40% - Accent4 4 3 3" xfId="18992" xr:uid="{00000000-0005-0000-0000-0000FF470000}"/>
    <cellStyle name="40% - Accent4 4 3 3 2" xfId="18993" xr:uid="{00000000-0005-0000-0000-000000480000}"/>
    <cellStyle name="40% - Accent4 4 3 3 2 2" xfId="18994" xr:uid="{00000000-0005-0000-0000-000001480000}"/>
    <cellStyle name="40% - Accent4 4 3 3 2 2 2" xfId="18995" xr:uid="{00000000-0005-0000-0000-000002480000}"/>
    <cellStyle name="40% - Accent4 4 3 3 2 2 2 2" xfId="18996" xr:uid="{00000000-0005-0000-0000-000003480000}"/>
    <cellStyle name="40% - Accent4 4 3 3 2 2 2 3" xfId="18997" xr:uid="{00000000-0005-0000-0000-000004480000}"/>
    <cellStyle name="40% - Accent4 4 3 3 2 2 3" xfId="18998" xr:uid="{00000000-0005-0000-0000-000005480000}"/>
    <cellStyle name="40% - Accent4 4 3 3 2 2 4" xfId="18999" xr:uid="{00000000-0005-0000-0000-000006480000}"/>
    <cellStyle name="40% - Accent4 4 3 3 2 2 5" xfId="19000" xr:uid="{00000000-0005-0000-0000-000007480000}"/>
    <cellStyle name="40% - Accent4 4 3 3 2 2 6" xfId="19001" xr:uid="{00000000-0005-0000-0000-000008480000}"/>
    <cellStyle name="40% - Accent4 4 3 3 2 3" xfId="19002" xr:uid="{00000000-0005-0000-0000-000009480000}"/>
    <cellStyle name="40% - Accent4 4 3 3 2 3 2" xfId="19003" xr:uid="{00000000-0005-0000-0000-00000A480000}"/>
    <cellStyle name="40% - Accent4 4 3 3 2 3 3" xfId="19004" xr:uid="{00000000-0005-0000-0000-00000B480000}"/>
    <cellStyle name="40% - Accent4 4 3 3 2 4" xfId="19005" xr:uid="{00000000-0005-0000-0000-00000C480000}"/>
    <cellStyle name="40% - Accent4 4 3 3 2 5" xfId="19006" xr:uid="{00000000-0005-0000-0000-00000D480000}"/>
    <cellStyle name="40% - Accent4 4 3 3 2 6" xfId="19007" xr:uid="{00000000-0005-0000-0000-00000E480000}"/>
    <cellStyle name="40% - Accent4 4 3 3 2 7" xfId="19008" xr:uid="{00000000-0005-0000-0000-00000F480000}"/>
    <cellStyle name="40% - Accent4 4 3 3 3" xfId="19009" xr:uid="{00000000-0005-0000-0000-000010480000}"/>
    <cellStyle name="40% - Accent4 4 3 3 3 2" xfId="19010" xr:uid="{00000000-0005-0000-0000-000011480000}"/>
    <cellStyle name="40% - Accent4 4 3 3 3 2 2" xfId="19011" xr:uid="{00000000-0005-0000-0000-000012480000}"/>
    <cellStyle name="40% - Accent4 4 3 3 3 2 3" xfId="19012" xr:uid="{00000000-0005-0000-0000-000013480000}"/>
    <cellStyle name="40% - Accent4 4 3 3 3 3" xfId="19013" xr:uid="{00000000-0005-0000-0000-000014480000}"/>
    <cellStyle name="40% - Accent4 4 3 3 3 4" xfId="19014" xr:uid="{00000000-0005-0000-0000-000015480000}"/>
    <cellStyle name="40% - Accent4 4 3 3 3 5" xfId="19015" xr:uid="{00000000-0005-0000-0000-000016480000}"/>
    <cellStyle name="40% - Accent4 4 3 3 3 6" xfId="19016" xr:uid="{00000000-0005-0000-0000-000017480000}"/>
    <cellStyle name="40% - Accent4 4 3 3 4" xfId="19017" xr:uid="{00000000-0005-0000-0000-000018480000}"/>
    <cellStyle name="40% - Accent4 4 3 3 4 2" xfId="19018" xr:uid="{00000000-0005-0000-0000-000019480000}"/>
    <cellStyle name="40% - Accent4 4 3 3 4 2 2" xfId="19019" xr:uid="{00000000-0005-0000-0000-00001A480000}"/>
    <cellStyle name="40% - Accent4 4 3 3 4 2 3" xfId="19020" xr:uid="{00000000-0005-0000-0000-00001B480000}"/>
    <cellStyle name="40% - Accent4 4 3 3 4 3" xfId="19021" xr:uid="{00000000-0005-0000-0000-00001C480000}"/>
    <cellStyle name="40% - Accent4 4 3 3 4 4" xfId="19022" xr:uid="{00000000-0005-0000-0000-00001D480000}"/>
    <cellStyle name="40% - Accent4 4 3 3 4 5" xfId="19023" xr:uid="{00000000-0005-0000-0000-00001E480000}"/>
    <cellStyle name="40% - Accent4 4 3 3 4 6" xfId="19024" xr:uid="{00000000-0005-0000-0000-00001F480000}"/>
    <cellStyle name="40% - Accent4 4 3 3 5" xfId="19025" xr:uid="{00000000-0005-0000-0000-000020480000}"/>
    <cellStyle name="40% - Accent4 4 3 3 5 2" xfId="19026" xr:uid="{00000000-0005-0000-0000-000021480000}"/>
    <cellStyle name="40% - Accent4 4 3 3 5 3" xfId="19027" xr:uid="{00000000-0005-0000-0000-000022480000}"/>
    <cellStyle name="40% - Accent4 4 3 3 6" xfId="19028" xr:uid="{00000000-0005-0000-0000-000023480000}"/>
    <cellStyle name="40% - Accent4 4 3 3 7" xfId="19029" xr:uid="{00000000-0005-0000-0000-000024480000}"/>
    <cellStyle name="40% - Accent4 4 3 3 8" xfId="19030" xr:uid="{00000000-0005-0000-0000-000025480000}"/>
    <cellStyle name="40% - Accent4 4 3 3 9" xfId="19031" xr:uid="{00000000-0005-0000-0000-000026480000}"/>
    <cellStyle name="40% - Accent4 4 3 4" xfId="19032" xr:uid="{00000000-0005-0000-0000-000027480000}"/>
    <cellStyle name="40% - Accent4 4 3 4 2" xfId="19033" xr:uid="{00000000-0005-0000-0000-000028480000}"/>
    <cellStyle name="40% - Accent4 4 3 4 2 2" xfId="19034" xr:uid="{00000000-0005-0000-0000-000029480000}"/>
    <cellStyle name="40% - Accent4 4 3 4 2 2 2" xfId="19035" xr:uid="{00000000-0005-0000-0000-00002A480000}"/>
    <cellStyle name="40% - Accent4 4 3 4 2 2 3" xfId="19036" xr:uid="{00000000-0005-0000-0000-00002B480000}"/>
    <cellStyle name="40% - Accent4 4 3 4 2 3" xfId="19037" xr:uid="{00000000-0005-0000-0000-00002C480000}"/>
    <cellStyle name="40% - Accent4 4 3 4 2 4" xfId="19038" xr:uid="{00000000-0005-0000-0000-00002D480000}"/>
    <cellStyle name="40% - Accent4 4 3 4 2 5" xfId="19039" xr:uid="{00000000-0005-0000-0000-00002E480000}"/>
    <cellStyle name="40% - Accent4 4 3 4 2 6" xfId="19040" xr:uid="{00000000-0005-0000-0000-00002F480000}"/>
    <cellStyle name="40% - Accent4 4 3 4 3" xfId="19041" xr:uid="{00000000-0005-0000-0000-000030480000}"/>
    <cellStyle name="40% - Accent4 4 3 4 3 2" xfId="19042" xr:uid="{00000000-0005-0000-0000-000031480000}"/>
    <cellStyle name="40% - Accent4 4 3 4 3 3" xfId="19043" xr:uid="{00000000-0005-0000-0000-000032480000}"/>
    <cellStyle name="40% - Accent4 4 3 4 4" xfId="19044" xr:uid="{00000000-0005-0000-0000-000033480000}"/>
    <cellStyle name="40% - Accent4 4 3 4 5" xfId="19045" xr:uid="{00000000-0005-0000-0000-000034480000}"/>
    <cellStyle name="40% - Accent4 4 3 4 6" xfId="19046" xr:uid="{00000000-0005-0000-0000-000035480000}"/>
    <cellStyle name="40% - Accent4 4 3 4 7" xfId="19047" xr:uid="{00000000-0005-0000-0000-000036480000}"/>
    <cellStyle name="40% - Accent4 4 3 5" xfId="19048" xr:uid="{00000000-0005-0000-0000-000037480000}"/>
    <cellStyle name="40% - Accent4 4 3 5 2" xfId="19049" xr:uid="{00000000-0005-0000-0000-000038480000}"/>
    <cellStyle name="40% - Accent4 4 3 5 2 2" xfId="19050" xr:uid="{00000000-0005-0000-0000-000039480000}"/>
    <cellStyle name="40% - Accent4 4 3 5 2 3" xfId="19051" xr:uid="{00000000-0005-0000-0000-00003A480000}"/>
    <cellStyle name="40% - Accent4 4 3 5 3" xfId="19052" xr:uid="{00000000-0005-0000-0000-00003B480000}"/>
    <cellStyle name="40% - Accent4 4 3 5 4" xfId="19053" xr:uid="{00000000-0005-0000-0000-00003C480000}"/>
    <cellStyle name="40% - Accent4 4 3 5 5" xfId="19054" xr:uid="{00000000-0005-0000-0000-00003D480000}"/>
    <cellStyle name="40% - Accent4 4 3 5 6" xfId="19055" xr:uid="{00000000-0005-0000-0000-00003E480000}"/>
    <cellStyle name="40% - Accent4 4 3 6" xfId="19056" xr:uid="{00000000-0005-0000-0000-00003F480000}"/>
    <cellStyle name="40% - Accent4 4 3 6 2" xfId="19057" xr:uid="{00000000-0005-0000-0000-000040480000}"/>
    <cellStyle name="40% - Accent4 4 3 6 2 2" xfId="19058" xr:uid="{00000000-0005-0000-0000-000041480000}"/>
    <cellStyle name="40% - Accent4 4 3 6 2 3" xfId="19059" xr:uid="{00000000-0005-0000-0000-000042480000}"/>
    <cellStyle name="40% - Accent4 4 3 6 3" xfId="19060" xr:uid="{00000000-0005-0000-0000-000043480000}"/>
    <cellStyle name="40% - Accent4 4 3 6 4" xfId="19061" xr:uid="{00000000-0005-0000-0000-000044480000}"/>
    <cellStyle name="40% - Accent4 4 3 6 5" xfId="19062" xr:uid="{00000000-0005-0000-0000-000045480000}"/>
    <cellStyle name="40% - Accent4 4 3 6 6" xfId="19063" xr:uid="{00000000-0005-0000-0000-000046480000}"/>
    <cellStyle name="40% - Accent4 4 3 7" xfId="19064" xr:uid="{00000000-0005-0000-0000-000047480000}"/>
    <cellStyle name="40% - Accent4 4 3 7 2" xfId="19065" xr:uid="{00000000-0005-0000-0000-000048480000}"/>
    <cellStyle name="40% - Accent4 4 3 7 2 2" xfId="19066" xr:uid="{00000000-0005-0000-0000-000049480000}"/>
    <cellStyle name="40% - Accent4 4 3 7 2 3" xfId="19067" xr:uid="{00000000-0005-0000-0000-00004A480000}"/>
    <cellStyle name="40% - Accent4 4 3 7 3" xfId="19068" xr:uid="{00000000-0005-0000-0000-00004B480000}"/>
    <cellStyle name="40% - Accent4 4 3 7 4" xfId="19069" xr:uid="{00000000-0005-0000-0000-00004C480000}"/>
    <cellStyle name="40% - Accent4 4 3 7 5" xfId="19070" xr:uid="{00000000-0005-0000-0000-00004D480000}"/>
    <cellStyle name="40% - Accent4 4 3 7 6" xfId="19071" xr:uid="{00000000-0005-0000-0000-00004E480000}"/>
    <cellStyle name="40% - Accent4 4 3 8" xfId="19072" xr:uid="{00000000-0005-0000-0000-00004F480000}"/>
    <cellStyle name="40% - Accent4 4 3 8 2" xfId="19073" xr:uid="{00000000-0005-0000-0000-000050480000}"/>
    <cellStyle name="40% - Accent4 4 3 8 2 2" xfId="19074" xr:uid="{00000000-0005-0000-0000-000051480000}"/>
    <cellStyle name="40% - Accent4 4 3 8 2 3" xfId="19075" xr:uid="{00000000-0005-0000-0000-000052480000}"/>
    <cellStyle name="40% - Accent4 4 3 8 3" xfId="19076" xr:uid="{00000000-0005-0000-0000-000053480000}"/>
    <cellStyle name="40% - Accent4 4 3 8 4" xfId="19077" xr:uid="{00000000-0005-0000-0000-000054480000}"/>
    <cellStyle name="40% - Accent4 4 3 8 5" xfId="19078" xr:uid="{00000000-0005-0000-0000-000055480000}"/>
    <cellStyle name="40% - Accent4 4 3 8 6" xfId="19079" xr:uid="{00000000-0005-0000-0000-000056480000}"/>
    <cellStyle name="40% - Accent4 4 3 9" xfId="19080" xr:uid="{00000000-0005-0000-0000-000057480000}"/>
    <cellStyle name="40% - Accent4 4 3 9 2" xfId="19081" xr:uid="{00000000-0005-0000-0000-000058480000}"/>
    <cellStyle name="40% - Accent4 4 3 9 3" xfId="19082" xr:uid="{00000000-0005-0000-0000-000059480000}"/>
    <cellStyle name="40% - Accent4 4 4" xfId="19083" xr:uid="{00000000-0005-0000-0000-00005A480000}"/>
    <cellStyle name="40% - Accent4 4 4 10" xfId="19084" xr:uid="{00000000-0005-0000-0000-00005B480000}"/>
    <cellStyle name="40% - Accent4 4 4 2" xfId="19085" xr:uid="{00000000-0005-0000-0000-00005C480000}"/>
    <cellStyle name="40% - Accent4 4 4 2 2" xfId="19086" xr:uid="{00000000-0005-0000-0000-00005D480000}"/>
    <cellStyle name="40% - Accent4 4 4 2 2 2" xfId="19087" xr:uid="{00000000-0005-0000-0000-00005E480000}"/>
    <cellStyle name="40% - Accent4 4 4 2 2 2 2" xfId="19088" xr:uid="{00000000-0005-0000-0000-00005F480000}"/>
    <cellStyle name="40% - Accent4 4 4 2 2 2 3" xfId="19089" xr:uid="{00000000-0005-0000-0000-000060480000}"/>
    <cellStyle name="40% - Accent4 4 4 2 2 3" xfId="19090" xr:uid="{00000000-0005-0000-0000-000061480000}"/>
    <cellStyle name="40% - Accent4 4 4 2 2 4" xfId="19091" xr:uid="{00000000-0005-0000-0000-000062480000}"/>
    <cellStyle name="40% - Accent4 4 4 2 2 5" xfId="19092" xr:uid="{00000000-0005-0000-0000-000063480000}"/>
    <cellStyle name="40% - Accent4 4 4 2 2 6" xfId="19093" xr:uid="{00000000-0005-0000-0000-000064480000}"/>
    <cellStyle name="40% - Accent4 4 4 2 3" xfId="19094" xr:uid="{00000000-0005-0000-0000-000065480000}"/>
    <cellStyle name="40% - Accent4 4 4 2 3 2" xfId="19095" xr:uid="{00000000-0005-0000-0000-000066480000}"/>
    <cellStyle name="40% - Accent4 4 4 2 3 2 2" xfId="19096" xr:uid="{00000000-0005-0000-0000-000067480000}"/>
    <cellStyle name="40% - Accent4 4 4 2 3 2 3" xfId="19097" xr:uid="{00000000-0005-0000-0000-000068480000}"/>
    <cellStyle name="40% - Accent4 4 4 2 3 3" xfId="19098" xr:uid="{00000000-0005-0000-0000-000069480000}"/>
    <cellStyle name="40% - Accent4 4 4 2 3 4" xfId="19099" xr:uid="{00000000-0005-0000-0000-00006A480000}"/>
    <cellStyle name="40% - Accent4 4 4 2 3 5" xfId="19100" xr:uid="{00000000-0005-0000-0000-00006B480000}"/>
    <cellStyle name="40% - Accent4 4 4 2 3 6" xfId="19101" xr:uid="{00000000-0005-0000-0000-00006C480000}"/>
    <cellStyle name="40% - Accent4 4 4 2 4" xfId="19102" xr:uid="{00000000-0005-0000-0000-00006D480000}"/>
    <cellStyle name="40% - Accent4 4 4 2 4 2" xfId="19103" xr:uid="{00000000-0005-0000-0000-00006E480000}"/>
    <cellStyle name="40% - Accent4 4 4 2 4 3" xfId="19104" xr:uid="{00000000-0005-0000-0000-00006F480000}"/>
    <cellStyle name="40% - Accent4 4 4 2 5" xfId="19105" xr:uid="{00000000-0005-0000-0000-000070480000}"/>
    <cellStyle name="40% - Accent4 4 4 2 6" xfId="19106" xr:uid="{00000000-0005-0000-0000-000071480000}"/>
    <cellStyle name="40% - Accent4 4 4 2 7" xfId="19107" xr:uid="{00000000-0005-0000-0000-000072480000}"/>
    <cellStyle name="40% - Accent4 4 4 2 8" xfId="19108" xr:uid="{00000000-0005-0000-0000-000073480000}"/>
    <cellStyle name="40% - Accent4 4 4 3" xfId="19109" xr:uid="{00000000-0005-0000-0000-000074480000}"/>
    <cellStyle name="40% - Accent4 4 4 3 2" xfId="19110" xr:uid="{00000000-0005-0000-0000-000075480000}"/>
    <cellStyle name="40% - Accent4 4 4 3 2 2" xfId="19111" xr:uid="{00000000-0005-0000-0000-000076480000}"/>
    <cellStyle name="40% - Accent4 4 4 3 2 2 2" xfId="19112" xr:uid="{00000000-0005-0000-0000-000077480000}"/>
    <cellStyle name="40% - Accent4 4 4 3 2 2 3" xfId="19113" xr:uid="{00000000-0005-0000-0000-000078480000}"/>
    <cellStyle name="40% - Accent4 4 4 3 2 3" xfId="19114" xr:uid="{00000000-0005-0000-0000-000079480000}"/>
    <cellStyle name="40% - Accent4 4 4 3 2 4" xfId="19115" xr:uid="{00000000-0005-0000-0000-00007A480000}"/>
    <cellStyle name="40% - Accent4 4 4 3 2 5" xfId="19116" xr:uid="{00000000-0005-0000-0000-00007B480000}"/>
    <cellStyle name="40% - Accent4 4 4 3 2 6" xfId="19117" xr:uid="{00000000-0005-0000-0000-00007C480000}"/>
    <cellStyle name="40% - Accent4 4 4 3 3" xfId="19118" xr:uid="{00000000-0005-0000-0000-00007D480000}"/>
    <cellStyle name="40% - Accent4 4 4 3 3 2" xfId="19119" xr:uid="{00000000-0005-0000-0000-00007E480000}"/>
    <cellStyle name="40% - Accent4 4 4 3 3 3" xfId="19120" xr:uid="{00000000-0005-0000-0000-00007F480000}"/>
    <cellStyle name="40% - Accent4 4 4 3 4" xfId="19121" xr:uid="{00000000-0005-0000-0000-000080480000}"/>
    <cellStyle name="40% - Accent4 4 4 3 5" xfId="19122" xr:uid="{00000000-0005-0000-0000-000081480000}"/>
    <cellStyle name="40% - Accent4 4 4 3 6" xfId="19123" xr:uid="{00000000-0005-0000-0000-000082480000}"/>
    <cellStyle name="40% - Accent4 4 4 3 7" xfId="19124" xr:uid="{00000000-0005-0000-0000-000083480000}"/>
    <cellStyle name="40% - Accent4 4 4 4" xfId="19125" xr:uid="{00000000-0005-0000-0000-000084480000}"/>
    <cellStyle name="40% - Accent4 4 4 4 2" xfId="19126" xr:uid="{00000000-0005-0000-0000-000085480000}"/>
    <cellStyle name="40% - Accent4 4 4 4 2 2" xfId="19127" xr:uid="{00000000-0005-0000-0000-000086480000}"/>
    <cellStyle name="40% - Accent4 4 4 4 2 3" xfId="19128" xr:uid="{00000000-0005-0000-0000-000087480000}"/>
    <cellStyle name="40% - Accent4 4 4 4 3" xfId="19129" xr:uid="{00000000-0005-0000-0000-000088480000}"/>
    <cellStyle name="40% - Accent4 4 4 4 4" xfId="19130" xr:uid="{00000000-0005-0000-0000-000089480000}"/>
    <cellStyle name="40% - Accent4 4 4 4 5" xfId="19131" xr:uid="{00000000-0005-0000-0000-00008A480000}"/>
    <cellStyle name="40% - Accent4 4 4 4 6" xfId="19132" xr:uid="{00000000-0005-0000-0000-00008B480000}"/>
    <cellStyle name="40% - Accent4 4 4 5" xfId="19133" xr:uid="{00000000-0005-0000-0000-00008C480000}"/>
    <cellStyle name="40% - Accent4 4 4 5 2" xfId="19134" xr:uid="{00000000-0005-0000-0000-00008D480000}"/>
    <cellStyle name="40% - Accent4 4 4 5 2 2" xfId="19135" xr:uid="{00000000-0005-0000-0000-00008E480000}"/>
    <cellStyle name="40% - Accent4 4 4 5 2 3" xfId="19136" xr:uid="{00000000-0005-0000-0000-00008F480000}"/>
    <cellStyle name="40% - Accent4 4 4 5 3" xfId="19137" xr:uid="{00000000-0005-0000-0000-000090480000}"/>
    <cellStyle name="40% - Accent4 4 4 5 4" xfId="19138" xr:uid="{00000000-0005-0000-0000-000091480000}"/>
    <cellStyle name="40% - Accent4 4 4 5 5" xfId="19139" xr:uid="{00000000-0005-0000-0000-000092480000}"/>
    <cellStyle name="40% - Accent4 4 4 5 6" xfId="19140" xr:uid="{00000000-0005-0000-0000-000093480000}"/>
    <cellStyle name="40% - Accent4 4 4 6" xfId="19141" xr:uid="{00000000-0005-0000-0000-000094480000}"/>
    <cellStyle name="40% - Accent4 4 4 6 2" xfId="19142" xr:uid="{00000000-0005-0000-0000-000095480000}"/>
    <cellStyle name="40% - Accent4 4 4 6 3" xfId="19143" xr:uid="{00000000-0005-0000-0000-000096480000}"/>
    <cellStyle name="40% - Accent4 4 4 7" xfId="19144" xr:uid="{00000000-0005-0000-0000-000097480000}"/>
    <cellStyle name="40% - Accent4 4 4 8" xfId="19145" xr:uid="{00000000-0005-0000-0000-000098480000}"/>
    <cellStyle name="40% - Accent4 4 4 9" xfId="19146" xr:uid="{00000000-0005-0000-0000-000099480000}"/>
    <cellStyle name="40% - Accent4 4 5" xfId="19147" xr:uid="{00000000-0005-0000-0000-00009A480000}"/>
    <cellStyle name="40% - Accent4 4 5 2" xfId="19148" xr:uid="{00000000-0005-0000-0000-00009B480000}"/>
    <cellStyle name="40% - Accent4 4 5 2 2" xfId="19149" xr:uid="{00000000-0005-0000-0000-00009C480000}"/>
    <cellStyle name="40% - Accent4 4 5 2 2 2" xfId="19150" xr:uid="{00000000-0005-0000-0000-00009D480000}"/>
    <cellStyle name="40% - Accent4 4 5 2 2 2 2" xfId="19151" xr:uid="{00000000-0005-0000-0000-00009E480000}"/>
    <cellStyle name="40% - Accent4 4 5 2 2 2 3" xfId="19152" xr:uid="{00000000-0005-0000-0000-00009F480000}"/>
    <cellStyle name="40% - Accent4 4 5 2 2 3" xfId="19153" xr:uid="{00000000-0005-0000-0000-0000A0480000}"/>
    <cellStyle name="40% - Accent4 4 5 2 2 4" xfId="19154" xr:uid="{00000000-0005-0000-0000-0000A1480000}"/>
    <cellStyle name="40% - Accent4 4 5 2 2 5" xfId="19155" xr:uid="{00000000-0005-0000-0000-0000A2480000}"/>
    <cellStyle name="40% - Accent4 4 5 2 2 6" xfId="19156" xr:uid="{00000000-0005-0000-0000-0000A3480000}"/>
    <cellStyle name="40% - Accent4 4 5 2 3" xfId="19157" xr:uid="{00000000-0005-0000-0000-0000A4480000}"/>
    <cellStyle name="40% - Accent4 4 5 2 3 2" xfId="19158" xr:uid="{00000000-0005-0000-0000-0000A5480000}"/>
    <cellStyle name="40% - Accent4 4 5 2 3 3" xfId="19159" xr:uid="{00000000-0005-0000-0000-0000A6480000}"/>
    <cellStyle name="40% - Accent4 4 5 2 4" xfId="19160" xr:uid="{00000000-0005-0000-0000-0000A7480000}"/>
    <cellStyle name="40% - Accent4 4 5 2 5" xfId="19161" xr:uid="{00000000-0005-0000-0000-0000A8480000}"/>
    <cellStyle name="40% - Accent4 4 5 2 6" xfId="19162" xr:uid="{00000000-0005-0000-0000-0000A9480000}"/>
    <cellStyle name="40% - Accent4 4 5 2 7" xfId="19163" xr:uid="{00000000-0005-0000-0000-0000AA480000}"/>
    <cellStyle name="40% - Accent4 4 5 3" xfId="19164" xr:uid="{00000000-0005-0000-0000-0000AB480000}"/>
    <cellStyle name="40% - Accent4 4 5 3 2" xfId="19165" xr:uid="{00000000-0005-0000-0000-0000AC480000}"/>
    <cellStyle name="40% - Accent4 4 5 3 2 2" xfId="19166" xr:uid="{00000000-0005-0000-0000-0000AD480000}"/>
    <cellStyle name="40% - Accent4 4 5 3 2 3" xfId="19167" xr:uid="{00000000-0005-0000-0000-0000AE480000}"/>
    <cellStyle name="40% - Accent4 4 5 3 3" xfId="19168" xr:uid="{00000000-0005-0000-0000-0000AF480000}"/>
    <cellStyle name="40% - Accent4 4 5 3 4" xfId="19169" xr:uid="{00000000-0005-0000-0000-0000B0480000}"/>
    <cellStyle name="40% - Accent4 4 5 3 5" xfId="19170" xr:uid="{00000000-0005-0000-0000-0000B1480000}"/>
    <cellStyle name="40% - Accent4 4 5 3 6" xfId="19171" xr:uid="{00000000-0005-0000-0000-0000B2480000}"/>
    <cellStyle name="40% - Accent4 4 5 4" xfId="19172" xr:uid="{00000000-0005-0000-0000-0000B3480000}"/>
    <cellStyle name="40% - Accent4 4 5 4 2" xfId="19173" xr:uid="{00000000-0005-0000-0000-0000B4480000}"/>
    <cellStyle name="40% - Accent4 4 5 4 2 2" xfId="19174" xr:uid="{00000000-0005-0000-0000-0000B5480000}"/>
    <cellStyle name="40% - Accent4 4 5 4 2 3" xfId="19175" xr:uid="{00000000-0005-0000-0000-0000B6480000}"/>
    <cellStyle name="40% - Accent4 4 5 4 3" xfId="19176" xr:uid="{00000000-0005-0000-0000-0000B7480000}"/>
    <cellStyle name="40% - Accent4 4 5 4 4" xfId="19177" xr:uid="{00000000-0005-0000-0000-0000B8480000}"/>
    <cellStyle name="40% - Accent4 4 5 4 5" xfId="19178" xr:uid="{00000000-0005-0000-0000-0000B9480000}"/>
    <cellStyle name="40% - Accent4 4 5 4 6" xfId="19179" xr:uid="{00000000-0005-0000-0000-0000BA480000}"/>
    <cellStyle name="40% - Accent4 4 5 5" xfId="19180" xr:uid="{00000000-0005-0000-0000-0000BB480000}"/>
    <cellStyle name="40% - Accent4 4 5 5 2" xfId="19181" xr:uid="{00000000-0005-0000-0000-0000BC480000}"/>
    <cellStyle name="40% - Accent4 4 5 5 3" xfId="19182" xr:uid="{00000000-0005-0000-0000-0000BD480000}"/>
    <cellStyle name="40% - Accent4 4 5 6" xfId="19183" xr:uid="{00000000-0005-0000-0000-0000BE480000}"/>
    <cellStyle name="40% - Accent4 4 5 7" xfId="19184" xr:uid="{00000000-0005-0000-0000-0000BF480000}"/>
    <cellStyle name="40% - Accent4 4 5 8" xfId="19185" xr:uid="{00000000-0005-0000-0000-0000C0480000}"/>
    <cellStyle name="40% - Accent4 4 5 9" xfId="19186" xr:uid="{00000000-0005-0000-0000-0000C1480000}"/>
    <cellStyle name="40% - Accent4 4 6" xfId="19187" xr:uid="{00000000-0005-0000-0000-0000C2480000}"/>
    <cellStyle name="40% - Accent4 4 6 2" xfId="19188" xr:uid="{00000000-0005-0000-0000-0000C3480000}"/>
    <cellStyle name="40% - Accent4 4 6 2 2" xfId="19189" xr:uid="{00000000-0005-0000-0000-0000C4480000}"/>
    <cellStyle name="40% - Accent4 4 6 2 2 2" xfId="19190" xr:uid="{00000000-0005-0000-0000-0000C5480000}"/>
    <cellStyle name="40% - Accent4 4 6 2 2 3" xfId="19191" xr:uid="{00000000-0005-0000-0000-0000C6480000}"/>
    <cellStyle name="40% - Accent4 4 6 2 3" xfId="19192" xr:uid="{00000000-0005-0000-0000-0000C7480000}"/>
    <cellStyle name="40% - Accent4 4 6 2 4" xfId="19193" xr:uid="{00000000-0005-0000-0000-0000C8480000}"/>
    <cellStyle name="40% - Accent4 4 6 2 5" xfId="19194" xr:uid="{00000000-0005-0000-0000-0000C9480000}"/>
    <cellStyle name="40% - Accent4 4 6 2 6" xfId="19195" xr:uid="{00000000-0005-0000-0000-0000CA480000}"/>
    <cellStyle name="40% - Accent4 4 6 3" xfId="19196" xr:uid="{00000000-0005-0000-0000-0000CB480000}"/>
    <cellStyle name="40% - Accent4 4 6 3 2" xfId="19197" xr:uid="{00000000-0005-0000-0000-0000CC480000}"/>
    <cellStyle name="40% - Accent4 4 6 3 3" xfId="19198" xr:uid="{00000000-0005-0000-0000-0000CD480000}"/>
    <cellStyle name="40% - Accent4 4 6 4" xfId="19199" xr:uid="{00000000-0005-0000-0000-0000CE480000}"/>
    <cellStyle name="40% - Accent4 4 6 5" xfId="19200" xr:uid="{00000000-0005-0000-0000-0000CF480000}"/>
    <cellStyle name="40% - Accent4 4 6 6" xfId="19201" xr:uid="{00000000-0005-0000-0000-0000D0480000}"/>
    <cellStyle name="40% - Accent4 4 6 7" xfId="19202" xr:uid="{00000000-0005-0000-0000-0000D1480000}"/>
    <cellStyle name="40% - Accent4 4 7" xfId="19203" xr:uid="{00000000-0005-0000-0000-0000D2480000}"/>
    <cellStyle name="40% - Accent4 4 7 2" xfId="19204" xr:uid="{00000000-0005-0000-0000-0000D3480000}"/>
    <cellStyle name="40% - Accent4 4 7 2 2" xfId="19205" xr:uid="{00000000-0005-0000-0000-0000D4480000}"/>
    <cellStyle name="40% - Accent4 4 7 2 3" xfId="19206" xr:uid="{00000000-0005-0000-0000-0000D5480000}"/>
    <cellStyle name="40% - Accent4 4 7 3" xfId="19207" xr:uid="{00000000-0005-0000-0000-0000D6480000}"/>
    <cellStyle name="40% - Accent4 4 7 4" xfId="19208" xr:uid="{00000000-0005-0000-0000-0000D7480000}"/>
    <cellStyle name="40% - Accent4 4 7 5" xfId="19209" xr:uid="{00000000-0005-0000-0000-0000D8480000}"/>
    <cellStyle name="40% - Accent4 4 7 6" xfId="19210" xr:uid="{00000000-0005-0000-0000-0000D9480000}"/>
    <cellStyle name="40% - Accent4 4 8" xfId="19211" xr:uid="{00000000-0005-0000-0000-0000DA480000}"/>
    <cellStyle name="40% - Accent4 4 8 2" xfId="19212" xr:uid="{00000000-0005-0000-0000-0000DB480000}"/>
    <cellStyle name="40% - Accent4 4 8 2 2" xfId="19213" xr:uid="{00000000-0005-0000-0000-0000DC480000}"/>
    <cellStyle name="40% - Accent4 4 8 2 3" xfId="19214" xr:uid="{00000000-0005-0000-0000-0000DD480000}"/>
    <cellStyle name="40% - Accent4 4 8 3" xfId="19215" xr:uid="{00000000-0005-0000-0000-0000DE480000}"/>
    <cellStyle name="40% - Accent4 4 8 4" xfId="19216" xr:uid="{00000000-0005-0000-0000-0000DF480000}"/>
    <cellStyle name="40% - Accent4 4 8 5" xfId="19217" xr:uid="{00000000-0005-0000-0000-0000E0480000}"/>
    <cellStyle name="40% - Accent4 4 8 6" xfId="19218" xr:uid="{00000000-0005-0000-0000-0000E1480000}"/>
    <cellStyle name="40% - Accent4 4 9" xfId="19219" xr:uid="{00000000-0005-0000-0000-0000E2480000}"/>
    <cellStyle name="40% - Accent4 4 9 2" xfId="19220" xr:uid="{00000000-0005-0000-0000-0000E3480000}"/>
    <cellStyle name="40% - Accent4 4 9 2 2" xfId="19221" xr:uid="{00000000-0005-0000-0000-0000E4480000}"/>
    <cellStyle name="40% - Accent4 4 9 2 3" xfId="19222" xr:uid="{00000000-0005-0000-0000-0000E5480000}"/>
    <cellStyle name="40% - Accent4 4 9 3" xfId="19223" xr:uid="{00000000-0005-0000-0000-0000E6480000}"/>
    <cellStyle name="40% - Accent4 4 9 4" xfId="19224" xr:uid="{00000000-0005-0000-0000-0000E7480000}"/>
    <cellStyle name="40% - Accent4 4 9 5" xfId="19225" xr:uid="{00000000-0005-0000-0000-0000E8480000}"/>
    <cellStyle name="40% - Accent4 4 9 6" xfId="19226" xr:uid="{00000000-0005-0000-0000-0000E9480000}"/>
    <cellStyle name="40% - Accent4 5" xfId="19227" xr:uid="{00000000-0005-0000-0000-0000EA480000}"/>
    <cellStyle name="40% - Accent4 5 10" xfId="19228" xr:uid="{00000000-0005-0000-0000-0000EB480000}"/>
    <cellStyle name="40% - Accent4 5 11" xfId="19229" xr:uid="{00000000-0005-0000-0000-0000EC480000}"/>
    <cellStyle name="40% - Accent4 5 12" xfId="19230" xr:uid="{00000000-0005-0000-0000-0000ED480000}"/>
    <cellStyle name="40% - Accent4 5 13" xfId="19231" xr:uid="{00000000-0005-0000-0000-0000EE480000}"/>
    <cellStyle name="40% - Accent4 5 2" xfId="19232" xr:uid="{00000000-0005-0000-0000-0000EF480000}"/>
    <cellStyle name="40% - Accent4 5 2 10" xfId="19233" xr:uid="{00000000-0005-0000-0000-0000F0480000}"/>
    <cellStyle name="40% - Accent4 5 2 2" xfId="19234" xr:uid="{00000000-0005-0000-0000-0000F1480000}"/>
    <cellStyle name="40% - Accent4 5 2 2 2" xfId="19235" xr:uid="{00000000-0005-0000-0000-0000F2480000}"/>
    <cellStyle name="40% - Accent4 5 2 2 2 2" xfId="19236" xr:uid="{00000000-0005-0000-0000-0000F3480000}"/>
    <cellStyle name="40% - Accent4 5 2 2 2 2 2" xfId="19237" xr:uid="{00000000-0005-0000-0000-0000F4480000}"/>
    <cellStyle name="40% - Accent4 5 2 2 2 2 3" xfId="19238" xr:uid="{00000000-0005-0000-0000-0000F5480000}"/>
    <cellStyle name="40% - Accent4 5 2 2 2 3" xfId="19239" xr:uid="{00000000-0005-0000-0000-0000F6480000}"/>
    <cellStyle name="40% - Accent4 5 2 2 2 4" xfId="19240" xr:uid="{00000000-0005-0000-0000-0000F7480000}"/>
    <cellStyle name="40% - Accent4 5 2 2 2 5" xfId="19241" xr:uid="{00000000-0005-0000-0000-0000F8480000}"/>
    <cellStyle name="40% - Accent4 5 2 2 2 6" xfId="19242" xr:uid="{00000000-0005-0000-0000-0000F9480000}"/>
    <cellStyle name="40% - Accent4 5 2 2 3" xfId="19243" xr:uid="{00000000-0005-0000-0000-0000FA480000}"/>
    <cellStyle name="40% - Accent4 5 2 2 3 2" xfId="19244" xr:uid="{00000000-0005-0000-0000-0000FB480000}"/>
    <cellStyle name="40% - Accent4 5 2 2 3 2 2" xfId="19245" xr:uid="{00000000-0005-0000-0000-0000FC480000}"/>
    <cellStyle name="40% - Accent4 5 2 2 3 2 3" xfId="19246" xr:uid="{00000000-0005-0000-0000-0000FD480000}"/>
    <cellStyle name="40% - Accent4 5 2 2 3 3" xfId="19247" xr:uid="{00000000-0005-0000-0000-0000FE480000}"/>
    <cellStyle name="40% - Accent4 5 2 2 3 4" xfId="19248" xr:uid="{00000000-0005-0000-0000-0000FF480000}"/>
    <cellStyle name="40% - Accent4 5 2 2 3 5" xfId="19249" xr:uid="{00000000-0005-0000-0000-000000490000}"/>
    <cellStyle name="40% - Accent4 5 2 2 3 6" xfId="19250" xr:uid="{00000000-0005-0000-0000-000001490000}"/>
    <cellStyle name="40% - Accent4 5 2 2 4" xfId="19251" xr:uid="{00000000-0005-0000-0000-000002490000}"/>
    <cellStyle name="40% - Accent4 5 2 2 4 2" xfId="19252" xr:uid="{00000000-0005-0000-0000-000003490000}"/>
    <cellStyle name="40% - Accent4 5 2 2 4 3" xfId="19253" xr:uid="{00000000-0005-0000-0000-000004490000}"/>
    <cellStyle name="40% - Accent4 5 2 2 5" xfId="19254" xr:uid="{00000000-0005-0000-0000-000005490000}"/>
    <cellStyle name="40% - Accent4 5 2 2 6" xfId="19255" xr:uid="{00000000-0005-0000-0000-000006490000}"/>
    <cellStyle name="40% - Accent4 5 2 2 7" xfId="19256" xr:uid="{00000000-0005-0000-0000-000007490000}"/>
    <cellStyle name="40% - Accent4 5 2 2 8" xfId="19257" xr:uid="{00000000-0005-0000-0000-000008490000}"/>
    <cellStyle name="40% - Accent4 5 2 3" xfId="19258" xr:uid="{00000000-0005-0000-0000-000009490000}"/>
    <cellStyle name="40% - Accent4 5 2 3 2" xfId="19259" xr:uid="{00000000-0005-0000-0000-00000A490000}"/>
    <cellStyle name="40% - Accent4 5 2 3 2 2" xfId="19260" xr:uid="{00000000-0005-0000-0000-00000B490000}"/>
    <cellStyle name="40% - Accent4 5 2 3 2 2 2" xfId="19261" xr:uid="{00000000-0005-0000-0000-00000C490000}"/>
    <cellStyle name="40% - Accent4 5 2 3 2 2 3" xfId="19262" xr:uid="{00000000-0005-0000-0000-00000D490000}"/>
    <cellStyle name="40% - Accent4 5 2 3 2 3" xfId="19263" xr:uid="{00000000-0005-0000-0000-00000E490000}"/>
    <cellStyle name="40% - Accent4 5 2 3 2 4" xfId="19264" xr:uid="{00000000-0005-0000-0000-00000F490000}"/>
    <cellStyle name="40% - Accent4 5 2 3 2 5" xfId="19265" xr:uid="{00000000-0005-0000-0000-000010490000}"/>
    <cellStyle name="40% - Accent4 5 2 3 2 6" xfId="19266" xr:uid="{00000000-0005-0000-0000-000011490000}"/>
    <cellStyle name="40% - Accent4 5 2 3 3" xfId="19267" xr:uid="{00000000-0005-0000-0000-000012490000}"/>
    <cellStyle name="40% - Accent4 5 2 3 3 2" xfId="19268" xr:uid="{00000000-0005-0000-0000-000013490000}"/>
    <cellStyle name="40% - Accent4 5 2 3 3 3" xfId="19269" xr:uid="{00000000-0005-0000-0000-000014490000}"/>
    <cellStyle name="40% - Accent4 5 2 3 4" xfId="19270" xr:uid="{00000000-0005-0000-0000-000015490000}"/>
    <cellStyle name="40% - Accent4 5 2 3 5" xfId="19271" xr:uid="{00000000-0005-0000-0000-000016490000}"/>
    <cellStyle name="40% - Accent4 5 2 3 6" xfId="19272" xr:uid="{00000000-0005-0000-0000-000017490000}"/>
    <cellStyle name="40% - Accent4 5 2 3 7" xfId="19273" xr:uid="{00000000-0005-0000-0000-000018490000}"/>
    <cellStyle name="40% - Accent4 5 2 4" xfId="19274" xr:uid="{00000000-0005-0000-0000-000019490000}"/>
    <cellStyle name="40% - Accent4 5 2 4 2" xfId="19275" xr:uid="{00000000-0005-0000-0000-00001A490000}"/>
    <cellStyle name="40% - Accent4 5 2 4 2 2" xfId="19276" xr:uid="{00000000-0005-0000-0000-00001B490000}"/>
    <cellStyle name="40% - Accent4 5 2 4 2 3" xfId="19277" xr:uid="{00000000-0005-0000-0000-00001C490000}"/>
    <cellStyle name="40% - Accent4 5 2 4 3" xfId="19278" xr:uid="{00000000-0005-0000-0000-00001D490000}"/>
    <cellStyle name="40% - Accent4 5 2 4 4" xfId="19279" xr:uid="{00000000-0005-0000-0000-00001E490000}"/>
    <cellStyle name="40% - Accent4 5 2 4 5" xfId="19280" xr:uid="{00000000-0005-0000-0000-00001F490000}"/>
    <cellStyle name="40% - Accent4 5 2 4 6" xfId="19281" xr:uid="{00000000-0005-0000-0000-000020490000}"/>
    <cellStyle name="40% - Accent4 5 2 5" xfId="19282" xr:uid="{00000000-0005-0000-0000-000021490000}"/>
    <cellStyle name="40% - Accent4 5 2 5 2" xfId="19283" xr:uid="{00000000-0005-0000-0000-000022490000}"/>
    <cellStyle name="40% - Accent4 5 2 5 2 2" xfId="19284" xr:uid="{00000000-0005-0000-0000-000023490000}"/>
    <cellStyle name="40% - Accent4 5 2 5 2 3" xfId="19285" xr:uid="{00000000-0005-0000-0000-000024490000}"/>
    <cellStyle name="40% - Accent4 5 2 5 3" xfId="19286" xr:uid="{00000000-0005-0000-0000-000025490000}"/>
    <cellStyle name="40% - Accent4 5 2 5 4" xfId="19287" xr:uid="{00000000-0005-0000-0000-000026490000}"/>
    <cellStyle name="40% - Accent4 5 2 5 5" xfId="19288" xr:uid="{00000000-0005-0000-0000-000027490000}"/>
    <cellStyle name="40% - Accent4 5 2 5 6" xfId="19289" xr:uid="{00000000-0005-0000-0000-000028490000}"/>
    <cellStyle name="40% - Accent4 5 2 6" xfId="19290" xr:uid="{00000000-0005-0000-0000-000029490000}"/>
    <cellStyle name="40% - Accent4 5 2 6 2" xfId="19291" xr:uid="{00000000-0005-0000-0000-00002A490000}"/>
    <cellStyle name="40% - Accent4 5 2 6 3" xfId="19292" xr:uid="{00000000-0005-0000-0000-00002B490000}"/>
    <cellStyle name="40% - Accent4 5 2 7" xfId="19293" xr:uid="{00000000-0005-0000-0000-00002C490000}"/>
    <cellStyle name="40% - Accent4 5 2 8" xfId="19294" xr:uid="{00000000-0005-0000-0000-00002D490000}"/>
    <cellStyle name="40% - Accent4 5 2 9" xfId="19295" xr:uid="{00000000-0005-0000-0000-00002E490000}"/>
    <cellStyle name="40% - Accent4 5 3" xfId="19296" xr:uid="{00000000-0005-0000-0000-00002F490000}"/>
    <cellStyle name="40% - Accent4 5 3 2" xfId="19297" xr:uid="{00000000-0005-0000-0000-000030490000}"/>
    <cellStyle name="40% - Accent4 5 3 2 2" xfId="19298" xr:uid="{00000000-0005-0000-0000-000031490000}"/>
    <cellStyle name="40% - Accent4 5 3 2 2 2" xfId="19299" xr:uid="{00000000-0005-0000-0000-000032490000}"/>
    <cellStyle name="40% - Accent4 5 3 2 2 2 2" xfId="19300" xr:uid="{00000000-0005-0000-0000-000033490000}"/>
    <cellStyle name="40% - Accent4 5 3 2 2 2 3" xfId="19301" xr:uid="{00000000-0005-0000-0000-000034490000}"/>
    <cellStyle name="40% - Accent4 5 3 2 2 3" xfId="19302" xr:uid="{00000000-0005-0000-0000-000035490000}"/>
    <cellStyle name="40% - Accent4 5 3 2 2 4" xfId="19303" xr:uid="{00000000-0005-0000-0000-000036490000}"/>
    <cellStyle name="40% - Accent4 5 3 2 2 5" xfId="19304" xr:uid="{00000000-0005-0000-0000-000037490000}"/>
    <cellStyle name="40% - Accent4 5 3 2 2 6" xfId="19305" xr:uid="{00000000-0005-0000-0000-000038490000}"/>
    <cellStyle name="40% - Accent4 5 3 2 3" xfId="19306" xr:uid="{00000000-0005-0000-0000-000039490000}"/>
    <cellStyle name="40% - Accent4 5 3 2 3 2" xfId="19307" xr:uid="{00000000-0005-0000-0000-00003A490000}"/>
    <cellStyle name="40% - Accent4 5 3 2 3 3" xfId="19308" xr:uid="{00000000-0005-0000-0000-00003B490000}"/>
    <cellStyle name="40% - Accent4 5 3 2 4" xfId="19309" xr:uid="{00000000-0005-0000-0000-00003C490000}"/>
    <cellStyle name="40% - Accent4 5 3 2 5" xfId="19310" xr:uid="{00000000-0005-0000-0000-00003D490000}"/>
    <cellStyle name="40% - Accent4 5 3 2 6" xfId="19311" xr:uid="{00000000-0005-0000-0000-00003E490000}"/>
    <cellStyle name="40% - Accent4 5 3 2 7" xfId="19312" xr:uid="{00000000-0005-0000-0000-00003F490000}"/>
    <cellStyle name="40% - Accent4 5 3 3" xfId="19313" xr:uid="{00000000-0005-0000-0000-000040490000}"/>
    <cellStyle name="40% - Accent4 5 3 3 2" xfId="19314" xr:uid="{00000000-0005-0000-0000-000041490000}"/>
    <cellStyle name="40% - Accent4 5 3 3 2 2" xfId="19315" xr:uid="{00000000-0005-0000-0000-000042490000}"/>
    <cellStyle name="40% - Accent4 5 3 3 2 3" xfId="19316" xr:uid="{00000000-0005-0000-0000-000043490000}"/>
    <cellStyle name="40% - Accent4 5 3 3 3" xfId="19317" xr:uid="{00000000-0005-0000-0000-000044490000}"/>
    <cellStyle name="40% - Accent4 5 3 3 4" xfId="19318" xr:uid="{00000000-0005-0000-0000-000045490000}"/>
    <cellStyle name="40% - Accent4 5 3 3 5" xfId="19319" xr:uid="{00000000-0005-0000-0000-000046490000}"/>
    <cellStyle name="40% - Accent4 5 3 3 6" xfId="19320" xr:uid="{00000000-0005-0000-0000-000047490000}"/>
    <cellStyle name="40% - Accent4 5 3 4" xfId="19321" xr:uid="{00000000-0005-0000-0000-000048490000}"/>
    <cellStyle name="40% - Accent4 5 3 4 2" xfId="19322" xr:uid="{00000000-0005-0000-0000-000049490000}"/>
    <cellStyle name="40% - Accent4 5 3 4 2 2" xfId="19323" xr:uid="{00000000-0005-0000-0000-00004A490000}"/>
    <cellStyle name="40% - Accent4 5 3 4 2 3" xfId="19324" xr:uid="{00000000-0005-0000-0000-00004B490000}"/>
    <cellStyle name="40% - Accent4 5 3 4 3" xfId="19325" xr:uid="{00000000-0005-0000-0000-00004C490000}"/>
    <cellStyle name="40% - Accent4 5 3 4 4" xfId="19326" xr:uid="{00000000-0005-0000-0000-00004D490000}"/>
    <cellStyle name="40% - Accent4 5 3 4 5" xfId="19327" xr:uid="{00000000-0005-0000-0000-00004E490000}"/>
    <cellStyle name="40% - Accent4 5 3 4 6" xfId="19328" xr:uid="{00000000-0005-0000-0000-00004F490000}"/>
    <cellStyle name="40% - Accent4 5 3 5" xfId="19329" xr:uid="{00000000-0005-0000-0000-000050490000}"/>
    <cellStyle name="40% - Accent4 5 3 5 2" xfId="19330" xr:uid="{00000000-0005-0000-0000-000051490000}"/>
    <cellStyle name="40% - Accent4 5 3 5 3" xfId="19331" xr:uid="{00000000-0005-0000-0000-000052490000}"/>
    <cellStyle name="40% - Accent4 5 3 6" xfId="19332" xr:uid="{00000000-0005-0000-0000-000053490000}"/>
    <cellStyle name="40% - Accent4 5 3 7" xfId="19333" xr:uid="{00000000-0005-0000-0000-000054490000}"/>
    <cellStyle name="40% - Accent4 5 3 8" xfId="19334" xr:uid="{00000000-0005-0000-0000-000055490000}"/>
    <cellStyle name="40% - Accent4 5 3 9" xfId="19335" xr:uid="{00000000-0005-0000-0000-000056490000}"/>
    <cellStyle name="40% - Accent4 5 4" xfId="19336" xr:uid="{00000000-0005-0000-0000-000057490000}"/>
    <cellStyle name="40% - Accent4 5 4 2" xfId="19337" xr:uid="{00000000-0005-0000-0000-000058490000}"/>
    <cellStyle name="40% - Accent4 5 4 2 2" xfId="19338" xr:uid="{00000000-0005-0000-0000-000059490000}"/>
    <cellStyle name="40% - Accent4 5 4 2 2 2" xfId="19339" xr:uid="{00000000-0005-0000-0000-00005A490000}"/>
    <cellStyle name="40% - Accent4 5 4 2 2 3" xfId="19340" xr:uid="{00000000-0005-0000-0000-00005B490000}"/>
    <cellStyle name="40% - Accent4 5 4 2 3" xfId="19341" xr:uid="{00000000-0005-0000-0000-00005C490000}"/>
    <cellStyle name="40% - Accent4 5 4 2 4" xfId="19342" xr:uid="{00000000-0005-0000-0000-00005D490000}"/>
    <cellStyle name="40% - Accent4 5 4 2 5" xfId="19343" xr:uid="{00000000-0005-0000-0000-00005E490000}"/>
    <cellStyle name="40% - Accent4 5 4 2 6" xfId="19344" xr:uid="{00000000-0005-0000-0000-00005F490000}"/>
    <cellStyle name="40% - Accent4 5 4 3" xfId="19345" xr:uid="{00000000-0005-0000-0000-000060490000}"/>
    <cellStyle name="40% - Accent4 5 4 3 2" xfId="19346" xr:uid="{00000000-0005-0000-0000-000061490000}"/>
    <cellStyle name="40% - Accent4 5 4 3 3" xfId="19347" xr:uid="{00000000-0005-0000-0000-000062490000}"/>
    <cellStyle name="40% - Accent4 5 4 4" xfId="19348" xr:uid="{00000000-0005-0000-0000-000063490000}"/>
    <cellStyle name="40% - Accent4 5 4 5" xfId="19349" xr:uid="{00000000-0005-0000-0000-000064490000}"/>
    <cellStyle name="40% - Accent4 5 4 6" xfId="19350" xr:uid="{00000000-0005-0000-0000-000065490000}"/>
    <cellStyle name="40% - Accent4 5 4 7" xfId="19351" xr:uid="{00000000-0005-0000-0000-000066490000}"/>
    <cellStyle name="40% - Accent4 5 5" xfId="19352" xr:uid="{00000000-0005-0000-0000-000067490000}"/>
    <cellStyle name="40% - Accent4 5 5 2" xfId="19353" xr:uid="{00000000-0005-0000-0000-000068490000}"/>
    <cellStyle name="40% - Accent4 5 5 2 2" xfId="19354" xr:uid="{00000000-0005-0000-0000-000069490000}"/>
    <cellStyle name="40% - Accent4 5 5 2 3" xfId="19355" xr:uid="{00000000-0005-0000-0000-00006A490000}"/>
    <cellStyle name="40% - Accent4 5 5 3" xfId="19356" xr:uid="{00000000-0005-0000-0000-00006B490000}"/>
    <cellStyle name="40% - Accent4 5 5 4" xfId="19357" xr:uid="{00000000-0005-0000-0000-00006C490000}"/>
    <cellStyle name="40% - Accent4 5 5 5" xfId="19358" xr:uid="{00000000-0005-0000-0000-00006D490000}"/>
    <cellStyle name="40% - Accent4 5 5 6" xfId="19359" xr:uid="{00000000-0005-0000-0000-00006E490000}"/>
    <cellStyle name="40% - Accent4 5 6" xfId="19360" xr:uid="{00000000-0005-0000-0000-00006F490000}"/>
    <cellStyle name="40% - Accent4 5 6 2" xfId="19361" xr:uid="{00000000-0005-0000-0000-000070490000}"/>
    <cellStyle name="40% - Accent4 5 6 2 2" xfId="19362" xr:uid="{00000000-0005-0000-0000-000071490000}"/>
    <cellStyle name="40% - Accent4 5 6 2 3" xfId="19363" xr:uid="{00000000-0005-0000-0000-000072490000}"/>
    <cellStyle name="40% - Accent4 5 6 3" xfId="19364" xr:uid="{00000000-0005-0000-0000-000073490000}"/>
    <cellStyle name="40% - Accent4 5 6 4" xfId="19365" xr:uid="{00000000-0005-0000-0000-000074490000}"/>
    <cellStyle name="40% - Accent4 5 6 5" xfId="19366" xr:uid="{00000000-0005-0000-0000-000075490000}"/>
    <cellStyle name="40% - Accent4 5 6 6" xfId="19367" xr:uid="{00000000-0005-0000-0000-000076490000}"/>
    <cellStyle name="40% - Accent4 5 7" xfId="19368" xr:uid="{00000000-0005-0000-0000-000077490000}"/>
    <cellStyle name="40% - Accent4 5 7 2" xfId="19369" xr:uid="{00000000-0005-0000-0000-000078490000}"/>
    <cellStyle name="40% - Accent4 5 7 2 2" xfId="19370" xr:uid="{00000000-0005-0000-0000-000079490000}"/>
    <cellStyle name="40% - Accent4 5 7 2 3" xfId="19371" xr:uid="{00000000-0005-0000-0000-00007A490000}"/>
    <cellStyle name="40% - Accent4 5 7 3" xfId="19372" xr:uid="{00000000-0005-0000-0000-00007B490000}"/>
    <cellStyle name="40% - Accent4 5 7 4" xfId="19373" xr:uid="{00000000-0005-0000-0000-00007C490000}"/>
    <cellStyle name="40% - Accent4 5 7 5" xfId="19374" xr:uid="{00000000-0005-0000-0000-00007D490000}"/>
    <cellStyle name="40% - Accent4 5 7 6" xfId="19375" xr:uid="{00000000-0005-0000-0000-00007E490000}"/>
    <cellStyle name="40% - Accent4 5 8" xfId="19376" xr:uid="{00000000-0005-0000-0000-00007F490000}"/>
    <cellStyle name="40% - Accent4 5 8 2" xfId="19377" xr:uid="{00000000-0005-0000-0000-000080490000}"/>
    <cellStyle name="40% - Accent4 5 8 2 2" xfId="19378" xr:uid="{00000000-0005-0000-0000-000081490000}"/>
    <cellStyle name="40% - Accent4 5 8 2 3" xfId="19379" xr:uid="{00000000-0005-0000-0000-000082490000}"/>
    <cellStyle name="40% - Accent4 5 8 3" xfId="19380" xr:uid="{00000000-0005-0000-0000-000083490000}"/>
    <cellStyle name="40% - Accent4 5 8 4" xfId="19381" xr:uid="{00000000-0005-0000-0000-000084490000}"/>
    <cellStyle name="40% - Accent4 5 8 5" xfId="19382" xr:uid="{00000000-0005-0000-0000-000085490000}"/>
    <cellStyle name="40% - Accent4 5 8 6" xfId="19383" xr:uid="{00000000-0005-0000-0000-000086490000}"/>
    <cellStyle name="40% - Accent4 5 9" xfId="19384" xr:uid="{00000000-0005-0000-0000-000087490000}"/>
    <cellStyle name="40% - Accent4 5 9 2" xfId="19385" xr:uid="{00000000-0005-0000-0000-000088490000}"/>
    <cellStyle name="40% - Accent4 5 9 3" xfId="19386" xr:uid="{00000000-0005-0000-0000-000089490000}"/>
    <cellStyle name="40% - Accent4 6" xfId="19387" xr:uid="{00000000-0005-0000-0000-00008A490000}"/>
    <cellStyle name="40% - Accent4 6 10" xfId="19388" xr:uid="{00000000-0005-0000-0000-00008B490000}"/>
    <cellStyle name="40% - Accent4 6 11" xfId="19389" xr:uid="{00000000-0005-0000-0000-00008C490000}"/>
    <cellStyle name="40% - Accent4 6 2" xfId="19390" xr:uid="{00000000-0005-0000-0000-00008D490000}"/>
    <cellStyle name="40% - Accent4 6 2 2" xfId="19391" xr:uid="{00000000-0005-0000-0000-00008E490000}"/>
    <cellStyle name="40% - Accent4 6 2 2 2" xfId="19392" xr:uid="{00000000-0005-0000-0000-00008F490000}"/>
    <cellStyle name="40% - Accent4 6 2 2 2 2" xfId="19393" xr:uid="{00000000-0005-0000-0000-000090490000}"/>
    <cellStyle name="40% - Accent4 6 2 2 2 3" xfId="19394" xr:uid="{00000000-0005-0000-0000-000091490000}"/>
    <cellStyle name="40% - Accent4 6 2 2 3" xfId="19395" xr:uid="{00000000-0005-0000-0000-000092490000}"/>
    <cellStyle name="40% - Accent4 6 2 2 4" xfId="19396" xr:uid="{00000000-0005-0000-0000-000093490000}"/>
    <cellStyle name="40% - Accent4 6 2 2 5" xfId="19397" xr:uid="{00000000-0005-0000-0000-000094490000}"/>
    <cellStyle name="40% - Accent4 6 2 2 6" xfId="19398" xr:uid="{00000000-0005-0000-0000-000095490000}"/>
    <cellStyle name="40% - Accent4 6 2 3" xfId="19399" xr:uid="{00000000-0005-0000-0000-000096490000}"/>
    <cellStyle name="40% - Accent4 6 2 3 2" xfId="19400" xr:uid="{00000000-0005-0000-0000-000097490000}"/>
    <cellStyle name="40% - Accent4 6 2 3 2 2" xfId="19401" xr:uid="{00000000-0005-0000-0000-000098490000}"/>
    <cellStyle name="40% - Accent4 6 2 3 2 3" xfId="19402" xr:uid="{00000000-0005-0000-0000-000099490000}"/>
    <cellStyle name="40% - Accent4 6 2 3 3" xfId="19403" xr:uid="{00000000-0005-0000-0000-00009A490000}"/>
    <cellStyle name="40% - Accent4 6 2 3 4" xfId="19404" xr:uid="{00000000-0005-0000-0000-00009B490000}"/>
    <cellStyle name="40% - Accent4 6 2 3 5" xfId="19405" xr:uid="{00000000-0005-0000-0000-00009C490000}"/>
    <cellStyle name="40% - Accent4 6 2 3 6" xfId="19406" xr:uid="{00000000-0005-0000-0000-00009D490000}"/>
    <cellStyle name="40% - Accent4 6 2 4" xfId="19407" xr:uid="{00000000-0005-0000-0000-00009E490000}"/>
    <cellStyle name="40% - Accent4 6 2 4 2" xfId="19408" xr:uid="{00000000-0005-0000-0000-00009F490000}"/>
    <cellStyle name="40% - Accent4 6 2 4 3" xfId="19409" xr:uid="{00000000-0005-0000-0000-0000A0490000}"/>
    <cellStyle name="40% - Accent4 6 2 5" xfId="19410" xr:uid="{00000000-0005-0000-0000-0000A1490000}"/>
    <cellStyle name="40% - Accent4 6 2 6" xfId="19411" xr:uid="{00000000-0005-0000-0000-0000A2490000}"/>
    <cellStyle name="40% - Accent4 6 2 7" xfId="19412" xr:uid="{00000000-0005-0000-0000-0000A3490000}"/>
    <cellStyle name="40% - Accent4 6 2 8" xfId="19413" xr:uid="{00000000-0005-0000-0000-0000A4490000}"/>
    <cellStyle name="40% - Accent4 6 3" xfId="19414" xr:uid="{00000000-0005-0000-0000-0000A5490000}"/>
    <cellStyle name="40% - Accent4 6 3 2" xfId="19415" xr:uid="{00000000-0005-0000-0000-0000A6490000}"/>
    <cellStyle name="40% - Accent4 6 3 2 2" xfId="19416" xr:uid="{00000000-0005-0000-0000-0000A7490000}"/>
    <cellStyle name="40% - Accent4 6 3 2 2 2" xfId="19417" xr:uid="{00000000-0005-0000-0000-0000A8490000}"/>
    <cellStyle name="40% - Accent4 6 3 2 2 3" xfId="19418" xr:uid="{00000000-0005-0000-0000-0000A9490000}"/>
    <cellStyle name="40% - Accent4 6 3 2 3" xfId="19419" xr:uid="{00000000-0005-0000-0000-0000AA490000}"/>
    <cellStyle name="40% - Accent4 6 3 2 4" xfId="19420" xr:uid="{00000000-0005-0000-0000-0000AB490000}"/>
    <cellStyle name="40% - Accent4 6 3 2 5" xfId="19421" xr:uid="{00000000-0005-0000-0000-0000AC490000}"/>
    <cellStyle name="40% - Accent4 6 3 2 6" xfId="19422" xr:uid="{00000000-0005-0000-0000-0000AD490000}"/>
    <cellStyle name="40% - Accent4 6 3 3" xfId="19423" xr:uid="{00000000-0005-0000-0000-0000AE490000}"/>
    <cellStyle name="40% - Accent4 6 3 3 2" xfId="19424" xr:uid="{00000000-0005-0000-0000-0000AF490000}"/>
    <cellStyle name="40% - Accent4 6 3 3 3" xfId="19425" xr:uid="{00000000-0005-0000-0000-0000B0490000}"/>
    <cellStyle name="40% - Accent4 6 3 4" xfId="19426" xr:uid="{00000000-0005-0000-0000-0000B1490000}"/>
    <cellStyle name="40% - Accent4 6 3 5" xfId="19427" xr:uid="{00000000-0005-0000-0000-0000B2490000}"/>
    <cellStyle name="40% - Accent4 6 3 6" xfId="19428" xr:uid="{00000000-0005-0000-0000-0000B3490000}"/>
    <cellStyle name="40% - Accent4 6 3 7" xfId="19429" xr:uid="{00000000-0005-0000-0000-0000B4490000}"/>
    <cellStyle name="40% - Accent4 6 4" xfId="19430" xr:uid="{00000000-0005-0000-0000-0000B5490000}"/>
    <cellStyle name="40% - Accent4 6 4 2" xfId="19431" xr:uid="{00000000-0005-0000-0000-0000B6490000}"/>
    <cellStyle name="40% - Accent4 6 4 2 2" xfId="19432" xr:uid="{00000000-0005-0000-0000-0000B7490000}"/>
    <cellStyle name="40% - Accent4 6 4 2 3" xfId="19433" xr:uid="{00000000-0005-0000-0000-0000B8490000}"/>
    <cellStyle name="40% - Accent4 6 4 3" xfId="19434" xr:uid="{00000000-0005-0000-0000-0000B9490000}"/>
    <cellStyle name="40% - Accent4 6 4 4" xfId="19435" xr:uid="{00000000-0005-0000-0000-0000BA490000}"/>
    <cellStyle name="40% - Accent4 6 4 5" xfId="19436" xr:uid="{00000000-0005-0000-0000-0000BB490000}"/>
    <cellStyle name="40% - Accent4 6 4 6" xfId="19437" xr:uid="{00000000-0005-0000-0000-0000BC490000}"/>
    <cellStyle name="40% - Accent4 6 5" xfId="19438" xr:uid="{00000000-0005-0000-0000-0000BD490000}"/>
    <cellStyle name="40% - Accent4 6 5 2" xfId="19439" xr:uid="{00000000-0005-0000-0000-0000BE490000}"/>
    <cellStyle name="40% - Accent4 6 5 2 2" xfId="19440" xr:uid="{00000000-0005-0000-0000-0000BF490000}"/>
    <cellStyle name="40% - Accent4 6 5 2 3" xfId="19441" xr:uid="{00000000-0005-0000-0000-0000C0490000}"/>
    <cellStyle name="40% - Accent4 6 5 3" xfId="19442" xr:uid="{00000000-0005-0000-0000-0000C1490000}"/>
    <cellStyle name="40% - Accent4 6 5 4" xfId="19443" xr:uid="{00000000-0005-0000-0000-0000C2490000}"/>
    <cellStyle name="40% - Accent4 6 5 5" xfId="19444" xr:uid="{00000000-0005-0000-0000-0000C3490000}"/>
    <cellStyle name="40% - Accent4 6 5 6" xfId="19445" xr:uid="{00000000-0005-0000-0000-0000C4490000}"/>
    <cellStyle name="40% - Accent4 6 6" xfId="19446" xr:uid="{00000000-0005-0000-0000-0000C5490000}"/>
    <cellStyle name="40% - Accent4 6 6 2" xfId="19447" xr:uid="{00000000-0005-0000-0000-0000C6490000}"/>
    <cellStyle name="40% - Accent4 6 6 2 2" xfId="19448" xr:uid="{00000000-0005-0000-0000-0000C7490000}"/>
    <cellStyle name="40% - Accent4 6 6 2 3" xfId="19449" xr:uid="{00000000-0005-0000-0000-0000C8490000}"/>
    <cellStyle name="40% - Accent4 6 6 3" xfId="19450" xr:uid="{00000000-0005-0000-0000-0000C9490000}"/>
    <cellStyle name="40% - Accent4 6 6 4" xfId="19451" xr:uid="{00000000-0005-0000-0000-0000CA490000}"/>
    <cellStyle name="40% - Accent4 6 6 5" xfId="19452" xr:uid="{00000000-0005-0000-0000-0000CB490000}"/>
    <cellStyle name="40% - Accent4 6 6 6" xfId="19453" xr:uid="{00000000-0005-0000-0000-0000CC490000}"/>
    <cellStyle name="40% - Accent4 6 7" xfId="19454" xr:uid="{00000000-0005-0000-0000-0000CD490000}"/>
    <cellStyle name="40% - Accent4 6 7 2" xfId="19455" xr:uid="{00000000-0005-0000-0000-0000CE490000}"/>
    <cellStyle name="40% - Accent4 6 7 3" xfId="19456" xr:uid="{00000000-0005-0000-0000-0000CF490000}"/>
    <cellStyle name="40% - Accent4 6 8" xfId="19457" xr:uid="{00000000-0005-0000-0000-0000D0490000}"/>
    <cellStyle name="40% - Accent4 6 9" xfId="19458" xr:uid="{00000000-0005-0000-0000-0000D1490000}"/>
    <cellStyle name="40% - Accent4 7" xfId="19459" xr:uid="{00000000-0005-0000-0000-0000D2490000}"/>
    <cellStyle name="40% - Accent4 7 2" xfId="19460" xr:uid="{00000000-0005-0000-0000-0000D3490000}"/>
    <cellStyle name="40% - Accent4 7 2 2" xfId="19461" xr:uid="{00000000-0005-0000-0000-0000D4490000}"/>
    <cellStyle name="40% - Accent4 7 2 3" xfId="19462" xr:uid="{00000000-0005-0000-0000-0000D5490000}"/>
    <cellStyle name="40% - Accent4 7 3" xfId="19463" xr:uid="{00000000-0005-0000-0000-0000D6490000}"/>
    <cellStyle name="40% - Accent4 7 4" xfId="19464" xr:uid="{00000000-0005-0000-0000-0000D7490000}"/>
    <cellStyle name="40% - Accent4 7 5" xfId="19465" xr:uid="{00000000-0005-0000-0000-0000D8490000}"/>
    <cellStyle name="40% - Accent4 7 6" xfId="19466" xr:uid="{00000000-0005-0000-0000-0000D9490000}"/>
    <cellStyle name="40% - Accent4 8" xfId="19467" xr:uid="{00000000-0005-0000-0000-0000DA490000}"/>
    <cellStyle name="40% - Accent4 8 2" xfId="19468" xr:uid="{00000000-0005-0000-0000-0000DB490000}"/>
    <cellStyle name="40% - Accent4 8 2 2" xfId="19469" xr:uid="{00000000-0005-0000-0000-0000DC490000}"/>
    <cellStyle name="40% - Accent4 8 2 3" xfId="19470" xr:uid="{00000000-0005-0000-0000-0000DD490000}"/>
    <cellStyle name="40% - Accent4 8 3" xfId="19471" xr:uid="{00000000-0005-0000-0000-0000DE490000}"/>
    <cellStyle name="40% - Accent4 8 4" xfId="19472" xr:uid="{00000000-0005-0000-0000-0000DF490000}"/>
    <cellStyle name="40% - Accent4 8 5" xfId="19473" xr:uid="{00000000-0005-0000-0000-0000E0490000}"/>
    <cellStyle name="40% - Accent4 8 6" xfId="19474" xr:uid="{00000000-0005-0000-0000-0000E1490000}"/>
    <cellStyle name="40% - Accent4 9" xfId="19475" xr:uid="{00000000-0005-0000-0000-0000E2490000}"/>
    <cellStyle name="40% - Accent4 9 2" xfId="19476" xr:uid="{00000000-0005-0000-0000-0000E3490000}"/>
    <cellStyle name="40% - Accent4 9 2 2" xfId="19477" xr:uid="{00000000-0005-0000-0000-0000E4490000}"/>
    <cellStyle name="40% - Accent4 9 2 3" xfId="19478" xr:uid="{00000000-0005-0000-0000-0000E5490000}"/>
    <cellStyle name="40% - Accent4 9 3" xfId="19479" xr:uid="{00000000-0005-0000-0000-0000E6490000}"/>
    <cellStyle name="40% - Accent4 9 4" xfId="19480" xr:uid="{00000000-0005-0000-0000-0000E7490000}"/>
    <cellStyle name="40% - Accent4 9 5" xfId="19481" xr:uid="{00000000-0005-0000-0000-0000E8490000}"/>
    <cellStyle name="40% - Accent4 9 6" xfId="19482" xr:uid="{00000000-0005-0000-0000-0000E9490000}"/>
    <cellStyle name="40% - Accent5" xfId="38" builtinId="47" customBuiltin="1"/>
    <cellStyle name="40% - Accent5 10" xfId="19483" xr:uid="{00000000-0005-0000-0000-0000EB490000}"/>
    <cellStyle name="40% - Accent5 10 2" xfId="19484" xr:uid="{00000000-0005-0000-0000-0000EC490000}"/>
    <cellStyle name="40% - Accent5 10 2 2" xfId="19485" xr:uid="{00000000-0005-0000-0000-0000ED490000}"/>
    <cellStyle name="40% - Accent5 10 2 3" xfId="19486" xr:uid="{00000000-0005-0000-0000-0000EE490000}"/>
    <cellStyle name="40% - Accent5 10 3" xfId="19487" xr:uid="{00000000-0005-0000-0000-0000EF490000}"/>
    <cellStyle name="40% - Accent5 10 4" xfId="19488" xr:uid="{00000000-0005-0000-0000-0000F0490000}"/>
    <cellStyle name="40% - Accent5 10 5" xfId="19489" xr:uid="{00000000-0005-0000-0000-0000F1490000}"/>
    <cellStyle name="40% - Accent5 10 6" xfId="19490" xr:uid="{00000000-0005-0000-0000-0000F2490000}"/>
    <cellStyle name="40% - Accent5 11" xfId="19491" xr:uid="{00000000-0005-0000-0000-0000F3490000}"/>
    <cellStyle name="40% - Accent5 11 2" xfId="19492" xr:uid="{00000000-0005-0000-0000-0000F4490000}"/>
    <cellStyle name="40% - Accent5 11 2 2" xfId="19493" xr:uid="{00000000-0005-0000-0000-0000F5490000}"/>
    <cellStyle name="40% - Accent5 11 2 3" xfId="19494" xr:uid="{00000000-0005-0000-0000-0000F6490000}"/>
    <cellStyle name="40% - Accent5 11 3" xfId="19495" xr:uid="{00000000-0005-0000-0000-0000F7490000}"/>
    <cellStyle name="40% - Accent5 11 4" xfId="19496" xr:uid="{00000000-0005-0000-0000-0000F8490000}"/>
    <cellStyle name="40% - Accent5 11 5" xfId="19497" xr:uid="{00000000-0005-0000-0000-0000F9490000}"/>
    <cellStyle name="40% - Accent5 11 6" xfId="19498" xr:uid="{00000000-0005-0000-0000-0000FA490000}"/>
    <cellStyle name="40% - Accent5 12" xfId="19499" xr:uid="{00000000-0005-0000-0000-0000FB490000}"/>
    <cellStyle name="40% - Accent5 12 2" xfId="19500" xr:uid="{00000000-0005-0000-0000-0000FC490000}"/>
    <cellStyle name="40% - Accent5 12 2 2" xfId="19501" xr:uid="{00000000-0005-0000-0000-0000FD490000}"/>
    <cellStyle name="40% - Accent5 12 2 3" xfId="19502" xr:uid="{00000000-0005-0000-0000-0000FE490000}"/>
    <cellStyle name="40% - Accent5 12 3" xfId="19503" xr:uid="{00000000-0005-0000-0000-0000FF490000}"/>
    <cellStyle name="40% - Accent5 12 4" xfId="19504" xr:uid="{00000000-0005-0000-0000-0000004A0000}"/>
    <cellStyle name="40% - Accent5 12 5" xfId="19505" xr:uid="{00000000-0005-0000-0000-0000014A0000}"/>
    <cellStyle name="40% - Accent5 12 6" xfId="19506" xr:uid="{00000000-0005-0000-0000-0000024A0000}"/>
    <cellStyle name="40% - Accent5 13" xfId="19507" xr:uid="{00000000-0005-0000-0000-0000034A0000}"/>
    <cellStyle name="40% - Accent5 13 2" xfId="19508" xr:uid="{00000000-0005-0000-0000-0000044A0000}"/>
    <cellStyle name="40% - Accent5 13 3" xfId="19509" xr:uid="{00000000-0005-0000-0000-0000054A0000}"/>
    <cellStyle name="40% - Accent5 14" xfId="19510" xr:uid="{00000000-0005-0000-0000-0000064A0000}"/>
    <cellStyle name="40% - Accent5 15" xfId="19511" xr:uid="{00000000-0005-0000-0000-0000074A0000}"/>
    <cellStyle name="40% - Accent5 16" xfId="19512" xr:uid="{00000000-0005-0000-0000-0000084A0000}"/>
    <cellStyle name="40% - Accent5 17" xfId="19513" xr:uid="{00000000-0005-0000-0000-0000094A0000}"/>
    <cellStyle name="40% - Accent5 18" xfId="19514" xr:uid="{00000000-0005-0000-0000-00000A4A0000}"/>
    <cellStyle name="40% - Accent5 2" xfId="62" xr:uid="{00000000-0005-0000-0000-00000B4A0000}"/>
    <cellStyle name="40% - Accent5 2 2" xfId="309" xr:uid="{00000000-0005-0000-0000-00000C4A0000}"/>
    <cellStyle name="40% - Accent5 2 3" xfId="310" xr:uid="{00000000-0005-0000-0000-00000D4A0000}"/>
    <cellStyle name="40% - Accent5 3" xfId="311" xr:uid="{00000000-0005-0000-0000-00000E4A0000}"/>
    <cellStyle name="40% - Accent5 3 10" xfId="19515" xr:uid="{00000000-0005-0000-0000-00000F4A0000}"/>
    <cellStyle name="40% - Accent5 3 10 2" xfId="19516" xr:uid="{00000000-0005-0000-0000-0000104A0000}"/>
    <cellStyle name="40% - Accent5 3 10 2 2" xfId="19517" xr:uid="{00000000-0005-0000-0000-0000114A0000}"/>
    <cellStyle name="40% - Accent5 3 10 2 3" xfId="19518" xr:uid="{00000000-0005-0000-0000-0000124A0000}"/>
    <cellStyle name="40% - Accent5 3 10 3" xfId="19519" xr:uid="{00000000-0005-0000-0000-0000134A0000}"/>
    <cellStyle name="40% - Accent5 3 10 4" xfId="19520" xr:uid="{00000000-0005-0000-0000-0000144A0000}"/>
    <cellStyle name="40% - Accent5 3 10 5" xfId="19521" xr:uid="{00000000-0005-0000-0000-0000154A0000}"/>
    <cellStyle name="40% - Accent5 3 10 6" xfId="19522" xr:uid="{00000000-0005-0000-0000-0000164A0000}"/>
    <cellStyle name="40% - Accent5 3 11" xfId="19523" xr:uid="{00000000-0005-0000-0000-0000174A0000}"/>
    <cellStyle name="40% - Accent5 3 11 2" xfId="19524" xr:uid="{00000000-0005-0000-0000-0000184A0000}"/>
    <cellStyle name="40% - Accent5 3 11 2 2" xfId="19525" xr:uid="{00000000-0005-0000-0000-0000194A0000}"/>
    <cellStyle name="40% - Accent5 3 11 2 3" xfId="19526" xr:uid="{00000000-0005-0000-0000-00001A4A0000}"/>
    <cellStyle name="40% - Accent5 3 11 3" xfId="19527" xr:uid="{00000000-0005-0000-0000-00001B4A0000}"/>
    <cellStyle name="40% - Accent5 3 11 4" xfId="19528" xr:uid="{00000000-0005-0000-0000-00001C4A0000}"/>
    <cellStyle name="40% - Accent5 3 11 5" xfId="19529" xr:uid="{00000000-0005-0000-0000-00001D4A0000}"/>
    <cellStyle name="40% - Accent5 3 11 6" xfId="19530" xr:uid="{00000000-0005-0000-0000-00001E4A0000}"/>
    <cellStyle name="40% - Accent5 3 12" xfId="19531" xr:uid="{00000000-0005-0000-0000-00001F4A0000}"/>
    <cellStyle name="40% - Accent5 3 12 2" xfId="19532" xr:uid="{00000000-0005-0000-0000-0000204A0000}"/>
    <cellStyle name="40% - Accent5 3 12 3" xfId="19533" xr:uid="{00000000-0005-0000-0000-0000214A0000}"/>
    <cellStyle name="40% - Accent5 3 13" xfId="19534" xr:uid="{00000000-0005-0000-0000-0000224A0000}"/>
    <cellStyle name="40% - Accent5 3 14" xfId="19535" xr:uid="{00000000-0005-0000-0000-0000234A0000}"/>
    <cellStyle name="40% - Accent5 3 15" xfId="19536" xr:uid="{00000000-0005-0000-0000-0000244A0000}"/>
    <cellStyle name="40% - Accent5 3 16" xfId="19537" xr:uid="{00000000-0005-0000-0000-0000254A0000}"/>
    <cellStyle name="40% - Accent5 3 2" xfId="19538" xr:uid="{00000000-0005-0000-0000-0000264A0000}"/>
    <cellStyle name="40% - Accent5 3 2 10" xfId="19539" xr:uid="{00000000-0005-0000-0000-0000274A0000}"/>
    <cellStyle name="40% - Accent5 3 2 10 2" xfId="19540" xr:uid="{00000000-0005-0000-0000-0000284A0000}"/>
    <cellStyle name="40% - Accent5 3 2 10 3" xfId="19541" xr:uid="{00000000-0005-0000-0000-0000294A0000}"/>
    <cellStyle name="40% - Accent5 3 2 11" xfId="19542" xr:uid="{00000000-0005-0000-0000-00002A4A0000}"/>
    <cellStyle name="40% - Accent5 3 2 12" xfId="19543" xr:uid="{00000000-0005-0000-0000-00002B4A0000}"/>
    <cellStyle name="40% - Accent5 3 2 13" xfId="19544" xr:uid="{00000000-0005-0000-0000-00002C4A0000}"/>
    <cellStyle name="40% - Accent5 3 2 14" xfId="19545" xr:uid="{00000000-0005-0000-0000-00002D4A0000}"/>
    <cellStyle name="40% - Accent5 3 2 2" xfId="19546" xr:uid="{00000000-0005-0000-0000-00002E4A0000}"/>
    <cellStyle name="40% - Accent5 3 2 2 10" xfId="19547" xr:uid="{00000000-0005-0000-0000-00002F4A0000}"/>
    <cellStyle name="40% - Accent5 3 2 2 11" xfId="19548" xr:uid="{00000000-0005-0000-0000-0000304A0000}"/>
    <cellStyle name="40% - Accent5 3 2 2 12" xfId="19549" xr:uid="{00000000-0005-0000-0000-0000314A0000}"/>
    <cellStyle name="40% - Accent5 3 2 2 13" xfId="19550" xr:uid="{00000000-0005-0000-0000-0000324A0000}"/>
    <cellStyle name="40% - Accent5 3 2 2 2" xfId="19551" xr:uid="{00000000-0005-0000-0000-0000334A0000}"/>
    <cellStyle name="40% - Accent5 3 2 2 2 10" xfId="19552" xr:uid="{00000000-0005-0000-0000-0000344A0000}"/>
    <cellStyle name="40% - Accent5 3 2 2 2 2" xfId="19553" xr:uid="{00000000-0005-0000-0000-0000354A0000}"/>
    <cellStyle name="40% - Accent5 3 2 2 2 2 2" xfId="19554" xr:uid="{00000000-0005-0000-0000-0000364A0000}"/>
    <cellStyle name="40% - Accent5 3 2 2 2 2 2 2" xfId="19555" xr:uid="{00000000-0005-0000-0000-0000374A0000}"/>
    <cellStyle name="40% - Accent5 3 2 2 2 2 2 2 2" xfId="19556" xr:uid="{00000000-0005-0000-0000-0000384A0000}"/>
    <cellStyle name="40% - Accent5 3 2 2 2 2 2 2 3" xfId="19557" xr:uid="{00000000-0005-0000-0000-0000394A0000}"/>
    <cellStyle name="40% - Accent5 3 2 2 2 2 2 3" xfId="19558" xr:uid="{00000000-0005-0000-0000-00003A4A0000}"/>
    <cellStyle name="40% - Accent5 3 2 2 2 2 2 4" xfId="19559" xr:uid="{00000000-0005-0000-0000-00003B4A0000}"/>
    <cellStyle name="40% - Accent5 3 2 2 2 2 2 5" xfId="19560" xr:uid="{00000000-0005-0000-0000-00003C4A0000}"/>
    <cellStyle name="40% - Accent5 3 2 2 2 2 2 6" xfId="19561" xr:uid="{00000000-0005-0000-0000-00003D4A0000}"/>
    <cellStyle name="40% - Accent5 3 2 2 2 2 3" xfId="19562" xr:uid="{00000000-0005-0000-0000-00003E4A0000}"/>
    <cellStyle name="40% - Accent5 3 2 2 2 2 3 2" xfId="19563" xr:uid="{00000000-0005-0000-0000-00003F4A0000}"/>
    <cellStyle name="40% - Accent5 3 2 2 2 2 3 2 2" xfId="19564" xr:uid="{00000000-0005-0000-0000-0000404A0000}"/>
    <cellStyle name="40% - Accent5 3 2 2 2 2 3 2 3" xfId="19565" xr:uid="{00000000-0005-0000-0000-0000414A0000}"/>
    <cellStyle name="40% - Accent5 3 2 2 2 2 3 3" xfId="19566" xr:uid="{00000000-0005-0000-0000-0000424A0000}"/>
    <cellStyle name="40% - Accent5 3 2 2 2 2 3 4" xfId="19567" xr:uid="{00000000-0005-0000-0000-0000434A0000}"/>
    <cellStyle name="40% - Accent5 3 2 2 2 2 3 5" xfId="19568" xr:uid="{00000000-0005-0000-0000-0000444A0000}"/>
    <cellStyle name="40% - Accent5 3 2 2 2 2 3 6" xfId="19569" xr:uid="{00000000-0005-0000-0000-0000454A0000}"/>
    <cellStyle name="40% - Accent5 3 2 2 2 2 4" xfId="19570" xr:uid="{00000000-0005-0000-0000-0000464A0000}"/>
    <cellStyle name="40% - Accent5 3 2 2 2 2 4 2" xfId="19571" xr:uid="{00000000-0005-0000-0000-0000474A0000}"/>
    <cellStyle name="40% - Accent5 3 2 2 2 2 4 3" xfId="19572" xr:uid="{00000000-0005-0000-0000-0000484A0000}"/>
    <cellStyle name="40% - Accent5 3 2 2 2 2 5" xfId="19573" xr:uid="{00000000-0005-0000-0000-0000494A0000}"/>
    <cellStyle name="40% - Accent5 3 2 2 2 2 6" xfId="19574" xr:uid="{00000000-0005-0000-0000-00004A4A0000}"/>
    <cellStyle name="40% - Accent5 3 2 2 2 2 7" xfId="19575" xr:uid="{00000000-0005-0000-0000-00004B4A0000}"/>
    <cellStyle name="40% - Accent5 3 2 2 2 2 8" xfId="19576" xr:uid="{00000000-0005-0000-0000-00004C4A0000}"/>
    <cellStyle name="40% - Accent5 3 2 2 2 3" xfId="19577" xr:uid="{00000000-0005-0000-0000-00004D4A0000}"/>
    <cellStyle name="40% - Accent5 3 2 2 2 3 2" xfId="19578" xr:uid="{00000000-0005-0000-0000-00004E4A0000}"/>
    <cellStyle name="40% - Accent5 3 2 2 2 3 2 2" xfId="19579" xr:uid="{00000000-0005-0000-0000-00004F4A0000}"/>
    <cellStyle name="40% - Accent5 3 2 2 2 3 2 2 2" xfId="19580" xr:uid="{00000000-0005-0000-0000-0000504A0000}"/>
    <cellStyle name="40% - Accent5 3 2 2 2 3 2 2 3" xfId="19581" xr:uid="{00000000-0005-0000-0000-0000514A0000}"/>
    <cellStyle name="40% - Accent5 3 2 2 2 3 2 3" xfId="19582" xr:uid="{00000000-0005-0000-0000-0000524A0000}"/>
    <cellStyle name="40% - Accent5 3 2 2 2 3 2 4" xfId="19583" xr:uid="{00000000-0005-0000-0000-0000534A0000}"/>
    <cellStyle name="40% - Accent5 3 2 2 2 3 2 5" xfId="19584" xr:uid="{00000000-0005-0000-0000-0000544A0000}"/>
    <cellStyle name="40% - Accent5 3 2 2 2 3 2 6" xfId="19585" xr:uid="{00000000-0005-0000-0000-0000554A0000}"/>
    <cellStyle name="40% - Accent5 3 2 2 2 3 3" xfId="19586" xr:uid="{00000000-0005-0000-0000-0000564A0000}"/>
    <cellStyle name="40% - Accent5 3 2 2 2 3 3 2" xfId="19587" xr:uid="{00000000-0005-0000-0000-0000574A0000}"/>
    <cellStyle name="40% - Accent5 3 2 2 2 3 3 3" xfId="19588" xr:uid="{00000000-0005-0000-0000-0000584A0000}"/>
    <cellStyle name="40% - Accent5 3 2 2 2 3 4" xfId="19589" xr:uid="{00000000-0005-0000-0000-0000594A0000}"/>
    <cellStyle name="40% - Accent5 3 2 2 2 3 5" xfId="19590" xr:uid="{00000000-0005-0000-0000-00005A4A0000}"/>
    <cellStyle name="40% - Accent5 3 2 2 2 3 6" xfId="19591" xr:uid="{00000000-0005-0000-0000-00005B4A0000}"/>
    <cellStyle name="40% - Accent5 3 2 2 2 3 7" xfId="19592" xr:uid="{00000000-0005-0000-0000-00005C4A0000}"/>
    <cellStyle name="40% - Accent5 3 2 2 2 4" xfId="19593" xr:uid="{00000000-0005-0000-0000-00005D4A0000}"/>
    <cellStyle name="40% - Accent5 3 2 2 2 4 2" xfId="19594" xr:uid="{00000000-0005-0000-0000-00005E4A0000}"/>
    <cellStyle name="40% - Accent5 3 2 2 2 4 2 2" xfId="19595" xr:uid="{00000000-0005-0000-0000-00005F4A0000}"/>
    <cellStyle name="40% - Accent5 3 2 2 2 4 2 3" xfId="19596" xr:uid="{00000000-0005-0000-0000-0000604A0000}"/>
    <cellStyle name="40% - Accent5 3 2 2 2 4 3" xfId="19597" xr:uid="{00000000-0005-0000-0000-0000614A0000}"/>
    <cellStyle name="40% - Accent5 3 2 2 2 4 4" xfId="19598" xr:uid="{00000000-0005-0000-0000-0000624A0000}"/>
    <cellStyle name="40% - Accent5 3 2 2 2 4 5" xfId="19599" xr:uid="{00000000-0005-0000-0000-0000634A0000}"/>
    <cellStyle name="40% - Accent5 3 2 2 2 4 6" xfId="19600" xr:uid="{00000000-0005-0000-0000-0000644A0000}"/>
    <cellStyle name="40% - Accent5 3 2 2 2 5" xfId="19601" xr:uid="{00000000-0005-0000-0000-0000654A0000}"/>
    <cellStyle name="40% - Accent5 3 2 2 2 5 2" xfId="19602" xr:uid="{00000000-0005-0000-0000-0000664A0000}"/>
    <cellStyle name="40% - Accent5 3 2 2 2 5 2 2" xfId="19603" xr:uid="{00000000-0005-0000-0000-0000674A0000}"/>
    <cellStyle name="40% - Accent5 3 2 2 2 5 2 3" xfId="19604" xr:uid="{00000000-0005-0000-0000-0000684A0000}"/>
    <cellStyle name="40% - Accent5 3 2 2 2 5 3" xfId="19605" xr:uid="{00000000-0005-0000-0000-0000694A0000}"/>
    <cellStyle name="40% - Accent5 3 2 2 2 5 4" xfId="19606" xr:uid="{00000000-0005-0000-0000-00006A4A0000}"/>
    <cellStyle name="40% - Accent5 3 2 2 2 5 5" xfId="19607" xr:uid="{00000000-0005-0000-0000-00006B4A0000}"/>
    <cellStyle name="40% - Accent5 3 2 2 2 5 6" xfId="19608" xr:uid="{00000000-0005-0000-0000-00006C4A0000}"/>
    <cellStyle name="40% - Accent5 3 2 2 2 6" xfId="19609" xr:uid="{00000000-0005-0000-0000-00006D4A0000}"/>
    <cellStyle name="40% - Accent5 3 2 2 2 6 2" xfId="19610" xr:uid="{00000000-0005-0000-0000-00006E4A0000}"/>
    <cellStyle name="40% - Accent5 3 2 2 2 6 3" xfId="19611" xr:uid="{00000000-0005-0000-0000-00006F4A0000}"/>
    <cellStyle name="40% - Accent5 3 2 2 2 7" xfId="19612" xr:uid="{00000000-0005-0000-0000-0000704A0000}"/>
    <cellStyle name="40% - Accent5 3 2 2 2 8" xfId="19613" xr:uid="{00000000-0005-0000-0000-0000714A0000}"/>
    <cellStyle name="40% - Accent5 3 2 2 2 9" xfId="19614" xr:uid="{00000000-0005-0000-0000-0000724A0000}"/>
    <cellStyle name="40% - Accent5 3 2 2 3" xfId="19615" xr:uid="{00000000-0005-0000-0000-0000734A0000}"/>
    <cellStyle name="40% - Accent5 3 2 2 3 2" xfId="19616" xr:uid="{00000000-0005-0000-0000-0000744A0000}"/>
    <cellStyle name="40% - Accent5 3 2 2 3 2 2" xfId="19617" xr:uid="{00000000-0005-0000-0000-0000754A0000}"/>
    <cellStyle name="40% - Accent5 3 2 2 3 2 2 2" xfId="19618" xr:uid="{00000000-0005-0000-0000-0000764A0000}"/>
    <cellStyle name="40% - Accent5 3 2 2 3 2 2 2 2" xfId="19619" xr:uid="{00000000-0005-0000-0000-0000774A0000}"/>
    <cellStyle name="40% - Accent5 3 2 2 3 2 2 2 3" xfId="19620" xr:uid="{00000000-0005-0000-0000-0000784A0000}"/>
    <cellStyle name="40% - Accent5 3 2 2 3 2 2 3" xfId="19621" xr:uid="{00000000-0005-0000-0000-0000794A0000}"/>
    <cellStyle name="40% - Accent5 3 2 2 3 2 2 4" xfId="19622" xr:uid="{00000000-0005-0000-0000-00007A4A0000}"/>
    <cellStyle name="40% - Accent5 3 2 2 3 2 2 5" xfId="19623" xr:uid="{00000000-0005-0000-0000-00007B4A0000}"/>
    <cellStyle name="40% - Accent5 3 2 2 3 2 2 6" xfId="19624" xr:uid="{00000000-0005-0000-0000-00007C4A0000}"/>
    <cellStyle name="40% - Accent5 3 2 2 3 2 3" xfId="19625" xr:uid="{00000000-0005-0000-0000-00007D4A0000}"/>
    <cellStyle name="40% - Accent5 3 2 2 3 2 3 2" xfId="19626" xr:uid="{00000000-0005-0000-0000-00007E4A0000}"/>
    <cellStyle name="40% - Accent5 3 2 2 3 2 3 3" xfId="19627" xr:uid="{00000000-0005-0000-0000-00007F4A0000}"/>
    <cellStyle name="40% - Accent5 3 2 2 3 2 4" xfId="19628" xr:uid="{00000000-0005-0000-0000-0000804A0000}"/>
    <cellStyle name="40% - Accent5 3 2 2 3 2 5" xfId="19629" xr:uid="{00000000-0005-0000-0000-0000814A0000}"/>
    <cellStyle name="40% - Accent5 3 2 2 3 2 6" xfId="19630" xr:uid="{00000000-0005-0000-0000-0000824A0000}"/>
    <cellStyle name="40% - Accent5 3 2 2 3 2 7" xfId="19631" xr:uid="{00000000-0005-0000-0000-0000834A0000}"/>
    <cellStyle name="40% - Accent5 3 2 2 3 3" xfId="19632" xr:uid="{00000000-0005-0000-0000-0000844A0000}"/>
    <cellStyle name="40% - Accent5 3 2 2 3 3 2" xfId="19633" xr:uid="{00000000-0005-0000-0000-0000854A0000}"/>
    <cellStyle name="40% - Accent5 3 2 2 3 3 2 2" xfId="19634" xr:uid="{00000000-0005-0000-0000-0000864A0000}"/>
    <cellStyle name="40% - Accent5 3 2 2 3 3 2 3" xfId="19635" xr:uid="{00000000-0005-0000-0000-0000874A0000}"/>
    <cellStyle name="40% - Accent5 3 2 2 3 3 3" xfId="19636" xr:uid="{00000000-0005-0000-0000-0000884A0000}"/>
    <cellStyle name="40% - Accent5 3 2 2 3 3 4" xfId="19637" xr:uid="{00000000-0005-0000-0000-0000894A0000}"/>
    <cellStyle name="40% - Accent5 3 2 2 3 3 5" xfId="19638" xr:uid="{00000000-0005-0000-0000-00008A4A0000}"/>
    <cellStyle name="40% - Accent5 3 2 2 3 3 6" xfId="19639" xr:uid="{00000000-0005-0000-0000-00008B4A0000}"/>
    <cellStyle name="40% - Accent5 3 2 2 3 4" xfId="19640" xr:uid="{00000000-0005-0000-0000-00008C4A0000}"/>
    <cellStyle name="40% - Accent5 3 2 2 3 4 2" xfId="19641" xr:uid="{00000000-0005-0000-0000-00008D4A0000}"/>
    <cellStyle name="40% - Accent5 3 2 2 3 4 2 2" xfId="19642" xr:uid="{00000000-0005-0000-0000-00008E4A0000}"/>
    <cellStyle name="40% - Accent5 3 2 2 3 4 2 3" xfId="19643" xr:uid="{00000000-0005-0000-0000-00008F4A0000}"/>
    <cellStyle name="40% - Accent5 3 2 2 3 4 3" xfId="19644" xr:uid="{00000000-0005-0000-0000-0000904A0000}"/>
    <cellStyle name="40% - Accent5 3 2 2 3 4 4" xfId="19645" xr:uid="{00000000-0005-0000-0000-0000914A0000}"/>
    <cellStyle name="40% - Accent5 3 2 2 3 4 5" xfId="19646" xr:uid="{00000000-0005-0000-0000-0000924A0000}"/>
    <cellStyle name="40% - Accent5 3 2 2 3 4 6" xfId="19647" xr:uid="{00000000-0005-0000-0000-0000934A0000}"/>
    <cellStyle name="40% - Accent5 3 2 2 3 5" xfId="19648" xr:uid="{00000000-0005-0000-0000-0000944A0000}"/>
    <cellStyle name="40% - Accent5 3 2 2 3 5 2" xfId="19649" xr:uid="{00000000-0005-0000-0000-0000954A0000}"/>
    <cellStyle name="40% - Accent5 3 2 2 3 5 3" xfId="19650" xr:uid="{00000000-0005-0000-0000-0000964A0000}"/>
    <cellStyle name="40% - Accent5 3 2 2 3 6" xfId="19651" xr:uid="{00000000-0005-0000-0000-0000974A0000}"/>
    <cellStyle name="40% - Accent5 3 2 2 3 7" xfId="19652" xr:uid="{00000000-0005-0000-0000-0000984A0000}"/>
    <cellStyle name="40% - Accent5 3 2 2 3 8" xfId="19653" xr:uid="{00000000-0005-0000-0000-0000994A0000}"/>
    <cellStyle name="40% - Accent5 3 2 2 3 9" xfId="19654" xr:uid="{00000000-0005-0000-0000-00009A4A0000}"/>
    <cellStyle name="40% - Accent5 3 2 2 4" xfId="19655" xr:uid="{00000000-0005-0000-0000-00009B4A0000}"/>
    <cellStyle name="40% - Accent5 3 2 2 4 2" xfId="19656" xr:uid="{00000000-0005-0000-0000-00009C4A0000}"/>
    <cellStyle name="40% - Accent5 3 2 2 4 2 2" xfId="19657" xr:uid="{00000000-0005-0000-0000-00009D4A0000}"/>
    <cellStyle name="40% - Accent5 3 2 2 4 2 2 2" xfId="19658" xr:uid="{00000000-0005-0000-0000-00009E4A0000}"/>
    <cellStyle name="40% - Accent5 3 2 2 4 2 2 3" xfId="19659" xr:uid="{00000000-0005-0000-0000-00009F4A0000}"/>
    <cellStyle name="40% - Accent5 3 2 2 4 2 3" xfId="19660" xr:uid="{00000000-0005-0000-0000-0000A04A0000}"/>
    <cellStyle name="40% - Accent5 3 2 2 4 2 4" xfId="19661" xr:uid="{00000000-0005-0000-0000-0000A14A0000}"/>
    <cellStyle name="40% - Accent5 3 2 2 4 2 5" xfId="19662" xr:uid="{00000000-0005-0000-0000-0000A24A0000}"/>
    <cellStyle name="40% - Accent5 3 2 2 4 2 6" xfId="19663" xr:uid="{00000000-0005-0000-0000-0000A34A0000}"/>
    <cellStyle name="40% - Accent5 3 2 2 4 3" xfId="19664" xr:uid="{00000000-0005-0000-0000-0000A44A0000}"/>
    <cellStyle name="40% - Accent5 3 2 2 4 3 2" xfId="19665" xr:uid="{00000000-0005-0000-0000-0000A54A0000}"/>
    <cellStyle name="40% - Accent5 3 2 2 4 3 3" xfId="19666" xr:uid="{00000000-0005-0000-0000-0000A64A0000}"/>
    <cellStyle name="40% - Accent5 3 2 2 4 4" xfId="19667" xr:uid="{00000000-0005-0000-0000-0000A74A0000}"/>
    <cellStyle name="40% - Accent5 3 2 2 4 5" xfId="19668" xr:uid="{00000000-0005-0000-0000-0000A84A0000}"/>
    <cellStyle name="40% - Accent5 3 2 2 4 6" xfId="19669" xr:uid="{00000000-0005-0000-0000-0000A94A0000}"/>
    <cellStyle name="40% - Accent5 3 2 2 4 7" xfId="19670" xr:uid="{00000000-0005-0000-0000-0000AA4A0000}"/>
    <cellStyle name="40% - Accent5 3 2 2 5" xfId="19671" xr:uid="{00000000-0005-0000-0000-0000AB4A0000}"/>
    <cellStyle name="40% - Accent5 3 2 2 5 2" xfId="19672" xr:uid="{00000000-0005-0000-0000-0000AC4A0000}"/>
    <cellStyle name="40% - Accent5 3 2 2 5 2 2" xfId="19673" xr:uid="{00000000-0005-0000-0000-0000AD4A0000}"/>
    <cellStyle name="40% - Accent5 3 2 2 5 2 3" xfId="19674" xr:uid="{00000000-0005-0000-0000-0000AE4A0000}"/>
    <cellStyle name="40% - Accent5 3 2 2 5 3" xfId="19675" xr:uid="{00000000-0005-0000-0000-0000AF4A0000}"/>
    <cellStyle name="40% - Accent5 3 2 2 5 4" xfId="19676" xr:uid="{00000000-0005-0000-0000-0000B04A0000}"/>
    <cellStyle name="40% - Accent5 3 2 2 5 5" xfId="19677" xr:uid="{00000000-0005-0000-0000-0000B14A0000}"/>
    <cellStyle name="40% - Accent5 3 2 2 5 6" xfId="19678" xr:uid="{00000000-0005-0000-0000-0000B24A0000}"/>
    <cellStyle name="40% - Accent5 3 2 2 6" xfId="19679" xr:uid="{00000000-0005-0000-0000-0000B34A0000}"/>
    <cellStyle name="40% - Accent5 3 2 2 6 2" xfId="19680" xr:uid="{00000000-0005-0000-0000-0000B44A0000}"/>
    <cellStyle name="40% - Accent5 3 2 2 6 2 2" xfId="19681" xr:uid="{00000000-0005-0000-0000-0000B54A0000}"/>
    <cellStyle name="40% - Accent5 3 2 2 6 2 3" xfId="19682" xr:uid="{00000000-0005-0000-0000-0000B64A0000}"/>
    <cellStyle name="40% - Accent5 3 2 2 6 3" xfId="19683" xr:uid="{00000000-0005-0000-0000-0000B74A0000}"/>
    <cellStyle name="40% - Accent5 3 2 2 6 4" xfId="19684" xr:uid="{00000000-0005-0000-0000-0000B84A0000}"/>
    <cellStyle name="40% - Accent5 3 2 2 6 5" xfId="19685" xr:uid="{00000000-0005-0000-0000-0000B94A0000}"/>
    <cellStyle name="40% - Accent5 3 2 2 6 6" xfId="19686" xr:uid="{00000000-0005-0000-0000-0000BA4A0000}"/>
    <cellStyle name="40% - Accent5 3 2 2 7" xfId="19687" xr:uid="{00000000-0005-0000-0000-0000BB4A0000}"/>
    <cellStyle name="40% - Accent5 3 2 2 7 2" xfId="19688" xr:uid="{00000000-0005-0000-0000-0000BC4A0000}"/>
    <cellStyle name="40% - Accent5 3 2 2 7 2 2" xfId="19689" xr:uid="{00000000-0005-0000-0000-0000BD4A0000}"/>
    <cellStyle name="40% - Accent5 3 2 2 7 2 3" xfId="19690" xr:uid="{00000000-0005-0000-0000-0000BE4A0000}"/>
    <cellStyle name="40% - Accent5 3 2 2 7 3" xfId="19691" xr:uid="{00000000-0005-0000-0000-0000BF4A0000}"/>
    <cellStyle name="40% - Accent5 3 2 2 7 4" xfId="19692" xr:uid="{00000000-0005-0000-0000-0000C04A0000}"/>
    <cellStyle name="40% - Accent5 3 2 2 7 5" xfId="19693" xr:uid="{00000000-0005-0000-0000-0000C14A0000}"/>
    <cellStyle name="40% - Accent5 3 2 2 7 6" xfId="19694" xr:uid="{00000000-0005-0000-0000-0000C24A0000}"/>
    <cellStyle name="40% - Accent5 3 2 2 8" xfId="19695" xr:uid="{00000000-0005-0000-0000-0000C34A0000}"/>
    <cellStyle name="40% - Accent5 3 2 2 8 2" xfId="19696" xr:uid="{00000000-0005-0000-0000-0000C44A0000}"/>
    <cellStyle name="40% - Accent5 3 2 2 8 2 2" xfId="19697" xr:uid="{00000000-0005-0000-0000-0000C54A0000}"/>
    <cellStyle name="40% - Accent5 3 2 2 8 2 3" xfId="19698" xr:uid="{00000000-0005-0000-0000-0000C64A0000}"/>
    <cellStyle name="40% - Accent5 3 2 2 8 3" xfId="19699" xr:uid="{00000000-0005-0000-0000-0000C74A0000}"/>
    <cellStyle name="40% - Accent5 3 2 2 8 4" xfId="19700" xr:uid="{00000000-0005-0000-0000-0000C84A0000}"/>
    <cellStyle name="40% - Accent5 3 2 2 8 5" xfId="19701" xr:uid="{00000000-0005-0000-0000-0000C94A0000}"/>
    <cellStyle name="40% - Accent5 3 2 2 8 6" xfId="19702" xr:uid="{00000000-0005-0000-0000-0000CA4A0000}"/>
    <cellStyle name="40% - Accent5 3 2 2 9" xfId="19703" xr:uid="{00000000-0005-0000-0000-0000CB4A0000}"/>
    <cellStyle name="40% - Accent5 3 2 2 9 2" xfId="19704" xr:uid="{00000000-0005-0000-0000-0000CC4A0000}"/>
    <cellStyle name="40% - Accent5 3 2 2 9 3" xfId="19705" xr:uid="{00000000-0005-0000-0000-0000CD4A0000}"/>
    <cellStyle name="40% - Accent5 3 2 3" xfId="19706" xr:uid="{00000000-0005-0000-0000-0000CE4A0000}"/>
    <cellStyle name="40% - Accent5 3 2 3 10" xfId="19707" xr:uid="{00000000-0005-0000-0000-0000CF4A0000}"/>
    <cellStyle name="40% - Accent5 3 2 3 2" xfId="19708" xr:uid="{00000000-0005-0000-0000-0000D04A0000}"/>
    <cellStyle name="40% - Accent5 3 2 3 2 2" xfId="19709" xr:uid="{00000000-0005-0000-0000-0000D14A0000}"/>
    <cellStyle name="40% - Accent5 3 2 3 2 2 2" xfId="19710" xr:uid="{00000000-0005-0000-0000-0000D24A0000}"/>
    <cellStyle name="40% - Accent5 3 2 3 2 2 2 2" xfId="19711" xr:uid="{00000000-0005-0000-0000-0000D34A0000}"/>
    <cellStyle name="40% - Accent5 3 2 3 2 2 2 3" xfId="19712" xr:uid="{00000000-0005-0000-0000-0000D44A0000}"/>
    <cellStyle name="40% - Accent5 3 2 3 2 2 3" xfId="19713" xr:uid="{00000000-0005-0000-0000-0000D54A0000}"/>
    <cellStyle name="40% - Accent5 3 2 3 2 2 4" xfId="19714" xr:uid="{00000000-0005-0000-0000-0000D64A0000}"/>
    <cellStyle name="40% - Accent5 3 2 3 2 2 5" xfId="19715" xr:uid="{00000000-0005-0000-0000-0000D74A0000}"/>
    <cellStyle name="40% - Accent5 3 2 3 2 2 6" xfId="19716" xr:uid="{00000000-0005-0000-0000-0000D84A0000}"/>
    <cellStyle name="40% - Accent5 3 2 3 2 3" xfId="19717" xr:uid="{00000000-0005-0000-0000-0000D94A0000}"/>
    <cellStyle name="40% - Accent5 3 2 3 2 3 2" xfId="19718" xr:uid="{00000000-0005-0000-0000-0000DA4A0000}"/>
    <cellStyle name="40% - Accent5 3 2 3 2 3 2 2" xfId="19719" xr:uid="{00000000-0005-0000-0000-0000DB4A0000}"/>
    <cellStyle name="40% - Accent5 3 2 3 2 3 2 3" xfId="19720" xr:uid="{00000000-0005-0000-0000-0000DC4A0000}"/>
    <cellStyle name="40% - Accent5 3 2 3 2 3 3" xfId="19721" xr:uid="{00000000-0005-0000-0000-0000DD4A0000}"/>
    <cellStyle name="40% - Accent5 3 2 3 2 3 4" xfId="19722" xr:uid="{00000000-0005-0000-0000-0000DE4A0000}"/>
    <cellStyle name="40% - Accent5 3 2 3 2 3 5" xfId="19723" xr:uid="{00000000-0005-0000-0000-0000DF4A0000}"/>
    <cellStyle name="40% - Accent5 3 2 3 2 3 6" xfId="19724" xr:uid="{00000000-0005-0000-0000-0000E04A0000}"/>
    <cellStyle name="40% - Accent5 3 2 3 2 4" xfId="19725" xr:uid="{00000000-0005-0000-0000-0000E14A0000}"/>
    <cellStyle name="40% - Accent5 3 2 3 2 4 2" xfId="19726" xr:uid="{00000000-0005-0000-0000-0000E24A0000}"/>
    <cellStyle name="40% - Accent5 3 2 3 2 4 3" xfId="19727" xr:uid="{00000000-0005-0000-0000-0000E34A0000}"/>
    <cellStyle name="40% - Accent5 3 2 3 2 5" xfId="19728" xr:uid="{00000000-0005-0000-0000-0000E44A0000}"/>
    <cellStyle name="40% - Accent5 3 2 3 2 6" xfId="19729" xr:uid="{00000000-0005-0000-0000-0000E54A0000}"/>
    <cellStyle name="40% - Accent5 3 2 3 2 7" xfId="19730" xr:uid="{00000000-0005-0000-0000-0000E64A0000}"/>
    <cellStyle name="40% - Accent5 3 2 3 2 8" xfId="19731" xr:uid="{00000000-0005-0000-0000-0000E74A0000}"/>
    <cellStyle name="40% - Accent5 3 2 3 3" xfId="19732" xr:uid="{00000000-0005-0000-0000-0000E84A0000}"/>
    <cellStyle name="40% - Accent5 3 2 3 3 2" xfId="19733" xr:uid="{00000000-0005-0000-0000-0000E94A0000}"/>
    <cellStyle name="40% - Accent5 3 2 3 3 2 2" xfId="19734" xr:uid="{00000000-0005-0000-0000-0000EA4A0000}"/>
    <cellStyle name="40% - Accent5 3 2 3 3 2 2 2" xfId="19735" xr:uid="{00000000-0005-0000-0000-0000EB4A0000}"/>
    <cellStyle name="40% - Accent5 3 2 3 3 2 2 3" xfId="19736" xr:uid="{00000000-0005-0000-0000-0000EC4A0000}"/>
    <cellStyle name="40% - Accent5 3 2 3 3 2 3" xfId="19737" xr:uid="{00000000-0005-0000-0000-0000ED4A0000}"/>
    <cellStyle name="40% - Accent5 3 2 3 3 2 4" xfId="19738" xr:uid="{00000000-0005-0000-0000-0000EE4A0000}"/>
    <cellStyle name="40% - Accent5 3 2 3 3 2 5" xfId="19739" xr:uid="{00000000-0005-0000-0000-0000EF4A0000}"/>
    <cellStyle name="40% - Accent5 3 2 3 3 2 6" xfId="19740" xr:uid="{00000000-0005-0000-0000-0000F04A0000}"/>
    <cellStyle name="40% - Accent5 3 2 3 3 3" xfId="19741" xr:uid="{00000000-0005-0000-0000-0000F14A0000}"/>
    <cellStyle name="40% - Accent5 3 2 3 3 3 2" xfId="19742" xr:uid="{00000000-0005-0000-0000-0000F24A0000}"/>
    <cellStyle name="40% - Accent5 3 2 3 3 3 3" xfId="19743" xr:uid="{00000000-0005-0000-0000-0000F34A0000}"/>
    <cellStyle name="40% - Accent5 3 2 3 3 4" xfId="19744" xr:uid="{00000000-0005-0000-0000-0000F44A0000}"/>
    <cellStyle name="40% - Accent5 3 2 3 3 5" xfId="19745" xr:uid="{00000000-0005-0000-0000-0000F54A0000}"/>
    <cellStyle name="40% - Accent5 3 2 3 3 6" xfId="19746" xr:uid="{00000000-0005-0000-0000-0000F64A0000}"/>
    <cellStyle name="40% - Accent5 3 2 3 3 7" xfId="19747" xr:uid="{00000000-0005-0000-0000-0000F74A0000}"/>
    <cellStyle name="40% - Accent5 3 2 3 4" xfId="19748" xr:uid="{00000000-0005-0000-0000-0000F84A0000}"/>
    <cellStyle name="40% - Accent5 3 2 3 4 2" xfId="19749" xr:uid="{00000000-0005-0000-0000-0000F94A0000}"/>
    <cellStyle name="40% - Accent5 3 2 3 4 2 2" xfId="19750" xr:uid="{00000000-0005-0000-0000-0000FA4A0000}"/>
    <cellStyle name="40% - Accent5 3 2 3 4 2 3" xfId="19751" xr:uid="{00000000-0005-0000-0000-0000FB4A0000}"/>
    <cellStyle name="40% - Accent5 3 2 3 4 3" xfId="19752" xr:uid="{00000000-0005-0000-0000-0000FC4A0000}"/>
    <cellStyle name="40% - Accent5 3 2 3 4 4" xfId="19753" xr:uid="{00000000-0005-0000-0000-0000FD4A0000}"/>
    <cellStyle name="40% - Accent5 3 2 3 4 5" xfId="19754" xr:uid="{00000000-0005-0000-0000-0000FE4A0000}"/>
    <cellStyle name="40% - Accent5 3 2 3 4 6" xfId="19755" xr:uid="{00000000-0005-0000-0000-0000FF4A0000}"/>
    <cellStyle name="40% - Accent5 3 2 3 5" xfId="19756" xr:uid="{00000000-0005-0000-0000-0000004B0000}"/>
    <cellStyle name="40% - Accent5 3 2 3 5 2" xfId="19757" xr:uid="{00000000-0005-0000-0000-0000014B0000}"/>
    <cellStyle name="40% - Accent5 3 2 3 5 2 2" xfId="19758" xr:uid="{00000000-0005-0000-0000-0000024B0000}"/>
    <cellStyle name="40% - Accent5 3 2 3 5 2 3" xfId="19759" xr:uid="{00000000-0005-0000-0000-0000034B0000}"/>
    <cellStyle name="40% - Accent5 3 2 3 5 3" xfId="19760" xr:uid="{00000000-0005-0000-0000-0000044B0000}"/>
    <cellStyle name="40% - Accent5 3 2 3 5 4" xfId="19761" xr:uid="{00000000-0005-0000-0000-0000054B0000}"/>
    <cellStyle name="40% - Accent5 3 2 3 5 5" xfId="19762" xr:uid="{00000000-0005-0000-0000-0000064B0000}"/>
    <cellStyle name="40% - Accent5 3 2 3 5 6" xfId="19763" xr:uid="{00000000-0005-0000-0000-0000074B0000}"/>
    <cellStyle name="40% - Accent5 3 2 3 6" xfId="19764" xr:uid="{00000000-0005-0000-0000-0000084B0000}"/>
    <cellStyle name="40% - Accent5 3 2 3 6 2" xfId="19765" xr:uid="{00000000-0005-0000-0000-0000094B0000}"/>
    <cellStyle name="40% - Accent5 3 2 3 6 3" xfId="19766" xr:uid="{00000000-0005-0000-0000-00000A4B0000}"/>
    <cellStyle name="40% - Accent5 3 2 3 7" xfId="19767" xr:uid="{00000000-0005-0000-0000-00000B4B0000}"/>
    <cellStyle name="40% - Accent5 3 2 3 8" xfId="19768" xr:uid="{00000000-0005-0000-0000-00000C4B0000}"/>
    <cellStyle name="40% - Accent5 3 2 3 9" xfId="19769" xr:uid="{00000000-0005-0000-0000-00000D4B0000}"/>
    <cellStyle name="40% - Accent5 3 2 4" xfId="19770" xr:uid="{00000000-0005-0000-0000-00000E4B0000}"/>
    <cellStyle name="40% - Accent5 3 2 4 2" xfId="19771" xr:uid="{00000000-0005-0000-0000-00000F4B0000}"/>
    <cellStyle name="40% - Accent5 3 2 4 2 2" xfId="19772" xr:uid="{00000000-0005-0000-0000-0000104B0000}"/>
    <cellStyle name="40% - Accent5 3 2 4 2 2 2" xfId="19773" xr:uid="{00000000-0005-0000-0000-0000114B0000}"/>
    <cellStyle name="40% - Accent5 3 2 4 2 2 2 2" xfId="19774" xr:uid="{00000000-0005-0000-0000-0000124B0000}"/>
    <cellStyle name="40% - Accent5 3 2 4 2 2 2 3" xfId="19775" xr:uid="{00000000-0005-0000-0000-0000134B0000}"/>
    <cellStyle name="40% - Accent5 3 2 4 2 2 3" xfId="19776" xr:uid="{00000000-0005-0000-0000-0000144B0000}"/>
    <cellStyle name="40% - Accent5 3 2 4 2 2 4" xfId="19777" xr:uid="{00000000-0005-0000-0000-0000154B0000}"/>
    <cellStyle name="40% - Accent5 3 2 4 2 2 5" xfId="19778" xr:uid="{00000000-0005-0000-0000-0000164B0000}"/>
    <cellStyle name="40% - Accent5 3 2 4 2 2 6" xfId="19779" xr:uid="{00000000-0005-0000-0000-0000174B0000}"/>
    <cellStyle name="40% - Accent5 3 2 4 2 3" xfId="19780" xr:uid="{00000000-0005-0000-0000-0000184B0000}"/>
    <cellStyle name="40% - Accent5 3 2 4 2 3 2" xfId="19781" xr:uid="{00000000-0005-0000-0000-0000194B0000}"/>
    <cellStyle name="40% - Accent5 3 2 4 2 3 3" xfId="19782" xr:uid="{00000000-0005-0000-0000-00001A4B0000}"/>
    <cellStyle name="40% - Accent5 3 2 4 2 4" xfId="19783" xr:uid="{00000000-0005-0000-0000-00001B4B0000}"/>
    <cellStyle name="40% - Accent5 3 2 4 2 5" xfId="19784" xr:uid="{00000000-0005-0000-0000-00001C4B0000}"/>
    <cellStyle name="40% - Accent5 3 2 4 2 6" xfId="19785" xr:uid="{00000000-0005-0000-0000-00001D4B0000}"/>
    <cellStyle name="40% - Accent5 3 2 4 2 7" xfId="19786" xr:uid="{00000000-0005-0000-0000-00001E4B0000}"/>
    <cellStyle name="40% - Accent5 3 2 4 3" xfId="19787" xr:uid="{00000000-0005-0000-0000-00001F4B0000}"/>
    <cellStyle name="40% - Accent5 3 2 4 3 2" xfId="19788" xr:uid="{00000000-0005-0000-0000-0000204B0000}"/>
    <cellStyle name="40% - Accent5 3 2 4 3 2 2" xfId="19789" xr:uid="{00000000-0005-0000-0000-0000214B0000}"/>
    <cellStyle name="40% - Accent5 3 2 4 3 2 3" xfId="19790" xr:uid="{00000000-0005-0000-0000-0000224B0000}"/>
    <cellStyle name="40% - Accent5 3 2 4 3 3" xfId="19791" xr:uid="{00000000-0005-0000-0000-0000234B0000}"/>
    <cellStyle name="40% - Accent5 3 2 4 3 4" xfId="19792" xr:uid="{00000000-0005-0000-0000-0000244B0000}"/>
    <cellStyle name="40% - Accent5 3 2 4 3 5" xfId="19793" xr:uid="{00000000-0005-0000-0000-0000254B0000}"/>
    <cellStyle name="40% - Accent5 3 2 4 3 6" xfId="19794" xr:uid="{00000000-0005-0000-0000-0000264B0000}"/>
    <cellStyle name="40% - Accent5 3 2 4 4" xfId="19795" xr:uid="{00000000-0005-0000-0000-0000274B0000}"/>
    <cellStyle name="40% - Accent5 3 2 4 4 2" xfId="19796" xr:uid="{00000000-0005-0000-0000-0000284B0000}"/>
    <cellStyle name="40% - Accent5 3 2 4 4 2 2" xfId="19797" xr:uid="{00000000-0005-0000-0000-0000294B0000}"/>
    <cellStyle name="40% - Accent5 3 2 4 4 2 3" xfId="19798" xr:uid="{00000000-0005-0000-0000-00002A4B0000}"/>
    <cellStyle name="40% - Accent5 3 2 4 4 3" xfId="19799" xr:uid="{00000000-0005-0000-0000-00002B4B0000}"/>
    <cellStyle name="40% - Accent5 3 2 4 4 4" xfId="19800" xr:uid="{00000000-0005-0000-0000-00002C4B0000}"/>
    <cellStyle name="40% - Accent5 3 2 4 4 5" xfId="19801" xr:uid="{00000000-0005-0000-0000-00002D4B0000}"/>
    <cellStyle name="40% - Accent5 3 2 4 4 6" xfId="19802" xr:uid="{00000000-0005-0000-0000-00002E4B0000}"/>
    <cellStyle name="40% - Accent5 3 2 4 5" xfId="19803" xr:uid="{00000000-0005-0000-0000-00002F4B0000}"/>
    <cellStyle name="40% - Accent5 3 2 4 5 2" xfId="19804" xr:uid="{00000000-0005-0000-0000-0000304B0000}"/>
    <cellStyle name="40% - Accent5 3 2 4 5 3" xfId="19805" xr:uid="{00000000-0005-0000-0000-0000314B0000}"/>
    <cellStyle name="40% - Accent5 3 2 4 6" xfId="19806" xr:uid="{00000000-0005-0000-0000-0000324B0000}"/>
    <cellStyle name="40% - Accent5 3 2 4 7" xfId="19807" xr:uid="{00000000-0005-0000-0000-0000334B0000}"/>
    <cellStyle name="40% - Accent5 3 2 4 8" xfId="19808" xr:uid="{00000000-0005-0000-0000-0000344B0000}"/>
    <cellStyle name="40% - Accent5 3 2 4 9" xfId="19809" xr:uid="{00000000-0005-0000-0000-0000354B0000}"/>
    <cellStyle name="40% - Accent5 3 2 5" xfId="19810" xr:uid="{00000000-0005-0000-0000-0000364B0000}"/>
    <cellStyle name="40% - Accent5 3 2 5 2" xfId="19811" xr:uid="{00000000-0005-0000-0000-0000374B0000}"/>
    <cellStyle name="40% - Accent5 3 2 5 2 2" xfId="19812" xr:uid="{00000000-0005-0000-0000-0000384B0000}"/>
    <cellStyle name="40% - Accent5 3 2 5 2 2 2" xfId="19813" xr:uid="{00000000-0005-0000-0000-0000394B0000}"/>
    <cellStyle name="40% - Accent5 3 2 5 2 2 3" xfId="19814" xr:uid="{00000000-0005-0000-0000-00003A4B0000}"/>
    <cellStyle name="40% - Accent5 3 2 5 2 3" xfId="19815" xr:uid="{00000000-0005-0000-0000-00003B4B0000}"/>
    <cellStyle name="40% - Accent5 3 2 5 2 4" xfId="19816" xr:uid="{00000000-0005-0000-0000-00003C4B0000}"/>
    <cellStyle name="40% - Accent5 3 2 5 2 5" xfId="19817" xr:uid="{00000000-0005-0000-0000-00003D4B0000}"/>
    <cellStyle name="40% - Accent5 3 2 5 2 6" xfId="19818" xr:uid="{00000000-0005-0000-0000-00003E4B0000}"/>
    <cellStyle name="40% - Accent5 3 2 5 3" xfId="19819" xr:uid="{00000000-0005-0000-0000-00003F4B0000}"/>
    <cellStyle name="40% - Accent5 3 2 5 3 2" xfId="19820" xr:uid="{00000000-0005-0000-0000-0000404B0000}"/>
    <cellStyle name="40% - Accent5 3 2 5 3 3" xfId="19821" xr:uid="{00000000-0005-0000-0000-0000414B0000}"/>
    <cellStyle name="40% - Accent5 3 2 5 4" xfId="19822" xr:uid="{00000000-0005-0000-0000-0000424B0000}"/>
    <cellStyle name="40% - Accent5 3 2 5 5" xfId="19823" xr:uid="{00000000-0005-0000-0000-0000434B0000}"/>
    <cellStyle name="40% - Accent5 3 2 5 6" xfId="19824" xr:uid="{00000000-0005-0000-0000-0000444B0000}"/>
    <cellStyle name="40% - Accent5 3 2 5 7" xfId="19825" xr:uid="{00000000-0005-0000-0000-0000454B0000}"/>
    <cellStyle name="40% - Accent5 3 2 6" xfId="19826" xr:uid="{00000000-0005-0000-0000-0000464B0000}"/>
    <cellStyle name="40% - Accent5 3 2 6 2" xfId="19827" xr:uid="{00000000-0005-0000-0000-0000474B0000}"/>
    <cellStyle name="40% - Accent5 3 2 6 2 2" xfId="19828" xr:uid="{00000000-0005-0000-0000-0000484B0000}"/>
    <cellStyle name="40% - Accent5 3 2 6 2 3" xfId="19829" xr:uid="{00000000-0005-0000-0000-0000494B0000}"/>
    <cellStyle name="40% - Accent5 3 2 6 3" xfId="19830" xr:uid="{00000000-0005-0000-0000-00004A4B0000}"/>
    <cellStyle name="40% - Accent5 3 2 6 4" xfId="19831" xr:uid="{00000000-0005-0000-0000-00004B4B0000}"/>
    <cellStyle name="40% - Accent5 3 2 6 5" xfId="19832" xr:uid="{00000000-0005-0000-0000-00004C4B0000}"/>
    <cellStyle name="40% - Accent5 3 2 6 6" xfId="19833" xr:uid="{00000000-0005-0000-0000-00004D4B0000}"/>
    <cellStyle name="40% - Accent5 3 2 7" xfId="19834" xr:uid="{00000000-0005-0000-0000-00004E4B0000}"/>
    <cellStyle name="40% - Accent5 3 2 7 2" xfId="19835" xr:uid="{00000000-0005-0000-0000-00004F4B0000}"/>
    <cellStyle name="40% - Accent5 3 2 7 2 2" xfId="19836" xr:uid="{00000000-0005-0000-0000-0000504B0000}"/>
    <cellStyle name="40% - Accent5 3 2 7 2 3" xfId="19837" xr:uid="{00000000-0005-0000-0000-0000514B0000}"/>
    <cellStyle name="40% - Accent5 3 2 7 3" xfId="19838" xr:uid="{00000000-0005-0000-0000-0000524B0000}"/>
    <cellStyle name="40% - Accent5 3 2 7 4" xfId="19839" xr:uid="{00000000-0005-0000-0000-0000534B0000}"/>
    <cellStyle name="40% - Accent5 3 2 7 5" xfId="19840" xr:uid="{00000000-0005-0000-0000-0000544B0000}"/>
    <cellStyle name="40% - Accent5 3 2 7 6" xfId="19841" xr:uid="{00000000-0005-0000-0000-0000554B0000}"/>
    <cellStyle name="40% - Accent5 3 2 8" xfId="19842" xr:uid="{00000000-0005-0000-0000-0000564B0000}"/>
    <cellStyle name="40% - Accent5 3 2 8 2" xfId="19843" xr:uid="{00000000-0005-0000-0000-0000574B0000}"/>
    <cellStyle name="40% - Accent5 3 2 8 2 2" xfId="19844" xr:uid="{00000000-0005-0000-0000-0000584B0000}"/>
    <cellStyle name="40% - Accent5 3 2 8 2 3" xfId="19845" xr:uid="{00000000-0005-0000-0000-0000594B0000}"/>
    <cellStyle name="40% - Accent5 3 2 8 3" xfId="19846" xr:uid="{00000000-0005-0000-0000-00005A4B0000}"/>
    <cellStyle name="40% - Accent5 3 2 8 4" xfId="19847" xr:uid="{00000000-0005-0000-0000-00005B4B0000}"/>
    <cellStyle name="40% - Accent5 3 2 8 5" xfId="19848" xr:uid="{00000000-0005-0000-0000-00005C4B0000}"/>
    <cellStyle name="40% - Accent5 3 2 8 6" xfId="19849" xr:uid="{00000000-0005-0000-0000-00005D4B0000}"/>
    <cellStyle name="40% - Accent5 3 2 9" xfId="19850" xr:uid="{00000000-0005-0000-0000-00005E4B0000}"/>
    <cellStyle name="40% - Accent5 3 2 9 2" xfId="19851" xr:uid="{00000000-0005-0000-0000-00005F4B0000}"/>
    <cellStyle name="40% - Accent5 3 2 9 2 2" xfId="19852" xr:uid="{00000000-0005-0000-0000-0000604B0000}"/>
    <cellStyle name="40% - Accent5 3 2 9 2 3" xfId="19853" xr:uid="{00000000-0005-0000-0000-0000614B0000}"/>
    <cellStyle name="40% - Accent5 3 2 9 3" xfId="19854" xr:uid="{00000000-0005-0000-0000-0000624B0000}"/>
    <cellStyle name="40% - Accent5 3 2 9 4" xfId="19855" xr:uid="{00000000-0005-0000-0000-0000634B0000}"/>
    <cellStyle name="40% - Accent5 3 2 9 5" xfId="19856" xr:uid="{00000000-0005-0000-0000-0000644B0000}"/>
    <cellStyle name="40% - Accent5 3 2 9 6" xfId="19857" xr:uid="{00000000-0005-0000-0000-0000654B0000}"/>
    <cellStyle name="40% - Accent5 3 3" xfId="19858" xr:uid="{00000000-0005-0000-0000-0000664B0000}"/>
    <cellStyle name="40% - Accent5 3 3 10" xfId="19859" xr:uid="{00000000-0005-0000-0000-0000674B0000}"/>
    <cellStyle name="40% - Accent5 3 3 10 2" xfId="19860" xr:uid="{00000000-0005-0000-0000-0000684B0000}"/>
    <cellStyle name="40% - Accent5 3 3 10 3" xfId="19861" xr:uid="{00000000-0005-0000-0000-0000694B0000}"/>
    <cellStyle name="40% - Accent5 3 3 11" xfId="19862" xr:uid="{00000000-0005-0000-0000-00006A4B0000}"/>
    <cellStyle name="40% - Accent5 3 3 12" xfId="19863" xr:uid="{00000000-0005-0000-0000-00006B4B0000}"/>
    <cellStyle name="40% - Accent5 3 3 13" xfId="19864" xr:uid="{00000000-0005-0000-0000-00006C4B0000}"/>
    <cellStyle name="40% - Accent5 3 3 14" xfId="19865" xr:uid="{00000000-0005-0000-0000-00006D4B0000}"/>
    <cellStyle name="40% - Accent5 3 3 2" xfId="19866" xr:uid="{00000000-0005-0000-0000-00006E4B0000}"/>
    <cellStyle name="40% - Accent5 3 3 2 10" xfId="19867" xr:uid="{00000000-0005-0000-0000-00006F4B0000}"/>
    <cellStyle name="40% - Accent5 3 3 2 11" xfId="19868" xr:uid="{00000000-0005-0000-0000-0000704B0000}"/>
    <cellStyle name="40% - Accent5 3 3 2 12" xfId="19869" xr:uid="{00000000-0005-0000-0000-0000714B0000}"/>
    <cellStyle name="40% - Accent5 3 3 2 13" xfId="19870" xr:uid="{00000000-0005-0000-0000-0000724B0000}"/>
    <cellStyle name="40% - Accent5 3 3 2 2" xfId="19871" xr:uid="{00000000-0005-0000-0000-0000734B0000}"/>
    <cellStyle name="40% - Accent5 3 3 2 2 10" xfId="19872" xr:uid="{00000000-0005-0000-0000-0000744B0000}"/>
    <cellStyle name="40% - Accent5 3 3 2 2 2" xfId="19873" xr:uid="{00000000-0005-0000-0000-0000754B0000}"/>
    <cellStyle name="40% - Accent5 3 3 2 2 2 2" xfId="19874" xr:uid="{00000000-0005-0000-0000-0000764B0000}"/>
    <cellStyle name="40% - Accent5 3 3 2 2 2 2 2" xfId="19875" xr:uid="{00000000-0005-0000-0000-0000774B0000}"/>
    <cellStyle name="40% - Accent5 3 3 2 2 2 2 2 2" xfId="19876" xr:uid="{00000000-0005-0000-0000-0000784B0000}"/>
    <cellStyle name="40% - Accent5 3 3 2 2 2 2 2 3" xfId="19877" xr:uid="{00000000-0005-0000-0000-0000794B0000}"/>
    <cellStyle name="40% - Accent5 3 3 2 2 2 2 3" xfId="19878" xr:uid="{00000000-0005-0000-0000-00007A4B0000}"/>
    <cellStyle name="40% - Accent5 3 3 2 2 2 2 4" xfId="19879" xr:uid="{00000000-0005-0000-0000-00007B4B0000}"/>
    <cellStyle name="40% - Accent5 3 3 2 2 2 2 5" xfId="19880" xr:uid="{00000000-0005-0000-0000-00007C4B0000}"/>
    <cellStyle name="40% - Accent5 3 3 2 2 2 2 6" xfId="19881" xr:uid="{00000000-0005-0000-0000-00007D4B0000}"/>
    <cellStyle name="40% - Accent5 3 3 2 2 2 3" xfId="19882" xr:uid="{00000000-0005-0000-0000-00007E4B0000}"/>
    <cellStyle name="40% - Accent5 3 3 2 2 2 3 2" xfId="19883" xr:uid="{00000000-0005-0000-0000-00007F4B0000}"/>
    <cellStyle name="40% - Accent5 3 3 2 2 2 3 2 2" xfId="19884" xr:uid="{00000000-0005-0000-0000-0000804B0000}"/>
    <cellStyle name="40% - Accent5 3 3 2 2 2 3 2 3" xfId="19885" xr:uid="{00000000-0005-0000-0000-0000814B0000}"/>
    <cellStyle name="40% - Accent5 3 3 2 2 2 3 3" xfId="19886" xr:uid="{00000000-0005-0000-0000-0000824B0000}"/>
    <cellStyle name="40% - Accent5 3 3 2 2 2 3 4" xfId="19887" xr:uid="{00000000-0005-0000-0000-0000834B0000}"/>
    <cellStyle name="40% - Accent5 3 3 2 2 2 3 5" xfId="19888" xr:uid="{00000000-0005-0000-0000-0000844B0000}"/>
    <cellStyle name="40% - Accent5 3 3 2 2 2 3 6" xfId="19889" xr:uid="{00000000-0005-0000-0000-0000854B0000}"/>
    <cellStyle name="40% - Accent5 3 3 2 2 2 4" xfId="19890" xr:uid="{00000000-0005-0000-0000-0000864B0000}"/>
    <cellStyle name="40% - Accent5 3 3 2 2 2 4 2" xfId="19891" xr:uid="{00000000-0005-0000-0000-0000874B0000}"/>
    <cellStyle name="40% - Accent5 3 3 2 2 2 4 3" xfId="19892" xr:uid="{00000000-0005-0000-0000-0000884B0000}"/>
    <cellStyle name="40% - Accent5 3 3 2 2 2 5" xfId="19893" xr:uid="{00000000-0005-0000-0000-0000894B0000}"/>
    <cellStyle name="40% - Accent5 3 3 2 2 2 6" xfId="19894" xr:uid="{00000000-0005-0000-0000-00008A4B0000}"/>
    <cellStyle name="40% - Accent5 3 3 2 2 2 7" xfId="19895" xr:uid="{00000000-0005-0000-0000-00008B4B0000}"/>
    <cellStyle name="40% - Accent5 3 3 2 2 2 8" xfId="19896" xr:uid="{00000000-0005-0000-0000-00008C4B0000}"/>
    <cellStyle name="40% - Accent5 3 3 2 2 3" xfId="19897" xr:uid="{00000000-0005-0000-0000-00008D4B0000}"/>
    <cellStyle name="40% - Accent5 3 3 2 2 3 2" xfId="19898" xr:uid="{00000000-0005-0000-0000-00008E4B0000}"/>
    <cellStyle name="40% - Accent5 3 3 2 2 3 2 2" xfId="19899" xr:uid="{00000000-0005-0000-0000-00008F4B0000}"/>
    <cellStyle name="40% - Accent5 3 3 2 2 3 2 2 2" xfId="19900" xr:uid="{00000000-0005-0000-0000-0000904B0000}"/>
    <cellStyle name="40% - Accent5 3 3 2 2 3 2 2 3" xfId="19901" xr:uid="{00000000-0005-0000-0000-0000914B0000}"/>
    <cellStyle name="40% - Accent5 3 3 2 2 3 2 3" xfId="19902" xr:uid="{00000000-0005-0000-0000-0000924B0000}"/>
    <cellStyle name="40% - Accent5 3 3 2 2 3 2 4" xfId="19903" xr:uid="{00000000-0005-0000-0000-0000934B0000}"/>
    <cellStyle name="40% - Accent5 3 3 2 2 3 2 5" xfId="19904" xr:uid="{00000000-0005-0000-0000-0000944B0000}"/>
    <cellStyle name="40% - Accent5 3 3 2 2 3 2 6" xfId="19905" xr:uid="{00000000-0005-0000-0000-0000954B0000}"/>
    <cellStyle name="40% - Accent5 3 3 2 2 3 3" xfId="19906" xr:uid="{00000000-0005-0000-0000-0000964B0000}"/>
    <cellStyle name="40% - Accent5 3 3 2 2 3 3 2" xfId="19907" xr:uid="{00000000-0005-0000-0000-0000974B0000}"/>
    <cellStyle name="40% - Accent5 3 3 2 2 3 3 3" xfId="19908" xr:uid="{00000000-0005-0000-0000-0000984B0000}"/>
    <cellStyle name="40% - Accent5 3 3 2 2 3 4" xfId="19909" xr:uid="{00000000-0005-0000-0000-0000994B0000}"/>
    <cellStyle name="40% - Accent5 3 3 2 2 3 5" xfId="19910" xr:uid="{00000000-0005-0000-0000-00009A4B0000}"/>
    <cellStyle name="40% - Accent5 3 3 2 2 3 6" xfId="19911" xr:uid="{00000000-0005-0000-0000-00009B4B0000}"/>
    <cellStyle name="40% - Accent5 3 3 2 2 3 7" xfId="19912" xr:uid="{00000000-0005-0000-0000-00009C4B0000}"/>
    <cellStyle name="40% - Accent5 3 3 2 2 4" xfId="19913" xr:uid="{00000000-0005-0000-0000-00009D4B0000}"/>
    <cellStyle name="40% - Accent5 3 3 2 2 4 2" xfId="19914" xr:uid="{00000000-0005-0000-0000-00009E4B0000}"/>
    <cellStyle name="40% - Accent5 3 3 2 2 4 2 2" xfId="19915" xr:uid="{00000000-0005-0000-0000-00009F4B0000}"/>
    <cellStyle name="40% - Accent5 3 3 2 2 4 2 3" xfId="19916" xr:uid="{00000000-0005-0000-0000-0000A04B0000}"/>
    <cellStyle name="40% - Accent5 3 3 2 2 4 3" xfId="19917" xr:uid="{00000000-0005-0000-0000-0000A14B0000}"/>
    <cellStyle name="40% - Accent5 3 3 2 2 4 4" xfId="19918" xr:uid="{00000000-0005-0000-0000-0000A24B0000}"/>
    <cellStyle name="40% - Accent5 3 3 2 2 4 5" xfId="19919" xr:uid="{00000000-0005-0000-0000-0000A34B0000}"/>
    <cellStyle name="40% - Accent5 3 3 2 2 4 6" xfId="19920" xr:uid="{00000000-0005-0000-0000-0000A44B0000}"/>
    <cellStyle name="40% - Accent5 3 3 2 2 5" xfId="19921" xr:uid="{00000000-0005-0000-0000-0000A54B0000}"/>
    <cellStyle name="40% - Accent5 3 3 2 2 5 2" xfId="19922" xr:uid="{00000000-0005-0000-0000-0000A64B0000}"/>
    <cellStyle name="40% - Accent5 3 3 2 2 5 2 2" xfId="19923" xr:uid="{00000000-0005-0000-0000-0000A74B0000}"/>
    <cellStyle name="40% - Accent5 3 3 2 2 5 2 3" xfId="19924" xr:uid="{00000000-0005-0000-0000-0000A84B0000}"/>
    <cellStyle name="40% - Accent5 3 3 2 2 5 3" xfId="19925" xr:uid="{00000000-0005-0000-0000-0000A94B0000}"/>
    <cellStyle name="40% - Accent5 3 3 2 2 5 4" xfId="19926" xr:uid="{00000000-0005-0000-0000-0000AA4B0000}"/>
    <cellStyle name="40% - Accent5 3 3 2 2 5 5" xfId="19927" xr:uid="{00000000-0005-0000-0000-0000AB4B0000}"/>
    <cellStyle name="40% - Accent5 3 3 2 2 5 6" xfId="19928" xr:uid="{00000000-0005-0000-0000-0000AC4B0000}"/>
    <cellStyle name="40% - Accent5 3 3 2 2 6" xfId="19929" xr:uid="{00000000-0005-0000-0000-0000AD4B0000}"/>
    <cellStyle name="40% - Accent5 3 3 2 2 6 2" xfId="19930" xr:uid="{00000000-0005-0000-0000-0000AE4B0000}"/>
    <cellStyle name="40% - Accent5 3 3 2 2 6 3" xfId="19931" xr:uid="{00000000-0005-0000-0000-0000AF4B0000}"/>
    <cellStyle name="40% - Accent5 3 3 2 2 7" xfId="19932" xr:uid="{00000000-0005-0000-0000-0000B04B0000}"/>
    <cellStyle name="40% - Accent5 3 3 2 2 8" xfId="19933" xr:uid="{00000000-0005-0000-0000-0000B14B0000}"/>
    <cellStyle name="40% - Accent5 3 3 2 2 9" xfId="19934" xr:uid="{00000000-0005-0000-0000-0000B24B0000}"/>
    <cellStyle name="40% - Accent5 3 3 2 3" xfId="19935" xr:uid="{00000000-0005-0000-0000-0000B34B0000}"/>
    <cellStyle name="40% - Accent5 3 3 2 3 2" xfId="19936" xr:uid="{00000000-0005-0000-0000-0000B44B0000}"/>
    <cellStyle name="40% - Accent5 3 3 2 3 2 2" xfId="19937" xr:uid="{00000000-0005-0000-0000-0000B54B0000}"/>
    <cellStyle name="40% - Accent5 3 3 2 3 2 2 2" xfId="19938" xr:uid="{00000000-0005-0000-0000-0000B64B0000}"/>
    <cellStyle name="40% - Accent5 3 3 2 3 2 2 2 2" xfId="19939" xr:uid="{00000000-0005-0000-0000-0000B74B0000}"/>
    <cellStyle name="40% - Accent5 3 3 2 3 2 2 2 3" xfId="19940" xr:uid="{00000000-0005-0000-0000-0000B84B0000}"/>
    <cellStyle name="40% - Accent5 3 3 2 3 2 2 3" xfId="19941" xr:uid="{00000000-0005-0000-0000-0000B94B0000}"/>
    <cellStyle name="40% - Accent5 3 3 2 3 2 2 4" xfId="19942" xr:uid="{00000000-0005-0000-0000-0000BA4B0000}"/>
    <cellStyle name="40% - Accent5 3 3 2 3 2 2 5" xfId="19943" xr:uid="{00000000-0005-0000-0000-0000BB4B0000}"/>
    <cellStyle name="40% - Accent5 3 3 2 3 2 2 6" xfId="19944" xr:uid="{00000000-0005-0000-0000-0000BC4B0000}"/>
    <cellStyle name="40% - Accent5 3 3 2 3 2 3" xfId="19945" xr:uid="{00000000-0005-0000-0000-0000BD4B0000}"/>
    <cellStyle name="40% - Accent5 3 3 2 3 2 3 2" xfId="19946" xr:uid="{00000000-0005-0000-0000-0000BE4B0000}"/>
    <cellStyle name="40% - Accent5 3 3 2 3 2 3 3" xfId="19947" xr:uid="{00000000-0005-0000-0000-0000BF4B0000}"/>
    <cellStyle name="40% - Accent5 3 3 2 3 2 4" xfId="19948" xr:uid="{00000000-0005-0000-0000-0000C04B0000}"/>
    <cellStyle name="40% - Accent5 3 3 2 3 2 5" xfId="19949" xr:uid="{00000000-0005-0000-0000-0000C14B0000}"/>
    <cellStyle name="40% - Accent5 3 3 2 3 2 6" xfId="19950" xr:uid="{00000000-0005-0000-0000-0000C24B0000}"/>
    <cellStyle name="40% - Accent5 3 3 2 3 2 7" xfId="19951" xr:uid="{00000000-0005-0000-0000-0000C34B0000}"/>
    <cellStyle name="40% - Accent5 3 3 2 3 3" xfId="19952" xr:uid="{00000000-0005-0000-0000-0000C44B0000}"/>
    <cellStyle name="40% - Accent5 3 3 2 3 3 2" xfId="19953" xr:uid="{00000000-0005-0000-0000-0000C54B0000}"/>
    <cellStyle name="40% - Accent5 3 3 2 3 3 2 2" xfId="19954" xr:uid="{00000000-0005-0000-0000-0000C64B0000}"/>
    <cellStyle name="40% - Accent5 3 3 2 3 3 2 3" xfId="19955" xr:uid="{00000000-0005-0000-0000-0000C74B0000}"/>
    <cellStyle name="40% - Accent5 3 3 2 3 3 3" xfId="19956" xr:uid="{00000000-0005-0000-0000-0000C84B0000}"/>
    <cellStyle name="40% - Accent5 3 3 2 3 3 4" xfId="19957" xr:uid="{00000000-0005-0000-0000-0000C94B0000}"/>
    <cellStyle name="40% - Accent5 3 3 2 3 3 5" xfId="19958" xr:uid="{00000000-0005-0000-0000-0000CA4B0000}"/>
    <cellStyle name="40% - Accent5 3 3 2 3 3 6" xfId="19959" xr:uid="{00000000-0005-0000-0000-0000CB4B0000}"/>
    <cellStyle name="40% - Accent5 3 3 2 3 4" xfId="19960" xr:uid="{00000000-0005-0000-0000-0000CC4B0000}"/>
    <cellStyle name="40% - Accent5 3 3 2 3 4 2" xfId="19961" xr:uid="{00000000-0005-0000-0000-0000CD4B0000}"/>
    <cellStyle name="40% - Accent5 3 3 2 3 4 2 2" xfId="19962" xr:uid="{00000000-0005-0000-0000-0000CE4B0000}"/>
    <cellStyle name="40% - Accent5 3 3 2 3 4 2 3" xfId="19963" xr:uid="{00000000-0005-0000-0000-0000CF4B0000}"/>
    <cellStyle name="40% - Accent5 3 3 2 3 4 3" xfId="19964" xr:uid="{00000000-0005-0000-0000-0000D04B0000}"/>
    <cellStyle name="40% - Accent5 3 3 2 3 4 4" xfId="19965" xr:uid="{00000000-0005-0000-0000-0000D14B0000}"/>
    <cellStyle name="40% - Accent5 3 3 2 3 4 5" xfId="19966" xr:uid="{00000000-0005-0000-0000-0000D24B0000}"/>
    <cellStyle name="40% - Accent5 3 3 2 3 4 6" xfId="19967" xr:uid="{00000000-0005-0000-0000-0000D34B0000}"/>
    <cellStyle name="40% - Accent5 3 3 2 3 5" xfId="19968" xr:uid="{00000000-0005-0000-0000-0000D44B0000}"/>
    <cellStyle name="40% - Accent5 3 3 2 3 5 2" xfId="19969" xr:uid="{00000000-0005-0000-0000-0000D54B0000}"/>
    <cellStyle name="40% - Accent5 3 3 2 3 5 3" xfId="19970" xr:uid="{00000000-0005-0000-0000-0000D64B0000}"/>
    <cellStyle name="40% - Accent5 3 3 2 3 6" xfId="19971" xr:uid="{00000000-0005-0000-0000-0000D74B0000}"/>
    <cellStyle name="40% - Accent5 3 3 2 3 7" xfId="19972" xr:uid="{00000000-0005-0000-0000-0000D84B0000}"/>
    <cellStyle name="40% - Accent5 3 3 2 3 8" xfId="19973" xr:uid="{00000000-0005-0000-0000-0000D94B0000}"/>
    <cellStyle name="40% - Accent5 3 3 2 3 9" xfId="19974" xr:uid="{00000000-0005-0000-0000-0000DA4B0000}"/>
    <cellStyle name="40% - Accent5 3 3 2 4" xfId="19975" xr:uid="{00000000-0005-0000-0000-0000DB4B0000}"/>
    <cellStyle name="40% - Accent5 3 3 2 4 2" xfId="19976" xr:uid="{00000000-0005-0000-0000-0000DC4B0000}"/>
    <cellStyle name="40% - Accent5 3 3 2 4 2 2" xfId="19977" xr:uid="{00000000-0005-0000-0000-0000DD4B0000}"/>
    <cellStyle name="40% - Accent5 3 3 2 4 2 2 2" xfId="19978" xr:uid="{00000000-0005-0000-0000-0000DE4B0000}"/>
    <cellStyle name="40% - Accent5 3 3 2 4 2 2 3" xfId="19979" xr:uid="{00000000-0005-0000-0000-0000DF4B0000}"/>
    <cellStyle name="40% - Accent5 3 3 2 4 2 3" xfId="19980" xr:uid="{00000000-0005-0000-0000-0000E04B0000}"/>
    <cellStyle name="40% - Accent5 3 3 2 4 2 4" xfId="19981" xr:uid="{00000000-0005-0000-0000-0000E14B0000}"/>
    <cellStyle name="40% - Accent5 3 3 2 4 2 5" xfId="19982" xr:uid="{00000000-0005-0000-0000-0000E24B0000}"/>
    <cellStyle name="40% - Accent5 3 3 2 4 2 6" xfId="19983" xr:uid="{00000000-0005-0000-0000-0000E34B0000}"/>
    <cellStyle name="40% - Accent5 3 3 2 4 3" xfId="19984" xr:uid="{00000000-0005-0000-0000-0000E44B0000}"/>
    <cellStyle name="40% - Accent5 3 3 2 4 3 2" xfId="19985" xr:uid="{00000000-0005-0000-0000-0000E54B0000}"/>
    <cellStyle name="40% - Accent5 3 3 2 4 3 3" xfId="19986" xr:uid="{00000000-0005-0000-0000-0000E64B0000}"/>
    <cellStyle name="40% - Accent5 3 3 2 4 4" xfId="19987" xr:uid="{00000000-0005-0000-0000-0000E74B0000}"/>
    <cellStyle name="40% - Accent5 3 3 2 4 5" xfId="19988" xr:uid="{00000000-0005-0000-0000-0000E84B0000}"/>
    <cellStyle name="40% - Accent5 3 3 2 4 6" xfId="19989" xr:uid="{00000000-0005-0000-0000-0000E94B0000}"/>
    <cellStyle name="40% - Accent5 3 3 2 4 7" xfId="19990" xr:uid="{00000000-0005-0000-0000-0000EA4B0000}"/>
    <cellStyle name="40% - Accent5 3 3 2 5" xfId="19991" xr:uid="{00000000-0005-0000-0000-0000EB4B0000}"/>
    <cellStyle name="40% - Accent5 3 3 2 5 2" xfId="19992" xr:uid="{00000000-0005-0000-0000-0000EC4B0000}"/>
    <cellStyle name="40% - Accent5 3 3 2 5 2 2" xfId="19993" xr:uid="{00000000-0005-0000-0000-0000ED4B0000}"/>
    <cellStyle name="40% - Accent5 3 3 2 5 2 3" xfId="19994" xr:uid="{00000000-0005-0000-0000-0000EE4B0000}"/>
    <cellStyle name="40% - Accent5 3 3 2 5 3" xfId="19995" xr:uid="{00000000-0005-0000-0000-0000EF4B0000}"/>
    <cellStyle name="40% - Accent5 3 3 2 5 4" xfId="19996" xr:uid="{00000000-0005-0000-0000-0000F04B0000}"/>
    <cellStyle name="40% - Accent5 3 3 2 5 5" xfId="19997" xr:uid="{00000000-0005-0000-0000-0000F14B0000}"/>
    <cellStyle name="40% - Accent5 3 3 2 5 6" xfId="19998" xr:uid="{00000000-0005-0000-0000-0000F24B0000}"/>
    <cellStyle name="40% - Accent5 3 3 2 6" xfId="19999" xr:uid="{00000000-0005-0000-0000-0000F34B0000}"/>
    <cellStyle name="40% - Accent5 3 3 2 6 2" xfId="20000" xr:uid="{00000000-0005-0000-0000-0000F44B0000}"/>
    <cellStyle name="40% - Accent5 3 3 2 6 2 2" xfId="20001" xr:uid="{00000000-0005-0000-0000-0000F54B0000}"/>
    <cellStyle name="40% - Accent5 3 3 2 6 2 3" xfId="20002" xr:uid="{00000000-0005-0000-0000-0000F64B0000}"/>
    <cellStyle name="40% - Accent5 3 3 2 6 3" xfId="20003" xr:uid="{00000000-0005-0000-0000-0000F74B0000}"/>
    <cellStyle name="40% - Accent5 3 3 2 6 4" xfId="20004" xr:uid="{00000000-0005-0000-0000-0000F84B0000}"/>
    <cellStyle name="40% - Accent5 3 3 2 6 5" xfId="20005" xr:uid="{00000000-0005-0000-0000-0000F94B0000}"/>
    <cellStyle name="40% - Accent5 3 3 2 6 6" xfId="20006" xr:uid="{00000000-0005-0000-0000-0000FA4B0000}"/>
    <cellStyle name="40% - Accent5 3 3 2 7" xfId="20007" xr:uid="{00000000-0005-0000-0000-0000FB4B0000}"/>
    <cellStyle name="40% - Accent5 3 3 2 7 2" xfId="20008" xr:uid="{00000000-0005-0000-0000-0000FC4B0000}"/>
    <cellStyle name="40% - Accent5 3 3 2 7 2 2" xfId="20009" xr:uid="{00000000-0005-0000-0000-0000FD4B0000}"/>
    <cellStyle name="40% - Accent5 3 3 2 7 2 3" xfId="20010" xr:uid="{00000000-0005-0000-0000-0000FE4B0000}"/>
    <cellStyle name="40% - Accent5 3 3 2 7 3" xfId="20011" xr:uid="{00000000-0005-0000-0000-0000FF4B0000}"/>
    <cellStyle name="40% - Accent5 3 3 2 7 4" xfId="20012" xr:uid="{00000000-0005-0000-0000-0000004C0000}"/>
    <cellStyle name="40% - Accent5 3 3 2 7 5" xfId="20013" xr:uid="{00000000-0005-0000-0000-0000014C0000}"/>
    <cellStyle name="40% - Accent5 3 3 2 7 6" xfId="20014" xr:uid="{00000000-0005-0000-0000-0000024C0000}"/>
    <cellStyle name="40% - Accent5 3 3 2 8" xfId="20015" xr:uid="{00000000-0005-0000-0000-0000034C0000}"/>
    <cellStyle name="40% - Accent5 3 3 2 8 2" xfId="20016" xr:uid="{00000000-0005-0000-0000-0000044C0000}"/>
    <cellStyle name="40% - Accent5 3 3 2 8 2 2" xfId="20017" xr:uid="{00000000-0005-0000-0000-0000054C0000}"/>
    <cellStyle name="40% - Accent5 3 3 2 8 2 3" xfId="20018" xr:uid="{00000000-0005-0000-0000-0000064C0000}"/>
    <cellStyle name="40% - Accent5 3 3 2 8 3" xfId="20019" xr:uid="{00000000-0005-0000-0000-0000074C0000}"/>
    <cellStyle name="40% - Accent5 3 3 2 8 4" xfId="20020" xr:uid="{00000000-0005-0000-0000-0000084C0000}"/>
    <cellStyle name="40% - Accent5 3 3 2 8 5" xfId="20021" xr:uid="{00000000-0005-0000-0000-0000094C0000}"/>
    <cellStyle name="40% - Accent5 3 3 2 8 6" xfId="20022" xr:uid="{00000000-0005-0000-0000-00000A4C0000}"/>
    <cellStyle name="40% - Accent5 3 3 2 9" xfId="20023" xr:uid="{00000000-0005-0000-0000-00000B4C0000}"/>
    <cellStyle name="40% - Accent5 3 3 2 9 2" xfId="20024" xr:uid="{00000000-0005-0000-0000-00000C4C0000}"/>
    <cellStyle name="40% - Accent5 3 3 2 9 3" xfId="20025" xr:uid="{00000000-0005-0000-0000-00000D4C0000}"/>
    <cellStyle name="40% - Accent5 3 3 3" xfId="20026" xr:uid="{00000000-0005-0000-0000-00000E4C0000}"/>
    <cellStyle name="40% - Accent5 3 3 3 10" xfId="20027" xr:uid="{00000000-0005-0000-0000-00000F4C0000}"/>
    <cellStyle name="40% - Accent5 3 3 3 2" xfId="20028" xr:uid="{00000000-0005-0000-0000-0000104C0000}"/>
    <cellStyle name="40% - Accent5 3 3 3 2 2" xfId="20029" xr:uid="{00000000-0005-0000-0000-0000114C0000}"/>
    <cellStyle name="40% - Accent5 3 3 3 2 2 2" xfId="20030" xr:uid="{00000000-0005-0000-0000-0000124C0000}"/>
    <cellStyle name="40% - Accent5 3 3 3 2 2 2 2" xfId="20031" xr:uid="{00000000-0005-0000-0000-0000134C0000}"/>
    <cellStyle name="40% - Accent5 3 3 3 2 2 2 3" xfId="20032" xr:uid="{00000000-0005-0000-0000-0000144C0000}"/>
    <cellStyle name="40% - Accent5 3 3 3 2 2 3" xfId="20033" xr:uid="{00000000-0005-0000-0000-0000154C0000}"/>
    <cellStyle name="40% - Accent5 3 3 3 2 2 4" xfId="20034" xr:uid="{00000000-0005-0000-0000-0000164C0000}"/>
    <cellStyle name="40% - Accent5 3 3 3 2 2 5" xfId="20035" xr:uid="{00000000-0005-0000-0000-0000174C0000}"/>
    <cellStyle name="40% - Accent5 3 3 3 2 2 6" xfId="20036" xr:uid="{00000000-0005-0000-0000-0000184C0000}"/>
    <cellStyle name="40% - Accent5 3 3 3 2 3" xfId="20037" xr:uid="{00000000-0005-0000-0000-0000194C0000}"/>
    <cellStyle name="40% - Accent5 3 3 3 2 3 2" xfId="20038" xr:uid="{00000000-0005-0000-0000-00001A4C0000}"/>
    <cellStyle name="40% - Accent5 3 3 3 2 3 2 2" xfId="20039" xr:uid="{00000000-0005-0000-0000-00001B4C0000}"/>
    <cellStyle name="40% - Accent5 3 3 3 2 3 2 3" xfId="20040" xr:uid="{00000000-0005-0000-0000-00001C4C0000}"/>
    <cellStyle name="40% - Accent5 3 3 3 2 3 3" xfId="20041" xr:uid="{00000000-0005-0000-0000-00001D4C0000}"/>
    <cellStyle name="40% - Accent5 3 3 3 2 3 4" xfId="20042" xr:uid="{00000000-0005-0000-0000-00001E4C0000}"/>
    <cellStyle name="40% - Accent5 3 3 3 2 3 5" xfId="20043" xr:uid="{00000000-0005-0000-0000-00001F4C0000}"/>
    <cellStyle name="40% - Accent5 3 3 3 2 3 6" xfId="20044" xr:uid="{00000000-0005-0000-0000-0000204C0000}"/>
    <cellStyle name="40% - Accent5 3 3 3 2 4" xfId="20045" xr:uid="{00000000-0005-0000-0000-0000214C0000}"/>
    <cellStyle name="40% - Accent5 3 3 3 2 4 2" xfId="20046" xr:uid="{00000000-0005-0000-0000-0000224C0000}"/>
    <cellStyle name="40% - Accent5 3 3 3 2 4 3" xfId="20047" xr:uid="{00000000-0005-0000-0000-0000234C0000}"/>
    <cellStyle name="40% - Accent5 3 3 3 2 5" xfId="20048" xr:uid="{00000000-0005-0000-0000-0000244C0000}"/>
    <cellStyle name="40% - Accent5 3 3 3 2 6" xfId="20049" xr:uid="{00000000-0005-0000-0000-0000254C0000}"/>
    <cellStyle name="40% - Accent5 3 3 3 2 7" xfId="20050" xr:uid="{00000000-0005-0000-0000-0000264C0000}"/>
    <cellStyle name="40% - Accent5 3 3 3 2 8" xfId="20051" xr:uid="{00000000-0005-0000-0000-0000274C0000}"/>
    <cellStyle name="40% - Accent5 3 3 3 3" xfId="20052" xr:uid="{00000000-0005-0000-0000-0000284C0000}"/>
    <cellStyle name="40% - Accent5 3 3 3 3 2" xfId="20053" xr:uid="{00000000-0005-0000-0000-0000294C0000}"/>
    <cellStyle name="40% - Accent5 3 3 3 3 2 2" xfId="20054" xr:uid="{00000000-0005-0000-0000-00002A4C0000}"/>
    <cellStyle name="40% - Accent5 3 3 3 3 2 2 2" xfId="20055" xr:uid="{00000000-0005-0000-0000-00002B4C0000}"/>
    <cellStyle name="40% - Accent5 3 3 3 3 2 2 3" xfId="20056" xr:uid="{00000000-0005-0000-0000-00002C4C0000}"/>
    <cellStyle name="40% - Accent5 3 3 3 3 2 3" xfId="20057" xr:uid="{00000000-0005-0000-0000-00002D4C0000}"/>
    <cellStyle name="40% - Accent5 3 3 3 3 2 4" xfId="20058" xr:uid="{00000000-0005-0000-0000-00002E4C0000}"/>
    <cellStyle name="40% - Accent5 3 3 3 3 2 5" xfId="20059" xr:uid="{00000000-0005-0000-0000-00002F4C0000}"/>
    <cellStyle name="40% - Accent5 3 3 3 3 2 6" xfId="20060" xr:uid="{00000000-0005-0000-0000-0000304C0000}"/>
    <cellStyle name="40% - Accent5 3 3 3 3 3" xfId="20061" xr:uid="{00000000-0005-0000-0000-0000314C0000}"/>
    <cellStyle name="40% - Accent5 3 3 3 3 3 2" xfId="20062" xr:uid="{00000000-0005-0000-0000-0000324C0000}"/>
    <cellStyle name="40% - Accent5 3 3 3 3 3 3" xfId="20063" xr:uid="{00000000-0005-0000-0000-0000334C0000}"/>
    <cellStyle name="40% - Accent5 3 3 3 3 4" xfId="20064" xr:uid="{00000000-0005-0000-0000-0000344C0000}"/>
    <cellStyle name="40% - Accent5 3 3 3 3 5" xfId="20065" xr:uid="{00000000-0005-0000-0000-0000354C0000}"/>
    <cellStyle name="40% - Accent5 3 3 3 3 6" xfId="20066" xr:uid="{00000000-0005-0000-0000-0000364C0000}"/>
    <cellStyle name="40% - Accent5 3 3 3 3 7" xfId="20067" xr:uid="{00000000-0005-0000-0000-0000374C0000}"/>
    <cellStyle name="40% - Accent5 3 3 3 4" xfId="20068" xr:uid="{00000000-0005-0000-0000-0000384C0000}"/>
    <cellStyle name="40% - Accent5 3 3 3 4 2" xfId="20069" xr:uid="{00000000-0005-0000-0000-0000394C0000}"/>
    <cellStyle name="40% - Accent5 3 3 3 4 2 2" xfId="20070" xr:uid="{00000000-0005-0000-0000-00003A4C0000}"/>
    <cellStyle name="40% - Accent5 3 3 3 4 2 3" xfId="20071" xr:uid="{00000000-0005-0000-0000-00003B4C0000}"/>
    <cellStyle name="40% - Accent5 3 3 3 4 3" xfId="20072" xr:uid="{00000000-0005-0000-0000-00003C4C0000}"/>
    <cellStyle name="40% - Accent5 3 3 3 4 4" xfId="20073" xr:uid="{00000000-0005-0000-0000-00003D4C0000}"/>
    <cellStyle name="40% - Accent5 3 3 3 4 5" xfId="20074" xr:uid="{00000000-0005-0000-0000-00003E4C0000}"/>
    <cellStyle name="40% - Accent5 3 3 3 4 6" xfId="20075" xr:uid="{00000000-0005-0000-0000-00003F4C0000}"/>
    <cellStyle name="40% - Accent5 3 3 3 5" xfId="20076" xr:uid="{00000000-0005-0000-0000-0000404C0000}"/>
    <cellStyle name="40% - Accent5 3 3 3 5 2" xfId="20077" xr:uid="{00000000-0005-0000-0000-0000414C0000}"/>
    <cellStyle name="40% - Accent5 3 3 3 5 2 2" xfId="20078" xr:uid="{00000000-0005-0000-0000-0000424C0000}"/>
    <cellStyle name="40% - Accent5 3 3 3 5 2 3" xfId="20079" xr:uid="{00000000-0005-0000-0000-0000434C0000}"/>
    <cellStyle name="40% - Accent5 3 3 3 5 3" xfId="20080" xr:uid="{00000000-0005-0000-0000-0000444C0000}"/>
    <cellStyle name="40% - Accent5 3 3 3 5 4" xfId="20081" xr:uid="{00000000-0005-0000-0000-0000454C0000}"/>
    <cellStyle name="40% - Accent5 3 3 3 5 5" xfId="20082" xr:uid="{00000000-0005-0000-0000-0000464C0000}"/>
    <cellStyle name="40% - Accent5 3 3 3 5 6" xfId="20083" xr:uid="{00000000-0005-0000-0000-0000474C0000}"/>
    <cellStyle name="40% - Accent5 3 3 3 6" xfId="20084" xr:uid="{00000000-0005-0000-0000-0000484C0000}"/>
    <cellStyle name="40% - Accent5 3 3 3 6 2" xfId="20085" xr:uid="{00000000-0005-0000-0000-0000494C0000}"/>
    <cellStyle name="40% - Accent5 3 3 3 6 3" xfId="20086" xr:uid="{00000000-0005-0000-0000-00004A4C0000}"/>
    <cellStyle name="40% - Accent5 3 3 3 7" xfId="20087" xr:uid="{00000000-0005-0000-0000-00004B4C0000}"/>
    <cellStyle name="40% - Accent5 3 3 3 8" xfId="20088" xr:uid="{00000000-0005-0000-0000-00004C4C0000}"/>
    <cellStyle name="40% - Accent5 3 3 3 9" xfId="20089" xr:uid="{00000000-0005-0000-0000-00004D4C0000}"/>
    <cellStyle name="40% - Accent5 3 3 4" xfId="20090" xr:uid="{00000000-0005-0000-0000-00004E4C0000}"/>
    <cellStyle name="40% - Accent5 3 3 4 2" xfId="20091" xr:uid="{00000000-0005-0000-0000-00004F4C0000}"/>
    <cellStyle name="40% - Accent5 3 3 4 2 2" xfId="20092" xr:uid="{00000000-0005-0000-0000-0000504C0000}"/>
    <cellStyle name="40% - Accent5 3 3 4 2 2 2" xfId="20093" xr:uid="{00000000-0005-0000-0000-0000514C0000}"/>
    <cellStyle name="40% - Accent5 3 3 4 2 2 2 2" xfId="20094" xr:uid="{00000000-0005-0000-0000-0000524C0000}"/>
    <cellStyle name="40% - Accent5 3 3 4 2 2 2 3" xfId="20095" xr:uid="{00000000-0005-0000-0000-0000534C0000}"/>
    <cellStyle name="40% - Accent5 3 3 4 2 2 3" xfId="20096" xr:uid="{00000000-0005-0000-0000-0000544C0000}"/>
    <cellStyle name="40% - Accent5 3 3 4 2 2 4" xfId="20097" xr:uid="{00000000-0005-0000-0000-0000554C0000}"/>
    <cellStyle name="40% - Accent5 3 3 4 2 2 5" xfId="20098" xr:uid="{00000000-0005-0000-0000-0000564C0000}"/>
    <cellStyle name="40% - Accent5 3 3 4 2 2 6" xfId="20099" xr:uid="{00000000-0005-0000-0000-0000574C0000}"/>
    <cellStyle name="40% - Accent5 3 3 4 2 3" xfId="20100" xr:uid="{00000000-0005-0000-0000-0000584C0000}"/>
    <cellStyle name="40% - Accent5 3 3 4 2 3 2" xfId="20101" xr:uid="{00000000-0005-0000-0000-0000594C0000}"/>
    <cellStyle name="40% - Accent5 3 3 4 2 3 3" xfId="20102" xr:uid="{00000000-0005-0000-0000-00005A4C0000}"/>
    <cellStyle name="40% - Accent5 3 3 4 2 4" xfId="20103" xr:uid="{00000000-0005-0000-0000-00005B4C0000}"/>
    <cellStyle name="40% - Accent5 3 3 4 2 5" xfId="20104" xr:uid="{00000000-0005-0000-0000-00005C4C0000}"/>
    <cellStyle name="40% - Accent5 3 3 4 2 6" xfId="20105" xr:uid="{00000000-0005-0000-0000-00005D4C0000}"/>
    <cellStyle name="40% - Accent5 3 3 4 2 7" xfId="20106" xr:uid="{00000000-0005-0000-0000-00005E4C0000}"/>
    <cellStyle name="40% - Accent5 3 3 4 3" xfId="20107" xr:uid="{00000000-0005-0000-0000-00005F4C0000}"/>
    <cellStyle name="40% - Accent5 3 3 4 3 2" xfId="20108" xr:uid="{00000000-0005-0000-0000-0000604C0000}"/>
    <cellStyle name="40% - Accent5 3 3 4 3 2 2" xfId="20109" xr:uid="{00000000-0005-0000-0000-0000614C0000}"/>
    <cellStyle name="40% - Accent5 3 3 4 3 2 3" xfId="20110" xr:uid="{00000000-0005-0000-0000-0000624C0000}"/>
    <cellStyle name="40% - Accent5 3 3 4 3 3" xfId="20111" xr:uid="{00000000-0005-0000-0000-0000634C0000}"/>
    <cellStyle name="40% - Accent5 3 3 4 3 4" xfId="20112" xr:uid="{00000000-0005-0000-0000-0000644C0000}"/>
    <cellStyle name="40% - Accent5 3 3 4 3 5" xfId="20113" xr:uid="{00000000-0005-0000-0000-0000654C0000}"/>
    <cellStyle name="40% - Accent5 3 3 4 3 6" xfId="20114" xr:uid="{00000000-0005-0000-0000-0000664C0000}"/>
    <cellStyle name="40% - Accent5 3 3 4 4" xfId="20115" xr:uid="{00000000-0005-0000-0000-0000674C0000}"/>
    <cellStyle name="40% - Accent5 3 3 4 4 2" xfId="20116" xr:uid="{00000000-0005-0000-0000-0000684C0000}"/>
    <cellStyle name="40% - Accent5 3 3 4 4 2 2" xfId="20117" xr:uid="{00000000-0005-0000-0000-0000694C0000}"/>
    <cellStyle name="40% - Accent5 3 3 4 4 2 3" xfId="20118" xr:uid="{00000000-0005-0000-0000-00006A4C0000}"/>
    <cellStyle name="40% - Accent5 3 3 4 4 3" xfId="20119" xr:uid="{00000000-0005-0000-0000-00006B4C0000}"/>
    <cellStyle name="40% - Accent5 3 3 4 4 4" xfId="20120" xr:uid="{00000000-0005-0000-0000-00006C4C0000}"/>
    <cellStyle name="40% - Accent5 3 3 4 4 5" xfId="20121" xr:uid="{00000000-0005-0000-0000-00006D4C0000}"/>
    <cellStyle name="40% - Accent5 3 3 4 4 6" xfId="20122" xr:uid="{00000000-0005-0000-0000-00006E4C0000}"/>
    <cellStyle name="40% - Accent5 3 3 4 5" xfId="20123" xr:uid="{00000000-0005-0000-0000-00006F4C0000}"/>
    <cellStyle name="40% - Accent5 3 3 4 5 2" xfId="20124" xr:uid="{00000000-0005-0000-0000-0000704C0000}"/>
    <cellStyle name="40% - Accent5 3 3 4 5 3" xfId="20125" xr:uid="{00000000-0005-0000-0000-0000714C0000}"/>
    <cellStyle name="40% - Accent5 3 3 4 6" xfId="20126" xr:uid="{00000000-0005-0000-0000-0000724C0000}"/>
    <cellStyle name="40% - Accent5 3 3 4 7" xfId="20127" xr:uid="{00000000-0005-0000-0000-0000734C0000}"/>
    <cellStyle name="40% - Accent5 3 3 4 8" xfId="20128" xr:uid="{00000000-0005-0000-0000-0000744C0000}"/>
    <cellStyle name="40% - Accent5 3 3 4 9" xfId="20129" xr:uid="{00000000-0005-0000-0000-0000754C0000}"/>
    <cellStyle name="40% - Accent5 3 3 5" xfId="20130" xr:uid="{00000000-0005-0000-0000-0000764C0000}"/>
    <cellStyle name="40% - Accent5 3 3 5 2" xfId="20131" xr:uid="{00000000-0005-0000-0000-0000774C0000}"/>
    <cellStyle name="40% - Accent5 3 3 5 2 2" xfId="20132" xr:uid="{00000000-0005-0000-0000-0000784C0000}"/>
    <cellStyle name="40% - Accent5 3 3 5 2 2 2" xfId="20133" xr:uid="{00000000-0005-0000-0000-0000794C0000}"/>
    <cellStyle name="40% - Accent5 3 3 5 2 2 3" xfId="20134" xr:uid="{00000000-0005-0000-0000-00007A4C0000}"/>
    <cellStyle name="40% - Accent5 3 3 5 2 3" xfId="20135" xr:uid="{00000000-0005-0000-0000-00007B4C0000}"/>
    <cellStyle name="40% - Accent5 3 3 5 2 4" xfId="20136" xr:uid="{00000000-0005-0000-0000-00007C4C0000}"/>
    <cellStyle name="40% - Accent5 3 3 5 2 5" xfId="20137" xr:uid="{00000000-0005-0000-0000-00007D4C0000}"/>
    <cellStyle name="40% - Accent5 3 3 5 2 6" xfId="20138" xr:uid="{00000000-0005-0000-0000-00007E4C0000}"/>
    <cellStyle name="40% - Accent5 3 3 5 3" xfId="20139" xr:uid="{00000000-0005-0000-0000-00007F4C0000}"/>
    <cellStyle name="40% - Accent5 3 3 5 3 2" xfId="20140" xr:uid="{00000000-0005-0000-0000-0000804C0000}"/>
    <cellStyle name="40% - Accent5 3 3 5 3 3" xfId="20141" xr:uid="{00000000-0005-0000-0000-0000814C0000}"/>
    <cellStyle name="40% - Accent5 3 3 5 4" xfId="20142" xr:uid="{00000000-0005-0000-0000-0000824C0000}"/>
    <cellStyle name="40% - Accent5 3 3 5 5" xfId="20143" xr:uid="{00000000-0005-0000-0000-0000834C0000}"/>
    <cellStyle name="40% - Accent5 3 3 5 6" xfId="20144" xr:uid="{00000000-0005-0000-0000-0000844C0000}"/>
    <cellStyle name="40% - Accent5 3 3 5 7" xfId="20145" xr:uid="{00000000-0005-0000-0000-0000854C0000}"/>
    <cellStyle name="40% - Accent5 3 3 6" xfId="20146" xr:uid="{00000000-0005-0000-0000-0000864C0000}"/>
    <cellStyle name="40% - Accent5 3 3 6 2" xfId="20147" xr:uid="{00000000-0005-0000-0000-0000874C0000}"/>
    <cellStyle name="40% - Accent5 3 3 6 2 2" xfId="20148" xr:uid="{00000000-0005-0000-0000-0000884C0000}"/>
    <cellStyle name="40% - Accent5 3 3 6 2 3" xfId="20149" xr:uid="{00000000-0005-0000-0000-0000894C0000}"/>
    <cellStyle name="40% - Accent5 3 3 6 3" xfId="20150" xr:uid="{00000000-0005-0000-0000-00008A4C0000}"/>
    <cellStyle name="40% - Accent5 3 3 6 4" xfId="20151" xr:uid="{00000000-0005-0000-0000-00008B4C0000}"/>
    <cellStyle name="40% - Accent5 3 3 6 5" xfId="20152" xr:uid="{00000000-0005-0000-0000-00008C4C0000}"/>
    <cellStyle name="40% - Accent5 3 3 6 6" xfId="20153" xr:uid="{00000000-0005-0000-0000-00008D4C0000}"/>
    <cellStyle name="40% - Accent5 3 3 7" xfId="20154" xr:uid="{00000000-0005-0000-0000-00008E4C0000}"/>
    <cellStyle name="40% - Accent5 3 3 7 2" xfId="20155" xr:uid="{00000000-0005-0000-0000-00008F4C0000}"/>
    <cellStyle name="40% - Accent5 3 3 7 2 2" xfId="20156" xr:uid="{00000000-0005-0000-0000-0000904C0000}"/>
    <cellStyle name="40% - Accent5 3 3 7 2 3" xfId="20157" xr:uid="{00000000-0005-0000-0000-0000914C0000}"/>
    <cellStyle name="40% - Accent5 3 3 7 3" xfId="20158" xr:uid="{00000000-0005-0000-0000-0000924C0000}"/>
    <cellStyle name="40% - Accent5 3 3 7 4" xfId="20159" xr:uid="{00000000-0005-0000-0000-0000934C0000}"/>
    <cellStyle name="40% - Accent5 3 3 7 5" xfId="20160" xr:uid="{00000000-0005-0000-0000-0000944C0000}"/>
    <cellStyle name="40% - Accent5 3 3 7 6" xfId="20161" xr:uid="{00000000-0005-0000-0000-0000954C0000}"/>
    <cellStyle name="40% - Accent5 3 3 8" xfId="20162" xr:uid="{00000000-0005-0000-0000-0000964C0000}"/>
    <cellStyle name="40% - Accent5 3 3 8 2" xfId="20163" xr:uid="{00000000-0005-0000-0000-0000974C0000}"/>
    <cellStyle name="40% - Accent5 3 3 8 2 2" xfId="20164" xr:uid="{00000000-0005-0000-0000-0000984C0000}"/>
    <cellStyle name="40% - Accent5 3 3 8 2 3" xfId="20165" xr:uid="{00000000-0005-0000-0000-0000994C0000}"/>
    <cellStyle name="40% - Accent5 3 3 8 3" xfId="20166" xr:uid="{00000000-0005-0000-0000-00009A4C0000}"/>
    <cellStyle name="40% - Accent5 3 3 8 4" xfId="20167" xr:uid="{00000000-0005-0000-0000-00009B4C0000}"/>
    <cellStyle name="40% - Accent5 3 3 8 5" xfId="20168" xr:uid="{00000000-0005-0000-0000-00009C4C0000}"/>
    <cellStyle name="40% - Accent5 3 3 8 6" xfId="20169" xr:uid="{00000000-0005-0000-0000-00009D4C0000}"/>
    <cellStyle name="40% - Accent5 3 3 9" xfId="20170" xr:uid="{00000000-0005-0000-0000-00009E4C0000}"/>
    <cellStyle name="40% - Accent5 3 3 9 2" xfId="20171" xr:uid="{00000000-0005-0000-0000-00009F4C0000}"/>
    <cellStyle name="40% - Accent5 3 3 9 2 2" xfId="20172" xr:uid="{00000000-0005-0000-0000-0000A04C0000}"/>
    <cellStyle name="40% - Accent5 3 3 9 2 3" xfId="20173" xr:uid="{00000000-0005-0000-0000-0000A14C0000}"/>
    <cellStyle name="40% - Accent5 3 3 9 3" xfId="20174" xr:uid="{00000000-0005-0000-0000-0000A24C0000}"/>
    <cellStyle name="40% - Accent5 3 3 9 4" xfId="20175" xr:uid="{00000000-0005-0000-0000-0000A34C0000}"/>
    <cellStyle name="40% - Accent5 3 3 9 5" xfId="20176" xr:uid="{00000000-0005-0000-0000-0000A44C0000}"/>
    <cellStyle name="40% - Accent5 3 3 9 6" xfId="20177" xr:uid="{00000000-0005-0000-0000-0000A54C0000}"/>
    <cellStyle name="40% - Accent5 3 4" xfId="20178" xr:uid="{00000000-0005-0000-0000-0000A64C0000}"/>
    <cellStyle name="40% - Accent5 3 4 10" xfId="20179" xr:uid="{00000000-0005-0000-0000-0000A74C0000}"/>
    <cellStyle name="40% - Accent5 3 4 11" xfId="20180" xr:uid="{00000000-0005-0000-0000-0000A84C0000}"/>
    <cellStyle name="40% - Accent5 3 4 12" xfId="20181" xr:uid="{00000000-0005-0000-0000-0000A94C0000}"/>
    <cellStyle name="40% - Accent5 3 4 13" xfId="20182" xr:uid="{00000000-0005-0000-0000-0000AA4C0000}"/>
    <cellStyle name="40% - Accent5 3 4 2" xfId="20183" xr:uid="{00000000-0005-0000-0000-0000AB4C0000}"/>
    <cellStyle name="40% - Accent5 3 4 2 10" xfId="20184" xr:uid="{00000000-0005-0000-0000-0000AC4C0000}"/>
    <cellStyle name="40% - Accent5 3 4 2 2" xfId="20185" xr:uid="{00000000-0005-0000-0000-0000AD4C0000}"/>
    <cellStyle name="40% - Accent5 3 4 2 2 2" xfId="20186" xr:uid="{00000000-0005-0000-0000-0000AE4C0000}"/>
    <cellStyle name="40% - Accent5 3 4 2 2 2 2" xfId="20187" xr:uid="{00000000-0005-0000-0000-0000AF4C0000}"/>
    <cellStyle name="40% - Accent5 3 4 2 2 2 2 2" xfId="20188" xr:uid="{00000000-0005-0000-0000-0000B04C0000}"/>
    <cellStyle name="40% - Accent5 3 4 2 2 2 2 3" xfId="20189" xr:uid="{00000000-0005-0000-0000-0000B14C0000}"/>
    <cellStyle name="40% - Accent5 3 4 2 2 2 3" xfId="20190" xr:uid="{00000000-0005-0000-0000-0000B24C0000}"/>
    <cellStyle name="40% - Accent5 3 4 2 2 2 4" xfId="20191" xr:uid="{00000000-0005-0000-0000-0000B34C0000}"/>
    <cellStyle name="40% - Accent5 3 4 2 2 2 5" xfId="20192" xr:uid="{00000000-0005-0000-0000-0000B44C0000}"/>
    <cellStyle name="40% - Accent5 3 4 2 2 2 6" xfId="20193" xr:uid="{00000000-0005-0000-0000-0000B54C0000}"/>
    <cellStyle name="40% - Accent5 3 4 2 2 3" xfId="20194" xr:uid="{00000000-0005-0000-0000-0000B64C0000}"/>
    <cellStyle name="40% - Accent5 3 4 2 2 3 2" xfId="20195" xr:uid="{00000000-0005-0000-0000-0000B74C0000}"/>
    <cellStyle name="40% - Accent5 3 4 2 2 3 2 2" xfId="20196" xr:uid="{00000000-0005-0000-0000-0000B84C0000}"/>
    <cellStyle name="40% - Accent5 3 4 2 2 3 2 3" xfId="20197" xr:uid="{00000000-0005-0000-0000-0000B94C0000}"/>
    <cellStyle name="40% - Accent5 3 4 2 2 3 3" xfId="20198" xr:uid="{00000000-0005-0000-0000-0000BA4C0000}"/>
    <cellStyle name="40% - Accent5 3 4 2 2 3 4" xfId="20199" xr:uid="{00000000-0005-0000-0000-0000BB4C0000}"/>
    <cellStyle name="40% - Accent5 3 4 2 2 3 5" xfId="20200" xr:uid="{00000000-0005-0000-0000-0000BC4C0000}"/>
    <cellStyle name="40% - Accent5 3 4 2 2 3 6" xfId="20201" xr:uid="{00000000-0005-0000-0000-0000BD4C0000}"/>
    <cellStyle name="40% - Accent5 3 4 2 2 4" xfId="20202" xr:uid="{00000000-0005-0000-0000-0000BE4C0000}"/>
    <cellStyle name="40% - Accent5 3 4 2 2 4 2" xfId="20203" xr:uid="{00000000-0005-0000-0000-0000BF4C0000}"/>
    <cellStyle name="40% - Accent5 3 4 2 2 4 3" xfId="20204" xr:uid="{00000000-0005-0000-0000-0000C04C0000}"/>
    <cellStyle name="40% - Accent5 3 4 2 2 5" xfId="20205" xr:uid="{00000000-0005-0000-0000-0000C14C0000}"/>
    <cellStyle name="40% - Accent5 3 4 2 2 6" xfId="20206" xr:uid="{00000000-0005-0000-0000-0000C24C0000}"/>
    <cellStyle name="40% - Accent5 3 4 2 2 7" xfId="20207" xr:uid="{00000000-0005-0000-0000-0000C34C0000}"/>
    <cellStyle name="40% - Accent5 3 4 2 2 8" xfId="20208" xr:uid="{00000000-0005-0000-0000-0000C44C0000}"/>
    <cellStyle name="40% - Accent5 3 4 2 3" xfId="20209" xr:uid="{00000000-0005-0000-0000-0000C54C0000}"/>
    <cellStyle name="40% - Accent5 3 4 2 3 2" xfId="20210" xr:uid="{00000000-0005-0000-0000-0000C64C0000}"/>
    <cellStyle name="40% - Accent5 3 4 2 3 2 2" xfId="20211" xr:uid="{00000000-0005-0000-0000-0000C74C0000}"/>
    <cellStyle name="40% - Accent5 3 4 2 3 2 2 2" xfId="20212" xr:uid="{00000000-0005-0000-0000-0000C84C0000}"/>
    <cellStyle name="40% - Accent5 3 4 2 3 2 2 3" xfId="20213" xr:uid="{00000000-0005-0000-0000-0000C94C0000}"/>
    <cellStyle name="40% - Accent5 3 4 2 3 2 3" xfId="20214" xr:uid="{00000000-0005-0000-0000-0000CA4C0000}"/>
    <cellStyle name="40% - Accent5 3 4 2 3 2 4" xfId="20215" xr:uid="{00000000-0005-0000-0000-0000CB4C0000}"/>
    <cellStyle name="40% - Accent5 3 4 2 3 2 5" xfId="20216" xr:uid="{00000000-0005-0000-0000-0000CC4C0000}"/>
    <cellStyle name="40% - Accent5 3 4 2 3 2 6" xfId="20217" xr:uid="{00000000-0005-0000-0000-0000CD4C0000}"/>
    <cellStyle name="40% - Accent5 3 4 2 3 3" xfId="20218" xr:uid="{00000000-0005-0000-0000-0000CE4C0000}"/>
    <cellStyle name="40% - Accent5 3 4 2 3 3 2" xfId="20219" xr:uid="{00000000-0005-0000-0000-0000CF4C0000}"/>
    <cellStyle name="40% - Accent5 3 4 2 3 3 3" xfId="20220" xr:uid="{00000000-0005-0000-0000-0000D04C0000}"/>
    <cellStyle name="40% - Accent5 3 4 2 3 4" xfId="20221" xr:uid="{00000000-0005-0000-0000-0000D14C0000}"/>
    <cellStyle name="40% - Accent5 3 4 2 3 5" xfId="20222" xr:uid="{00000000-0005-0000-0000-0000D24C0000}"/>
    <cellStyle name="40% - Accent5 3 4 2 3 6" xfId="20223" xr:uid="{00000000-0005-0000-0000-0000D34C0000}"/>
    <cellStyle name="40% - Accent5 3 4 2 3 7" xfId="20224" xr:uid="{00000000-0005-0000-0000-0000D44C0000}"/>
    <cellStyle name="40% - Accent5 3 4 2 4" xfId="20225" xr:uid="{00000000-0005-0000-0000-0000D54C0000}"/>
    <cellStyle name="40% - Accent5 3 4 2 4 2" xfId="20226" xr:uid="{00000000-0005-0000-0000-0000D64C0000}"/>
    <cellStyle name="40% - Accent5 3 4 2 4 2 2" xfId="20227" xr:uid="{00000000-0005-0000-0000-0000D74C0000}"/>
    <cellStyle name="40% - Accent5 3 4 2 4 2 3" xfId="20228" xr:uid="{00000000-0005-0000-0000-0000D84C0000}"/>
    <cellStyle name="40% - Accent5 3 4 2 4 3" xfId="20229" xr:uid="{00000000-0005-0000-0000-0000D94C0000}"/>
    <cellStyle name="40% - Accent5 3 4 2 4 4" xfId="20230" xr:uid="{00000000-0005-0000-0000-0000DA4C0000}"/>
    <cellStyle name="40% - Accent5 3 4 2 4 5" xfId="20231" xr:uid="{00000000-0005-0000-0000-0000DB4C0000}"/>
    <cellStyle name="40% - Accent5 3 4 2 4 6" xfId="20232" xr:uid="{00000000-0005-0000-0000-0000DC4C0000}"/>
    <cellStyle name="40% - Accent5 3 4 2 5" xfId="20233" xr:uid="{00000000-0005-0000-0000-0000DD4C0000}"/>
    <cellStyle name="40% - Accent5 3 4 2 5 2" xfId="20234" xr:uid="{00000000-0005-0000-0000-0000DE4C0000}"/>
    <cellStyle name="40% - Accent5 3 4 2 5 2 2" xfId="20235" xr:uid="{00000000-0005-0000-0000-0000DF4C0000}"/>
    <cellStyle name="40% - Accent5 3 4 2 5 2 3" xfId="20236" xr:uid="{00000000-0005-0000-0000-0000E04C0000}"/>
    <cellStyle name="40% - Accent5 3 4 2 5 3" xfId="20237" xr:uid="{00000000-0005-0000-0000-0000E14C0000}"/>
    <cellStyle name="40% - Accent5 3 4 2 5 4" xfId="20238" xr:uid="{00000000-0005-0000-0000-0000E24C0000}"/>
    <cellStyle name="40% - Accent5 3 4 2 5 5" xfId="20239" xr:uid="{00000000-0005-0000-0000-0000E34C0000}"/>
    <cellStyle name="40% - Accent5 3 4 2 5 6" xfId="20240" xr:uid="{00000000-0005-0000-0000-0000E44C0000}"/>
    <cellStyle name="40% - Accent5 3 4 2 6" xfId="20241" xr:uid="{00000000-0005-0000-0000-0000E54C0000}"/>
    <cellStyle name="40% - Accent5 3 4 2 6 2" xfId="20242" xr:uid="{00000000-0005-0000-0000-0000E64C0000}"/>
    <cellStyle name="40% - Accent5 3 4 2 6 3" xfId="20243" xr:uid="{00000000-0005-0000-0000-0000E74C0000}"/>
    <cellStyle name="40% - Accent5 3 4 2 7" xfId="20244" xr:uid="{00000000-0005-0000-0000-0000E84C0000}"/>
    <cellStyle name="40% - Accent5 3 4 2 8" xfId="20245" xr:uid="{00000000-0005-0000-0000-0000E94C0000}"/>
    <cellStyle name="40% - Accent5 3 4 2 9" xfId="20246" xr:uid="{00000000-0005-0000-0000-0000EA4C0000}"/>
    <cellStyle name="40% - Accent5 3 4 3" xfId="20247" xr:uid="{00000000-0005-0000-0000-0000EB4C0000}"/>
    <cellStyle name="40% - Accent5 3 4 3 2" xfId="20248" xr:uid="{00000000-0005-0000-0000-0000EC4C0000}"/>
    <cellStyle name="40% - Accent5 3 4 3 2 2" xfId="20249" xr:uid="{00000000-0005-0000-0000-0000ED4C0000}"/>
    <cellStyle name="40% - Accent5 3 4 3 2 2 2" xfId="20250" xr:uid="{00000000-0005-0000-0000-0000EE4C0000}"/>
    <cellStyle name="40% - Accent5 3 4 3 2 2 2 2" xfId="20251" xr:uid="{00000000-0005-0000-0000-0000EF4C0000}"/>
    <cellStyle name="40% - Accent5 3 4 3 2 2 2 3" xfId="20252" xr:uid="{00000000-0005-0000-0000-0000F04C0000}"/>
    <cellStyle name="40% - Accent5 3 4 3 2 2 3" xfId="20253" xr:uid="{00000000-0005-0000-0000-0000F14C0000}"/>
    <cellStyle name="40% - Accent5 3 4 3 2 2 4" xfId="20254" xr:uid="{00000000-0005-0000-0000-0000F24C0000}"/>
    <cellStyle name="40% - Accent5 3 4 3 2 2 5" xfId="20255" xr:uid="{00000000-0005-0000-0000-0000F34C0000}"/>
    <cellStyle name="40% - Accent5 3 4 3 2 2 6" xfId="20256" xr:uid="{00000000-0005-0000-0000-0000F44C0000}"/>
    <cellStyle name="40% - Accent5 3 4 3 2 3" xfId="20257" xr:uid="{00000000-0005-0000-0000-0000F54C0000}"/>
    <cellStyle name="40% - Accent5 3 4 3 2 3 2" xfId="20258" xr:uid="{00000000-0005-0000-0000-0000F64C0000}"/>
    <cellStyle name="40% - Accent5 3 4 3 2 3 3" xfId="20259" xr:uid="{00000000-0005-0000-0000-0000F74C0000}"/>
    <cellStyle name="40% - Accent5 3 4 3 2 4" xfId="20260" xr:uid="{00000000-0005-0000-0000-0000F84C0000}"/>
    <cellStyle name="40% - Accent5 3 4 3 2 5" xfId="20261" xr:uid="{00000000-0005-0000-0000-0000F94C0000}"/>
    <cellStyle name="40% - Accent5 3 4 3 2 6" xfId="20262" xr:uid="{00000000-0005-0000-0000-0000FA4C0000}"/>
    <cellStyle name="40% - Accent5 3 4 3 2 7" xfId="20263" xr:uid="{00000000-0005-0000-0000-0000FB4C0000}"/>
    <cellStyle name="40% - Accent5 3 4 3 3" xfId="20264" xr:uid="{00000000-0005-0000-0000-0000FC4C0000}"/>
    <cellStyle name="40% - Accent5 3 4 3 3 2" xfId="20265" xr:uid="{00000000-0005-0000-0000-0000FD4C0000}"/>
    <cellStyle name="40% - Accent5 3 4 3 3 2 2" xfId="20266" xr:uid="{00000000-0005-0000-0000-0000FE4C0000}"/>
    <cellStyle name="40% - Accent5 3 4 3 3 2 3" xfId="20267" xr:uid="{00000000-0005-0000-0000-0000FF4C0000}"/>
    <cellStyle name="40% - Accent5 3 4 3 3 3" xfId="20268" xr:uid="{00000000-0005-0000-0000-0000004D0000}"/>
    <cellStyle name="40% - Accent5 3 4 3 3 4" xfId="20269" xr:uid="{00000000-0005-0000-0000-0000014D0000}"/>
    <cellStyle name="40% - Accent5 3 4 3 3 5" xfId="20270" xr:uid="{00000000-0005-0000-0000-0000024D0000}"/>
    <cellStyle name="40% - Accent5 3 4 3 3 6" xfId="20271" xr:uid="{00000000-0005-0000-0000-0000034D0000}"/>
    <cellStyle name="40% - Accent5 3 4 3 4" xfId="20272" xr:uid="{00000000-0005-0000-0000-0000044D0000}"/>
    <cellStyle name="40% - Accent5 3 4 3 4 2" xfId="20273" xr:uid="{00000000-0005-0000-0000-0000054D0000}"/>
    <cellStyle name="40% - Accent5 3 4 3 4 2 2" xfId="20274" xr:uid="{00000000-0005-0000-0000-0000064D0000}"/>
    <cellStyle name="40% - Accent5 3 4 3 4 2 3" xfId="20275" xr:uid="{00000000-0005-0000-0000-0000074D0000}"/>
    <cellStyle name="40% - Accent5 3 4 3 4 3" xfId="20276" xr:uid="{00000000-0005-0000-0000-0000084D0000}"/>
    <cellStyle name="40% - Accent5 3 4 3 4 4" xfId="20277" xr:uid="{00000000-0005-0000-0000-0000094D0000}"/>
    <cellStyle name="40% - Accent5 3 4 3 4 5" xfId="20278" xr:uid="{00000000-0005-0000-0000-00000A4D0000}"/>
    <cellStyle name="40% - Accent5 3 4 3 4 6" xfId="20279" xr:uid="{00000000-0005-0000-0000-00000B4D0000}"/>
    <cellStyle name="40% - Accent5 3 4 3 5" xfId="20280" xr:uid="{00000000-0005-0000-0000-00000C4D0000}"/>
    <cellStyle name="40% - Accent5 3 4 3 5 2" xfId="20281" xr:uid="{00000000-0005-0000-0000-00000D4D0000}"/>
    <cellStyle name="40% - Accent5 3 4 3 5 3" xfId="20282" xr:uid="{00000000-0005-0000-0000-00000E4D0000}"/>
    <cellStyle name="40% - Accent5 3 4 3 6" xfId="20283" xr:uid="{00000000-0005-0000-0000-00000F4D0000}"/>
    <cellStyle name="40% - Accent5 3 4 3 7" xfId="20284" xr:uid="{00000000-0005-0000-0000-0000104D0000}"/>
    <cellStyle name="40% - Accent5 3 4 3 8" xfId="20285" xr:uid="{00000000-0005-0000-0000-0000114D0000}"/>
    <cellStyle name="40% - Accent5 3 4 3 9" xfId="20286" xr:uid="{00000000-0005-0000-0000-0000124D0000}"/>
    <cellStyle name="40% - Accent5 3 4 4" xfId="20287" xr:uid="{00000000-0005-0000-0000-0000134D0000}"/>
    <cellStyle name="40% - Accent5 3 4 4 2" xfId="20288" xr:uid="{00000000-0005-0000-0000-0000144D0000}"/>
    <cellStyle name="40% - Accent5 3 4 4 2 2" xfId="20289" xr:uid="{00000000-0005-0000-0000-0000154D0000}"/>
    <cellStyle name="40% - Accent5 3 4 4 2 2 2" xfId="20290" xr:uid="{00000000-0005-0000-0000-0000164D0000}"/>
    <cellStyle name="40% - Accent5 3 4 4 2 2 3" xfId="20291" xr:uid="{00000000-0005-0000-0000-0000174D0000}"/>
    <cellStyle name="40% - Accent5 3 4 4 2 3" xfId="20292" xr:uid="{00000000-0005-0000-0000-0000184D0000}"/>
    <cellStyle name="40% - Accent5 3 4 4 2 4" xfId="20293" xr:uid="{00000000-0005-0000-0000-0000194D0000}"/>
    <cellStyle name="40% - Accent5 3 4 4 2 5" xfId="20294" xr:uid="{00000000-0005-0000-0000-00001A4D0000}"/>
    <cellStyle name="40% - Accent5 3 4 4 2 6" xfId="20295" xr:uid="{00000000-0005-0000-0000-00001B4D0000}"/>
    <cellStyle name="40% - Accent5 3 4 4 3" xfId="20296" xr:uid="{00000000-0005-0000-0000-00001C4D0000}"/>
    <cellStyle name="40% - Accent5 3 4 4 3 2" xfId="20297" xr:uid="{00000000-0005-0000-0000-00001D4D0000}"/>
    <cellStyle name="40% - Accent5 3 4 4 3 3" xfId="20298" xr:uid="{00000000-0005-0000-0000-00001E4D0000}"/>
    <cellStyle name="40% - Accent5 3 4 4 4" xfId="20299" xr:uid="{00000000-0005-0000-0000-00001F4D0000}"/>
    <cellStyle name="40% - Accent5 3 4 4 5" xfId="20300" xr:uid="{00000000-0005-0000-0000-0000204D0000}"/>
    <cellStyle name="40% - Accent5 3 4 4 6" xfId="20301" xr:uid="{00000000-0005-0000-0000-0000214D0000}"/>
    <cellStyle name="40% - Accent5 3 4 4 7" xfId="20302" xr:uid="{00000000-0005-0000-0000-0000224D0000}"/>
    <cellStyle name="40% - Accent5 3 4 5" xfId="20303" xr:uid="{00000000-0005-0000-0000-0000234D0000}"/>
    <cellStyle name="40% - Accent5 3 4 5 2" xfId="20304" xr:uid="{00000000-0005-0000-0000-0000244D0000}"/>
    <cellStyle name="40% - Accent5 3 4 5 2 2" xfId="20305" xr:uid="{00000000-0005-0000-0000-0000254D0000}"/>
    <cellStyle name="40% - Accent5 3 4 5 2 3" xfId="20306" xr:uid="{00000000-0005-0000-0000-0000264D0000}"/>
    <cellStyle name="40% - Accent5 3 4 5 3" xfId="20307" xr:uid="{00000000-0005-0000-0000-0000274D0000}"/>
    <cellStyle name="40% - Accent5 3 4 5 4" xfId="20308" xr:uid="{00000000-0005-0000-0000-0000284D0000}"/>
    <cellStyle name="40% - Accent5 3 4 5 5" xfId="20309" xr:uid="{00000000-0005-0000-0000-0000294D0000}"/>
    <cellStyle name="40% - Accent5 3 4 5 6" xfId="20310" xr:uid="{00000000-0005-0000-0000-00002A4D0000}"/>
    <cellStyle name="40% - Accent5 3 4 6" xfId="20311" xr:uid="{00000000-0005-0000-0000-00002B4D0000}"/>
    <cellStyle name="40% - Accent5 3 4 6 2" xfId="20312" xr:uid="{00000000-0005-0000-0000-00002C4D0000}"/>
    <cellStyle name="40% - Accent5 3 4 6 2 2" xfId="20313" xr:uid="{00000000-0005-0000-0000-00002D4D0000}"/>
    <cellStyle name="40% - Accent5 3 4 6 2 3" xfId="20314" xr:uid="{00000000-0005-0000-0000-00002E4D0000}"/>
    <cellStyle name="40% - Accent5 3 4 6 3" xfId="20315" xr:uid="{00000000-0005-0000-0000-00002F4D0000}"/>
    <cellStyle name="40% - Accent5 3 4 6 4" xfId="20316" xr:uid="{00000000-0005-0000-0000-0000304D0000}"/>
    <cellStyle name="40% - Accent5 3 4 6 5" xfId="20317" xr:uid="{00000000-0005-0000-0000-0000314D0000}"/>
    <cellStyle name="40% - Accent5 3 4 6 6" xfId="20318" xr:uid="{00000000-0005-0000-0000-0000324D0000}"/>
    <cellStyle name="40% - Accent5 3 4 7" xfId="20319" xr:uid="{00000000-0005-0000-0000-0000334D0000}"/>
    <cellStyle name="40% - Accent5 3 4 7 2" xfId="20320" xr:uid="{00000000-0005-0000-0000-0000344D0000}"/>
    <cellStyle name="40% - Accent5 3 4 7 2 2" xfId="20321" xr:uid="{00000000-0005-0000-0000-0000354D0000}"/>
    <cellStyle name="40% - Accent5 3 4 7 2 3" xfId="20322" xr:uid="{00000000-0005-0000-0000-0000364D0000}"/>
    <cellStyle name="40% - Accent5 3 4 7 3" xfId="20323" xr:uid="{00000000-0005-0000-0000-0000374D0000}"/>
    <cellStyle name="40% - Accent5 3 4 7 4" xfId="20324" xr:uid="{00000000-0005-0000-0000-0000384D0000}"/>
    <cellStyle name="40% - Accent5 3 4 7 5" xfId="20325" xr:uid="{00000000-0005-0000-0000-0000394D0000}"/>
    <cellStyle name="40% - Accent5 3 4 7 6" xfId="20326" xr:uid="{00000000-0005-0000-0000-00003A4D0000}"/>
    <cellStyle name="40% - Accent5 3 4 8" xfId="20327" xr:uid="{00000000-0005-0000-0000-00003B4D0000}"/>
    <cellStyle name="40% - Accent5 3 4 8 2" xfId="20328" xr:uid="{00000000-0005-0000-0000-00003C4D0000}"/>
    <cellStyle name="40% - Accent5 3 4 8 2 2" xfId="20329" xr:uid="{00000000-0005-0000-0000-00003D4D0000}"/>
    <cellStyle name="40% - Accent5 3 4 8 2 3" xfId="20330" xr:uid="{00000000-0005-0000-0000-00003E4D0000}"/>
    <cellStyle name="40% - Accent5 3 4 8 3" xfId="20331" xr:uid="{00000000-0005-0000-0000-00003F4D0000}"/>
    <cellStyle name="40% - Accent5 3 4 8 4" xfId="20332" xr:uid="{00000000-0005-0000-0000-0000404D0000}"/>
    <cellStyle name="40% - Accent5 3 4 8 5" xfId="20333" xr:uid="{00000000-0005-0000-0000-0000414D0000}"/>
    <cellStyle name="40% - Accent5 3 4 8 6" xfId="20334" xr:uid="{00000000-0005-0000-0000-0000424D0000}"/>
    <cellStyle name="40% - Accent5 3 4 9" xfId="20335" xr:uid="{00000000-0005-0000-0000-0000434D0000}"/>
    <cellStyle name="40% - Accent5 3 4 9 2" xfId="20336" xr:uid="{00000000-0005-0000-0000-0000444D0000}"/>
    <cellStyle name="40% - Accent5 3 4 9 3" xfId="20337" xr:uid="{00000000-0005-0000-0000-0000454D0000}"/>
    <cellStyle name="40% - Accent5 3 5" xfId="20338" xr:uid="{00000000-0005-0000-0000-0000464D0000}"/>
    <cellStyle name="40% - Accent5 3 5 10" xfId="20339" xr:uid="{00000000-0005-0000-0000-0000474D0000}"/>
    <cellStyle name="40% - Accent5 3 5 2" xfId="20340" xr:uid="{00000000-0005-0000-0000-0000484D0000}"/>
    <cellStyle name="40% - Accent5 3 5 2 2" xfId="20341" xr:uid="{00000000-0005-0000-0000-0000494D0000}"/>
    <cellStyle name="40% - Accent5 3 5 2 2 2" xfId="20342" xr:uid="{00000000-0005-0000-0000-00004A4D0000}"/>
    <cellStyle name="40% - Accent5 3 5 2 2 2 2" xfId="20343" xr:uid="{00000000-0005-0000-0000-00004B4D0000}"/>
    <cellStyle name="40% - Accent5 3 5 2 2 2 3" xfId="20344" xr:uid="{00000000-0005-0000-0000-00004C4D0000}"/>
    <cellStyle name="40% - Accent5 3 5 2 2 3" xfId="20345" xr:uid="{00000000-0005-0000-0000-00004D4D0000}"/>
    <cellStyle name="40% - Accent5 3 5 2 2 4" xfId="20346" xr:uid="{00000000-0005-0000-0000-00004E4D0000}"/>
    <cellStyle name="40% - Accent5 3 5 2 2 5" xfId="20347" xr:uid="{00000000-0005-0000-0000-00004F4D0000}"/>
    <cellStyle name="40% - Accent5 3 5 2 2 6" xfId="20348" xr:uid="{00000000-0005-0000-0000-0000504D0000}"/>
    <cellStyle name="40% - Accent5 3 5 2 3" xfId="20349" xr:uid="{00000000-0005-0000-0000-0000514D0000}"/>
    <cellStyle name="40% - Accent5 3 5 2 3 2" xfId="20350" xr:uid="{00000000-0005-0000-0000-0000524D0000}"/>
    <cellStyle name="40% - Accent5 3 5 2 3 2 2" xfId="20351" xr:uid="{00000000-0005-0000-0000-0000534D0000}"/>
    <cellStyle name="40% - Accent5 3 5 2 3 2 3" xfId="20352" xr:uid="{00000000-0005-0000-0000-0000544D0000}"/>
    <cellStyle name="40% - Accent5 3 5 2 3 3" xfId="20353" xr:uid="{00000000-0005-0000-0000-0000554D0000}"/>
    <cellStyle name="40% - Accent5 3 5 2 3 4" xfId="20354" xr:uid="{00000000-0005-0000-0000-0000564D0000}"/>
    <cellStyle name="40% - Accent5 3 5 2 3 5" xfId="20355" xr:uid="{00000000-0005-0000-0000-0000574D0000}"/>
    <cellStyle name="40% - Accent5 3 5 2 3 6" xfId="20356" xr:uid="{00000000-0005-0000-0000-0000584D0000}"/>
    <cellStyle name="40% - Accent5 3 5 2 4" xfId="20357" xr:uid="{00000000-0005-0000-0000-0000594D0000}"/>
    <cellStyle name="40% - Accent5 3 5 2 4 2" xfId="20358" xr:uid="{00000000-0005-0000-0000-00005A4D0000}"/>
    <cellStyle name="40% - Accent5 3 5 2 4 3" xfId="20359" xr:uid="{00000000-0005-0000-0000-00005B4D0000}"/>
    <cellStyle name="40% - Accent5 3 5 2 5" xfId="20360" xr:uid="{00000000-0005-0000-0000-00005C4D0000}"/>
    <cellStyle name="40% - Accent5 3 5 2 6" xfId="20361" xr:uid="{00000000-0005-0000-0000-00005D4D0000}"/>
    <cellStyle name="40% - Accent5 3 5 2 7" xfId="20362" xr:uid="{00000000-0005-0000-0000-00005E4D0000}"/>
    <cellStyle name="40% - Accent5 3 5 2 8" xfId="20363" xr:uid="{00000000-0005-0000-0000-00005F4D0000}"/>
    <cellStyle name="40% - Accent5 3 5 3" xfId="20364" xr:uid="{00000000-0005-0000-0000-0000604D0000}"/>
    <cellStyle name="40% - Accent5 3 5 3 2" xfId="20365" xr:uid="{00000000-0005-0000-0000-0000614D0000}"/>
    <cellStyle name="40% - Accent5 3 5 3 2 2" xfId="20366" xr:uid="{00000000-0005-0000-0000-0000624D0000}"/>
    <cellStyle name="40% - Accent5 3 5 3 2 2 2" xfId="20367" xr:uid="{00000000-0005-0000-0000-0000634D0000}"/>
    <cellStyle name="40% - Accent5 3 5 3 2 2 3" xfId="20368" xr:uid="{00000000-0005-0000-0000-0000644D0000}"/>
    <cellStyle name="40% - Accent5 3 5 3 2 3" xfId="20369" xr:uid="{00000000-0005-0000-0000-0000654D0000}"/>
    <cellStyle name="40% - Accent5 3 5 3 2 4" xfId="20370" xr:uid="{00000000-0005-0000-0000-0000664D0000}"/>
    <cellStyle name="40% - Accent5 3 5 3 2 5" xfId="20371" xr:uid="{00000000-0005-0000-0000-0000674D0000}"/>
    <cellStyle name="40% - Accent5 3 5 3 2 6" xfId="20372" xr:uid="{00000000-0005-0000-0000-0000684D0000}"/>
    <cellStyle name="40% - Accent5 3 5 3 3" xfId="20373" xr:uid="{00000000-0005-0000-0000-0000694D0000}"/>
    <cellStyle name="40% - Accent5 3 5 3 3 2" xfId="20374" xr:uid="{00000000-0005-0000-0000-00006A4D0000}"/>
    <cellStyle name="40% - Accent5 3 5 3 3 3" xfId="20375" xr:uid="{00000000-0005-0000-0000-00006B4D0000}"/>
    <cellStyle name="40% - Accent5 3 5 3 4" xfId="20376" xr:uid="{00000000-0005-0000-0000-00006C4D0000}"/>
    <cellStyle name="40% - Accent5 3 5 3 5" xfId="20377" xr:uid="{00000000-0005-0000-0000-00006D4D0000}"/>
    <cellStyle name="40% - Accent5 3 5 3 6" xfId="20378" xr:uid="{00000000-0005-0000-0000-00006E4D0000}"/>
    <cellStyle name="40% - Accent5 3 5 3 7" xfId="20379" xr:uid="{00000000-0005-0000-0000-00006F4D0000}"/>
    <cellStyle name="40% - Accent5 3 5 4" xfId="20380" xr:uid="{00000000-0005-0000-0000-0000704D0000}"/>
    <cellStyle name="40% - Accent5 3 5 4 2" xfId="20381" xr:uid="{00000000-0005-0000-0000-0000714D0000}"/>
    <cellStyle name="40% - Accent5 3 5 4 2 2" xfId="20382" xr:uid="{00000000-0005-0000-0000-0000724D0000}"/>
    <cellStyle name="40% - Accent5 3 5 4 2 3" xfId="20383" xr:uid="{00000000-0005-0000-0000-0000734D0000}"/>
    <cellStyle name="40% - Accent5 3 5 4 3" xfId="20384" xr:uid="{00000000-0005-0000-0000-0000744D0000}"/>
    <cellStyle name="40% - Accent5 3 5 4 4" xfId="20385" xr:uid="{00000000-0005-0000-0000-0000754D0000}"/>
    <cellStyle name="40% - Accent5 3 5 4 5" xfId="20386" xr:uid="{00000000-0005-0000-0000-0000764D0000}"/>
    <cellStyle name="40% - Accent5 3 5 4 6" xfId="20387" xr:uid="{00000000-0005-0000-0000-0000774D0000}"/>
    <cellStyle name="40% - Accent5 3 5 5" xfId="20388" xr:uid="{00000000-0005-0000-0000-0000784D0000}"/>
    <cellStyle name="40% - Accent5 3 5 5 2" xfId="20389" xr:uid="{00000000-0005-0000-0000-0000794D0000}"/>
    <cellStyle name="40% - Accent5 3 5 5 2 2" xfId="20390" xr:uid="{00000000-0005-0000-0000-00007A4D0000}"/>
    <cellStyle name="40% - Accent5 3 5 5 2 3" xfId="20391" xr:uid="{00000000-0005-0000-0000-00007B4D0000}"/>
    <cellStyle name="40% - Accent5 3 5 5 3" xfId="20392" xr:uid="{00000000-0005-0000-0000-00007C4D0000}"/>
    <cellStyle name="40% - Accent5 3 5 5 4" xfId="20393" xr:uid="{00000000-0005-0000-0000-00007D4D0000}"/>
    <cellStyle name="40% - Accent5 3 5 5 5" xfId="20394" xr:uid="{00000000-0005-0000-0000-00007E4D0000}"/>
    <cellStyle name="40% - Accent5 3 5 5 6" xfId="20395" xr:uid="{00000000-0005-0000-0000-00007F4D0000}"/>
    <cellStyle name="40% - Accent5 3 5 6" xfId="20396" xr:uid="{00000000-0005-0000-0000-0000804D0000}"/>
    <cellStyle name="40% - Accent5 3 5 6 2" xfId="20397" xr:uid="{00000000-0005-0000-0000-0000814D0000}"/>
    <cellStyle name="40% - Accent5 3 5 6 3" xfId="20398" xr:uid="{00000000-0005-0000-0000-0000824D0000}"/>
    <cellStyle name="40% - Accent5 3 5 7" xfId="20399" xr:uid="{00000000-0005-0000-0000-0000834D0000}"/>
    <cellStyle name="40% - Accent5 3 5 8" xfId="20400" xr:uid="{00000000-0005-0000-0000-0000844D0000}"/>
    <cellStyle name="40% - Accent5 3 5 9" xfId="20401" xr:uid="{00000000-0005-0000-0000-0000854D0000}"/>
    <cellStyle name="40% - Accent5 3 6" xfId="20402" xr:uid="{00000000-0005-0000-0000-0000864D0000}"/>
    <cellStyle name="40% - Accent5 3 6 2" xfId="20403" xr:uid="{00000000-0005-0000-0000-0000874D0000}"/>
    <cellStyle name="40% - Accent5 3 6 2 2" xfId="20404" xr:uid="{00000000-0005-0000-0000-0000884D0000}"/>
    <cellStyle name="40% - Accent5 3 6 2 2 2" xfId="20405" xr:uid="{00000000-0005-0000-0000-0000894D0000}"/>
    <cellStyle name="40% - Accent5 3 6 2 2 2 2" xfId="20406" xr:uid="{00000000-0005-0000-0000-00008A4D0000}"/>
    <cellStyle name="40% - Accent5 3 6 2 2 2 3" xfId="20407" xr:uid="{00000000-0005-0000-0000-00008B4D0000}"/>
    <cellStyle name="40% - Accent5 3 6 2 2 3" xfId="20408" xr:uid="{00000000-0005-0000-0000-00008C4D0000}"/>
    <cellStyle name="40% - Accent5 3 6 2 2 4" xfId="20409" xr:uid="{00000000-0005-0000-0000-00008D4D0000}"/>
    <cellStyle name="40% - Accent5 3 6 2 2 5" xfId="20410" xr:uid="{00000000-0005-0000-0000-00008E4D0000}"/>
    <cellStyle name="40% - Accent5 3 6 2 2 6" xfId="20411" xr:uid="{00000000-0005-0000-0000-00008F4D0000}"/>
    <cellStyle name="40% - Accent5 3 6 2 3" xfId="20412" xr:uid="{00000000-0005-0000-0000-0000904D0000}"/>
    <cellStyle name="40% - Accent5 3 6 2 3 2" xfId="20413" xr:uid="{00000000-0005-0000-0000-0000914D0000}"/>
    <cellStyle name="40% - Accent5 3 6 2 3 3" xfId="20414" xr:uid="{00000000-0005-0000-0000-0000924D0000}"/>
    <cellStyle name="40% - Accent5 3 6 2 4" xfId="20415" xr:uid="{00000000-0005-0000-0000-0000934D0000}"/>
    <cellStyle name="40% - Accent5 3 6 2 5" xfId="20416" xr:uid="{00000000-0005-0000-0000-0000944D0000}"/>
    <cellStyle name="40% - Accent5 3 6 2 6" xfId="20417" xr:uid="{00000000-0005-0000-0000-0000954D0000}"/>
    <cellStyle name="40% - Accent5 3 6 2 7" xfId="20418" xr:uid="{00000000-0005-0000-0000-0000964D0000}"/>
    <cellStyle name="40% - Accent5 3 6 3" xfId="20419" xr:uid="{00000000-0005-0000-0000-0000974D0000}"/>
    <cellStyle name="40% - Accent5 3 6 3 2" xfId="20420" xr:uid="{00000000-0005-0000-0000-0000984D0000}"/>
    <cellStyle name="40% - Accent5 3 6 3 2 2" xfId="20421" xr:uid="{00000000-0005-0000-0000-0000994D0000}"/>
    <cellStyle name="40% - Accent5 3 6 3 2 3" xfId="20422" xr:uid="{00000000-0005-0000-0000-00009A4D0000}"/>
    <cellStyle name="40% - Accent5 3 6 3 3" xfId="20423" xr:uid="{00000000-0005-0000-0000-00009B4D0000}"/>
    <cellStyle name="40% - Accent5 3 6 3 4" xfId="20424" xr:uid="{00000000-0005-0000-0000-00009C4D0000}"/>
    <cellStyle name="40% - Accent5 3 6 3 5" xfId="20425" xr:uid="{00000000-0005-0000-0000-00009D4D0000}"/>
    <cellStyle name="40% - Accent5 3 6 3 6" xfId="20426" xr:uid="{00000000-0005-0000-0000-00009E4D0000}"/>
    <cellStyle name="40% - Accent5 3 6 4" xfId="20427" xr:uid="{00000000-0005-0000-0000-00009F4D0000}"/>
    <cellStyle name="40% - Accent5 3 6 4 2" xfId="20428" xr:uid="{00000000-0005-0000-0000-0000A04D0000}"/>
    <cellStyle name="40% - Accent5 3 6 4 2 2" xfId="20429" xr:uid="{00000000-0005-0000-0000-0000A14D0000}"/>
    <cellStyle name="40% - Accent5 3 6 4 2 3" xfId="20430" xr:uid="{00000000-0005-0000-0000-0000A24D0000}"/>
    <cellStyle name="40% - Accent5 3 6 4 3" xfId="20431" xr:uid="{00000000-0005-0000-0000-0000A34D0000}"/>
    <cellStyle name="40% - Accent5 3 6 4 4" xfId="20432" xr:uid="{00000000-0005-0000-0000-0000A44D0000}"/>
    <cellStyle name="40% - Accent5 3 6 4 5" xfId="20433" xr:uid="{00000000-0005-0000-0000-0000A54D0000}"/>
    <cellStyle name="40% - Accent5 3 6 4 6" xfId="20434" xr:uid="{00000000-0005-0000-0000-0000A64D0000}"/>
    <cellStyle name="40% - Accent5 3 6 5" xfId="20435" xr:uid="{00000000-0005-0000-0000-0000A74D0000}"/>
    <cellStyle name="40% - Accent5 3 6 5 2" xfId="20436" xr:uid="{00000000-0005-0000-0000-0000A84D0000}"/>
    <cellStyle name="40% - Accent5 3 6 5 3" xfId="20437" xr:uid="{00000000-0005-0000-0000-0000A94D0000}"/>
    <cellStyle name="40% - Accent5 3 6 6" xfId="20438" xr:uid="{00000000-0005-0000-0000-0000AA4D0000}"/>
    <cellStyle name="40% - Accent5 3 6 7" xfId="20439" xr:uid="{00000000-0005-0000-0000-0000AB4D0000}"/>
    <cellStyle name="40% - Accent5 3 6 8" xfId="20440" xr:uid="{00000000-0005-0000-0000-0000AC4D0000}"/>
    <cellStyle name="40% - Accent5 3 6 9" xfId="20441" xr:uid="{00000000-0005-0000-0000-0000AD4D0000}"/>
    <cellStyle name="40% - Accent5 3 7" xfId="20442" xr:uid="{00000000-0005-0000-0000-0000AE4D0000}"/>
    <cellStyle name="40% - Accent5 3 7 2" xfId="20443" xr:uid="{00000000-0005-0000-0000-0000AF4D0000}"/>
    <cellStyle name="40% - Accent5 3 7 2 2" xfId="20444" xr:uid="{00000000-0005-0000-0000-0000B04D0000}"/>
    <cellStyle name="40% - Accent5 3 7 2 2 2" xfId="20445" xr:uid="{00000000-0005-0000-0000-0000B14D0000}"/>
    <cellStyle name="40% - Accent5 3 7 2 2 3" xfId="20446" xr:uid="{00000000-0005-0000-0000-0000B24D0000}"/>
    <cellStyle name="40% - Accent5 3 7 2 3" xfId="20447" xr:uid="{00000000-0005-0000-0000-0000B34D0000}"/>
    <cellStyle name="40% - Accent5 3 7 2 4" xfId="20448" xr:uid="{00000000-0005-0000-0000-0000B44D0000}"/>
    <cellStyle name="40% - Accent5 3 7 2 5" xfId="20449" xr:uid="{00000000-0005-0000-0000-0000B54D0000}"/>
    <cellStyle name="40% - Accent5 3 7 2 6" xfId="20450" xr:uid="{00000000-0005-0000-0000-0000B64D0000}"/>
    <cellStyle name="40% - Accent5 3 7 3" xfId="20451" xr:uid="{00000000-0005-0000-0000-0000B74D0000}"/>
    <cellStyle name="40% - Accent5 3 7 3 2" xfId="20452" xr:uid="{00000000-0005-0000-0000-0000B84D0000}"/>
    <cellStyle name="40% - Accent5 3 7 3 3" xfId="20453" xr:uid="{00000000-0005-0000-0000-0000B94D0000}"/>
    <cellStyle name="40% - Accent5 3 7 4" xfId="20454" xr:uid="{00000000-0005-0000-0000-0000BA4D0000}"/>
    <cellStyle name="40% - Accent5 3 7 5" xfId="20455" xr:uid="{00000000-0005-0000-0000-0000BB4D0000}"/>
    <cellStyle name="40% - Accent5 3 7 6" xfId="20456" xr:uid="{00000000-0005-0000-0000-0000BC4D0000}"/>
    <cellStyle name="40% - Accent5 3 7 7" xfId="20457" xr:uid="{00000000-0005-0000-0000-0000BD4D0000}"/>
    <cellStyle name="40% - Accent5 3 8" xfId="20458" xr:uid="{00000000-0005-0000-0000-0000BE4D0000}"/>
    <cellStyle name="40% - Accent5 3 8 2" xfId="20459" xr:uid="{00000000-0005-0000-0000-0000BF4D0000}"/>
    <cellStyle name="40% - Accent5 3 8 2 2" xfId="20460" xr:uid="{00000000-0005-0000-0000-0000C04D0000}"/>
    <cellStyle name="40% - Accent5 3 8 2 3" xfId="20461" xr:uid="{00000000-0005-0000-0000-0000C14D0000}"/>
    <cellStyle name="40% - Accent5 3 8 3" xfId="20462" xr:uid="{00000000-0005-0000-0000-0000C24D0000}"/>
    <cellStyle name="40% - Accent5 3 8 4" xfId="20463" xr:uid="{00000000-0005-0000-0000-0000C34D0000}"/>
    <cellStyle name="40% - Accent5 3 8 5" xfId="20464" xr:uid="{00000000-0005-0000-0000-0000C44D0000}"/>
    <cellStyle name="40% - Accent5 3 8 6" xfId="20465" xr:uid="{00000000-0005-0000-0000-0000C54D0000}"/>
    <cellStyle name="40% - Accent5 3 9" xfId="20466" xr:uid="{00000000-0005-0000-0000-0000C64D0000}"/>
    <cellStyle name="40% - Accent5 3 9 2" xfId="20467" xr:uid="{00000000-0005-0000-0000-0000C74D0000}"/>
    <cellStyle name="40% - Accent5 3 9 2 2" xfId="20468" xr:uid="{00000000-0005-0000-0000-0000C84D0000}"/>
    <cellStyle name="40% - Accent5 3 9 2 3" xfId="20469" xr:uid="{00000000-0005-0000-0000-0000C94D0000}"/>
    <cellStyle name="40% - Accent5 3 9 3" xfId="20470" xr:uid="{00000000-0005-0000-0000-0000CA4D0000}"/>
    <cellStyle name="40% - Accent5 3 9 4" xfId="20471" xr:uid="{00000000-0005-0000-0000-0000CB4D0000}"/>
    <cellStyle name="40% - Accent5 3 9 5" xfId="20472" xr:uid="{00000000-0005-0000-0000-0000CC4D0000}"/>
    <cellStyle name="40% - Accent5 3 9 6" xfId="20473" xr:uid="{00000000-0005-0000-0000-0000CD4D0000}"/>
    <cellStyle name="40% - Accent5 4" xfId="20474" xr:uid="{00000000-0005-0000-0000-0000CE4D0000}"/>
    <cellStyle name="40% - Accent5 4 10" xfId="20475" xr:uid="{00000000-0005-0000-0000-0000CF4D0000}"/>
    <cellStyle name="40% - Accent5 4 10 2" xfId="20476" xr:uid="{00000000-0005-0000-0000-0000D04D0000}"/>
    <cellStyle name="40% - Accent5 4 10 2 2" xfId="20477" xr:uid="{00000000-0005-0000-0000-0000D14D0000}"/>
    <cellStyle name="40% - Accent5 4 10 2 3" xfId="20478" xr:uid="{00000000-0005-0000-0000-0000D24D0000}"/>
    <cellStyle name="40% - Accent5 4 10 3" xfId="20479" xr:uid="{00000000-0005-0000-0000-0000D34D0000}"/>
    <cellStyle name="40% - Accent5 4 10 4" xfId="20480" xr:uid="{00000000-0005-0000-0000-0000D44D0000}"/>
    <cellStyle name="40% - Accent5 4 10 5" xfId="20481" xr:uid="{00000000-0005-0000-0000-0000D54D0000}"/>
    <cellStyle name="40% - Accent5 4 10 6" xfId="20482" xr:uid="{00000000-0005-0000-0000-0000D64D0000}"/>
    <cellStyle name="40% - Accent5 4 11" xfId="20483" xr:uid="{00000000-0005-0000-0000-0000D74D0000}"/>
    <cellStyle name="40% - Accent5 4 11 2" xfId="20484" xr:uid="{00000000-0005-0000-0000-0000D84D0000}"/>
    <cellStyle name="40% - Accent5 4 11 3" xfId="20485" xr:uid="{00000000-0005-0000-0000-0000D94D0000}"/>
    <cellStyle name="40% - Accent5 4 12" xfId="20486" xr:uid="{00000000-0005-0000-0000-0000DA4D0000}"/>
    <cellStyle name="40% - Accent5 4 13" xfId="20487" xr:uid="{00000000-0005-0000-0000-0000DB4D0000}"/>
    <cellStyle name="40% - Accent5 4 14" xfId="20488" xr:uid="{00000000-0005-0000-0000-0000DC4D0000}"/>
    <cellStyle name="40% - Accent5 4 15" xfId="20489" xr:uid="{00000000-0005-0000-0000-0000DD4D0000}"/>
    <cellStyle name="40% - Accent5 4 2" xfId="20490" xr:uid="{00000000-0005-0000-0000-0000DE4D0000}"/>
    <cellStyle name="40% - Accent5 4 2 10" xfId="20491" xr:uid="{00000000-0005-0000-0000-0000DF4D0000}"/>
    <cellStyle name="40% - Accent5 4 2 10 2" xfId="20492" xr:uid="{00000000-0005-0000-0000-0000E04D0000}"/>
    <cellStyle name="40% - Accent5 4 2 10 3" xfId="20493" xr:uid="{00000000-0005-0000-0000-0000E14D0000}"/>
    <cellStyle name="40% - Accent5 4 2 11" xfId="20494" xr:uid="{00000000-0005-0000-0000-0000E24D0000}"/>
    <cellStyle name="40% - Accent5 4 2 12" xfId="20495" xr:uid="{00000000-0005-0000-0000-0000E34D0000}"/>
    <cellStyle name="40% - Accent5 4 2 13" xfId="20496" xr:uid="{00000000-0005-0000-0000-0000E44D0000}"/>
    <cellStyle name="40% - Accent5 4 2 14" xfId="20497" xr:uid="{00000000-0005-0000-0000-0000E54D0000}"/>
    <cellStyle name="40% - Accent5 4 2 2" xfId="20498" xr:uid="{00000000-0005-0000-0000-0000E64D0000}"/>
    <cellStyle name="40% - Accent5 4 2 2 10" xfId="20499" xr:uid="{00000000-0005-0000-0000-0000E74D0000}"/>
    <cellStyle name="40% - Accent5 4 2 2 11" xfId="20500" xr:uid="{00000000-0005-0000-0000-0000E84D0000}"/>
    <cellStyle name="40% - Accent5 4 2 2 12" xfId="20501" xr:uid="{00000000-0005-0000-0000-0000E94D0000}"/>
    <cellStyle name="40% - Accent5 4 2 2 13" xfId="20502" xr:uid="{00000000-0005-0000-0000-0000EA4D0000}"/>
    <cellStyle name="40% - Accent5 4 2 2 2" xfId="20503" xr:uid="{00000000-0005-0000-0000-0000EB4D0000}"/>
    <cellStyle name="40% - Accent5 4 2 2 2 10" xfId="20504" xr:uid="{00000000-0005-0000-0000-0000EC4D0000}"/>
    <cellStyle name="40% - Accent5 4 2 2 2 2" xfId="20505" xr:uid="{00000000-0005-0000-0000-0000ED4D0000}"/>
    <cellStyle name="40% - Accent5 4 2 2 2 2 2" xfId="20506" xr:uid="{00000000-0005-0000-0000-0000EE4D0000}"/>
    <cellStyle name="40% - Accent5 4 2 2 2 2 2 2" xfId="20507" xr:uid="{00000000-0005-0000-0000-0000EF4D0000}"/>
    <cellStyle name="40% - Accent5 4 2 2 2 2 2 2 2" xfId="20508" xr:uid="{00000000-0005-0000-0000-0000F04D0000}"/>
    <cellStyle name="40% - Accent5 4 2 2 2 2 2 2 3" xfId="20509" xr:uid="{00000000-0005-0000-0000-0000F14D0000}"/>
    <cellStyle name="40% - Accent5 4 2 2 2 2 2 3" xfId="20510" xr:uid="{00000000-0005-0000-0000-0000F24D0000}"/>
    <cellStyle name="40% - Accent5 4 2 2 2 2 2 4" xfId="20511" xr:uid="{00000000-0005-0000-0000-0000F34D0000}"/>
    <cellStyle name="40% - Accent5 4 2 2 2 2 2 5" xfId="20512" xr:uid="{00000000-0005-0000-0000-0000F44D0000}"/>
    <cellStyle name="40% - Accent5 4 2 2 2 2 2 6" xfId="20513" xr:uid="{00000000-0005-0000-0000-0000F54D0000}"/>
    <cellStyle name="40% - Accent5 4 2 2 2 2 3" xfId="20514" xr:uid="{00000000-0005-0000-0000-0000F64D0000}"/>
    <cellStyle name="40% - Accent5 4 2 2 2 2 3 2" xfId="20515" xr:uid="{00000000-0005-0000-0000-0000F74D0000}"/>
    <cellStyle name="40% - Accent5 4 2 2 2 2 3 2 2" xfId="20516" xr:uid="{00000000-0005-0000-0000-0000F84D0000}"/>
    <cellStyle name="40% - Accent5 4 2 2 2 2 3 2 3" xfId="20517" xr:uid="{00000000-0005-0000-0000-0000F94D0000}"/>
    <cellStyle name="40% - Accent5 4 2 2 2 2 3 3" xfId="20518" xr:uid="{00000000-0005-0000-0000-0000FA4D0000}"/>
    <cellStyle name="40% - Accent5 4 2 2 2 2 3 4" xfId="20519" xr:uid="{00000000-0005-0000-0000-0000FB4D0000}"/>
    <cellStyle name="40% - Accent5 4 2 2 2 2 3 5" xfId="20520" xr:uid="{00000000-0005-0000-0000-0000FC4D0000}"/>
    <cellStyle name="40% - Accent5 4 2 2 2 2 3 6" xfId="20521" xr:uid="{00000000-0005-0000-0000-0000FD4D0000}"/>
    <cellStyle name="40% - Accent5 4 2 2 2 2 4" xfId="20522" xr:uid="{00000000-0005-0000-0000-0000FE4D0000}"/>
    <cellStyle name="40% - Accent5 4 2 2 2 2 4 2" xfId="20523" xr:uid="{00000000-0005-0000-0000-0000FF4D0000}"/>
    <cellStyle name="40% - Accent5 4 2 2 2 2 4 3" xfId="20524" xr:uid="{00000000-0005-0000-0000-0000004E0000}"/>
    <cellStyle name="40% - Accent5 4 2 2 2 2 5" xfId="20525" xr:uid="{00000000-0005-0000-0000-0000014E0000}"/>
    <cellStyle name="40% - Accent5 4 2 2 2 2 6" xfId="20526" xr:uid="{00000000-0005-0000-0000-0000024E0000}"/>
    <cellStyle name="40% - Accent5 4 2 2 2 2 7" xfId="20527" xr:uid="{00000000-0005-0000-0000-0000034E0000}"/>
    <cellStyle name="40% - Accent5 4 2 2 2 2 8" xfId="20528" xr:uid="{00000000-0005-0000-0000-0000044E0000}"/>
    <cellStyle name="40% - Accent5 4 2 2 2 3" xfId="20529" xr:uid="{00000000-0005-0000-0000-0000054E0000}"/>
    <cellStyle name="40% - Accent5 4 2 2 2 3 2" xfId="20530" xr:uid="{00000000-0005-0000-0000-0000064E0000}"/>
    <cellStyle name="40% - Accent5 4 2 2 2 3 2 2" xfId="20531" xr:uid="{00000000-0005-0000-0000-0000074E0000}"/>
    <cellStyle name="40% - Accent5 4 2 2 2 3 2 2 2" xfId="20532" xr:uid="{00000000-0005-0000-0000-0000084E0000}"/>
    <cellStyle name="40% - Accent5 4 2 2 2 3 2 2 3" xfId="20533" xr:uid="{00000000-0005-0000-0000-0000094E0000}"/>
    <cellStyle name="40% - Accent5 4 2 2 2 3 2 3" xfId="20534" xr:uid="{00000000-0005-0000-0000-00000A4E0000}"/>
    <cellStyle name="40% - Accent5 4 2 2 2 3 2 4" xfId="20535" xr:uid="{00000000-0005-0000-0000-00000B4E0000}"/>
    <cellStyle name="40% - Accent5 4 2 2 2 3 2 5" xfId="20536" xr:uid="{00000000-0005-0000-0000-00000C4E0000}"/>
    <cellStyle name="40% - Accent5 4 2 2 2 3 2 6" xfId="20537" xr:uid="{00000000-0005-0000-0000-00000D4E0000}"/>
    <cellStyle name="40% - Accent5 4 2 2 2 3 3" xfId="20538" xr:uid="{00000000-0005-0000-0000-00000E4E0000}"/>
    <cellStyle name="40% - Accent5 4 2 2 2 3 3 2" xfId="20539" xr:uid="{00000000-0005-0000-0000-00000F4E0000}"/>
    <cellStyle name="40% - Accent5 4 2 2 2 3 3 3" xfId="20540" xr:uid="{00000000-0005-0000-0000-0000104E0000}"/>
    <cellStyle name="40% - Accent5 4 2 2 2 3 4" xfId="20541" xr:uid="{00000000-0005-0000-0000-0000114E0000}"/>
    <cellStyle name="40% - Accent5 4 2 2 2 3 5" xfId="20542" xr:uid="{00000000-0005-0000-0000-0000124E0000}"/>
    <cellStyle name="40% - Accent5 4 2 2 2 3 6" xfId="20543" xr:uid="{00000000-0005-0000-0000-0000134E0000}"/>
    <cellStyle name="40% - Accent5 4 2 2 2 3 7" xfId="20544" xr:uid="{00000000-0005-0000-0000-0000144E0000}"/>
    <cellStyle name="40% - Accent5 4 2 2 2 4" xfId="20545" xr:uid="{00000000-0005-0000-0000-0000154E0000}"/>
    <cellStyle name="40% - Accent5 4 2 2 2 4 2" xfId="20546" xr:uid="{00000000-0005-0000-0000-0000164E0000}"/>
    <cellStyle name="40% - Accent5 4 2 2 2 4 2 2" xfId="20547" xr:uid="{00000000-0005-0000-0000-0000174E0000}"/>
    <cellStyle name="40% - Accent5 4 2 2 2 4 2 3" xfId="20548" xr:uid="{00000000-0005-0000-0000-0000184E0000}"/>
    <cellStyle name="40% - Accent5 4 2 2 2 4 3" xfId="20549" xr:uid="{00000000-0005-0000-0000-0000194E0000}"/>
    <cellStyle name="40% - Accent5 4 2 2 2 4 4" xfId="20550" xr:uid="{00000000-0005-0000-0000-00001A4E0000}"/>
    <cellStyle name="40% - Accent5 4 2 2 2 4 5" xfId="20551" xr:uid="{00000000-0005-0000-0000-00001B4E0000}"/>
    <cellStyle name="40% - Accent5 4 2 2 2 4 6" xfId="20552" xr:uid="{00000000-0005-0000-0000-00001C4E0000}"/>
    <cellStyle name="40% - Accent5 4 2 2 2 5" xfId="20553" xr:uid="{00000000-0005-0000-0000-00001D4E0000}"/>
    <cellStyle name="40% - Accent5 4 2 2 2 5 2" xfId="20554" xr:uid="{00000000-0005-0000-0000-00001E4E0000}"/>
    <cellStyle name="40% - Accent5 4 2 2 2 5 2 2" xfId="20555" xr:uid="{00000000-0005-0000-0000-00001F4E0000}"/>
    <cellStyle name="40% - Accent5 4 2 2 2 5 2 3" xfId="20556" xr:uid="{00000000-0005-0000-0000-0000204E0000}"/>
    <cellStyle name="40% - Accent5 4 2 2 2 5 3" xfId="20557" xr:uid="{00000000-0005-0000-0000-0000214E0000}"/>
    <cellStyle name="40% - Accent5 4 2 2 2 5 4" xfId="20558" xr:uid="{00000000-0005-0000-0000-0000224E0000}"/>
    <cellStyle name="40% - Accent5 4 2 2 2 5 5" xfId="20559" xr:uid="{00000000-0005-0000-0000-0000234E0000}"/>
    <cellStyle name="40% - Accent5 4 2 2 2 5 6" xfId="20560" xr:uid="{00000000-0005-0000-0000-0000244E0000}"/>
    <cellStyle name="40% - Accent5 4 2 2 2 6" xfId="20561" xr:uid="{00000000-0005-0000-0000-0000254E0000}"/>
    <cellStyle name="40% - Accent5 4 2 2 2 6 2" xfId="20562" xr:uid="{00000000-0005-0000-0000-0000264E0000}"/>
    <cellStyle name="40% - Accent5 4 2 2 2 6 3" xfId="20563" xr:uid="{00000000-0005-0000-0000-0000274E0000}"/>
    <cellStyle name="40% - Accent5 4 2 2 2 7" xfId="20564" xr:uid="{00000000-0005-0000-0000-0000284E0000}"/>
    <cellStyle name="40% - Accent5 4 2 2 2 8" xfId="20565" xr:uid="{00000000-0005-0000-0000-0000294E0000}"/>
    <cellStyle name="40% - Accent5 4 2 2 2 9" xfId="20566" xr:uid="{00000000-0005-0000-0000-00002A4E0000}"/>
    <cellStyle name="40% - Accent5 4 2 2 3" xfId="20567" xr:uid="{00000000-0005-0000-0000-00002B4E0000}"/>
    <cellStyle name="40% - Accent5 4 2 2 3 2" xfId="20568" xr:uid="{00000000-0005-0000-0000-00002C4E0000}"/>
    <cellStyle name="40% - Accent5 4 2 2 3 2 2" xfId="20569" xr:uid="{00000000-0005-0000-0000-00002D4E0000}"/>
    <cellStyle name="40% - Accent5 4 2 2 3 2 2 2" xfId="20570" xr:uid="{00000000-0005-0000-0000-00002E4E0000}"/>
    <cellStyle name="40% - Accent5 4 2 2 3 2 2 2 2" xfId="20571" xr:uid="{00000000-0005-0000-0000-00002F4E0000}"/>
    <cellStyle name="40% - Accent5 4 2 2 3 2 2 2 3" xfId="20572" xr:uid="{00000000-0005-0000-0000-0000304E0000}"/>
    <cellStyle name="40% - Accent5 4 2 2 3 2 2 3" xfId="20573" xr:uid="{00000000-0005-0000-0000-0000314E0000}"/>
    <cellStyle name="40% - Accent5 4 2 2 3 2 2 4" xfId="20574" xr:uid="{00000000-0005-0000-0000-0000324E0000}"/>
    <cellStyle name="40% - Accent5 4 2 2 3 2 2 5" xfId="20575" xr:uid="{00000000-0005-0000-0000-0000334E0000}"/>
    <cellStyle name="40% - Accent5 4 2 2 3 2 2 6" xfId="20576" xr:uid="{00000000-0005-0000-0000-0000344E0000}"/>
    <cellStyle name="40% - Accent5 4 2 2 3 2 3" xfId="20577" xr:uid="{00000000-0005-0000-0000-0000354E0000}"/>
    <cellStyle name="40% - Accent5 4 2 2 3 2 3 2" xfId="20578" xr:uid="{00000000-0005-0000-0000-0000364E0000}"/>
    <cellStyle name="40% - Accent5 4 2 2 3 2 3 3" xfId="20579" xr:uid="{00000000-0005-0000-0000-0000374E0000}"/>
    <cellStyle name="40% - Accent5 4 2 2 3 2 4" xfId="20580" xr:uid="{00000000-0005-0000-0000-0000384E0000}"/>
    <cellStyle name="40% - Accent5 4 2 2 3 2 5" xfId="20581" xr:uid="{00000000-0005-0000-0000-0000394E0000}"/>
    <cellStyle name="40% - Accent5 4 2 2 3 2 6" xfId="20582" xr:uid="{00000000-0005-0000-0000-00003A4E0000}"/>
    <cellStyle name="40% - Accent5 4 2 2 3 2 7" xfId="20583" xr:uid="{00000000-0005-0000-0000-00003B4E0000}"/>
    <cellStyle name="40% - Accent5 4 2 2 3 3" xfId="20584" xr:uid="{00000000-0005-0000-0000-00003C4E0000}"/>
    <cellStyle name="40% - Accent5 4 2 2 3 3 2" xfId="20585" xr:uid="{00000000-0005-0000-0000-00003D4E0000}"/>
    <cellStyle name="40% - Accent5 4 2 2 3 3 2 2" xfId="20586" xr:uid="{00000000-0005-0000-0000-00003E4E0000}"/>
    <cellStyle name="40% - Accent5 4 2 2 3 3 2 3" xfId="20587" xr:uid="{00000000-0005-0000-0000-00003F4E0000}"/>
    <cellStyle name="40% - Accent5 4 2 2 3 3 3" xfId="20588" xr:uid="{00000000-0005-0000-0000-0000404E0000}"/>
    <cellStyle name="40% - Accent5 4 2 2 3 3 4" xfId="20589" xr:uid="{00000000-0005-0000-0000-0000414E0000}"/>
    <cellStyle name="40% - Accent5 4 2 2 3 3 5" xfId="20590" xr:uid="{00000000-0005-0000-0000-0000424E0000}"/>
    <cellStyle name="40% - Accent5 4 2 2 3 3 6" xfId="20591" xr:uid="{00000000-0005-0000-0000-0000434E0000}"/>
    <cellStyle name="40% - Accent5 4 2 2 3 4" xfId="20592" xr:uid="{00000000-0005-0000-0000-0000444E0000}"/>
    <cellStyle name="40% - Accent5 4 2 2 3 4 2" xfId="20593" xr:uid="{00000000-0005-0000-0000-0000454E0000}"/>
    <cellStyle name="40% - Accent5 4 2 2 3 4 2 2" xfId="20594" xr:uid="{00000000-0005-0000-0000-0000464E0000}"/>
    <cellStyle name="40% - Accent5 4 2 2 3 4 2 3" xfId="20595" xr:uid="{00000000-0005-0000-0000-0000474E0000}"/>
    <cellStyle name="40% - Accent5 4 2 2 3 4 3" xfId="20596" xr:uid="{00000000-0005-0000-0000-0000484E0000}"/>
    <cellStyle name="40% - Accent5 4 2 2 3 4 4" xfId="20597" xr:uid="{00000000-0005-0000-0000-0000494E0000}"/>
    <cellStyle name="40% - Accent5 4 2 2 3 4 5" xfId="20598" xr:uid="{00000000-0005-0000-0000-00004A4E0000}"/>
    <cellStyle name="40% - Accent5 4 2 2 3 4 6" xfId="20599" xr:uid="{00000000-0005-0000-0000-00004B4E0000}"/>
    <cellStyle name="40% - Accent5 4 2 2 3 5" xfId="20600" xr:uid="{00000000-0005-0000-0000-00004C4E0000}"/>
    <cellStyle name="40% - Accent5 4 2 2 3 5 2" xfId="20601" xr:uid="{00000000-0005-0000-0000-00004D4E0000}"/>
    <cellStyle name="40% - Accent5 4 2 2 3 5 3" xfId="20602" xr:uid="{00000000-0005-0000-0000-00004E4E0000}"/>
    <cellStyle name="40% - Accent5 4 2 2 3 6" xfId="20603" xr:uid="{00000000-0005-0000-0000-00004F4E0000}"/>
    <cellStyle name="40% - Accent5 4 2 2 3 7" xfId="20604" xr:uid="{00000000-0005-0000-0000-0000504E0000}"/>
    <cellStyle name="40% - Accent5 4 2 2 3 8" xfId="20605" xr:uid="{00000000-0005-0000-0000-0000514E0000}"/>
    <cellStyle name="40% - Accent5 4 2 2 3 9" xfId="20606" xr:uid="{00000000-0005-0000-0000-0000524E0000}"/>
    <cellStyle name="40% - Accent5 4 2 2 4" xfId="20607" xr:uid="{00000000-0005-0000-0000-0000534E0000}"/>
    <cellStyle name="40% - Accent5 4 2 2 4 2" xfId="20608" xr:uid="{00000000-0005-0000-0000-0000544E0000}"/>
    <cellStyle name="40% - Accent5 4 2 2 4 2 2" xfId="20609" xr:uid="{00000000-0005-0000-0000-0000554E0000}"/>
    <cellStyle name="40% - Accent5 4 2 2 4 2 2 2" xfId="20610" xr:uid="{00000000-0005-0000-0000-0000564E0000}"/>
    <cellStyle name="40% - Accent5 4 2 2 4 2 2 3" xfId="20611" xr:uid="{00000000-0005-0000-0000-0000574E0000}"/>
    <cellStyle name="40% - Accent5 4 2 2 4 2 3" xfId="20612" xr:uid="{00000000-0005-0000-0000-0000584E0000}"/>
    <cellStyle name="40% - Accent5 4 2 2 4 2 4" xfId="20613" xr:uid="{00000000-0005-0000-0000-0000594E0000}"/>
    <cellStyle name="40% - Accent5 4 2 2 4 2 5" xfId="20614" xr:uid="{00000000-0005-0000-0000-00005A4E0000}"/>
    <cellStyle name="40% - Accent5 4 2 2 4 2 6" xfId="20615" xr:uid="{00000000-0005-0000-0000-00005B4E0000}"/>
    <cellStyle name="40% - Accent5 4 2 2 4 3" xfId="20616" xr:uid="{00000000-0005-0000-0000-00005C4E0000}"/>
    <cellStyle name="40% - Accent5 4 2 2 4 3 2" xfId="20617" xr:uid="{00000000-0005-0000-0000-00005D4E0000}"/>
    <cellStyle name="40% - Accent5 4 2 2 4 3 3" xfId="20618" xr:uid="{00000000-0005-0000-0000-00005E4E0000}"/>
    <cellStyle name="40% - Accent5 4 2 2 4 4" xfId="20619" xr:uid="{00000000-0005-0000-0000-00005F4E0000}"/>
    <cellStyle name="40% - Accent5 4 2 2 4 5" xfId="20620" xr:uid="{00000000-0005-0000-0000-0000604E0000}"/>
    <cellStyle name="40% - Accent5 4 2 2 4 6" xfId="20621" xr:uid="{00000000-0005-0000-0000-0000614E0000}"/>
    <cellStyle name="40% - Accent5 4 2 2 4 7" xfId="20622" xr:uid="{00000000-0005-0000-0000-0000624E0000}"/>
    <cellStyle name="40% - Accent5 4 2 2 5" xfId="20623" xr:uid="{00000000-0005-0000-0000-0000634E0000}"/>
    <cellStyle name="40% - Accent5 4 2 2 5 2" xfId="20624" xr:uid="{00000000-0005-0000-0000-0000644E0000}"/>
    <cellStyle name="40% - Accent5 4 2 2 5 2 2" xfId="20625" xr:uid="{00000000-0005-0000-0000-0000654E0000}"/>
    <cellStyle name="40% - Accent5 4 2 2 5 2 3" xfId="20626" xr:uid="{00000000-0005-0000-0000-0000664E0000}"/>
    <cellStyle name="40% - Accent5 4 2 2 5 3" xfId="20627" xr:uid="{00000000-0005-0000-0000-0000674E0000}"/>
    <cellStyle name="40% - Accent5 4 2 2 5 4" xfId="20628" xr:uid="{00000000-0005-0000-0000-0000684E0000}"/>
    <cellStyle name="40% - Accent5 4 2 2 5 5" xfId="20629" xr:uid="{00000000-0005-0000-0000-0000694E0000}"/>
    <cellStyle name="40% - Accent5 4 2 2 5 6" xfId="20630" xr:uid="{00000000-0005-0000-0000-00006A4E0000}"/>
    <cellStyle name="40% - Accent5 4 2 2 6" xfId="20631" xr:uid="{00000000-0005-0000-0000-00006B4E0000}"/>
    <cellStyle name="40% - Accent5 4 2 2 6 2" xfId="20632" xr:uid="{00000000-0005-0000-0000-00006C4E0000}"/>
    <cellStyle name="40% - Accent5 4 2 2 6 2 2" xfId="20633" xr:uid="{00000000-0005-0000-0000-00006D4E0000}"/>
    <cellStyle name="40% - Accent5 4 2 2 6 2 3" xfId="20634" xr:uid="{00000000-0005-0000-0000-00006E4E0000}"/>
    <cellStyle name="40% - Accent5 4 2 2 6 3" xfId="20635" xr:uid="{00000000-0005-0000-0000-00006F4E0000}"/>
    <cellStyle name="40% - Accent5 4 2 2 6 4" xfId="20636" xr:uid="{00000000-0005-0000-0000-0000704E0000}"/>
    <cellStyle name="40% - Accent5 4 2 2 6 5" xfId="20637" xr:uid="{00000000-0005-0000-0000-0000714E0000}"/>
    <cellStyle name="40% - Accent5 4 2 2 6 6" xfId="20638" xr:uid="{00000000-0005-0000-0000-0000724E0000}"/>
    <cellStyle name="40% - Accent5 4 2 2 7" xfId="20639" xr:uid="{00000000-0005-0000-0000-0000734E0000}"/>
    <cellStyle name="40% - Accent5 4 2 2 7 2" xfId="20640" xr:uid="{00000000-0005-0000-0000-0000744E0000}"/>
    <cellStyle name="40% - Accent5 4 2 2 7 2 2" xfId="20641" xr:uid="{00000000-0005-0000-0000-0000754E0000}"/>
    <cellStyle name="40% - Accent5 4 2 2 7 2 3" xfId="20642" xr:uid="{00000000-0005-0000-0000-0000764E0000}"/>
    <cellStyle name="40% - Accent5 4 2 2 7 3" xfId="20643" xr:uid="{00000000-0005-0000-0000-0000774E0000}"/>
    <cellStyle name="40% - Accent5 4 2 2 7 4" xfId="20644" xr:uid="{00000000-0005-0000-0000-0000784E0000}"/>
    <cellStyle name="40% - Accent5 4 2 2 7 5" xfId="20645" xr:uid="{00000000-0005-0000-0000-0000794E0000}"/>
    <cellStyle name="40% - Accent5 4 2 2 7 6" xfId="20646" xr:uid="{00000000-0005-0000-0000-00007A4E0000}"/>
    <cellStyle name="40% - Accent5 4 2 2 8" xfId="20647" xr:uid="{00000000-0005-0000-0000-00007B4E0000}"/>
    <cellStyle name="40% - Accent5 4 2 2 8 2" xfId="20648" xr:uid="{00000000-0005-0000-0000-00007C4E0000}"/>
    <cellStyle name="40% - Accent5 4 2 2 8 2 2" xfId="20649" xr:uid="{00000000-0005-0000-0000-00007D4E0000}"/>
    <cellStyle name="40% - Accent5 4 2 2 8 2 3" xfId="20650" xr:uid="{00000000-0005-0000-0000-00007E4E0000}"/>
    <cellStyle name="40% - Accent5 4 2 2 8 3" xfId="20651" xr:uid="{00000000-0005-0000-0000-00007F4E0000}"/>
    <cellStyle name="40% - Accent5 4 2 2 8 4" xfId="20652" xr:uid="{00000000-0005-0000-0000-0000804E0000}"/>
    <cellStyle name="40% - Accent5 4 2 2 8 5" xfId="20653" xr:uid="{00000000-0005-0000-0000-0000814E0000}"/>
    <cellStyle name="40% - Accent5 4 2 2 8 6" xfId="20654" xr:uid="{00000000-0005-0000-0000-0000824E0000}"/>
    <cellStyle name="40% - Accent5 4 2 2 9" xfId="20655" xr:uid="{00000000-0005-0000-0000-0000834E0000}"/>
    <cellStyle name="40% - Accent5 4 2 2 9 2" xfId="20656" xr:uid="{00000000-0005-0000-0000-0000844E0000}"/>
    <cellStyle name="40% - Accent5 4 2 2 9 3" xfId="20657" xr:uid="{00000000-0005-0000-0000-0000854E0000}"/>
    <cellStyle name="40% - Accent5 4 2 3" xfId="20658" xr:uid="{00000000-0005-0000-0000-0000864E0000}"/>
    <cellStyle name="40% - Accent5 4 2 3 10" xfId="20659" xr:uid="{00000000-0005-0000-0000-0000874E0000}"/>
    <cellStyle name="40% - Accent5 4 2 3 2" xfId="20660" xr:uid="{00000000-0005-0000-0000-0000884E0000}"/>
    <cellStyle name="40% - Accent5 4 2 3 2 2" xfId="20661" xr:uid="{00000000-0005-0000-0000-0000894E0000}"/>
    <cellStyle name="40% - Accent5 4 2 3 2 2 2" xfId="20662" xr:uid="{00000000-0005-0000-0000-00008A4E0000}"/>
    <cellStyle name="40% - Accent5 4 2 3 2 2 2 2" xfId="20663" xr:uid="{00000000-0005-0000-0000-00008B4E0000}"/>
    <cellStyle name="40% - Accent5 4 2 3 2 2 2 3" xfId="20664" xr:uid="{00000000-0005-0000-0000-00008C4E0000}"/>
    <cellStyle name="40% - Accent5 4 2 3 2 2 3" xfId="20665" xr:uid="{00000000-0005-0000-0000-00008D4E0000}"/>
    <cellStyle name="40% - Accent5 4 2 3 2 2 4" xfId="20666" xr:uid="{00000000-0005-0000-0000-00008E4E0000}"/>
    <cellStyle name="40% - Accent5 4 2 3 2 2 5" xfId="20667" xr:uid="{00000000-0005-0000-0000-00008F4E0000}"/>
    <cellStyle name="40% - Accent5 4 2 3 2 2 6" xfId="20668" xr:uid="{00000000-0005-0000-0000-0000904E0000}"/>
    <cellStyle name="40% - Accent5 4 2 3 2 3" xfId="20669" xr:uid="{00000000-0005-0000-0000-0000914E0000}"/>
    <cellStyle name="40% - Accent5 4 2 3 2 3 2" xfId="20670" xr:uid="{00000000-0005-0000-0000-0000924E0000}"/>
    <cellStyle name="40% - Accent5 4 2 3 2 3 2 2" xfId="20671" xr:uid="{00000000-0005-0000-0000-0000934E0000}"/>
    <cellStyle name="40% - Accent5 4 2 3 2 3 2 3" xfId="20672" xr:uid="{00000000-0005-0000-0000-0000944E0000}"/>
    <cellStyle name="40% - Accent5 4 2 3 2 3 3" xfId="20673" xr:uid="{00000000-0005-0000-0000-0000954E0000}"/>
    <cellStyle name="40% - Accent5 4 2 3 2 3 4" xfId="20674" xr:uid="{00000000-0005-0000-0000-0000964E0000}"/>
    <cellStyle name="40% - Accent5 4 2 3 2 3 5" xfId="20675" xr:uid="{00000000-0005-0000-0000-0000974E0000}"/>
    <cellStyle name="40% - Accent5 4 2 3 2 3 6" xfId="20676" xr:uid="{00000000-0005-0000-0000-0000984E0000}"/>
    <cellStyle name="40% - Accent5 4 2 3 2 4" xfId="20677" xr:uid="{00000000-0005-0000-0000-0000994E0000}"/>
    <cellStyle name="40% - Accent5 4 2 3 2 4 2" xfId="20678" xr:uid="{00000000-0005-0000-0000-00009A4E0000}"/>
    <cellStyle name="40% - Accent5 4 2 3 2 4 3" xfId="20679" xr:uid="{00000000-0005-0000-0000-00009B4E0000}"/>
    <cellStyle name="40% - Accent5 4 2 3 2 5" xfId="20680" xr:uid="{00000000-0005-0000-0000-00009C4E0000}"/>
    <cellStyle name="40% - Accent5 4 2 3 2 6" xfId="20681" xr:uid="{00000000-0005-0000-0000-00009D4E0000}"/>
    <cellStyle name="40% - Accent5 4 2 3 2 7" xfId="20682" xr:uid="{00000000-0005-0000-0000-00009E4E0000}"/>
    <cellStyle name="40% - Accent5 4 2 3 2 8" xfId="20683" xr:uid="{00000000-0005-0000-0000-00009F4E0000}"/>
    <cellStyle name="40% - Accent5 4 2 3 3" xfId="20684" xr:uid="{00000000-0005-0000-0000-0000A04E0000}"/>
    <cellStyle name="40% - Accent5 4 2 3 3 2" xfId="20685" xr:uid="{00000000-0005-0000-0000-0000A14E0000}"/>
    <cellStyle name="40% - Accent5 4 2 3 3 2 2" xfId="20686" xr:uid="{00000000-0005-0000-0000-0000A24E0000}"/>
    <cellStyle name="40% - Accent5 4 2 3 3 2 2 2" xfId="20687" xr:uid="{00000000-0005-0000-0000-0000A34E0000}"/>
    <cellStyle name="40% - Accent5 4 2 3 3 2 2 3" xfId="20688" xr:uid="{00000000-0005-0000-0000-0000A44E0000}"/>
    <cellStyle name="40% - Accent5 4 2 3 3 2 3" xfId="20689" xr:uid="{00000000-0005-0000-0000-0000A54E0000}"/>
    <cellStyle name="40% - Accent5 4 2 3 3 2 4" xfId="20690" xr:uid="{00000000-0005-0000-0000-0000A64E0000}"/>
    <cellStyle name="40% - Accent5 4 2 3 3 2 5" xfId="20691" xr:uid="{00000000-0005-0000-0000-0000A74E0000}"/>
    <cellStyle name="40% - Accent5 4 2 3 3 2 6" xfId="20692" xr:uid="{00000000-0005-0000-0000-0000A84E0000}"/>
    <cellStyle name="40% - Accent5 4 2 3 3 3" xfId="20693" xr:uid="{00000000-0005-0000-0000-0000A94E0000}"/>
    <cellStyle name="40% - Accent5 4 2 3 3 3 2" xfId="20694" xr:uid="{00000000-0005-0000-0000-0000AA4E0000}"/>
    <cellStyle name="40% - Accent5 4 2 3 3 3 3" xfId="20695" xr:uid="{00000000-0005-0000-0000-0000AB4E0000}"/>
    <cellStyle name="40% - Accent5 4 2 3 3 4" xfId="20696" xr:uid="{00000000-0005-0000-0000-0000AC4E0000}"/>
    <cellStyle name="40% - Accent5 4 2 3 3 5" xfId="20697" xr:uid="{00000000-0005-0000-0000-0000AD4E0000}"/>
    <cellStyle name="40% - Accent5 4 2 3 3 6" xfId="20698" xr:uid="{00000000-0005-0000-0000-0000AE4E0000}"/>
    <cellStyle name="40% - Accent5 4 2 3 3 7" xfId="20699" xr:uid="{00000000-0005-0000-0000-0000AF4E0000}"/>
    <cellStyle name="40% - Accent5 4 2 3 4" xfId="20700" xr:uid="{00000000-0005-0000-0000-0000B04E0000}"/>
    <cellStyle name="40% - Accent5 4 2 3 4 2" xfId="20701" xr:uid="{00000000-0005-0000-0000-0000B14E0000}"/>
    <cellStyle name="40% - Accent5 4 2 3 4 2 2" xfId="20702" xr:uid="{00000000-0005-0000-0000-0000B24E0000}"/>
    <cellStyle name="40% - Accent5 4 2 3 4 2 3" xfId="20703" xr:uid="{00000000-0005-0000-0000-0000B34E0000}"/>
    <cellStyle name="40% - Accent5 4 2 3 4 3" xfId="20704" xr:uid="{00000000-0005-0000-0000-0000B44E0000}"/>
    <cellStyle name="40% - Accent5 4 2 3 4 4" xfId="20705" xr:uid="{00000000-0005-0000-0000-0000B54E0000}"/>
    <cellStyle name="40% - Accent5 4 2 3 4 5" xfId="20706" xr:uid="{00000000-0005-0000-0000-0000B64E0000}"/>
    <cellStyle name="40% - Accent5 4 2 3 4 6" xfId="20707" xr:uid="{00000000-0005-0000-0000-0000B74E0000}"/>
    <cellStyle name="40% - Accent5 4 2 3 5" xfId="20708" xr:uid="{00000000-0005-0000-0000-0000B84E0000}"/>
    <cellStyle name="40% - Accent5 4 2 3 5 2" xfId="20709" xr:uid="{00000000-0005-0000-0000-0000B94E0000}"/>
    <cellStyle name="40% - Accent5 4 2 3 5 2 2" xfId="20710" xr:uid="{00000000-0005-0000-0000-0000BA4E0000}"/>
    <cellStyle name="40% - Accent5 4 2 3 5 2 3" xfId="20711" xr:uid="{00000000-0005-0000-0000-0000BB4E0000}"/>
    <cellStyle name="40% - Accent5 4 2 3 5 3" xfId="20712" xr:uid="{00000000-0005-0000-0000-0000BC4E0000}"/>
    <cellStyle name="40% - Accent5 4 2 3 5 4" xfId="20713" xr:uid="{00000000-0005-0000-0000-0000BD4E0000}"/>
    <cellStyle name="40% - Accent5 4 2 3 5 5" xfId="20714" xr:uid="{00000000-0005-0000-0000-0000BE4E0000}"/>
    <cellStyle name="40% - Accent5 4 2 3 5 6" xfId="20715" xr:uid="{00000000-0005-0000-0000-0000BF4E0000}"/>
    <cellStyle name="40% - Accent5 4 2 3 6" xfId="20716" xr:uid="{00000000-0005-0000-0000-0000C04E0000}"/>
    <cellStyle name="40% - Accent5 4 2 3 6 2" xfId="20717" xr:uid="{00000000-0005-0000-0000-0000C14E0000}"/>
    <cellStyle name="40% - Accent5 4 2 3 6 3" xfId="20718" xr:uid="{00000000-0005-0000-0000-0000C24E0000}"/>
    <cellStyle name="40% - Accent5 4 2 3 7" xfId="20719" xr:uid="{00000000-0005-0000-0000-0000C34E0000}"/>
    <cellStyle name="40% - Accent5 4 2 3 8" xfId="20720" xr:uid="{00000000-0005-0000-0000-0000C44E0000}"/>
    <cellStyle name="40% - Accent5 4 2 3 9" xfId="20721" xr:uid="{00000000-0005-0000-0000-0000C54E0000}"/>
    <cellStyle name="40% - Accent5 4 2 4" xfId="20722" xr:uid="{00000000-0005-0000-0000-0000C64E0000}"/>
    <cellStyle name="40% - Accent5 4 2 4 2" xfId="20723" xr:uid="{00000000-0005-0000-0000-0000C74E0000}"/>
    <cellStyle name="40% - Accent5 4 2 4 2 2" xfId="20724" xr:uid="{00000000-0005-0000-0000-0000C84E0000}"/>
    <cellStyle name="40% - Accent5 4 2 4 2 2 2" xfId="20725" xr:uid="{00000000-0005-0000-0000-0000C94E0000}"/>
    <cellStyle name="40% - Accent5 4 2 4 2 2 2 2" xfId="20726" xr:uid="{00000000-0005-0000-0000-0000CA4E0000}"/>
    <cellStyle name="40% - Accent5 4 2 4 2 2 2 3" xfId="20727" xr:uid="{00000000-0005-0000-0000-0000CB4E0000}"/>
    <cellStyle name="40% - Accent5 4 2 4 2 2 3" xfId="20728" xr:uid="{00000000-0005-0000-0000-0000CC4E0000}"/>
    <cellStyle name="40% - Accent5 4 2 4 2 2 4" xfId="20729" xr:uid="{00000000-0005-0000-0000-0000CD4E0000}"/>
    <cellStyle name="40% - Accent5 4 2 4 2 2 5" xfId="20730" xr:uid="{00000000-0005-0000-0000-0000CE4E0000}"/>
    <cellStyle name="40% - Accent5 4 2 4 2 2 6" xfId="20731" xr:uid="{00000000-0005-0000-0000-0000CF4E0000}"/>
    <cellStyle name="40% - Accent5 4 2 4 2 3" xfId="20732" xr:uid="{00000000-0005-0000-0000-0000D04E0000}"/>
    <cellStyle name="40% - Accent5 4 2 4 2 3 2" xfId="20733" xr:uid="{00000000-0005-0000-0000-0000D14E0000}"/>
    <cellStyle name="40% - Accent5 4 2 4 2 3 3" xfId="20734" xr:uid="{00000000-0005-0000-0000-0000D24E0000}"/>
    <cellStyle name="40% - Accent5 4 2 4 2 4" xfId="20735" xr:uid="{00000000-0005-0000-0000-0000D34E0000}"/>
    <cellStyle name="40% - Accent5 4 2 4 2 5" xfId="20736" xr:uid="{00000000-0005-0000-0000-0000D44E0000}"/>
    <cellStyle name="40% - Accent5 4 2 4 2 6" xfId="20737" xr:uid="{00000000-0005-0000-0000-0000D54E0000}"/>
    <cellStyle name="40% - Accent5 4 2 4 2 7" xfId="20738" xr:uid="{00000000-0005-0000-0000-0000D64E0000}"/>
    <cellStyle name="40% - Accent5 4 2 4 3" xfId="20739" xr:uid="{00000000-0005-0000-0000-0000D74E0000}"/>
    <cellStyle name="40% - Accent5 4 2 4 3 2" xfId="20740" xr:uid="{00000000-0005-0000-0000-0000D84E0000}"/>
    <cellStyle name="40% - Accent5 4 2 4 3 2 2" xfId="20741" xr:uid="{00000000-0005-0000-0000-0000D94E0000}"/>
    <cellStyle name="40% - Accent5 4 2 4 3 2 3" xfId="20742" xr:uid="{00000000-0005-0000-0000-0000DA4E0000}"/>
    <cellStyle name="40% - Accent5 4 2 4 3 3" xfId="20743" xr:uid="{00000000-0005-0000-0000-0000DB4E0000}"/>
    <cellStyle name="40% - Accent5 4 2 4 3 4" xfId="20744" xr:uid="{00000000-0005-0000-0000-0000DC4E0000}"/>
    <cellStyle name="40% - Accent5 4 2 4 3 5" xfId="20745" xr:uid="{00000000-0005-0000-0000-0000DD4E0000}"/>
    <cellStyle name="40% - Accent5 4 2 4 3 6" xfId="20746" xr:uid="{00000000-0005-0000-0000-0000DE4E0000}"/>
    <cellStyle name="40% - Accent5 4 2 4 4" xfId="20747" xr:uid="{00000000-0005-0000-0000-0000DF4E0000}"/>
    <cellStyle name="40% - Accent5 4 2 4 4 2" xfId="20748" xr:uid="{00000000-0005-0000-0000-0000E04E0000}"/>
    <cellStyle name="40% - Accent5 4 2 4 4 2 2" xfId="20749" xr:uid="{00000000-0005-0000-0000-0000E14E0000}"/>
    <cellStyle name="40% - Accent5 4 2 4 4 2 3" xfId="20750" xr:uid="{00000000-0005-0000-0000-0000E24E0000}"/>
    <cellStyle name="40% - Accent5 4 2 4 4 3" xfId="20751" xr:uid="{00000000-0005-0000-0000-0000E34E0000}"/>
    <cellStyle name="40% - Accent5 4 2 4 4 4" xfId="20752" xr:uid="{00000000-0005-0000-0000-0000E44E0000}"/>
    <cellStyle name="40% - Accent5 4 2 4 4 5" xfId="20753" xr:uid="{00000000-0005-0000-0000-0000E54E0000}"/>
    <cellStyle name="40% - Accent5 4 2 4 4 6" xfId="20754" xr:uid="{00000000-0005-0000-0000-0000E64E0000}"/>
    <cellStyle name="40% - Accent5 4 2 4 5" xfId="20755" xr:uid="{00000000-0005-0000-0000-0000E74E0000}"/>
    <cellStyle name="40% - Accent5 4 2 4 5 2" xfId="20756" xr:uid="{00000000-0005-0000-0000-0000E84E0000}"/>
    <cellStyle name="40% - Accent5 4 2 4 5 3" xfId="20757" xr:uid="{00000000-0005-0000-0000-0000E94E0000}"/>
    <cellStyle name="40% - Accent5 4 2 4 6" xfId="20758" xr:uid="{00000000-0005-0000-0000-0000EA4E0000}"/>
    <cellStyle name="40% - Accent5 4 2 4 7" xfId="20759" xr:uid="{00000000-0005-0000-0000-0000EB4E0000}"/>
    <cellStyle name="40% - Accent5 4 2 4 8" xfId="20760" xr:uid="{00000000-0005-0000-0000-0000EC4E0000}"/>
    <cellStyle name="40% - Accent5 4 2 4 9" xfId="20761" xr:uid="{00000000-0005-0000-0000-0000ED4E0000}"/>
    <cellStyle name="40% - Accent5 4 2 5" xfId="20762" xr:uid="{00000000-0005-0000-0000-0000EE4E0000}"/>
    <cellStyle name="40% - Accent5 4 2 5 2" xfId="20763" xr:uid="{00000000-0005-0000-0000-0000EF4E0000}"/>
    <cellStyle name="40% - Accent5 4 2 5 2 2" xfId="20764" xr:uid="{00000000-0005-0000-0000-0000F04E0000}"/>
    <cellStyle name="40% - Accent5 4 2 5 2 2 2" xfId="20765" xr:uid="{00000000-0005-0000-0000-0000F14E0000}"/>
    <cellStyle name="40% - Accent5 4 2 5 2 2 3" xfId="20766" xr:uid="{00000000-0005-0000-0000-0000F24E0000}"/>
    <cellStyle name="40% - Accent5 4 2 5 2 3" xfId="20767" xr:uid="{00000000-0005-0000-0000-0000F34E0000}"/>
    <cellStyle name="40% - Accent5 4 2 5 2 4" xfId="20768" xr:uid="{00000000-0005-0000-0000-0000F44E0000}"/>
    <cellStyle name="40% - Accent5 4 2 5 2 5" xfId="20769" xr:uid="{00000000-0005-0000-0000-0000F54E0000}"/>
    <cellStyle name="40% - Accent5 4 2 5 2 6" xfId="20770" xr:uid="{00000000-0005-0000-0000-0000F64E0000}"/>
    <cellStyle name="40% - Accent5 4 2 5 3" xfId="20771" xr:uid="{00000000-0005-0000-0000-0000F74E0000}"/>
    <cellStyle name="40% - Accent5 4 2 5 3 2" xfId="20772" xr:uid="{00000000-0005-0000-0000-0000F84E0000}"/>
    <cellStyle name="40% - Accent5 4 2 5 3 3" xfId="20773" xr:uid="{00000000-0005-0000-0000-0000F94E0000}"/>
    <cellStyle name="40% - Accent5 4 2 5 4" xfId="20774" xr:uid="{00000000-0005-0000-0000-0000FA4E0000}"/>
    <cellStyle name="40% - Accent5 4 2 5 5" xfId="20775" xr:uid="{00000000-0005-0000-0000-0000FB4E0000}"/>
    <cellStyle name="40% - Accent5 4 2 5 6" xfId="20776" xr:uid="{00000000-0005-0000-0000-0000FC4E0000}"/>
    <cellStyle name="40% - Accent5 4 2 5 7" xfId="20777" xr:uid="{00000000-0005-0000-0000-0000FD4E0000}"/>
    <cellStyle name="40% - Accent5 4 2 6" xfId="20778" xr:uid="{00000000-0005-0000-0000-0000FE4E0000}"/>
    <cellStyle name="40% - Accent5 4 2 6 2" xfId="20779" xr:uid="{00000000-0005-0000-0000-0000FF4E0000}"/>
    <cellStyle name="40% - Accent5 4 2 6 2 2" xfId="20780" xr:uid="{00000000-0005-0000-0000-0000004F0000}"/>
    <cellStyle name="40% - Accent5 4 2 6 2 3" xfId="20781" xr:uid="{00000000-0005-0000-0000-0000014F0000}"/>
    <cellStyle name="40% - Accent5 4 2 6 3" xfId="20782" xr:uid="{00000000-0005-0000-0000-0000024F0000}"/>
    <cellStyle name="40% - Accent5 4 2 6 4" xfId="20783" xr:uid="{00000000-0005-0000-0000-0000034F0000}"/>
    <cellStyle name="40% - Accent5 4 2 6 5" xfId="20784" xr:uid="{00000000-0005-0000-0000-0000044F0000}"/>
    <cellStyle name="40% - Accent5 4 2 6 6" xfId="20785" xr:uid="{00000000-0005-0000-0000-0000054F0000}"/>
    <cellStyle name="40% - Accent5 4 2 7" xfId="20786" xr:uid="{00000000-0005-0000-0000-0000064F0000}"/>
    <cellStyle name="40% - Accent5 4 2 7 2" xfId="20787" xr:uid="{00000000-0005-0000-0000-0000074F0000}"/>
    <cellStyle name="40% - Accent5 4 2 7 2 2" xfId="20788" xr:uid="{00000000-0005-0000-0000-0000084F0000}"/>
    <cellStyle name="40% - Accent5 4 2 7 2 3" xfId="20789" xr:uid="{00000000-0005-0000-0000-0000094F0000}"/>
    <cellStyle name="40% - Accent5 4 2 7 3" xfId="20790" xr:uid="{00000000-0005-0000-0000-00000A4F0000}"/>
    <cellStyle name="40% - Accent5 4 2 7 4" xfId="20791" xr:uid="{00000000-0005-0000-0000-00000B4F0000}"/>
    <cellStyle name="40% - Accent5 4 2 7 5" xfId="20792" xr:uid="{00000000-0005-0000-0000-00000C4F0000}"/>
    <cellStyle name="40% - Accent5 4 2 7 6" xfId="20793" xr:uid="{00000000-0005-0000-0000-00000D4F0000}"/>
    <cellStyle name="40% - Accent5 4 2 8" xfId="20794" xr:uid="{00000000-0005-0000-0000-00000E4F0000}"/>
    <cellStyle name="40% - Accent5 4 2 8 2" xfId="20795" xr:uid="{00000000-0005-0000-0000-00000F4F0000}"/>
    <cellStyle name="40% - Accent5 4 2 8 2 2" xfId="20796" xr:uid="{00000000-0005-0000-0000-0000104F0000}"/>
    <cellStyle name="40% - Accent5 4 2 8 2 3" xfId="20797" xr:uid="{00000000-0005-0000-0000-0000114F0000}"/>
    <cellStyle name="40% - Accent5 4 2 8 3" xfId="20798" xr:uid="{00000000-0005-0000-0000-0000124F0000}"/>
    <cellStyle name="40% - Accent5 4 2 8 4" xfId="20799" xr:uid="{00000000-0005-0000-0000-0000134F0000}"/>
    <cellStyle name="40% - Accent5 4 2 8 5" xfId="20800" xr:uid="{00000000-0005-0000-0000-0000144F0000}"/>
    <cellStyle name="40% - Accent5 4 2 8 6" xfId="20801" xr:uid="{00000000-0005-0000-0000-0000154F0000}"/>
    <cellStyle name="40% - Accent5 4 2 9" xfId="20802" xr:uid="{00000000-0005-0000-0000-0000164F0000}"/>
    <cellStyle name="40% - Accent5 4 2 9 2" xfId="20803" xr:uid="{00000000-0005-0000-0000-0000174F0000}"/>
    <cellStyle name="40% - Accent5 4 2 9 2 2" xfId="20804" xr:uid="{00000000-0005-0000-0000-0000184F0000}"/>
    <cellStyle name="40% - Accent5 4 2 9 2 3" xfId="20805" xr:uid="{00000000-0005-0000-0000-0000194F0000}"/>
    <cellStyle name="40% - Accent5 4 2 9 3" xfId="20806" xr:uid="{00000000-0005-0000-0000-00001A4F0000}"/>
    <cellStyle name="40% - Accent5 4 2 9 4" xfId="20807" xr:uid="{00000000-0005-0000-0000-00001B4F0000}"/>
    <cellStyle name="40% - Accent5 4 2 9 5" xfId="20808" xr:uid="{00000000-0005-0000-0000-00001C4F0000}"/>
    <cellStyle name="40% - Accent5 4 2 9 6" xfId="20809" xr:uid="{00000000-0005-0000-0000-00001D4F0000}"/>
    <cellStyle name="40% - Accent5 4 3" xfId="20810" xr:uid="{00000000-0005-0000-0000-00001E4F0000}"/>
    <cellStyle name="40% - Accent5 4 3 10" xfId="20811" xr:uid="{00000000-0005-0000-0000-00001F4F0000}"/>
    <cellStyle name="40% - Accent5 4 3 11" xfId="20812" xr:uid="{00000000-0005-0000-0000-0000204F0000}"/>
    <cellStyle name="40% - Accent5 4 3 12" xfId="20813" xr:uid="{00000000-0005-0000-0000-0000214F0000}"/>
    <cellStyle name="40% - Accent5 4 3 13" xfId="20814" xr:uid="{00000000-0005-0000-0000-0000224F0000}"/>
    <cellStyle name="40% - Accent5 4 3 2" xfId="20815" xr:uid="{00000000-0005-0000-0000-0000234F0000}"/>
    <cellStyle name="40% - Accent5 4 3 2 10" xfId="20816" xr:uid="{00000000-0005-0000-0000-0000244F0000}"/>
    <cellStyle name="40% - Accent5 4 3 2 2" xfId="20817" xr:uid="{00000000-0005-0000-0000-0000254F0000}"/>
    <cellStyle name="40% - Accent5 4 3 2 2 2" xfId="20818" xr:uid="{00000000-0005-0000-0000-0000264F0000}"/>
    <cellStyle name="40% - Accent5 4 3 2 2 2 2" xfId="20819" xr:uid="{00000000-0005-0000-0000-0000274F0000}"/>
    <cellStyle name="40% - Accent5 4 3 2 2 2 2 2" xfId="20820" xr:uid="{00000000-0005-0000-0000-0000284F0000}"/>
    <cellStyle name="40% - Accent5 4 3 2 2 2 2 3" xfId="20821" xr:uid="{00000000-0005-0000-0000-0000294F0000}"/>
    <cellStyle name="40% - Accent5 4 3 2 2 2 3" xfId="20822" xr:uid="{00000000-0005-0000-0000-00002A4F0000}"/>
    <cellStyle name="40% - Accent5 4 3 2 2 2 4" xfId="20823" xr:uid="{00000000-0005-0000-0000-00002B4F0000}"/>
    <cellStyle name="40% - Accent5 4 3 2 2 2 5" xfId="20824" xr:uid="{00000000-0005-0000-0000-00002C4F0000}"/>
    <cellStyle name="40% - Accent5 4 3 2 2 2 6" xfId="20825" xr:uid="{00000000-0005-0000-0000-00002D4F0000}"/>
    <cellStyle name="40% - Accent5 4 3 2 2 3" xfId="20826" xr:uid="{00000000-0005-0000-0000-00002E4F0000}"/>
    <cellStyle name="40% - Accent5 4 3 2 2 3 2" xfId="20827" xr:uid="{00000000-0005-0000-0000-00002F4F0000}"/>
    <cellStyle name="40% - Accent5 4 3 2 2 3 2 2" xfId="20828" xr:uid="{00000000-0005-0000-0000-0000304F0000}"/>
    <cellStyle name="40% - Accent5 4 3 2 2 3 2 3" xfId="20829" xr:uid="{00000000-0005-0000-0000-0000314F0000}"/>
    <cellStyle name="40% - Accent5 4 3 2 2 3 3" xfId="20830" xr:uid="{00000000-0005-0000-0000-0000324F0000}"/>
    <cellStyle name="40% - Accent5 4 3 2 2 3 4" xfId="20831" xr:uid="{00000000-0005-0000-0000-0000334F0000}"/>
    <cellStyle name="40% - Accent5 4 3 2 2 3 5" xfId="20832" xr:uid="{00000000-0005-0000-0000-0000344F0000}"/>
    <cellStyle name="40% - Accent5 4 3 2 2 3 6" xfId="20833" xr:uid="{00000000-0005-0000-0000-0000354F0000}"/>
    <cellStyle name="40% - Accent5 4 3 2 2 4" xfId="20834" xr:uid="{00000000-0005-0000-0000-0000364F0000}"/>
    <cellStyle name="40% - Accent5 4 3 2 2 4 2" xfId="20835" xr:uid="{00000000-0005-0000-0000-0000374F0000}"/>
    <cellStyle name="40% - Accent5 4 3 2 2 4 3" xfId="20836" xr:uid="{00000000-0005-0000-0000-0000384F0000}"/>
    <cellStyle name="40% - Accent5 4 3 2 2 5" xfId="20837" xr:uid="{00000000-0005-0000-0000-0000394F0000}"/>
    <cellStyle name="40% - Accent5 4 3 2 2 6" xfId="20838" xr:uid="{00000000-0005-0000-0000-00003A4F0000}"/>
    <cellStyle name="40% - Accent5 4 3 2 2 7" xfId="20839" xr:uid="{00000000-0005-0000-0000-00003B4F0000}"/>
    <cellStyle name="40% - Accent5 4 3 2 2 8" xfId="20840" xr:uid="{00000000-0005-0000-0000-00003C4F0000}"/>
    <cellStyle name="40% - Accent5 4 3 2 3" xfId="20841" xr:uid="{00000000-0005-0000-0000-00003D4F0000}"/>
    <cellStyle name="40% - Accent5 4 3 2 3 2" xfId="20842" xr:uid="{00000000-0005-0000-0000-00003E4F0000}"/>
    <cellStyle name="40% - Accent5 4 3 2 3 2 2" xfId="20843" xr:uid="{00000000-0005-0000-0000-00003F4F0000}"/>
    <cellStyle name="40% - Accent5 4 3 2 3 2 2 2" xfId="20844" xr:uid="{00000000-0005-0000-0000-0000404F0000}"/>
    <cellStyle name="40% - Accent5 4 3 2 3 2 2 3" xfId="20845" xr:uid="{00000000-0005-0000-0000-0000414F0000}"/>
    <cellStyle name="40% - Accent5 4 3 2 3 2 3" xfId="20846" xr:uid="{00000000-0005-0000-0000-0000424F0000}"/>
    <cellStyle name="40% - Accent5 4 3 2 3 2 4" xfId="20847" xr:uid="{00000000-0005-0000-0000-0000434F0000}"/>
    <cellStyle name="40% - Accent5 4 3 2 3 2 5" xfId="20848" xr:uid="{00000000-0005-0000-0000-0000444F0000}"/>
    <cellStyle name="40% - Accent5 4 3 2 3 2 6" xfId="20849" xr:uid="{00000000-0005-0000-0000-0000454F0000}"/>
    <cellStyle name="40% - Accent5 4 3 2 3 3" xfId="20850" xr:uid="{00000000-0005-0000-0000-0000464F0000}"/>
    <cellStyle name="40% - Accent5 4 3 2 3 3 2" xfId="20851" xr:uid="{00000000-0005-0000-0000-0000474F0000}"/>
    <cellStyle name="40% - Accent5 4 3 2 3 3 3" xfId="20852" xr:uid="{00000000-0005-0000-0000-0000484F0000}"/>
    <cellStyle name="40% - Accent5 4 3 2 3 4" xfId="20853" xr:uid="{00000000-0005-0000-0000-0000494F0000}"/>
    <cellStyle name="40% - Accent5 4 3 2 3 5" xfId="20854" xr:uid="{00000000-0005-0000-0000-00004A4F0000}"/>
    <cellStyle name="40% - Accent5 4 3 2 3 6" xfId="20855" xr:uid="{00000000-0005-0000-0000-00004B4F0000}"/>
    <cellStyle name="40% - Accent5 4 3 2 3 7" xfId="20856" xr:uid="{00000000-0005-0000-0000-00004C4F0000}"/>
    <cellStyle name="40% - Accent5 4 3 2 4" xfId="20857" xr:uid="{00000000-0005-0000-0000-00004D4F0000}"/>
    <cellStyle name="40% - Accent5 4 3 2 4 2" xfId="20858" xr:uid="{00000000-0005-0000-0000-00004E4F0000}"/>
    <cellStyle name="40% - Accent5 4 3 2 4 2 2" xfId="20859" xr:uid="{00000000-0005-0000-0000-00004F4F0000}"/>
    <cellStyle name="40% - Accent5 4 3 2 4 2 3" xfId="20860" xr:uid="{00000000-0005-0000-0000-0000504F0000}"/>
    <cellStyle name="40% - Accent5 4 3 2 4 3" xfId="20861" xr:uid="{00000000-0005-0000-0000-0000514F0000}"/>
    <cellStyle name="40% - Accent5 4 3 2 4 4" xfId="20862" xr:uid="{00000000-0005-0000-0000-0000524F0000}"/>
    <cellStyle name="40% - Accent5 4 3 2 4 5" xfId="20863" xr:uid="{00000000-0005-0000-0000-0000534F0000}"/>
    <cellStyle name="40% - Accent5 4 3 2 4 6" xfId="20864" xr:uid="{00000000-0005-0000-0000-0000544F0000}"/>
    <cellStyle name="40% - Accent5 4 3 2 5" xfId="20865" xr:uid="{00000000-0005-0000-0000-0000554F0000}"/>
    <cellStyle name="40% - Accent5 4 3 2 5 2" xfId="20866" xr:uid="{00000000-0005-0000-0000-0000564F0000}"/>
    <cellStyle name="40% - Accent5 4 3 2 5 2 2" xfId="20867" xr:uid="{00000000-0005-0000-0000-0000574F0000}"/>
    <cellStyle name="40% - Accent5 4 3 2 5 2 3" xfId="20868" xr:uid="{00000000-0005-0000-0000-0000584F0000}"/>
    <cellStyle name="40% - Accent5 4 3 2 5 3" xfId="20869" xr:uid="{00000000-0005-0000-0000-0000594F0000}"/>
    <cellStyle name="40% - Accent5 4 3 2 5 4" xfId="20870" xr:uid="{00000000-0005-0000-0000-00005A4F0000}"/>
    <cellStyle name="40% - Accent5 4 3 2 5 5" xfId="20871" xr:uid="{00000000-0005-0000-0000-00005B4F0000}"/>
    <cellStyle name="40% - Accent5 4 3 2 5 6" xfId="20872" xr:uid="{00000000-0005-0000-0000-00005C4F0000}"/>
    <cellStyle name="40% - Accent5 4 3 2 6" xfId="20873" xr:uid="{00000000-0005-0000-0000-00005D4F0000}"/>
    <cellStyle name="40% - Accent5 4 3 2 6 2" xfId="20874" xr:uid="{00000000-0005-0000-0000-00005E4F0000}"/>
    <cellStyle name="40% - Accent5 4 3 2 6 3" xfId="20875" xr:uid="{00000000-0005-0000-0000-00005F4F0000}"/>
    <cellStyle name="40% - Accent5 4 3 2 7" xfId="20876" xr:uid="{00000000-0005-0000-0000-0000604F0000}"/>
    <cellStyle name="40% - Accent5 4 3 2 8" xfId="20877" xr:uid="{00000000-0005-0000-0000-0000614F0000}"/>
    <cellStyle name="40% - Accent5 4 3 2 9" xfId="20878" xr:uid="{00000000-0005-0000-0000-0000624F0000}"/>
    <cellStyle name="40% - Accent5 4 3 3" xfId="20879" xr:uid="{00000000-0005-0000-0000-0000634F0000}"/>
    <cellStyle name="40% - Accent5 4 3 3 2" xfId="20880" xr:uid="{00000000-0005-0000-0000-0000644F0000}"/>
    <cellStyle name="40% - Accent5 4 3 3 2 2" xfId="20881" xr:uid="{00000000-0005-0000-0000-0000654F0000}"/>
    <cellStyle name="40% - Accent5 4 3 3 2 2 2" xfId="20882" xr:uid="{00000000-0005-0000-0000-0000664F0000}"/>
    <cellStyle name="40% - Accent5 4 3 3 2 2 2 2" xfId="20883" xr:uid="{00000000-0005-0000-0000-0000674F0000}"/>
    <cellStyle name="40% - Accent5 4 3 3 2 2 2 3" xfId="20884" xr:uid="{00000000-0005-0000-0000-0000684F0000}"/>
    <cellStyle name="40% - Accent5 4 3 3 2 2 3" xfId="20885" xr:uid="{00000000-0005-0000-0000-0000694F0000}"/>
    <cellStyle name="40% - Accent5 4 3 3 2 2 4" xfId="20886" xr:uid="{00000000-0005-0000-0000-00006A4F0000}"/>
    <cellStyle name="40% - Accent5 4 3 3 2 2 5" xfId="20887" xr:uid="{00000000-0005-0000-0000-00006B4F0000}"/>
    <cellStyle name="40% - Accent5 4 3 3 2 2 6" xfId="20888" xr:uid="{00000000-0005-0000-0000-00006C4F0000}"/>
    <cellStyle name="40% - Accent5 4 3 3 2 3" xfId="20889" xr:uid="{00000000-0005-0000-0000-00006D4F0000}"/>
    <cellStyle name="40% - Accent5 4 3 3 2 3 2" xfId="20890" xr:uid="{00000000-0005-0000-0000-00006E4F0000}"/>
    <cellStyle name="40% - Accent5 4 3 3 2 3 3" xfId="20891" xr:uid="{00000000-0005-0000-0000-00006F4F0000}"/>
    <cellStyle name="40% - Accent5 4 3 3 2 4" xfId="20892" xr:uid="{00000000-0005-0000-0000-0000704F0000}"/>
    <cellStyle name="40% - Accent5 4 3 3 2 5" xfId="20893" xr:uid="{00000000-0005-0000-0000-0000714F0000}"/>
    <cellStyle name="40% - Accent5 4 3 3 2 6" xfId="20894" xr:uid="{00000000-0005-0000-0000-0000724F0000}"/>
    <cellStyle name="40% - Accent5 4 3 3 2 7" xfId="20895" xr:uid="{00000000-0005-0000-0000-0000734F0000}"/>
    <cellStyle name="40% - Accent5 4 3 3 3" xfId="20896" xr:uid="{00000000-0005-0000-0000-0000744F0000}"/>
    <cellStyle name="40% - Accent5 4 3 3 3 2" xfId="20897" xr:uid="{00000000-0005-0000-0000-0000754F0000}"/>
    <cellStyle name="40% - Accent5 4 3 3 3 2 2" xfId="20898" xr:uid="{00000000-0005-0000-0000-0000764F0000}"/>
    <cellStyle name="40% - Accent5 4 3 3 3 2 3" xfId="20899" xr:uid="{00000000-0005-0000-0000-0000774F0000}"/>
    <cellStyle name="40% - Accent5 4 3 3 3 3" xfId="20900" xr:uid="{00000000-0005-0000-0000-0000784F0000}"/>
    <cellStyle name="40% - Accent5 4 3 3 3 4" xfId="20901" xr:uid="{00000000-0005-0000-0000-0000794F0000}"/>
    <cellStyle name="40% - Accent5 4 3 3 3 5" xfId="20902" xr:uid="{00000000-0005-0000-0000-00007A4F0000}"/>
    <cellStyle name="40% - Accent5 4 3 3 3 6" xfId="20903" xr:uid="{00000000-0005-0000-0000-00007B4F0000}"/>
    <cellStyle name="40% - Accent5 4 3 3 4" xfId="20904" xr:uid="{00000000-0005-0000-0000-00007C4F0000}"/>
    <cellStyle name="40% - Accent5 4 3 3 4 2" xfId="20905" xr:uid="{00000000-0005-0000-0000-00007D4F0000}"/>
    <cellStyle name="40% - Accent5 4 3 3 4 2 2" xfId="20906" xr:uid="{00000000-0005-0000-0000-00007E4F0000}"/>
    <cellStyle name="40% - Accent5 4 3 3 4 2 3" xfId="20907" xr:uid="{00000000-0005-0000-0000-00007F4F0000}"/>
    <cellStyle name="40% - Accent5 4 3 3 4 3" xfId="20908" xr:uid="{00000000-0005-0000-0000-0000804F0000}"/>
    <cellStyle name="40% - Accent5 4 3 3 4 4" xfId="20909" xr:uid="{00000000-0005-0000-0000-0000814F0000}"/>
    <cellStyle name="40% - Accent5 4 3 3 4 5" xfId="20910" xr:uid="{00000000-0005-0000-0000-0000824F0000}"/>
    <cellStyle name="40% - Accent5 4 3 3 4 6" xfId="20911" xr:uid="{00000000-0005-0000-0000-0000834F0000}"/>
    <cellStyle name="40% - Accent5 4 3 3 5" xfId="20912" xr:uid="{00000000-0005-0000-0000-0000844F0000}"/>
    <cellStyle name="40% - Accent5 4 3 3 5 2" xfId="20913" xr:uid="{00000000-0005-0000-0000-0000854F0000}"/>
    <cellStyle name="40% - Accent5 4 3 3 5 3" xfId="20914" xr:uid="{00000000-0005-0000-0000-0000864F0000}"/>
    <cellStyle name="40% - Accent5 4 3 3 6" xfId="20915" xr:uid="{00000000-0005-0000-0000-0000874F0000}"/>
    <cellStyle name="40% - Accent5 4 3 3 7" xfId="20916" xr:uid="{00000000-0005-0000-0000-0000884F0000}"/>
    <cellStyle name="40% - Accent5 4 3 3 8" xfId="20917" xr:uid="{00000000-0005-0000-0000-0000894F0000}"/>
    <cellStyle name="40% - Accent5 4 3 3 9" xfId="20918" xr:uid="{00000000-0005-0000-0000-00008A4F0000}"/>
    <cellStyle name="40% - Accent5 4 3 4" xfId="20919" xr:uid="{00000000-0005-0000-0000-00008B4F0000}"/>
    <cellStyle name="40% - Accent5 4 3 4 2" xfId="20920" xr:uid="{00000000-0005-0000-0000-00008C4F0000}"/>
    <cellStyle name="40% - Accent5 4 3 4 2 2" xfId="20921" xr:uid="{00000000-0005-0000-0000-00008D4F0000}"/>
    <cellStyle name="40% - Accent5 4 3 4 2 2 2" xfId="20922" xr:uid="{00000000-0005-0000-0000-00008E4F0000}"/>
    <cellStyle name="40% - Accent5 4 3 4 2 2 3" xfId="20923" xr:uid="{00000000-0005-0000-0000-00008F4F0000}"/>
    <cellStyle name="40% - Accent5 4 3 4 2 3" xfId="20924" xr:uid="{00000000-0005-0000-0000-0000904F0000}"/>
    <cellStyle name="40% - Accent5 4 3 4 2 4" xfId="20925" xr:uid="{00000000-0005-0000-0000-0000914F0000}"/>
    <cellStyle name="40% - Accent5 4 3 4 2 5" xfId="20926" xr:uid="{00000000-0005-0000-0000-0000924F0000}"/>
    <cellStyle name="40% - Accent5 4 3 4 2 6" xfId="20927" xr:uid="{00000000-0005-0000-0000-0000934F0000}"/>
    <cellStyle name="40% - Accent5 4 3 4 3" xfId="20928" xr:uid="{00000000-0005-0000-0000-0000944F0000}"/>
    <cellStyle name="40% - Accent5 4 3 4 3 2" xfId="20929" xr:uid="{00000000-0005-0000-0000-0000954F0000}"/>
    <cellStyle name="40% - Accent5 4 3 4 3 3" xfId="20930" xr:uid="{00000000-0005-0000-0000-0000964F0000}"/>
    <cellStyle name="40% - Accent5 4 3 4 4" xfId="20931" xr:uid="{00000000-0005-0000-0000-0000974F0000}"/>
    <cellStyle name="40% - Accent5 4 3 4 5" xfId="20932" xr:uid="{00000000-0005-0000-0000-0000984F0000}"/>
    <cellStyle name="40% - Accent5 4 3 4 6" xfId="20933" xr:uid="{00000000-0005-0000-0000-0000994F0000}"/>
    <cellStyle name="40% - Accent5 4 3 4 7" xfId="20934" xr:uid="{00000000-0005-0000-0000-00009A4F0000}"/>
    <cellStyle name="40% - Accent5 4 3 5" xfId="20935" xr:uid="{00000000-0005-0000-0000-00009B4F0000}"/>
    <cellStyle name="40% - Accent5 4 3 5 2" xfId="20936" xr:uid="{00000000-0005-0000-0000-00009C4F0000}"/>
    <cellStyle name="40% - Accent5 4 3 5 2 2" xfId="20937" xr:uid="{00000000-0005-0000-0000-00009D4F0000}"/>
    <cellStyle name="40% - Accent5 4 3 5 2 3" xfId="20938" xr:uid="{00000000-0005-0000-0000-00009E4F0000}"/>
    <cellStyle name="40% - Accent5 4 3 5 3" xfId="20939" xr:uid="{00000000-0005-0000-0000-00009F4F0000}"/>
    <cellStyle name="40% - Accent5 4 3 5 4" xfId="20940" xr:uid="{00000000-0005-0000-0000-0000A04F0000}"/>
    <cellStyle name="40% - Accent5 4 3 5 5" xfId="20941" xr:uid="{00000000-0005-0000-0000-0000A14F0000}"/>
    <cellStyle name="40% - Accent5 4 3 5 6" xfId="20942" xr:uid="{00000000-0005-0000-0000-0000A24F0000}"/>
    <cellStyle name="40% - Accent5 4 3 6" xfId="20943" xr:uid="{00000000-0005-0000-0000-0000A34F0000}"/>
    <cellStyle name="40% - Accent5 4 3 6 2" xfId="20944" xr:uid="{00000000-0005-0000-0000-0000A44F0000}"/>
    <cellStyle name="40% - Accent5 4 3 6 2 2" xfId="20945" xr:uid="{00000000-0005-0000-0000-0000A54F0000}"/>
    <cellStyle name="40% - Accent5 4 3 6 2 3" xfId="20946" xr:uid="{00000000-0005-0000-0000-0000A64F0000}"/>
    <cellStyle name="40% - Accent5 4 3 6 3" xfId="20947" xr:uid="{00000000-0005-0000-0000-0000A74F0000}"/>
    <cellStyle name="40% - Accent5 4 3 6 4" xfId="20948" xr:uid="{00000000-0005-0000-0000-0000A84F0000}"/>
    <cellStyle name="40% - Accent5 4 3 6 5" xfId="20949" xr:uid="{00000000-0005-0000-0000-0000A94F0000}"/>
    <cellStyle name="40% - Accent5 4 3 6 6" xfId="20950" xr:uid="{00000000-0005-0000-0000-0000AA4F0000}"/>
    <cellStyle name="40% - Accent5 4 3 7" xfId="20951" xr:uid="{00000000-0005-0000-0000-0000AB4F0000}"/>
    <cellStyle name="40% - Accent5 4 3 7 2" xfId="20952" xr:uid="{00000000-0005-0000-0000-0000AC4F0000}"/>
    <cellStyle name="40% - Accent5 4 3 7 2 2" xfId="20953" xr:uid="{00000000-0005-0000-0000-0000AD4F0000}"/>
    <cellStyle name="40% - Accent5 4 3 7 2 3" xfId="20954" xr:uid="{00000000-0005-0000-0000-0000AE4F0000}"/>
    <cellStyle name="40% - Accent5 4 3 7 3" xfId="20955" xr:uid="{00000000-0005-0000-0000-0000AF4F0000}"/>
    <cellStyle name="40% - Accent5 4 3 7 4" xfId="20956" xr:uid="{00000000-0005-0000-0000-0000B04F0000}"/>
    <cellStyle name="40% - Accent5 4 3 7 5" xfId="20957" xr:uid="{00000000-0005-0000-0000-0000B14F0000}"/>
    <cellStyle name="40% - Accent5 4 3 7 6" xfId="20958" xr:uid="{00000000-0005-0000-0000-0000B24F0000}"/>
    <cellStyle name="40% - Accent5 4 3 8" xfId="20959" xr:uid="{00000000-0005-0000-0000-0000B34F0000}"/>
    <cellStyle name="40% - Accent5 4 3 8 2" xfId="20960" xr:uid="{00000000-0005-0000-0000-0000B44F0000}"/>
    <cellStyle name="40% - Accent5 4 3 8 2 2" xfId="20961" xr:uid="{00000000-0005-0000-0000-0000B54F0000}"/>
    <cellStyle name="40% - Accent5 4 3 8 2 3" xfId="20962" xr:uid="{00000000-0005-0000-0000-0000B64F0000}"/>
    <cellStyle name="40% - Accent5 4 3 8 3" xfId="20963" xr:uid="{00000000-0005-0000-0000-0000B74F0000}"/>
    <cellStyle name="40% - Accent5 4 3 8 4" xfId="20964" xr:uid="{00000000-0005-0000-0000-0000B84F0000}"/>
    <cellStyle name="40% - Accent5 4 3 8 5" xfId="20965" xr:uid="{00000000-0005-0000-0000-0000B94F0000}"/>
    <cellStyle name="40% - Accent5 4 3 8 6" xfId="20966" xr:uid="{00000000-0005-0000-0000-0000BA4F0000}"/>
    <cellStyle name="40% - Accent5 4 3 9" xfId="20967" xr:uid="{00000000-0005-0000-0000-0000BB4F0000}"/>
    <cellStyle name="40% - Accent5 4 3 9 2" xfId="20968" xr:uid="{00000000-0005-0000-0000-0000BC4F0000}"/>
    <cellStyle name="40% - Accent5 4 3 9 3" xfId="20969" xr:uid="{00000000-0005-0000-0000-0000BD4F0000}"/>
    <cellStyle name="40% - Accent5 4 4" xfId="20970" xr:uid="{00000000-0005-0000-0000-0000BE4F0000}"/>
    <cellStyle name="40% - Accent5 4 4 10" xfId="20971" xr:uid="{00000000-0005-0000-0000-0000BF4F0000}"/>
    <cellStyle name="40% - Accent5 4 4 2" xfId="20972" xr:uid="{00000000-0005-0000-0000-0000C04F0000}"/>
    <cellStyle name="40% - Accent5 4 4 2 2" xfId="20973" xr:uid="{00000000-0005-0000-0000-0000C14F0000}"/>
    <cellStyle name="40% - Accent5 4 4 2 2 2" xfId="20974" xr:uid="{00000000-0005-0000-0000-0000C24F0000}"/>
    <cellStyle name="40% - Accent5 4 4 2 2 2 2" xfId="20975" xr:uid="{00000000-0005-0000-0000-0000C34F0000}"/>
    <cellStyle name="40% - Accent5 4 4 2 2 2 3" xfId="20976" xr:uid="{00000000-0005-0000-0000-0000C44F0000}"/>
    <cellStyle name="40% - Accent5 4 4 2 2 3" xfId="20977" xr:uid="{00000000-0005-0000-0000-0000C54F0000}"/>
    <cellStyle name="40% - Accent5 4 4 2 2 4" xfId="20978" xr:uid="{00000000-0005-0000-0000-0000C64F0000}"/>
    <cellStyle name="40% - Accent5 4 4 2 2 5" xfId="20979" xr:uid="{00000000-0005-0000-0000-0000C74F0000}"/>
    <cellStyle name="40% - Accent5 4 4 2 2 6" xfId="20980" xr:uid="{00000000-0005-0000-0000-0000C84F0000}"/>
    <cellStyle name="40% - Accent5 4 4 2 3" xfId="20981" xr:uid="{00000000-0005-0000-0000-0000C94F0000}"/>
    <cellStyle name="40% - Accent5 4 4 2 3 2" xfId="20982" xr:uid="{00000000-0005-0000-0000-0000CA4F0000}"/>
    <cellStyle name="40% - Accent5 4 4 2 3 2 2" xfId="20983" xr:uid="{00000000-0005-0000-0000-0000CB4F0000}"/>
    <cellStyle name="40% - Accent5 4 4 2 3 2 3" xfId="20984" xr:uid="{00000000-0005-0000-0000-0000CC4F0000}"/>
    <cellStyle name="40% - Accent5 4 4 2 3 3" xfId="20985" xr:uid="{00000000-0005-0000-0000-0000CD4F0000}"/>
    <cellStyle name="40% - Accent5 4 4 2 3 4" xfId="20986" xr:uid="{00000000-0005-0000-0000-0000CE4F0000}"/>
    <cellStyle name="40% - Accent5 4 4 2 3 5" xfId="20987" xr:uid="{00000000-0005-0000-0000-0000CF4F0000}"/>
    <cellStyle name="40% - Accent5 4 4 2 3 6" xfId="20988" xr:uid="{00000000-0005-0000-0000-0000D04F0000}"/>
    <cellStyle name="40% - Accent5 4 4 2 4" xfId="20989" xr:uid="{00000000-0005-0000-0000-0000D14F0000}"/>
    <cellStyle name="40% - Accent5 4 4 2 4 2" xfId="20990" xr:uid="{00000000-0005-0000-0000-0000D24F0000}"/>
    <cellStyle name="40% - Accent5 4 4 2 4 3" xfId="20991" xr:uid="{00000000-0005-0000-0000-0000D34F0000}"/>
    <cellStyle name="40% - Accent5 4 4 2 5" xfId="20992" xr:uid="{00000000-0005-0000-0000-0000D44F0000}"/>
    <cellStyle name="40% - Accent5 4 4 2 6" xfId="20993" xr:uid="{00000000-0005-0000-0000-0000D54F0000}"/>
    <cellStyle name="40% - Accent5 4 4 2 7" xfId="20994" xr:uid="{00000000-0005-0000-0000-0000D64F0000}"/>
    <cellStyle name="40% - Accent5 4 4 2 8" xfId="20995" xr:uid="{00000000-0005-0000-0000-0000D74F0000}"/>
    <cellStyle name="40% - Accent5 4 4 3" xfId="20996" xr:uid="{00000000-0005-0000-0000-0000D84F0000}"/>
    <cellStyle name="40% - Accent5 4 4 3 2" xfId="20997" xr:uid="{00000000-0005-0000-0000-0000D94F0000}"/>
    <cellStyle name="40% - Accent5 4 4 3 2 2" xfId="20998" xr:uid="{00000000-0005-0000-0000-0000DA4F0000}"/>
    <cellStyle name="40% - Accent5 4 4 3 2 2 2" xfId="20999" xr:uid="{00000000-0005-0000-0000-0000DB4F0000}"/>
    <cellStyle name="40% - Accent5 4 4 3 2 2 3" xfId="21000" xr:uid="{00000000-0005-0000-0000-0000DC4F0000}"/>
    <cellStyle name="40% - Accent5 4 4 3 2 3" xfId="21001" xr:uid="{00000000-0005-0000-0000-0000DD4F0000}"/>
    <cellStyle name="40% - Accent5 4 4 3 2 4" xfId="21002" xr:uid="{00000000-0005-0000-0000-0000DE4F0000}"/>
    <cellStyle name="40% - Accent5 4 4 3 2 5" xfId="21003" xr:uid="{00000000-0005-0000-0000-0000DF4F0000}"/>
    <cellStyle name="40% - Accent5 4 4 3 2 6" xfId="21004" xr:uid="{00000000-0005-0000-0000-0000E04F0000}"/>
    <cellStyle name="40% - Accent5 4 4 3 3" xfId="21005" xr:uid="{00000000-0005-0000-0000-0000E14F0000}"/>
    <cellStyle name="40% - Accent5 4 4 3 3 2" xfId="21006" xr:uid="{00000000-0005-0000-0000-0000E24F0000}"/>
    <cellStyle name="40% - Accent5 4 4 3 3 3" xfId="21007" xr:uid="{00000000-0005-0000-0000-0000E34F0000}"/>
    <cellStyle name="40% - Accent5 4 4 3 4" xfId="21008" xr:uid="{00000000-0005-0000-0000-0000E44F0000}"/>
    <cellStyle name="40% - Accent5 4 4 3 5" xfId="21009" xr:uid="{00000000-0005-0000-0000-0000E54F0000}"/>
    <cellStyle name="40% - Accent5 4 4 3 6" xfId="21010" xr:uid="{00000000-0005-0000-0000-0000E64F0000}"/>
    <cellStyle name="40% - Accent5 4 4 3 7" xfId="21011" xr:uid="{00000000-0005-0000-0000-0000E74F0000}"/>
    <cellStyle name="40% - Accent5 4 4 4" xfId="21012" xr:uid="{00000000-0005-0000-0000-0000E84F0000}"/>
    <cellStyle name="40% - Accent5 4 4 4 2" xfId="21013" xr:uid="{00000000-0005-0000-0000-0000E94F0000}"/>
    <cellStyle name="40% - Accent5 4 4 4 2 2" xfId="21014" xr:uid="{00000000-0005-0000-0000-0000EA4F0000}"/>
    <cellStyle name="40% - Accent5 4 4 4 2 3" xfId="21015" xr:uid="{00000000-0005-0000-0000-0000EB4F0000}"/>
    <cellStyle name="40% - Accent5 4 4 4 3" xfId="21016" xr:uid="{00000000-0005-0000-0000-0000EC4F0000}"/>
    <cellStyle name="40% - Accent5 4 4 4 4" xfId="21017" xr:uid="{00000000-0005-0000-0000-0000ED4F0000}"/>
    <cellStyle name="40% - Accent5 4 4 4 5" xfId="21018" xr:uid="{00000000-0005-0000-0000-0000EE4F0000}"/>
    <cellStyle name="40% - Accent5 4 4 4 6" xfId="21019" xr:uid="{00000000-0005-0000-0000-0000EF4F0000}"/>
    <cellStyle name="40% - Accent5 4 4 5" xfId="21020" xr:uid="{00000000-0005-0000-0000-0000F04F0000}"/>
    <cellStyle name="40% - Accent5 4 4 5 2" xfId="21021" xr:uid="{00000000-0005-0000-0000-0000F14F0000}"/>
    <cellStyle name="40% - Accent5 4 4 5 2 2" xfId="21022" xr:uid="{00000000-0005-0000-0000-0000F24F0000}"/>
    <cellStyle name="40% - Accent5 4 4 5 2 3" xfId="21023" xr:uid="{00000000-0005-0000-0000-0000F34F0000}"/>
    <cellStyle name="40% - Accent5 4 4 5 3" xfId="21024" xr:uid="{00000000-0005-0000-0000-0000F44F0000}"/>
    <cellStyle name="40% - Accent5 4 4 5 4" xfId="21025" xr:uid="{00000000-0005-0000-0000-0000F54F0000}"/>
    <cellStyle name="40% - Accent5 4 4 5 5" xfId="21026" xr:uid="{00000000-0005-0000-0000-0000F64F0000}"/>
    <cellStyle name="40% - Accent5 4 4 5 6" xfId="21027" xr:uid="{00000000-0005-0000-0000-0000F74F0000}"/>
    <cellStyle name="40% - Accent5 4 4 6" xfId="21028" xr:uid="{00000000-0005-0000-0000-0000F84F0000}"/>
    <cellStyle name="40% - Accent5 4 4 6 2" xfId="21029" xr:uid="{00000000-0005-0000-0000-0000F94F0000}"/>
    <cellStyle name="40% - Accent5 4 4 6 3" xfId="21030" xr:uid="{00000000-0005-0000-0000-0000FA4F0000}"/>
    <cellStyle name="40% - Accent5 4 4 7" xfId="21031" xr:uid="{00000000-0005-0000-0000-0000FB4F0000}"/>
    <cellStyle name="40% - Accent5 4 4 8" xfId="21032" xr:uid="{00000000-0005-0000-0000-0000FC4F0000}"/>
    <cellStyle name="40% - Accent5 4 4 9" xfId="21033" xr:uid="{00000000-0005-0000-0000-0000FD4F0000}"/>
    <cellStyle name="40% - Accent5 4 5" xfId="21034" xr:uid="{00000000-0005-0000-0000-0000FE4F0000}"/>
    <cellStyle name="40% - Accent5 4 5 2" xfId="21035" xr:uid="{00000000-0005-0000-0000-0000FF4F0000}"/>
    <cellStyle name="40% - Accent5 4 5 2 2" xfId="21036" xr:uid="{00000000-0005-0000-0000-000000500000}"/>
    <cellStyle name="40% - Accent5 4 5 2 2 2" xfId="21037" xr:uid="{00000000-0005-0000-0000-000001500000}"/>
    <cellStyle name="40% - Accent5 4 5 2 2 2 2" xfId="21038" xr:uid="{00000000-0005-0000-0000-000002500000}"/>
    <cellStyle name="40% - Accent5 4 5 2 2 2 3" xfId="21039" xr:uid="{00000000-0005-0000-0000-000003500000}"/>
    <cellStyle name="40% - Accent5 4 5 2 2 3" xfId="21040" xr:uid="{00000000-0005-0000-0000-000004500000}"/>
    <cellStyle name="40% - Accent5 4 5 2 2 4" xfId="21041" xr:uid="{00000000-0005-0000-0000-000005500000}"/>
    <cellStyle name="40% - Accent5 4 5 2 2 5" xfId="21042" xr:uid="{00000000-0005-0000-0000-000006500000}"/>
    <cellStyle name="40% - Accent5 4 5 2 2 6" xfId="21043" xr:uid="{00000000-0005-0000-0000-000007500000}"/>
    <cellStyle name="40% - Accent5 4 5 2 3" xfId="21044" xr:uid="{00000000-0005-0000-0000-000008500000}"/>
    <cellStyle name="40% - Accent5 4 5 2 3 2" xfId="21045" xr:uid="{00000000-0005-0000-0000-000009500000}"/>
    <cellStyle name="40% - Accent5 4 5 2 3 3" xfId="21046" xr:uid="{00000000-0005-0000-0000-00000A500000}"/>
    <cellStyle name="40% - Accent5 4 5 2 4" xfId="21047" xr:uid="{00000000-0005-0000-0000-00000B500000}"/>
    <cellStyle name="40% - Accent5 4 5 2 5" xfId="21048" xr:uid="{00000000-0005-0000-0000-00000C500000}"/>
    <cellStyle name="40% - Accent5 4 5 2 6" xfId="21049" xr:uid="{00000000-0005-0000-0000-00000D500000}"/>
    <cellStyle name="40% - Accent5 4 5 2 7" xfId="21050" xr:uid="{00000000-0005-0000-0000-00000E500000}"/>
    <cellStyle name="40% - Accent5 4 5 3" xfId="21051" xr:uid="{00000000-0005-0000-0000-00000F500000}"/>
    <cellStyle name="40% - Accent5 4 5 3 2" xfId="21052" xr:uid="{00000000-0005-0000-0000-000010500000}"/>
    <cellStyle name="40% - Accent5 4 5 3 2 2" xfId="21053" xr:uid="{00000000-0005-0000-0000-000011500000}"/>
    <cellStyle name="40% - Accent5 4 5 3 2 3" xfId="21054" xr:uid="{00000000-0005-0000-0000-000012500000}"/>
    <cellStyle name="40% - Accent5 4 5 3 3" xfId="21055" xr:uid="{00000000-0005-0000-0000-000013500000}"/>
    <cellStyle name="40% - Accent5 4 5 3 4" xfId="21056" xr:uid="{00000000-0005-0000-0000-000014500000}"/>
    <cellStyle name="40% - Accent5 4 5 3 5" xfId="21057" xr:uid="{00000000-0005-0000-0000-000015500000}"/>
    <cellStyle name="40% - Accent5 4 5 3 6" xfId="21058" xr:uid="{00000000-0005-0000-0000-000016500000}"/>
    <cellStyle name="40% - Accent5 4 5 4" xfId="21059" xr:uid="{00000000-0005-0000-0000-000017500000}"/>
    <cellStyle name="40% - Accent5 4 5 4 2" xfId="21060" xr:uid="{00000000-0005-0000-0000-000018500000}"/>
    <cellStyle name="40% - Accent5 4 5 4 2 2" xfId="21061" xr:uid="{00000000-0005-0000-0000-000019500000}"/>
    <cellStyle name="40% - Accent5 4 5 4 2 3" xfId="21062" xr:uid="{00000000-0005-0000-0000-00001A500000}"/>
    <cellStyle name="40% - Accent5 4 5 4 3" xfId="21063" xr:uid="{00000000-0005-0000-0000-00001B500000}"/>
    <cellStyle name="40% - Accent5 4 5 4 4" xfId="21064" xr:uid="{00000000-0005-0000-0000-00001C500000}"/>
    <cellStyle name="40% - Accent5 4 5 4 5" xfId="21065" xr:uid="{00000000-0005-0000-0000-00001D500000}"/>
    <cellStyle name="40% - Accent5 4 5 4 6" xfId="21066" xr:uid="{00000000-0005-0000-0000-00001E500000}"/>
    <cellStyle name="40% - Accent5 4 5 5" xfId="21067" xr:uid="{00000000-0005-0000-0000-00001F500000}"/>
    <cellStyle name="40% - Accent5 4 5 5 2" xfId="21068" xr:uid="{00000000-0005-0000-0000-000020500000}"/>
    <cellStyle name="40% - Accent5 4 5 5 3" xfId="21069" xr:uid="{00000000-0005-0000-0000-000021500000}"/>
    <cellStyle name="40% - Accent5 4 5 6" xfId="21070" xr:uid="{00000000-0005-0000-0000-000022500000}"/>
    <cellStyle name="40% - Accent5 4 5 7" xfId="21071" xr:uid="{00000000-0005-0000-0000-000023500000}"/>
    <cellStyle name="40% - Accent5 4 5 8" xfId="21072" xr:uid="{00000000-0005-0000-0000-000024500000}"/>
    <cellStyle name="40% - Accent5 4 5 9" xfId="21073" xr:uid="{00000000-0005-0000-0000-000025500000}"/>
    <cellStyle name="40% - Accent5 4 6" xfId="21074" xr:uid="{00000000-0005-0000-0000-000026500000}"/>
    <cellStyle name="40% - Accent5 4 6 2" xfId="21075" xr:uid="{00000000-0005-0000-0000-000027500000}"/>
    <cellStyle name="40% - Accent5 4 6 2 2" xfId="21076" xr:uid="{00000000-0005-0000-0000-000028500000}"/>
    <cellStyle name="40% - Accent5 4 6 2 2 2" xfId="21077" xr:uid="{00000000-0005-0000-0000-000029500000}"/>
    <cellStyle name="40% - Accent5 4 6 2 2 3" xfId="21078" xr:uid="{00000000-0005-0000-0000-00002A500000}"/>
    <cellStyle name="40% - Accent5 4 6 2 3" xfId="21079" xr:uid="{00000000-0005-0000-0000-00002B500000}"/>
    <cellStyle name="40% - Accent5 4 6 2 4" xfId="21080" xr:uid="{00000000-0005-0000-0000-00002C500000}"/>
    <cellStyle name="40% - Accent5 4 6 2 5" xfId="21081" xr:uid="{00000000-0005-0000-0000-00002D500000}"/>
    <cellStyle name="40% - Accent5 4 6 2 6" xfId="21082" xr:uid="{00000000-0005-0000-0000-00002E500000}"/>
    <cellStyle name="40% - Accent5 4 6 3" xfId="21083" xr:uid="{00000000-0005-0000-0000-00002F500000}"/>
    <cellStyle name="40% - Accent5 4 6 3 2" xfId="21084" xr:uid="{00000000-0005-0000-0000-000030500000}"/>
    <cellStyle name="40% - Accent5 4 6 3 3" xfId="21085" xr:uid="{00000000-0005-0000-0000-000031500000}"/>
    <cellStyle name="40% - Accent5 4 6 4" xfId="21086" xr:uid="{00000000-0005-0000-0000-000032500000}"/>
    <cellStyle name="40% - Accent5 4 6 5" xfId="21087" xr:uid="{00000000-0005-0000-0000-000033500000}"/>
    <cellStyle name="40% - Accent5 4 6 6" xfId="21088" xr:uid="{00000000-0005-0000-0000-000034500000}"/>
    <cellStyle name="40% - Accent5 4 6 7" xfId="21089" xr:uid="{00000000-0005-0000-0000-000035500000}"/>
    <cellStyle name="40% - Accent5 4 7" xfId="21090" xr:uid="{00000000-0005-0000-0000-000036500000}"/>
    <cellStyle name="40% - Accent5 4 7 2" xfId="21091" xr:uid="{00000000-0005-0000-0000-000037500000}"/>
    <cellStyle name="40% - Accent5 4 7 2 2" xfId="21092" xr:uid="{00000000-0005-0000-0000-000038500000}"/>
    <cellStyle name="40% - Accent5 4 7 2 3" xfId="21093" xr:uid="{00000000-0005-0000-0000-000039500000}"/>
    <cellStyle name="40% - Accent5 4 7 3" xfId="21094" xr:uid="{00000000-0005-0000-0000-00003A500000}"/>
    <cellStyle name="40% - Accent5 4 7 4" xfId="21095" xr:uid="{00000000-0005-0000-0000-00003B500000}"/>
    <cellStyle name="40% - Accent5 4 7 5" xfId="21096" xr:uid="{00000000-0005-0000-0000-00003C500000}"/>
    <cellStyle name="40% - Accent5 4 7 6" xfId="21097" xr:uid="{00000000-0005-0000-0000-00003D500000}"/>
    <cellStyle name="40% - Accent5 4 8" xfId="21098" xr:uid="{00000000-0005-0000-0000-00003E500000}"/>
    <cellStyle name="40% - Accent5 4 8 2" xfId="21099" xr:uid="{00000000-0005-0000-0000-00003F500000}"/>
    <cellStyle name="40% - Accent5 4 8 2 2" xfId="21100" xr:uid="{00000000-0005-0000-0000-000040500000}"/>
    <cellStyle name="40% - Accent5 4 8 2 3" xfId="21101" xr:uid="{00000000-0005-0000-0000-000041500000}"/>
    <cellStyle name="40% - Accent5 4 8 3" xfId="21102" xr:uid="{00000000-0005-0000-0000-000042500000}"/>
    <cellStyle name="40% - Accent5 4 8 4" xfId="21103" xr:uid="{00000000-0005-0000-0000-000043500000}"/>
    <cellStyle name="40% - Accent5 4 8 5" xfId="21104" xr:uid="{00000000-0005-0000-0000-000044500000}"/>
    <cellStyle name="40% - Accent5 4 8 6" xfId="21105" xr:uid="{00000000-0005-0000-0000-000045500000}"/>
    <cellStyle name="40% - Accent5 4 9" xfId="21106" xr:uid="{00000000-0005-0000-0000-000046500000}"/>
    <cellStyle name="40% - Accent5 4 9 2" xfId="21107" xr:uid="{00000000-0005-0000-0000-000047500000}"/>
    <cellStyle name="40% - Accent5 4 9 2 2" xfId="21108" xr:uid="{00000000-0005-0000-0000-000048500000}"/>
    <cellStyle name="40% - Accent5 4 9 2 3" xfId="21109" xr:uid="{00000000-0005-0000-0000-000049500000}"/>
    <cellStyle name="40% - Accent5 4 9 3" xfId="21110" xr:uid="{00000000-0005-0000-0000-00004A500000}"/>
    <cellStyle name="40% - Accent5 4 9 4" xfId="21111" xr:uid="{00000000-0005-0000-0000-00004B500000}"/>
    <cellStyle name="40% - Accent5 4 9 5" xfId="21112" xr:uid="{00000000-0005-0000-0000-00004C500000}"/>
    <cellStyle name="40% - Accent5 4 9 6" xfId="21113" xr:uid="{00000000-0005-0000-0000-00004D500000}"/>
    <cellStyle name="40% - Accent5 5" xfId="21114" xr:uid="{00000000-0005-0000-0000-00004E500000}"/>
    <cellStyle name="40% - Accent5 5 10" xfId="21115" xr:uid="{00000000-0005-0000-0000-00004F500000}"/>
    <cellStyle name="40% - Accent5 5 11" xfId="21116" xr:uid="{00000000-0005-0000-0000-000050500000}"/>
    <cellStyle name="40% - Accent5 5 12" xfId="21117" xr:uid="{00000000-0005-0000-0000-000051500000}"/>
    <cellStyle name="40% - Accent5 5 13" xfId="21118" xr:uid="{00000000-0005-0000-0000-000052500000}"/>
    <cellStyle name="40% - Accent5 5 2" xfId="21119" xr:uid="{00000000-0005-0000-0000-000053500000}"/>
    <cellStyle name="40% - Accent5 5 2 10" xfId="21120" xr:uid="{00000000-0005-0000-0000-000054500000}"/>
    <cellStyle name="40% - Accent5 5 2 2" xfId="21121" xr:uid="{00000000-0005-0000-0000-000055500000}"/>
    <cellStyle name="40% - Accent5 5 2 2 2" xfId="21122" xr:uid="{00000000-0005-0000-0000-000056500000}"/>
    <cellStyle name="40% - Accent5 5 2 2 2 2" xfId="21123" xr:uid="{00000000-0005-0000-0000-000057500000}"/>
    <cellStyle name="40% - Accent5 5 2 2 2 2 2" xfId="21124" xr:uid="{00000000-0005-0000-0000-000058500000}"/>
    <cellStyle name="40% - Accent5 5 2 2 2 2 3" xfId="21125" xr:uid="{00000000-0005-0000-0000-000059500000}"/>
    <cellStyle name="40% - Accent5 5 2 2 2 3" xfId="21126" xr:uid="{00000000-0005-0000-0000-00005A500000}"/>
    <cellStyle name="40% - Accent5 5 2 2 2 4" xfId="21127" xr:uid="{00000000-0005-0000-0000-00005B500000}"/>
    <cellStyle name="40% - Accent5 5 2 2 2 5" xfId="21128" xr:uid="{00000000-0005-0000-0000-00005C500000}"/>
    <cellStyle name="40% - Accent5 5 2 2 2 6" xfId="21129" xr:uid="{00000000-0005-0000-0000-00005D500000}"/>
    <cellStyle name="40% - Accent5 5 2 2 3" xfId="21130" xr:uid="{00000000-0005-0000-0000-00005E500000}"/>
    <cellStyle name="40% - Accent5 5 2 2 3 2" xfId="21131" xr:uid="{00000000-0005-0000-0000-00005F500000}"/>
    <cellStyle name="40% - Accent5 5 2 2 3 2 2" xfId="21132" xr:uid="{00000000-0005-0000-0000-000060500000}"/>
    <cellStyle name="40% - Accent5 5 2 2 3 2 3" xfId="21133" xr:uid="{00000000-0005-0000-0000-000061500000}"/>
    <cellStyle name="40% - Accent5 5 2 2 3 3" xfId="21134" xr:uid="{00000000-0005-0000-0000-000062500000}"/>
    <cellStyle name="40% - Accent5 5 2 2 3 4" xfId="21135" xr:uid="{00000000-0005-0000-0000-000063500000}"/>
    <cellStyle name="40% - Accent5 5 2 2 3 5" xfId="21136" xr:uid="{00000000-0005-0000-0000-000064500000}"/>
    <cellStyle name="40% - Accent5 5 2 2 3 6" xfId="21137" xr:uid="{00000000-0005-0000-0000-000065500000}"/>
    <cellStyle name="40% - Accent5 5 2 2 4" xfId="21138" xr:uid="{00000000-0005-0000-0000-000066500000}"/>
    <cellStyle name="40% - Accent5 5 2 2 4 2" xfId="21139" xr:uid="{00000000-0005-0000-0000-000067500000}"/>
    <cellStyle name="40% - Accent5 5 2 2 4 3" xfId="21140" xr:uid="{00000000-0005-0000-0000-000068500000}"/>
    <cellStyle name="40% - Accent5 5 2 2 5" xfId="21141" xr:uid="{00000000-0005-0000-0000-000069500000}"/>
    <cellStyle name="40% - Accent5 5 2 2 6" xfId="21142" xr:uid="{00000000-0005-0000-0000-00006A500000}"/>
    <cellStyle name="40% - Accent5 5 2 2 7" xfId="21143" xr:uid="{00000000-0005-0000-0000-00006B500000}"/>
    <cellStyle name="40% - Accent5 5 2 2 8" xfId="21144" xr:uid="{00000000-0005-0000-0000-00006C500000}"/>
    <cellStyle name="40% - Accent5 5 2 3" xfId="21145" xr:uid="{00000000-0005-0000-0000-00006D500000}"/>
    <cellStyle name="40% - Accent5 5 2 3 2" xfId="21146" xr:uid="{00000000-0005-0000-0000-00006E500000}"/>
    <cellStyle name="40% - Accent5 5 2 3 2 2" xfId="21147" xr:uid="{00000000-0005-0000-0000-00006F500000}"/>
    <cellStyle name="40% - Accent5 5 2 3 2 2 2" xfId="21148" xr:uid="{00000000-0005-0000-0000-000070500000}"/>
    <cellStyle name="40% - Accent5 5 2 3 2 2 3" xfId="21149" xr:uid="{00000000-0005-0000-0000-000071500000}"/>
    <cellStyle name="40% - Accent5 5 2 3 2 3" xfId="21150" xr:uid="{00000000-0005-0000-0000-000072500000}"/>
    <cellStyle name="40% - Accent5 5 2 3 2 4" xfId="21151" xr:uid="{00000000-0005-0000-0000-000073500000}"/>
    <cellStyle name="40% - Accent5 5 2 3 2 5" xfId="21152" xr:uid="{00000000-0005-0000-0000-000074500000}"/>
    <cellStyle name="40% - Accent5 5 2 3 2 6" xfId="21153" xr:uid="{00000000-0005-0000-0000-000075500000}"/>
    <cellStyle name="40% - Accent5 5 2 3 3" xfId="21154" xr:uid="{00000000-0005-0000-0000-000076500000}"/>
    <cellStyle name="40% - Accent5 5 2 3 3 2" xfId="21155" xr:uid="{00000000-0005-0000-0000-000077500000}"/>
    <cellStyle name="40% - Accent5 5 2 3 3 3" xfId="21156" xr:uid="{00000000-0005-0000-0000-000078500000}"/>
    <cellStyle name="40% - Accent5 5 2 3 4" xfId="21157" xr:uid="{00000000-0005-0000-0000-000079500000}"/>
    <cellStyle name="40% - Accent5 5 2 3 5" xfId="21158" xr:uid="{00000000-0005-0000-0000-00007A500000}"/>
    <cellStyle name="40% - Accent5 5 2 3 6" xfId="21159" xr:uid="{00000000-0005-0000-0000-00007B500000}"/>
    <cellStyle name="40% - Accent5 5 2 3 7" xfId="21160" xr:uid="{00000000-0005-0000-0000-00007C500000}"/>
    <cellStyle name="40% - Accent5 5 2 4" xfId="21161" xr:uid="{00000000-0005-0000-0000-00007D500000}"/>
    <cellStyle name="40% - Accent5 5 2 4 2" xfId="21162" xr:uid="{00000000-0005-0000-0000-00007E500000}"/>
    <cellStyle name="40% - Accent5 5 2 4 2 2" xfId="21163" xr:uid="{00000000-0005-0000-0000-00007F500000}"/>
    <cellStyle name="40% - Accent5 5 2 4 2 3" xfId="21164" xr:uid="{00000000-0005-0000-0000-000080500000}"/>
    <cellStyle name="40% - Accent5 5 2 4 3" xfId="21165" xr:uid="{00000000-0005-0000-0000-000081500000}"/>
    <cellStyle name="40% - Accent5 5 2 4 4" xfId="21166" xr:uid="{00000000-0005-0000-0000-000082500000}"/>
    <cellStyle name="40% - Accent5 5 2 4 5" xfId="21167" xr:uid="{00000000-0005-0000-0000-000083500000}"/>
    <cellStyle name="40% - Accent5 5 2 4 6" xfId="21168" xr:uid="{00000000-0005-0000-0000-000084500000}"/>
    <cellStyle name="40% - Accent5 5 2 5" xfId="21169" xr:uid="{00000000-0005-0000-0000-000085500000}"/>
    <cellStyle name="40% - Accent5 5 2 5 2" xfId="21170" xr:uid="{00000000-0005-0000-0000-000086500000}"/>
    <cellStyle name="40% - Accent5 5 2 5 2 2" xfId="21171" xr:uid="{00000000-0005-0000-0000-000087500000}"/>
    <cellStyle name="40% - Accent5 5 2 5 2 3" xfId="21172" xr:uid="{00000000-0005-0000-0000-000088500000}"/>
    <cellStyle name="40% - Accent5 5 2 5 3" xfId="21173" xr:uid="{00000000-0005-0000-0000-000089500000}"/>
    <cellStyle name="40% - Accent5 5 2 5 4" xfId="21174" xr:uid="{00000000-0005-0000-0000-00008A500000}"/>
    <cellStyle name="40% - Accent5 5 2 5 5" xfId="21175" xr:uid="{00000000-0005-0000-0000-00008B500000}"/>
    <cellStyle name="40% - Accent5 5 2 5 6" xfId="21176" xr:uid="{00000000-0005-0000-0000-00008C500000}"/>
    <cellStyle name="40% - Accent5 5 2 6" xfId="21177" xr:uid="{00000000-0005-0000-0000-00008D500000}"/>
    <cellStyle name="40% - Accent5 5 2 6 2" xfId="21178" xr:uid="{00000000-0005-0000-0000-00008E500000}"/>
    <cellStyle name="40% - Accent5 5 2 6 3" xfId="21179" xr:uid="{00000000-0005-0000-0000-00008F500000}"/>
    <cellStyle name="40% - Accent5 5 2 7" xfId="21180" xr:uid="{00000000-0005-0000-0000-000090500000}"/>
    <cellStyle name="40% - Accent5 5 2 8" xfId="21181" xr:uid="{00000000-0005-0000-0000-000091500000}"/>
    <cellStyle name="40% - Accent5 5 2 9" xfId="21182" xr:uid="{00000000-0005-0000-0000-000092500000}"/>
    <cellStyle name="40% - Accent5 5 3" xfId="21183" xr:uid="{00000000-0005-0000-0000-000093500000}"/>
    <cellStyle name="40% - Accent5 5 3 2" xfId="21184" xr:uid="{00000000-0005-0000-0000-000094500000}"/>
    <cellStyle name="40% - Accent5 5 3 2 2" xfId="21185" xr:uid="{00000000-0005-0000-0000-000095500000}"/>
    <cellStyle name="40% - Accent5 5 3 2 2 2" xfId="21186" xr:uid="{00000000-0005-0000-0000-000096500000}"/>
    <cellStyle name="40% - Accent5 5 3 2 2 2 2" xfId="21187" xr:uid="{00000000-0005-0000-0000-000097500000}"/>
    <cellStyle name="40% - Accent5 5 3 2 2 2 3" xfId="21188" xr:uid="{00000000-0005-0000-0000-000098500000}"/>
    <cellStyle name="40% - Accent5 5 3 2 2 3" xfId="21189" xr:uid="{00000000-0005-0000-0000-000099500000}"/>
    <cellStyle name="40% - Accent5 5 3 2 2 4" xfId="21190" xr:uid="{00000000-0005-0000-0000-00009A500000}"/>
    <cellStyle name="40% - Accent5 5 3 2 2 5" xfId="21191" xr:uid="{00000000-0005-0000-0000-00009B500000}"/>
    <cellStyle name="40% - Accent5 5 3 2 2 6" xfId="21192" xr:uid="{00000000-0005-0000-0000-00009C500000}"/>
    <cellStyle name="40% - Accent5 5 3 2 3" xfId="21193" xr:uid="{00000000-0005-0000-0000-00009D500000}"/>
    <cellStyle name="40% - Accent5 5 3 2 3 2" xfId="21194" xr:uid="{00000000-0005-0000-0000-00009E500000}"/>
    <cellStyle name="40% - Accent5 5 3 2 3 3" xfId="21195" xr:uid="{00000000-0005-0000-0000-00009F500000}"/>
    <cellStyle name="40% - Accent5 5 3 2 4" xfId="21196" xr:uid="{00000000-0005-0000-0000-0000A0500000}"/>
    <cellStyle name="40% - Accent5 5 3 2 5" xfId="21197" xr:uid="{00000000-0005-0000-0000-0000A1500000}"/>
    <cellStyle name="40% - Accent5 5 3 2 6" xfId="21198" xr:uid="{00000000-0005-0000-0000-0000A2500000}"/>
    <cellStyle name="40% - Accent5 5 3 2 7" xfId="21199" xr:uid="{00000000-0005-0000-0000-0000A3500000}"/>
    <cellStyle name="40% - Accent5 5 3 3" xfId="21200" xr:uid="{00000000-0005-0000-0000-0000A4500000}"/>
    <cellStyle name="40% - Accent5 5 3 3 2" xfId="21201" xr:uid="{00000000-0005-0000-0000-0000A5500000}"/>
    <cellStyle name="40% - Accent5 5 3 3 2 2" xfId="21202" xr:uid="{00000000-0005-0000-0000-0000A6500000}"/>
    <cellStyle name="40% - Accent5 5 3 3 2 3" xfId="21203" xr:uid="{00000000-0005-0000-0000-0000A7500000}"/>
    <cellStyle name="40% - Accent5 5 3 3 3" xfId="21204" xr:uid="{00000000-0005-0000-0000-0000A8500000}"/>
    <cellStyle name="40% - Accent5 5 3 3 4" xfId="21205" xr:uid="{00000000-0005-0000-0000-0000A9500000}"/>
    <cellStyle name="40% - Accent5 5 3 3 5" xfId="21206" xr:uid="{00000000-0005-0000-0000-0000AA500000}"/>
    <cellStyle name="40% - Accent5 5 3 3 6" xfId="21207" xr:uid="{00000000-0005-0000-0000-0000AB500000}"/>
    <cellStyle name="40% - Accent5 5 3 4" xfId="21208" xr:uid="{00000000-0005-0000-0000-0000AC500000}"/>
    <cellStyle name="40% - Accent5 5 3 4 2" xfId="21209" xr:uid="{00000000-0005-0000-0000-0000AD500000}"/>
    <cellStyle name="40% - Accent5 5 3 4 2 2" xfId="21210" xr:uid="{00000000-0005-0000-0000-0000AE500000}"/>
    <cellStyle name="40% - Accent5 5 3 4 2 3" xfId="21211" xr:uid="{00000000-0005-0000-0000-0000AF500000}"/>
    <cellStyle name="40% - Accent5 5 3 4 3" xfId="21212" xr:uid="{00000000-0005-0000-0000-0000B0500000}"/>
    <cellStyle name="40% - Accent5 5 3 4 4" xfId="21213" xr:uid="{00000000-0005-0000-0000-0000B1500000}"/>
    <cellStyle name="40% - Accent5 5 3 4 5" xfId="21214" xr:uid="{00000000-0005-0000-0000-0000B2500000}"/>
    <cellStyle name="40% - Accent5 5 3 4 6" xfId="21215" xr:uid="{00000000-0005-0000-0000-0000B3500000}"/>
    <cellStyle name="40% - Accent5 5 3 5" xfId="21216" xr:uid="{00000000-0005-0000-0000-0000B4500000}"/>
    <cellStyle name="40% - Accent5 5 3 5 2" xfId="21217" xr:uid="{00000000-0005-0000-0000-0000B5500000}"/>
    <cellStyle name="40% - Accent5 5 3 5 3" xfId="21218" xr:uid="{00000000-0005-0000-0000-0000B6500000}"/>
    <cellStyle name="40% - Accent5 5 3 6" xfId="21219" xr:uid="{00000000-0005-0000-0000-0000B7500000}"/>
    <cellStyle name="40% - Accent5 5 3 7" xfId="21220" xr:uid="{00000000-0005-0000-0000-0000B8500000}"/>
    <cellStyle name="40% - Accent5 5 3 8" xfId="21221" xr:uid="{00000000-0005-0000-0000-0000B9500000}"/>
    <cellStyle name="40% - Accent5 5 3 9" xfId="21222" xr:uid="{00000000-0005-0000-0000-0000BA500000}"/>
    <cellStyle name="40% - Accent5 5 4" xfId="21223" xr:uid="{00000000-0005-0000-0000-0000BB500000}"/>
    <cellStyle name="40% - Accent5 5 4 2" xfId="21224" xr:uid="{00000000-0005-0000-0000-0000BC500000}"/>
    <cellStyle name="40% - Accent5 5 4 2 2" xfId="21225" xr:uid="{00000000-0005-0000-0000-0000BD500000}"/>
    <cellStyle name="40% - Accent5 5 4 2 2 2" xfId="21226" xr:uid="{00000000-0005-0000-0000-0000BE500000}"/>
    <cellStyle name="40% - Accent5 5 4 2 2 3" xfId="21227" xr:uid="{00000000-0005-0000-0000-0000BF500000}"/>
    <cellStyle name="40% - Accent5 5 4 2 3" xfId="21228" xr:uid="{00000000-0005-0000-0000-0000C0500000}"/>
    <cellStyle name="40% - Accent5 5 4 2 4" xfId="21229" xr:uid="{00000000-0005-0000-0000-0000C1500000}"/>
    <cellStyle name="40% - Accent5 5 4 2 5" xfId="21230" xr:uid="{00000000-0005-0000-0000-0000C2500000}"/>
    <cellStyle name="40% - Accent5 5 4 2 6" xfId="21231" xr:uid="{00000000-0005-0000-0000-0000C3500000}"/>
    <cellStyle name="40% - Accent5 5 4 3" xfId="21232" xr:uid="{00000000-0005-0000-0000-0000C4500000}"/>
    <cellStyle name="40% - Accent5 5 4 3 2" xfId="21233" xr:uid="{00000000-0005-0000-0000-0000C5500000}"/>
    <cellStyle name="40% - Accent5 5 4 3 3" xfId="21234" xr:uid="{00000000-0005-0000-0000-0000C6500000}"/>
    <cellStyle name="40% - Accent5 5 4 4" xfId="21235" xr:uid="{00000000-0005-0000-0000-0000C7500000}"/>
    <cellStyle name="40% - Accent5 5 4 5" xfId="21236" xr:uid="{00000000-0005-0000-0000-0000C8500000}"/>
    <cellStyle name="40% - Accent5 5 4 6" xfId="21237" xr:uid="{00000000-0005-0000-0000-0000C9500000}"/>
    <cellStyle name="40% - Accent5 5 4 7" xfId="21238" xr:uid="{00000000-0005-0000-0000-0000CA500000}"/>
    <cellStyle name="40% - Accent5 5 5" xfId="21239" xr:uid="{00000000-0005-0000-0000-0000CB500000}"/>
    <cellStyle name="40% - Accent5 5 5 2" xfId="21240" xr:uid="{00000000-0005-0000-0000-0000CC500000}"/>
    <cellStyle name="40% - Accent5 5 5 2 2" xfId="21241" xr:uid="{00000000-0005-0000-0000-0000CD500000}"/>
    <cellStyle name="40% - Accent5 5 5 2 3" xfId="21242" xr:uid="{00000000-0005-0000-0000-0000CE500000}"/>
    <cellStyle name="40% - Accent5 5 5 3" xfId="21243" xr:uid="{00000000-0005-0000-0000-0000CF500000}"/>
    <cellStyle name="40% - Accent5 5 5 4" xfId="21244" xr:uid="{00000000-0005-0000-0000-0000D0500000}"/>
    <cellStyle name="40% - Accent5 5 5 5" xfId="21245" xr:uid="{00000000-0005-0000-0000-0000D1500000}"/>
    <cellStyle name="40% - Accent5 5 5 6" xfId="21246" xr:uid="{00000000-0005-0000-0000-0000D2500000}"/>
    <cellStyle name="40% - Accent5 5 6" xfId="21247" xr:uid="{00000000-0005-0000-0000-0000D3500000}"/>
    <cellStyle name="40% - Accent5 5 6 2" xfId="21248" xr:uid="{00000000-0005-0000-0000-0000D4500000}"/>
    <cellStyle name="40% - Accent5 5 6 2 2" xfId="21249" xr:uid="{00000000-0005-0000-0000-0000D5500000}"/>
    <cellStyle name="40% - Accent5 5 6 2 3" xfId="21250" xr:uid="{00000000-0005-0000-0000-0000D6500000}"/>
    <cellStyle name="40% - Accent5 5 6 3" xfId="21251" xr:uid="{00000000-0005-0000-0000-0000D7500000}"/>
    <cellStyle name="40% - Accent5 5 6 4" xfId="21252" xr:uid="{00000000-0005-0000-0000-0000D8500000}"/>
    <cellStyle name="40% - Accent5 5 6 5" xfId="21253" xr:uid="{00000000-0005-0000-0000-0000D9500000}"/>
    <cellStyle name="40% - Accent5 5 6 6" xfId="21254" xr:uid="{00000000-0005-0000-0000-0000DA500000}"/>
    <cellStyle name="40% - Accent5 5 7" xfId="21255" xr:uid="{00000000-0005-0000-0000-0000DB500000}"/>
    <cellStyle name="40% - Accent5 5 7 2" xfId="21256" xr:uid="{00000000-0005-0000-0000-0000DC500000}"/>
    <cellStyle name="40% - Accent5 5 7 2 2" xfId="21257" xr:uid="{00000000-0005-0000-0000-0000DD500000}"/>
    <cellStyle name="40% - Accent5 5 7 2 3" xfId="21258" xr:uid="{00000000-0005-0000-0000-0000DE500000}"/>
    <cellStyle name="40% - Accent5 5 7 3" xfId="21259" xr:uid="{00000000-0005-0000-0000-0000DF500000}"/>
    <cellStyle name="40% - Accent5 5 7 4" xfId="21260" xr:uid="{00000000-0005-0000-0000-0000E0500000}"/>
    <cellStyle name="40% - Accent5 5 7 5" xfId="21261" xr:uid="{00000000-0005-0000-0000-0000E1500000}"/>
    <cellStyle name="40% - Accent5 5 7 6" xfId="21262" xr:uid="{00000000-0005-0000-0000-0000E2500000}"/>
    <cellStyle name="40% - Accent5 5 8" xfId="21263" xr:uid="{00000000-0005-0000-0000-0000E3500000}"/>
    <cellStyle name="40% - Accent5 5 8 2" xfId="21264" xr:uid="{00000000-0005-0000-0000-0000E4500000}"/>
    <cellStyle name="40% - Accent5 5 8 2 2" xfId="21265" xr:uid="{00000000-0005-0000-0000-0000E5500000}"/>
    <cellStyle name="40% - Accent5 5 8 2 3" xfId="21266" xr:uid="{00000000-0005-0000-0000-0000E6500000}"/>
    <cellStyle name="40% - Accent5 5 8 3" xfId="21267" xr:uid="{00000000-0005-0000-0000-0000E7500000}"/>
    <cellStyle name="40% - Accent5 5 8 4" xfId="21268" xr:uid="{00000000-0005-0000-0000-0000E8500000}"/>
    <cellStyle name="40% - Accent5 5 8 5" xfId="21269" xr:uid="{00000000-0005-0000-0000-0000E9500000}"/>
    <cellStyle name="40% - Accent5 5 8 6" xfId="21270" xr:uid="{00000000-0005-0000-0000-0000EA500000}"/>
    <cellStyle name="40% - Accent5 5 9" xfId="21271" xr:uid="{00000000-0005-0000-0000-0000EB500000}"/>
    <cellStyle name="40% - Accent5 5 9 2" xfId="21272" xr:uid="{00000000-0005-0000-0000-0000EC500000}"/>
    <cellStyle name="40% - Accent5 5 9 3" xfId="21273" xr:uid="{00000000-0005-0000-0000-0000ED500000}"/>
    <cellStyle name="40% - Accent5 6" xfId="21274" xr:uid="{00000000-0005-0000-0000-0000EE500000}"/>
    <cellStyle name="40% - Accent5 6 10" xfId="21275" xr:uid="{00000000-0005-0000-0000-0000EF500000}"/>
    <cellStyle name="40% - Accent5 6 11" xfId="21276" xr:uid="{00000000-0005-0000-0000-0000F0500000}"/>
    <cellStyle name="40% - Accent5 6 2" xfId="21277" xr:uid="{00000000-0005-0000-0000-0000F1500000}"/>
    <cellStyle name="40% - Accent5 6 2 2" xfId="21278" xr:uid="{00000000-0005-0000-0000-0000F2500000}"/>
    <cellStyle name="40% - Accent5 6 2 2 2" xfId="21279" xr:uid="{00000000-0005-0000-0000-0000F3500000}"/>
    <cellStyle name="40% - Accent5 6 2 2 2 2" xfId="21280" xr:uid="{00000000-0005-0000-0000-0000F4500000}"/>
    <cellStyle name="40% - Accent5 6 2 2 2 3" xfId="21281" xr:uid="{00000000-0005-0000-0000-0000F5500000}"/>
    <cellStyle name="40% - Accent5 6 2 2 3" xfId="21282" xr:uid="{00000000-0005-0000-0000-0000F6500000}"/>
    <cellStyle name="40% - Accent5 6 2 2 4" xfId="21283" xr:uid="{00000000-0005-0000-0000-0000F7500000}"/>
    <cellStyle name="40% - Accent5 6 2 2 5" xfId="21284" xr:uid="{00000000-0005-0000-0000-0000F8500000}"/>
    <cellStyle name="40% - Accent5 6 2 2 6" xfId="21285" xr:uid="{00000000-0005-0000-0000-0000F9500000}"/>
    <cellStyle name="40% - Accent5 6 2 3" xfId="21286" xr:uid="{00000000-0005-0000-0000-0000FA500000}"/>
    <cellStyle name="40% - Accent5 6 2 3 2" xfId="21287" xr:uid="{00000000-0005-0000-0000-0000FB500000}"/>
    <cellStyle name="40% - Accent5 6 2 3 2 2" xfId="21288" xr:uid="{00000000-0005-0000-0000-0000FC500000}"/>
    <cellStyle name="40% - Accent5 6 2 3 2 3" xfId="21289" xr:uid="{00000000-0005-0000-0000-0000FD500000}"/>
    <cellStyle name="40% - Accent5 6 2 3 3" xfId="21290" xr:uid="{00000000-0005-0000-0000-0000FE500000}"/>
    <cellStyle name="40% - Accent5 6 2 3 4" xfId="21291" xr:uid="{00000000-0005-0000-0000-0000FF500000}"/>
    <cellStyle name="40% - Accent5 6 2 3 5" xfId="21292" xr:uid="{00000000-0005-0000-0000-000000510000}"/>
    <cellStyle name="40% - Accent5 6 2 3 6" xfId="21293" xr:uid="{00000000-0005-0000-0000-000001510000}"/>
    <cellStyle name="40% - Accent5 6 2 4" xfId="21294" xr:uid="{00000000-0005-0000-0000-000002510000}"/>
    <cellStyle name="40% - Accent5 6 2 4 2" xfId="21295" xr:uid="{00000000-0005-0000-0000-000003510000}"/>
    <cellStyle name="40% - Accent5 6 2 4 3" xfId="21296" xr:uid="{00000000-0005-0000-0000-000004510000}"/>
    <cellStyle name="40% - Accent5 6 2 5" xfId="21297" xr:uid="{00000000-0005-0000-0000-000005510000}"/>
    <cellStyle name="40% - Accent5 6 2 6" xfId="21298" xr:uid="{00000000-0005-0000-0000-000006510000}"/>
    <cellStyle name="40% - Accent5 6 2 7" xfId="21299" xr:uid="{00000000-0005-0000-0000-000007510000}"/>
    <cellStyle name="40% - Accent5 6 2 8" xfId="21300" xr:uid="{00000000-0005-0000-0000-000008510000}"/>
    <cellStyle name="40% - Accent5 6 3" xfId="21301" xr:uid="{00000000-0005-0000-0000-000009510000}"/>
    <cellStyle name="40% - Accent5 6 3 2" xfId="21302" xr:uid="{00000000-0005-0000-0000-00000A510000}"/>
    <cellStyle name="40% - Accent5 6 3 2 2" xfId="21303" xr:uid="{00000000-0005-0000-0000-00000B510000}"/>
    <cellStyle name="40% - Accent5 6 3 2 2 2" xfId="21304" xr:uid="{00000000-0005-0000-0000-00000C510000}"/>
    <cellStyle name="40% - Accent5 6 3 2 2 3" xfId="21305" xr:uid="{00000000-0005-0000-0000-00000D510000}"/>
    <cellStyle name="40% - Accent5 6 3 2 3" xfId="21306" xr:uid="{00000000-0005-0000-0000-00000E510000}"/>
    <cellStyle name="40% - Accent5 6 3 2 4" xfId="21307" xr:uid="{00000000-0005-0000-0000-00000F510000}"/>
    <cellStyle name="40% - Accent5 6 3 2 5" xfId="21308" xr:uid="{00000000-0005-0000-0000-000010510000}"/>
    <cellStyle name="40% - Accent5 6 3 2 6" xfId="21309" xr:uid="{00000000-0005-0000-0000-000011510000}"/>
    <cellStyle name="40% - Accent5 6 3 3" xfId="21310" xr:uid="{00000000-0005-0000-0000-000012510000}"/>
    <cellStyle name="40% - Accent5 6 3 3 2" xfId="21311" xr:uid="{00000000-0005-0000-0000-000013510000}"/>
    <cellStyle name="40% - Accent5 6 3 3 3" xfId="21312" xr:uid="{00000000-0005-0000-0000-000014510000}"/>
    <cellStyle name="40% - Accent5 6 3 4" xfId="21313" xr:uid="{00000000-0005-0000-0000-000015510000}"/>
    <cellStyle name="40% - Accent5 6 3 5" xfId="21314" xr:uid="{00000000-0005-0000-0000-000016510000}"/>
    <cellStyle name="40% - Accent5 6 3 6" xfId="21315" xr:uid="{00000000-0005-0000-0000-000017510000}"/>
    <cellStyle name="40% - Accent5 6 3 7" xfId="21316" xr:uid="{00000000-0005-0000-0000-000018510000}"/>
    <cellStyle name="40% - Accent5 6 4" xfId="21317" xr:uid="{00000000-0005-0000-0000-000019510000}"/>
    <cellStyle name="40% - Accent5 6 4 2" xfId="21318" xr:uid="{00000000-0005-0000-0000-00001A510000}"/>
    <cellStyle name="40% - Accent5 6 4 2 2" xfId="21319" xr:uid="{00000000-0005-0000-0000-00001B510000}"/>
    <cellStyle name="40% - Accent5 6 4 2 3" xfId="21320" xr:uid="{00000000-0005-0000-0000-00001C510000}"/>
    <cellStyle name="40% - Accent5 6 4 3" xfId="21321" xr:uid="{00000000-0005-0000-0000-00001D510000}"/>
    <cellStyle name="40% - Accent5 6 4 4" xfId="21322" xr:uid="{00000000-0005-0000-0000-00001E510000}"/>
    <cellStyle name="40% - Accent5 6 4 5" xfId="21323" xr:uid="{00000000-0005-0000-0000-00001F510000}"/>
    <cellStyle name="40% - Accent5 6 4 6" xfId="21324" xr:uid="{00000000-0005-0000-0000-000020510000}"/>
    <cellStyle name="40% - Accent5 6 5" xfId="21325" xr:uid="{00000000-0005-0000-0000-000021510000}"/>
    <cellStyle name="40% - Accent5 6 5 2" xfId="21326" xr:uid="{00000000-0005-0000-0000-000022510000}"/>
    <cellStyle name="40% - Accent5 6 5 2 2" xfId="21327" xr:uid="{00000000-0005-0000-0000-000023510000}"/>
    <cellStyle name="40% - Accent5 6 5 2 3" xfId="21328" xr:uid="{00000000-0005-0000-0000-000024510000}"/>
    <cellStyle name="40% - Accent5 6 5 3" xfId="21329" xr:uid="{00000000-0005-0000-0000-000025510000}"/>
    <cellStyle name="40% - Accent5 6 5 4" xfId="21330" xr:uid="{00000000-0005-0000-0000-000026510000}"/>
    <cellStyle name="40% - Accent5 6 5 5" xfId="21331" xr:uid="{00000000-0005-0000-0000-000027510000}"/>
    <cellStyle name="40% - Accent5 6 5 6" xfId="21332" xr:uid="{00000000-0005-0000-0000-000028510000}"/>
    <cellStyle name="40% - Accent5 6 6" xfId="21333" xr:uid="{00000000-0005-0000-0000-000029510000}"/>
    <cellStyle name="40% - Accent5 6 6 2" xfId="21334" xr:uid="{00000000-0005-0000-0000-00002A510000}"/>
    <cellStyle name="40% - Accent5 6 6 2 2" xfId="21335" xr:uid="{00000000-0005-0000-0000-00002B510000}"/>
    <cellStyle name="40% - Accent5 6 6 2 3" xfId="21336" xr:uid="{00000000-0005-0000-0000-00002C510000}"/>
    <cellStyle name="40% - Accent5 6 6 3" xfId="21337" xr:uid="{00000000-0005-0000-0000-00002D510000}"/>
    <cellStyle name="40% - Accent5 6 6 4" xfId="21338" xr:uid="{00000000-0005-0000-0000-00002E510000}"/>
    <cellStyle name="40% - Accent5 6 6 5" xfId="21339" xr:uid="{00000000-0005-0000-0000-00002F510000}"/>
    <cellStyle name="40% - Accent5 6 6 6" xfId="21340" xr:uid="{00000000-0005-0000-0000-000030510000}"/>
    <cellStyle name="40% - Accent5 6 7" xfId="21341" xr:uid="{00000000-0005-0000-0000-000031510000}"/>
    <cellStyle name="40% - Accent5 6 7 2" xfId="21342" xr:uid="{00000000-0005-0000-0000-000032510000}"/>
    <cellStyle name="40% - Accent5 6 7 3" xfId="21343" xr:uid="{00000000-0005-0000-0000-000033510000}"/>
    <cellStyle name="40% - Accent5 6 8" xfId="21344" xr:uid="{00000000-0005-0000-0000-000034510000}"/>
    <cellStyle name="40% - Accent5 6 9" xfId="21345" xr:uid="{00000000-0005-0000-0000-000035510000}"/>
    <cellStyle name="40% - Accent5 7" xfId="21346" xr:uid="{00000000-0005-0000-0000-000036510000}"/>
    <cellStyle name="40% - Accent5 7 2" xfId="21347" xr:uid="{00000000-0005-0000-0000-000037510000}"/>
    <cellStyle name="40% - Accent5 7 2 2" xfId="21348" xr:uid="{00000000-0005-0000-0000-000038510000}"/>
    <cellStyle name="40% - Accent5 7 2 3" xfId="21349" xr:uid="{00000000-0005-0000-0000-000039510000}"/>
    <cellStyle name="40% - Accent5 7 3" xfId="21350" xr:uid="{00000000-0005-0000-0000-00003A510000}"/>
    <cellStyle name="40% - Accent5 7 4" xfId="21351" xr:uid="{00000000-0005-0000-0000-00003B510000}"/>
    <cellStyle name="40% - Accent5 7 5" xfId="21352" xr:uid="{00000000-0005-0000-0000-00003C510000}"/>
    <cellStyle name="40% - Accent5 7 6" xfId="21353" xr:uid="{00000000-0005-0000-0000-00003D510000}"/>
    <cellStyle name="40% - Accent5 8" xfId="21354" xr:uid="{00000000-0005-0000-0000-00003E510000}"/>
    <cellStyle name="40% - Accent5 8 2" xfId="21355" xr:uid="{00000000-0005-0000-0000-00003F510000}"/>
    <cellStyle name="40% - Accent5 8 2 2" xfId="21356" xr:uid="{00000000-0005-0000-0000-000040510000}"/>
    <cellStyle name="40% - Accent5 8 2 3" xfId="21357" xr:uid="{00000000-0005-0000-0000-000041510000}"/>
    <cellStyle name="40% - Accent5 8 3" xfId="21358" xr:uid="{00000000-0005-0000-0000-000042510000}"/>
    <cellStyle name="40% - Accent5 8 4" xfId="21359" xr:uid="{00000000-0005-0000-0000-000043510000}"/>
    <cellStyle name="40% - Accent5 8 5" xfId="21360" xr:uid="{00000000-0005-0000-0000-000044510000}"/>
    <cellStyle name="40% - Accent5 8 6" xfId="21361" xr:uid="{00000000-0005-0000-0000-000045510000}"/>
    <cellStyle name="40% - Accent5 9" xfId="21362" xr:uid="{00000000-0005-0000-0000-000046510000}"/>
    <cellStyle name="40% - Accent5 9 2" xfId="21363" xr:uid="{00000000-0005-0000-0000-000047510000}"/>
    <cellStyle name="40% - Accent5 9 2 2" xfId="21364" xr:uid="{00000000-0005-0000-0000-000048510000}"/>
    <cellStyle name="40% - Accent5 9 2 3" xfId="21365" xr:uid="{00000000-0005-0000-0000-000049510000}"/>
    <cellStyle name="40% - Accent5 9 3" xfId="21366" xr:uid="{00000000-0005-0000-0000-00004A510000}"/>
    <cellStyle name="40% - Accent5 9 4" xfId="21367" xr:uid="{00000000-0005-0000-0000-00004B510000}"/>
    <cellStyle name="40% - Accent5 9 5" xfId="21368" xr:uid="{00000000-0005-0000-0000-00004C510000}"/>
    <cellStyle name="40% - Accent5 9 6" xfId="21369" xr:uid="{00000000-0005-0000-0000-00004D510000}"/>
    <cellStyle name="40% - Accent6" xfId="42" builtinId="51" customBuiltin="1"/>
    <cellStyle name="40% - Accent6 10" xfId="21370" xr:uid="{00000000-0005-0000-0000-00004F510000}"/>
    <cellStyle name="40% - Accent6 10 2" xfId="21371" xr:uid="{00000000-0005-0000-0000-000050510000}"/>
    <cellStyle name="40% - Accent6 10 2 2" xfId="21372" xr:uid="{00000000-0005-0000-0000-000051510000}"/>
    <cellStyle name="40% - Accent6 10 2 3" xfId="21373" xr:uid="{00000000-0005-0000-0000-000052510000}"/>
    <cellStyle name="40% - Accent6 10 3" xfId="21374" xr:uid="{00000000-0005-0000-0000-000053510000}"/>
    <cellStyle name="40% - Accent6 10 4" xfId="21375" xr:uid="{00000000-0005-0000-0000-000054510000}"/>
    <cellStyle name="40% - Accent6 10 5" xfId="21376" xr:uid="{00000000-0005-0000-0000-000055510000}"/>
    <cellStyle name="40% - Accent6 10 6" xfId="21377" xr:uid="{00000000-0005-0000-0000-000056510000}"/>
    <cellStyle name="40% - Accent6 11" xfId="21378" xr:uid="{00000000-0005-0000-0000-000057510000}"/>
    <cellStyle name="40% - Accent6 11 2" xfId="21379" xr:uid="{00000000-0005-0000-0000-000058510000}"/>
    <cellStyle name="40% - Accent6 11 2 2" xfId="21380" xr:uid="{00000000-0005-0000-0000-000059510000}"/>
    <cellStyle name="40% - Accent6 11 2 3" xfId="21381" xr:uid="{00000000-0005-0000-0000-00005A510000}"/>
    <cellStyle name="40% - Accent6 11 3" xfId="21382" xr:uid="{00000000-0005-0000-0000-00005B510000}"/>
    <cellStyle name="40% - Accent6 11 4" xfId="21383" xr:uid="{00000000-0005-0000-0000-00005C510000}"/>
    <cellStyle name="40% - Accent6 11 5" xfId="21384" xr:uid="{00000000-0005-0000-0000-00005D510000}"/>
    <cellStyle name="40% - Accent6 11 6" xfId="21385" xr:uid="{00000000-0005-0000-0000-00005E510000}"/>
    <cellStyle name="40% - Accent6 12" xfId="21386" xr:uid="{00000000-0005-0000-0000-00005F510000}"/>
    <cellStyle name="40% - Accent6 12 2" xfId="21387" xr:uid="{00000000-0005-0000-0000-000060510000}"/>
    <cellStyle name="40% - Accent6 12 2 2" xfId="21388" xr:uid="{00000000-0005-0000-0000-000061510000}"/>
    <cellStyle name="40% - Accent6 12 2 3" xfId="21389" xr:uid="{00000000-0005-0000-0000-000062510000}"/>
    <cellStyle name="40% - Accent6 12 3" xfId="21390" xr:uid="{00000000-0005-0000-0000-000063510000}"/>
    <cellStyle name="40% - Accent6 12 4" xfId="21391" xr:uid="{00000000-0005-0000-0000-000064510000}"/>
    <cellStyle name="40% - Accent6 12 5" xfId="21392" xr:uid="{00000000-0005-0000-0000-000065510000}"/>
    <cellStyle name="40% - Accent6 12 6" xfId="21393" xr:uid="{00000000-0005-0000-0000-000066510000}"/>
    <cellStyle name="40% - Accent6 13" xfId="21394" xr:uid="{00000000-0005-0000-0000-000067510000}"/>
    <cellStyle name="40% - Accent6 13 2" xfId="21395" xr:uid="{00000000-0005-0000-0000-000068510000}"/>
    <cellStyle name="40% - Accent6 13 3" xfId="21396" xr:uid="{00000000-0005-0000-0000-000069510000}"/>
    <cellStyle name="40% - Accent6 14" xfId="21397" xr:uid="{00000000-0005-0000-0000-00006A510000}"/>
    <cellStyle name="40% - Accent6 15" xfId="21398" xr:uid="{00000000-0005-0000-0000-00006B510000}"/>
    <cellStyle name="40% - Accent6 16" xfId="21399" xr:uid="{00000000-0005-0000-0000-00006C510000}"/>
    <cellStyle name="40% - Accent6 17" xfId="21400" xr:uid="{00000000-0005-0000-0000-00006D510000}"/>
    <cellStyle name="40% - Accent6 18" xfId="21401" xr:uid="{00000000-0005-0000-0000-00006E510000}"/>
    <cellStyle name="40% - Accent6 2" xfId="63" xr:uid="{00000000-0005-0000-0000-00006F510000}"/>
    <cellStyle name="40% - Accent6 2 2" xfId="312" xr:uid="{00000000-0005-0000-0000-000070510000}"/>
    <cellStyle name="40% - Accent6 2 3" xfId="313" xr:uid="{00000000-0005-0000-0000-000071510000}"/>
    <cellStyle name="40% - Accent6 3" xfId="314" xr:uid="{00000000-0005-0000-0000-000072510000}"/>
    <cellStyle name="40% - Accent6 3 10" xfId="21402" xr:uid="{00000000-0005-0000-0000-000073510000}"/>
    <cellStyle name="40% - Accent6 3 10 2" xfId="21403" xr:uid="{00000000-0005-0000-0000-000074510000}"/>
    <cellStyle name="40% - Accent6 3 10 2 2" xfId="21404" xr:uid="{00000000-0005-0000-0000-000075510000}"/>
    <cellStyle name="40% - Accent6 3 10 2 3" xfId="21405" xr:uid="{00000000-0005-0000-0000-000076510000}"/>
    <cellStyle name="40% - Accent6 3 10 3" xfId="21406" xr:uid="{00000000-0005-0000-0000-000077510000}"/>
    <cellStyle name="40% - Accent6 3 10 4" xfId="21407" xr:uid="{00000000-0005-0000-0000-000078510000}"/>
    <cellStyle name="40% - Accent6 3 10 5" xfId="21408" xr:uid="{00000000-0005-0000-0000-000079510000}"/>
    <cellStyle name="40% - Accent6 3 10 6" xfId="21409" xr:uid="{00000000-0005-0000-0000-00007A510000}"/>
    <cellStyle name="40% - Accent6 3 11" xfId="21410" xr:uid="{00000000-0005-0000-0000-00007B510000}"/>
    <cellStyle name="40% - Accent6 3 11 2" xfId="21411" xr:uid="{00000000-0005-0000-0000-00007C510000}"/>
    <cellStyle name="40% - Accent6 3 11 2 2" xfId="21412" xr:uid="{00000000-0005-0000-0000-00007D510000}"/>
    <cellStyle name="40% - Accent6 3 11 2 3" xfId="21413" xr:uid="{00000000-0005-0000-0000-00007E510000}"/>
    <cellStyle name="40% - Accent6 3 11 3" xfId="21414" xr:uid="{00000000-0005-0000-0000-00007F510000}"/>
    <cellStyle name="40% - Accent6 3 11 4" xfId="21415" xr:uid="{00000000-0005-0000-0000-000080510000}"/>
    <cellStyle name="40% - Accent6 3 11 5" xfId="21416" xr:uid="{00000000-0005-0000-0000-000081510000}"/>
    <cellStyle name="40% - Accent6 3 11 6" xfId="21417" xr:uid="{00000000-0005-0000-0000-000082510000}"/>
    <cellStyle name="40% - Accent6 3 12" xfId="21418" xr:uid="{00000000-0005-0000-0000-000083510000}"/>
    <cellStyle name="40% - Accent6 3 12 2" xfId="21419" xr:uid="{00000000-0005-0000-0000-000084510000}"/>
    <cellStyle name="40% - Accent6 3 12 3" xfId="21420" xr:uid="{00000000-0005-0000-0000-000085510000}"/>
    <cellStyle name="40% - Accent6 3 13" xfId="21421" xr:uid="{00000000-0005-0000-0000-000086510000}"/>
    <cellStyle name="40% - Accent6 3 14" xfId="21422" xr:uid="{00000000-0005-0000-0000-000087510000}"/>
    <cellStyle name="40% - Accent6 3 15" xfId="21423" xr:uid="{00000000-0005-0000-0000-000088510000}"/>
    <cellStyle name="40% - Accent6 3 16" xfId="21424" xr:uid="{00000000-0005-0000-0000-000089510000}"/>
    <cellStyle name="40% - Accent6 3 2" xfId="21425" xr:uid="{00000000-0005-0000-0000-00008A510000}"/>
    <cellStyle name="40% - Accent6 3 2 10" xfId="21426" xr:uid="{00000000-0005-0000-0000-00008B510000}"/>
    <cellStyle name="40% - Accent6 3 2 10 2" xfId="21427" xr:uid="{00000000-0005-0000-0000-00008C510000}"/>
    <cellStyle name="40% - Accent6 3 2 10 3" xfId="21428" xr:uid="{00000000-0005-0000-0000-00008D510000}"/>
    <cellStyle name="40% - Accent6 3 2 11" xfId="21429" xr:uid="{00000000-0005-0000-0000-00008E510000}"/>
    <cellStyle name="40% - Accent6 3 2 12" xfId="21430" xr:uid="{00000000-0005-0000-0000-00008F510000}"/>
    <cellStyle name="40% - Accent6 3 2 13" xfId="21431" xr:uid="{00000000-0005-0000-0000-000090510000}"/>
    <cellStyle name="40% - Accent6 3 2 14" xfId="21432" xr:uid="{00000000-0005-0000-0000-000091510000}"/>
    <cellStyle name="40% - Accent6 3 2 2" xfId="21433" xr:uid="{00000000-0005-0000-0000-000092510000}"/>
    <cellStyle name="40% - Accent6 3 2 2 10" xfId="21434" xr:uid="{00000000-0005-0000-0000-000093510000}"/>
    <cellStyle name="40% - Accent6 3 2 2 11" xfId="21435" xr:uid="{00000000-0005-0000-0000-000094510000}"/>
    <cellStyle name="40% - Accent6 3 2 2 12" xfId="21436" xr:uid="{00000000-0005-0000-0000-000095510000}"/>
    <cellStyle name="40% - Accent6 3 2 2 13" xfId="21437" xr:uid="{00000000-0005-0000-0000-000096510000}"/>
    <cellStyle name="40% - Accent6 3 2 2 2" xfId="21438" xr:uid="{00000000-0005-0000-0000-000097510000}"/>
    <cellStyle name="40% - Accent6 3 2 2 2 10" xfId="21439" xr:uid="{00000000-0005-0000-0000-000098510000}"/>
    <cellStyle name="40% - Accent6 3 2 2 2 2" xfId="21440" xr:uid="{00000000-0005-0000-0000-000099510000}"/>
    <cellStyle name="40% - Accent6 3 2 2 2 2 2" xfId="21441" xr:uid="{00000000-0005-0000-0000-00009A510000}"/>
    <cellStyle name="40% - Accent6 3 2 2 2 2 2 2" xfId="21442" xr:uid="{00000000-0005-0000-0000-00009B510000}"/>
    <cellStyle name="40% - Accent6 3 2 2 2 2 2 2 2" xfId="21443" xr:uid="{00000000-0005-0000-0000-00009C510000}"/>
    <cellStyle name="40% - Accent6 3 2 2 2 2 2 2 3" xfId="21444" xr:uid="{00000000-0005-0000-0000-00009D510000}"/>
    <cellStyle name="40% - Accent6 3 2 2 2 2 2 3" xfId="21445" xr:uid="{00000000-0005-0000-0000-00009E510000}"/>
    <cellStyle name="40% - Accent6 3 2 2 2 2 2 4" xfId="21446" xr:uid="{00000000-0005-0000-0000-00009F510000}"/>
    <cellStyle name="40% - Accent6 3 2 2 2 2 2 5" xfId="21447" xr:uid="{00000000-0005-0000-0000-0000A0510000}"/>
    <cellStyle name="40% - Accent6 3 2 2 2 2 2 6" xfId="21448" xr:uid="{00000000-0005-0000-0000-0000A1510000}"/>
    <cellStyle name="40% - Accent6 3 2 2 2 2 3" xfId="21449" xr:uid="{00000000-0005-0000-0000-0000A2510000}"/>
    <cellStyle name="40% - Accent6 3 2 2 2 2 3 2" xfId="21450" xr:uid="{00000000-0005-0000-0000-0000A3510000}"/>
    <cellStyle name="40% - Accent6 3 2 2 2 2 3 2 2" xfId="21451" xr:uid="{00000000-0005-0000-0000-0000A4510000}"/>
    <cellStyle name="40% - Accent6 3 2 2 2 2 3 2 3" xfId="21452" xr:uid="{00000000-0005-0000-0000-0000A5510000}"/>
    <cellStyle name="40% - Accent6 3 2 2 2 2 3 3" xfId="21453" xr:uid="{00000000-0005-0000-0000-0000A6510000}"/>
    <cellStyle name="40% - Accent6 3 2 2 2 2 3 4" xfId="21454" xr:uid="{00000000-0005-0000-0000-0000A7510000}"/>
    <cellStyle name="40% - Accent6 3 2 2 2 2 3 5" xfId="21455" xr:uid="{00000000-0005-0000-0000-0000A8510000}"/>
    <cellStyle name="40% - Accent6 3 2 2 2 2 3 6" xfId="21456" xr:uid="{00000000-0005-0000-0000-0000A9510000}"/>
    <cellStyle name="40% - Accent6 3 2 2 2 2 4" xfId="21457" xr:uid="{00000000-0005-0000-0000-0000AA510000}"/>
    <cellStyle name="40% - Accent6 3 2 2 2 2 4 2" xfId="21458" xr:uid="{00000000-0005-0000-0000-0000AB510000}"/>
    <cellStyle name="40% - Accent6 3 2 2 2 2 4 3" xfId="21459" xr:uid="{00000000-0005-0000-0000-0000AC510000}"/>
    <cellStyle name="40% - Accent6 3 2 2 2 2 5" xfId="21460" xr:uid="{00000000-0005-0000-0000-0000AD510000}"/>
    <cellStyle name="40% - Accent6 3 2 2 2 2 6" xfId="21461" xr:uid="{00000000-0005-0000-0000-0000AE510000}"/>
    <cellStyle name="40% - Accent6 3 2 2 2 2 7" xfId="21462" xr:uid="{00000000-0005-0000-0000-0000AF510000}"/>
    <cellStyle name="40% - Accent6 3 2 2 2 2 8" xfId="21463" xr:uid="{00000000-0005-0000-0000-0000B0510000}"/>
    <cellStyle name="40% - Accent6 3 2 2 2 3" xfId="21464" xr:uid="{00000000-0005-0000-0000-0000B1510000}"/>
    <cellStyle name="40% - Accent6 3 2 2 2 3 2" xfId="21465" xr:uid="{00000000-0005-0000-0000-0000B2510000}"/>
    <cellStyle name="40% - Accent6 3 2 2 2 3 2 2" xfId="21466" xr:uid="{00000000-0005-0000-0000-0000B3510000}"/>
    <cellStyle name="40% - Accent6 3 2 2 2 3 2 2 2" xfId="21467" xr:uid="{00000000-0005-0000-0000-0000B4510000}"/>
    <cellStyle name="40% - Accent6 3 2 2 2 3 2 2 3" xfId="21468" xr:uid="{00000000-0005-0000-0000-0000B5510000}"/>
    <cellStyle name="40% - Accent6 3 2 2 2 3 2 3" xfId="21469" xr:uid="{00000000-0005-0000-0000-0000B6510000}"/>
    <cellStyle name="40% - Accent6 3 2 2 2 3 2 4" xfId="21470" xr:uid="{00000000-0005-0000-0000-0000B7510000}"/>
    <cellStyle name="40% - Accent6 3 2 2 2 3 2 5" xfId="21471" xr:uid="{00000000-0005-0000-0000-0000B8510000}"/>
    <cellStyle name="40% - Accent6 3 2 2 2 3 2 6" xfId="21472" xr:uid="{00000000-0005-0000-0000-0000B9510000}"/>
    <cellStyle name="40% - Accent6 3 2 2 2 3 3" xfId="21473" xr:uid="{00000000-0005-0000-0000-0000BA510000}"/>
    <cellStyle name="40% - Accent6 3 2 2 2 3 3 2" xfId="21474" xr:uid="{00000000-0005-0000-0000-0000BB510000}"/>
    <cellStyle name="40% - Accent6 3 2 2 2 3 3 3" xfId="21475" xr:uid="{00000000-0005-0000-0000-0000BC510000}"/>
    <cellStyle name="40% - Accent6 3 2 2 2 3 4" xfId="21476" xr:uid="{00000000-0005-0000-0000-0000BD510000}"/>
    <cellStyle name="40% - Accent6 3 2 2 2 3 5" xfId="21477" xr:uid="{00000000-0005-0000-0000-0000BE510000}"/>
    <cellStyle name="40% - Accent6 3 2 2 2 3 6" xfId="21478" xr:uid="{00000000-0005-0000-0000-0000BF510000}"/>
    <cellStyle name="40% - Accent6 3 2 2 2 3 7" xfId="21479" xr:uid="{00000000-0005-0000-0000-0000C0510000}"/>
    <cellStyle name="40% - Accent6 3 2 2 2 4" xfId="21480" xr:uid="{00000000-0005-0000-0000-0000C1510000}"/>
    <cellStyle name="40% - Accent6 3 2 2 2 4 2" xfId="21481" xr:uid="{00000000-0005-0000-0000-0000C2510000}"/>
    <cellStyle name="40% - Accent6 3 2 2 2 4 2 2" xfId="21482" xr:uid="{00000000-0005-0000-0000-0000C3510000}"/>
    <cellStyle name="40% - Accent6 3 2 2 2 4 2 3" xfId="21483" xr:uid="{00000000-0005-0000-0000-0000C4510000}"/>
    <cellStyle name="40% - Accent6 3 2 2 2 4 3" xfId="21484" xr:uid="{00000000-0005-0000-0000-0000C5510000}"/>
    <cellStyle name="40% - Accent6 3 2 2 2 4 4" xfId="21485" xr:uid="{00000000-0005-0000-0000-0000C6510000}"/>
    <cellStyle name="40% - Accent6 3 2 2 2 4 5" xfId="21486" xr:uid="{00000000-0005-0000-0000-0000C7510000}"/>
    <cellStyle name="40% - Accent6 3 2 2 2 4 6" xfId="21487" xr:uid="{00000000-0005-0000-0000-0000C8510000}"/>
    <cellStyle name="40% - Accent6 3 2 2 2 5" xfId="21488" xr:uid="{00000000-0005-0000-0000-0000C9510000}"/>
    <cellStyle name="40% - Accent6 3 2 2 2 5 2" xfId="21489" xr:uid="{00000000-0005-0000-0000-0000CA510000}"/>
    <cellStyle name="40% - Accent6 3 2 2 2 5 2 2" xfId="21490" xr:uid="{00000000-0005-0000-0000-0000CB510000}"/>
    <cellStyle name="40% - Accent6 3 2 2 2 5 2 3" xfId="21491" xr:uid="{00000000-0005-0000-0000-0000CC510000}"/>
    <cellStyle name="40% - Accent6 3 2 2 2 5 3" xfId="21492" xr:uid="{00000000-0005-0000-0000-0000CD510000}"/>
    <cellStyle name="40% - Accent6 3 2 2 2 5 4" xfId="21493" xr:uid="{00000000-0005-0000-0000-0000CE510000}"/>
    <cellStyle name="40% - Accent6 3 2 2 2 5 5" xfId="21494" xr:uid="{00000000-0005-0000-0000-0000CF510000}"/>
    <cellStyle name="40% - Accent6 3 2 2 2 5 6" xfId="21495" xr:uid="{00000000-0005-0000-0000-0000D0510000}"/>
    <cellStyle name="40% - Accent6 3 2 2 2 6" xfId="21496" xr:uid="{00000000-0005-0000-0000-0000D1510000}"/>
    <cellStyle name="40% - Accent6 3 2 2 2 6 2" xfId="21497" xr:uid="{00000000-0005-0000-0000-0000D2510000}"/>
    <cellStyle name="40% - Accent6 3 2 2 2 6 3" xfId="21498" xr:uid="{00000000-0005-0000-0000-0000D3510000}"/>
    <cellStyle name="40% - Accent6 3 2 2 2 7" xfId="21499" xr:uid="{00000000-0005-0000-0000-0000D4510000}"/>
    <cellStyle name="40% - Accent6 3 2 2 2 8" xfId="21500" xr:uid="{00000000-0005-0000-0000-0000D5510000}"/>
    <cellStyle name="40% - Accent6 3 2 2 2 9" xfId="21501" xr:uid="{00000000-0005-0000-0000-0000D6510000}"/>
    <cellStyle name="40% - Accent6 3 2 2 3" xfId="21502" xr:uid="{00000000-0005-0000-0000-0000D7510000}"/>
    <cellStyle name="40% - Accent6 3 2 2 3 2" xfId="21503" xr:uid="{00000000-0005-0000-0000-0000D8510000}"/>
    <cellStyle name="40% - Accent6 3 2 2 3 2 2" xfId="21504" xr:uid="{00000000-0005-0000-0000-0000D9510000}"/>
    <cellStyle name="40% - Accent6 3 2 2 3 2 2 2" xfId="21505" xr:uid="{00000000-0005-0000-0000-0000DA510000}"/>
    <cellStyle name="40% - Accent6 3 2 2 3 2 2 2 2" xfId="21506" xr:uid="{00000000-0005-0000-0000-0000DB510000}"/>
    <cellStyle name="40% - Accent6 3 2 2 3 2 2 2 3" xfId="21507" xr:uid="{00000000-0005-0000-0000-0000DC510000}"/>
    <cellStyle name="40% - Accent6 3 2 2 3 2 2 3" xfId="21508" xr:uid="{00000000-0005-0000-0000-0000DD510000}"/>
    <cellStyle name="40% - Accent6 3 2 2 3 2 2 4" xfId="21509" xr:uid="{00000000-0005-0000-0000-0000DE510000}"/>
    <cellStyle name="40% - Accent6 3 2 2 3 2 2 5" xfId="21510" xr:uid="{00000000-0005-0000-0000-0000DF510000}"/>
    <cellStyle name="40% - Accent6 3 2 2 3 2 2 6" xfId="21511" xr:uid="{00000000-0005-0000-0000-0000E0510000}"/>
    <cellStyle name="40% - Accent6 3 2 2 3 2 3" xfId="21512" xr:uid="{00000000-0005-0000-0000-0000E1510000}"/>
    <cellStyle name="40% - Accent6 3 2 2 3 2 3 2" xfId="21513" xr:uid="{00000000-0005-0000-0000-0000E2510000}"/>
    <cellStyle name="40% - Accent6 3 2 2 3 2 3 3" xfId="21514" xr:uid="{00000000-0005-0000-0000-0000E3510000}"/>
    <cellStyle name="40% - Accent6 3 2 2 3 2 4" xfId="21515" xr:uid="{00000000-0005-0000-0000-0000E4510000}"/>
    <cellStyle name="40% - Accent6 3 2 2 3 2 5" xfId="21516" xr:uid="{00000000-0005-0000-0000-0000E5510000}"/>
    <cellStyle name="40% - Accent6 3 2 2 3 2 6" xfId="21517" xr:uid="{00000000-0005-0000-0000-0000E6510000}"/>
    <cellStyle name="40% - Accent6 3 2 2 3 2 7" xfId="21518" xr:uid="{00000000-0005-0000-0000-0000E7510000}"/>
    <cellStyle name="40% - Accent6 3 2 2 3 3" xfId="21519" xr:uid="{00000000-0005-0000-0000-0000E8510000}"/>
    <cellStyle name="40% - Accent6 3 2 2 3 3 2" xfId="21520" xr:uid="{00000000-0005-0000-0000-0000E9510000}"/>
    <cellStyle name="40% - Accent6 3 2 2 3 3 2 2" xfId="21521" xr:uid="{00000000-0005-0000-0000-0000EA510000}"/>
    <cellStyle name="40% - Accent6 3 2 2 3 3 2 3" xfId="21522" xr:uid="{00000000-0005-0000-0000-0000EB510000}"/>
    <cellStyle name="40% - Accent6 3 2 2 3 3 3" xfId="21523" xr:uid="{00000000-0005-0000-0000-0000EC510000}"/>
    <cellStyle name="40% - Accent6 3 2 2 3 3 4" xfId="21524" xr:uid="{00000000-0005-0000-0000-0000ED510000}"/>
    <cellStyle name="40% - Accent6 3 2 2 3 3 5" xfId="21525" xr:uid="{00000000-0005-0000-0000-0000EE510000}"/>
    <cellStyle name="40% - Accent6 3 2 2 3 3 6" xfId="21526" xr:uid="{00000000-0005-0000-0000-0000EF510000}"/>
    <cellStyle name="40% - Accent6 3 2 2 3 4" xfId="21527" xr:uid="{00000000-0005-0000-0000-0000F0510000}"/>
    <cellStyle name="40% - Accent6 3 2 2 3 4 2" xfId="21528" xr:uid="{00000000-0005-0000-0000-0000F1510000}"/>
    <cellStyle name="40% - Accent6 3 2 2 3 4 2 2" xfId="21529" xr:uid="{00000000-0005-0000-0000-0000F2510000}"/>
    <cellStyle name="40% - Accent6 3 2 2 3 4 2 3" xfId="21530" xr:uid="{00000000-0005-0000-0000-0000F3510000}"/>
    <cellStyle name="40% - Accent6 3 2 2 3 4 3" xfId="21531" xr:uid="{00000000-0005-0000-0000-0000F4510000}"/>
    <cellStyle name="40% - Accent6 3 2 2 3 4 4" xfId="21532" xr:uid="{00000000-0005-0000-0000-0000F5510000}"/>
    <cellStyle name="40% - Accent6 3 2 2 3 4 5" xfId="21533" xr:uid="{00000000-0005-0000-0000-0000F6510000}"/>
    <cellStyle name="40% - Accent6 3 2 2 3 4 6" xfId="21534" xr:uid="{00000000-0005-0000-0000-0000F7510000}"/>
    <cellStyle name="40% - Accent6 3 2 2 3 5" xfId="21535" xr:uid="{00000000-0005-0000-0000-0000F8510000}"/>
    <cellStyle name="40% - Accent6 3 2 2 3 5 2" xfId="21536" xr:uid="{00000000-0005-0000-0000-0000F9510000}"/>
    <cellStyle name="40% - Accent6 3 2 2 3 5 3" xfId="21537" xr:uid="{00000000-0005-0000-0000-0000FA510000}"/>
    <cellStyle name="40% - Accent6 3 2 2 3 6" xfId="21538" xr:uid="{00000000-0005-0000-0000-0000FB510000}"/>
    <cellStyle name="40% - Accent6 3 2 2 3 7" xfId="21539" xr:uid="{00000000-0005-0000-0000-0000FC510000}"/>
    <cellStyle name="40% - Accent6 3 2 2 3 8" xfId="21540" xr:uid="{00000000-0005-0000-0000-0000FD510000}"/>
    <cellStyle name="40% - Accent6 3 2 2 3 9" xfId="21541" xr:uid="{00000000-0005-0000-0000-0000FE510000}"/>
    <cellStyle name="40% - Accent6 3 2 2 4" xfId="21542" xr:uid="{00000000-0005-0000-0000-0000FF510000}"/>
    <cellStyle name="40% - Accent6 3 2 2 4 2" xfId="21543" xr:uid="{00000000-0005-0000-0000-000000520000}"/>
    <cellStyle name="40% - Accent6 3 2 2 4 2 2" xfId="21544" xr:uid="{00000000-0005-0000-0000-000001520000}"/>
    <cellStyle name="40% - Accent6 3 2 2 4 2 2 2" xfId="21545" xr:uid="{00000000-0005-0000-0000-000002520000}"/>
    <cellStyle name="40% - Accent6 3 2 2 4 2 2 3" xfId="21546" xr:uid="{00000000-0005-0000-0000-000003520000}"/>
    <cellStyle name="40% - Accent6 3 2 2 4 2 3" xfId="21547" xr:uid="{00000000-0005-0000-0000-000004520000}"/>
    <cellStyle name="40% - Accent6 3 2 2 4 2 4" xfId="21548" xr:uid="{00000000-0005-0000-0000-000005520000}"/>
    <cellStyle name="40% - Accent6 3 2 2 4 2 5" xfId="21549" xr:uid="{00000000-0005-0000-0000-000006520000}"/>
    <cellStyle name="40% - Accent6 3 2 2 4 2 6" xfId="21550" xr:uid="{00000000-0005-0000-0000-000007520000}"/>
    <cellStyle name="40% - Accent6 3 2 2 4 3" xfId="21551" xr:uid="{00000000-0005-0000-0000-000008520000}"/>
    <cellStyle name="40% - Accent6 3 2 2 4 3 2" xfId="21552" xr:uid="{00000000-0005-0000-0000-000009520000}"/>
    <cellStyle name="40% - Accent6 3 2 2 4 3 3" xfId="21553" xr:uid="{00000000-0005-0000-0000-00000A520000}"/>
    <cellStyle name="40% - Accent6 3 2 2 4 4" xfId="21554" xr:uid="{00000000-0005-0000-0000-00000B520000}"/>
    <cellStyle name="40% - Accent6 3 2 2 4 5" xfId="21555" xr:uid="{00000000-0005-0000-0000-00000C520000}"/>
    <cellStyle name="40% - Accent6 3 2 2 4 6" xfId="21556" xr:uid="{00000000-0005-0000-0000-00000D520000}"/>
    <cellStyle name="40% - Accent6 3 2 2 4 7" xfId="21557" xr:uid="{00000000-0005-0000-0000-00000E520000}"/>
    <cellStyle name="40% - Accent6 3 2 2 5" xfId="21558" xr:uid="{00000000-0005-0000-0000-00000F520000}"/>
    <cellStyle name="40% - Accent6 3 2 2 5 2" xfId="21559" xr:uid="{00000000-0005-0000-0000-000010520000}"/>
    <cellStyle name="40% - Accent6 3 2 2 5 2 2" xfId="21560" xr:uid="{00000000-0005-0000-0000-000011520000}"/>
    <cellStyle name="40% - Accent6 3 2 2 5 2 3" xfId="21561" xr:uid="{00000000-0005-0000-0000-000012520000}"/>
    <cellStyle name="40% - Accent6 3 2 2 5 3" xfId="21562" xr:uid="{00000000-0005-0000-0000-000013520000}"/>
    <cellStyle name="40% - Accent6 3 2 2 5 4" xfId="21563" xr:uid="{00000000-0005-0000-0000-000014520000}"/>
    <cellStyle name="40% - Accent6 3 2 2 5 5" xfId="21564" xr:uid="{00000000-0005-0000-0000-000015520000}"/>
    <cellStyle name="40% - Accent6 3 2 2 5 6" xfId="21565" xr:uid="{00000000-0005-0000-0000-000016520000}"/>
    <cellStyle name="40% - Accent6 3 2 2 6" xfId="21566" xr:uid="{00000000-0005-0000-0000-000017520000}"/>
    <cellStyle name="40% - Accent6 3 2 2 6 2" xfId="21567" xr:uid="{00000000-0005-0000-0000-000018520000}"/>
    <cellStyle name="40% - Accent6 3 2 2 6 2 2" xfId="21568" xr:uid="{00000000-0005-0000-0000-000019520000}"/>
    <cellStyle name="40% - Accent6 3 2 2 6 2 3" xfId="21569" xr:uid="{00000000-0005-0000-0000-00001A520000}"/>
    <cellStyle name="40% - Accent6 3 2 2 6 3" xfId="21570" xr:uid="{00000000-0005-0000-0000-00001B520000}"/>
    <cellStyle name="40% - Accent6 3 2 2 6 4" xfId="21571" xr:uid="{00000000-0005-0000-0000-00001C520000}"/>
    <cellStyle name="40% - Accent6 3 2 2 6 5" xfId="21572" xr:uid="{00000000-0005-0000-0000-00001D520000}"/>
    <cellStyle name="40% - Accent6 3 2 2 6 6" xfId="21573" xr:uid="{00000000-0005-0000-0000-00001E520000}"/>
    <cellStyle name="40% - Accent6 3 2 2 7" xfId="21574" xr:uid="{00000000-0005-0000-0000-00001F520000}"/>
    <cellStyle name="40% - Accent6 3 2 2 7 2" xfId="21575" xr:uid="{00000000-0005-0000-0000-000020520000}"/>
    <cellStyle name="40% - Accent6 3 2 2 7 2 2" xfId="21576" xr:uid="{00000000-0005-0000-0000-000021520000}"/>
    <cellStyle name="40% - Accent6 3 2 2 7 2 3" xfId="21577" xr:uid="{00000000-0005-0000-0000-000022520000}"/>
    <cellStyle name="40% - Accent6 3 2 2 7 3" xfId="21578" xr:uid="{00000000-0005-0000-0000-000023520000}"/>
    <cellStyle name="40% - Accent6 3 2 2 7 4" xfId="21579" xr:uid="{00000000-0005-0000-0000-000024520000}"/>
    <cellStyle name="40% - Accent6 3 2 2 7 5" xfId="21580" xr:uid="{00000000-0005-0000-0000-000025520000}"/>
    <cellStyle name="40% - Accent6 3 2 2 7 6" xfId="21581" xr:uid="{00000000-0005-0000-0000-000026520000}"/>
    <cellStyle name="40% - Accent6 3 2 2 8" xfId="21582" xr:uid="{00000000-0005-0000-0000-000027520000}"/>
    <cellStyle name="40% - Accent6 3 2 2 8 2" xfId="21583" xr:uid="{00000000-0005-0000-0000-000028520000}"/>
    <cellStyle name="40% - Accent6 3 2 2 8 2 2" xfId="21584" xr:uid="{00000000-0005-0000-0000-000029520000}"/>
    <cellStyle name="40% - Accent6 3 2 2 8 2 3" xfId="21585" xr:uid="{00000000-0005-0000-0000-00002A520000}"/>
    <cellStyle name="40% - Accent6 3 2 2 8 3" xfId="21586" xr:uid="{00000000-0005-0000-0000-00002B520000}"/>
    <cellStyle name="40% - Accent6 3 2 2 8 4" xfId="21587" xr:uid="{00000000-0005-0000-0000-00002C520000}"/>
    <cellStyle name="40% - Accent6 3 2 2 8 5" xfId="21588" xr:uid="{00000000-0005-0000-0000-00002D520000}"/>
    <cellStyle name="40% - Accent6 3 2 2 8 6" xfId="21589" xr:uid="{00000000-0005-0000-0000-00002E520000}"/>
    <cellStyle name="40% - Accent6 3 2 2 9" xfId="21590" xr:uid="{00000000-0005-0000-0000-00002F520000}"/>
    <cellStyle name="40% - Accent6 3 2 2 9 2" xfId="21591" xr:uid="{00000000-0005-0000-0000-000030520000}"/>
    <cellStyle name="40% - Accent6 3 2 2 9 3" xfId="21592" xr:uid="{00000000-0005-0000-0000-000031520000}"/>
    <cellStyle name="40% - Accent6 3 2 3" xfId="21593" xr:uid="{00000000-0005-0000-0000-000032520000}"/>
    <cellStyle name="40% - Accent6 3 2 3 10" xfId="21594" xr:uid="{00000000-0005-0000-0000-000033520000}"/>
    <cellStyle name="40% - Accent6 3 2 3 2" xfId="21595" xr:uid="{00000000-0005-0000-0000-000034520000}"/>
    <cellStyle name="40% - Accent6 3 2 3 2 2" xfId="21596" xr:uid="{00000000-0005-0000-0000-000035520000}"/>
    <cellStyle name="40% - Accent6 3 2 3 2 2 2" xfId="21597" xr:uid="{00000000-0005-0000-0000-000036520000}"/>
    <cellStyle name="40% - Accent6 3 2 3 2 2 2 2" xfId="21598" xr:uid="{00000000-0005-0000-0000-000037520000}"/>
    <cellStyle name="40% - Accent6 3 2 3 2 2 2 3" xfId="21599" xr:uid="{00000000-0005-0000-0000-000038520000}"/>
    <cellStyle name="40% - Accent6 3 2 3 2 2 3" xfId="21600" xr:uid="{00000000-0005-0000-0000-000039520000}"/>
    <cellStyle name="40% - Accent6 3 2 3 2 2 4" xfId="21601" xr:uid="{00000000-0005-0000-0000-00003A520000}"/>
    <cellStyle name="40% - Accent6 3 2 3 2 2 5" xfId="21602" xr:uid="{00000000-0005-0000-0000-00003B520000}"/>
    <cellStyle name="40% - Accent6 3 2 3 2 2 6" xfId="21603" xr:uid="{00000000-0005-0000-0000-00003C520000}"/>
    <cellStyle name="40% - Accent6 3 2 3 2 3" xfId="21604" xr:uid="{00000000-0005-0000-0000-00003D520000}"/>
    <cellStyle name="40% - Accent6 3 2 3 2 3 2" xfId="21605" xr:uid="{00000000-0005-0000-0000-00003E520000}"/>
    <cellStyle name="40% - Accent6 3 2 3 2 3 2 2" xfId="21606" xr:uid="{00000000-0005-0000-0000-00003F520000}"/>
    <cellStyle name="40% - Accent6 3 2 3 2 3 2 3" xfId="21607" xr:uid="{00000000-0005-0000-0000-000040520000}"/>
    <cellStyle name="40% - Accent6 3 2 3 2 3 3" xfId="21608" xr:uid="{00000000-0005-0000-0000-000041520000}"/>
    <cellStyle name="40% - Accent6 3 2 3 2 3 4" xfId="21609" xr:uid="{00000000-0005-0000-0000-000042520000}"/>
    <cellStyle name="40% - Accent6 3 2 3 2 3 5" xfId="21610" xr:uid="{00000000-0005-0000-0000-000043520000}"/>
    <cellStyle name="40% - Accent6 3 2 3 2 3 6" xfId="21611" xr:uid="{00000000-0005-0000-0000-000044520000}"/>
    <cellStyle name="40% - Accent6 3 2 3 2 4" xfId="21612" xr:uid="{00000000-0005-0000-0000-000045520000}"/>
    <cellStyle name="40% - Accent6 3 2 3 2 4 2" xfId="21613" xr:uid="{00000000-0005-0000-0000-000046520000}"/>
    <cellStyle name="40% - Accent6 3 2 3 2 4 3" xfId="21614" xr:uid="{00000000-0005-0000-0000-000047520000}"/>
    <cellStyle name="40% - Accent6 3 2 3 2 5" xfId="21615" xr:uid="{00000000-0005-0000-0000-000048520000}"/>
    <cellStyle name="40% - Accent6 3 2 3 2 6" xfId="21616" xr:uid="{00000000-0005-0000-0000-000049520000}"/>
    <cellStyle name="40% - Accent6 3 2 3 2 7" xfId="21617" xr:uid="{00000000-0005-0000-0000-00004A520000}"/>
    <cellStyle name="40% - Accent6 3 2 3 2 8" xfId="21618" xr:uid="{00000000-0005-0000-0000-00004B520000}"/>
    <cellStyle name="40% - Accent6 3 2 3 3" xfId="21619" xr:uid="{00000000-0005-0000-0000-00004C520000}"/>
    <cellStyle name="40% - Accent6 3 2 3 3 2" xfId="21620" xr:uid="{00000000-0005-0000-0000-00004D520000}"/>
    <cellStyle name="40% - Accent6 3 2 3 3 2 2" xfId="21621" xr:uid="{00000000-0005-0000-0000-00004E520000}"/>
    <cellStyle name="40% - Accent6 3 2 3 3 2 2 2" xfId="21622" xr:uid="{00000000-0005-0000-0000-00004F520000}"/>
    <cellStyle name="40% - Accent6 3 2 3 3 2 2 3" xfId="21623" xr:uid="{00000000-0005-0000-0000-000050520000}"/>
    <cellStyle name="40% - Accent6 3 2 3 3 2 3" xfId="21624" xr:uid="{00000000-0005-0000-0000-000051520000}"/>
    <cellStyle name="40% - Accent6 3 2 3 3 2 4" xfId="21625" xr:uid="{00000000-0005-0000-0000-000052520000}"/>
    <cellStyle name="40% - Accent6 3 2 3 3 2 5" xfId="21626" xr:uid="{00000000-0005-0000-0000-000053520000}"/>
    <cellStyle name="40% - Accent6 3 2 3 3 2 6" xfId="21627" xr:uid="{00000000-0005-0000-0000-000054520000}"/>
    <cellStyle name="40% - Accent6 3 2 3 3 3" xfId="21628" xr:uid="{00000000-0005-0000-0000-000055520000}"/>
    <cellStyle name="40% - Accent6 3 2 3 3 3 2" xfId="21629" xr:uid="{00000000-0005-0000-0000-000056520000}"/>
    <cellStyle name="40% - Accent6 3 2 3 3 3 3" xfId="21630" xr:uid="{00000000-0005-0000-0000-000057520000}"/>
    <cellStyle name="40% - Accent6 3 2 3 3 4" xfId="21631" xr:uid="{00000000-0005-0000-0000-000058520000}"/>
    <cellStyle name="40% - Accent6 3 2 3 3 5" xfId="21632" xr:uid="{00000000-0005-0000-0000-000059520000}"/>
    <cellStyle name="40% - Accent6 3 2 3 3 6" xfId="21633" xr:uid="{00000000-0005-0000-0000-00005A520000}"/>
    <cellStyle name="40% - Accent6 3 2 3 3 7" xfId="21634" xr:uid="{00000000-0005-0000-0000-00005B520000}"/>
    <cellStyle name="40% - Accent6 3 2 3 4" xfId="21635" xr:uid="{00000000-0005-0000-0000-00005C520000}"/>
    <cellStyle name="40% - Accent6 3 2 3 4 2" xfId="21636" xr:uid="{00000000-0005-0000-0000-00005D520000}"/>
    <cellStyle name="40% - Accent6 3 2 3 4 2 2" xfId="21637" xr:uid="{00000000-0005-0000-0000-00005E520000}"/>
    <cellStyle name="40% - Accent6 3 2 3 4 2 3" xfId="21638" xr:uid="{00000000-0005-0000-0000-00005F520000}"/>
    <cellStyle name="40% - Accent6 3 2 3 4 3" xfId="21639" xr:uid="{00000000-0005-0000-0000-000060520000}"/>
    <cellStyle name="40% - Accent6 3 2 3 4 4" xfId="21640" xr:uid="{00000000-0005-0000-0000-000061520000}"/>
    <cellStyle name="40% - Accent6 3 2 3 4 5" xfId="21641" xr:uid="{00000000-0005-0000-0000-000062520000}"/>
    <cellStyle name="40% - Accent6 3 2 3 4 6" xfId="21642" xr:uid="{00000000-0005-0000-0000-000063520000}"/>
    <cellStyle name="40% - Accent6 3 2 3 5" xfId="21643" xr:uid="{00000000-0005-0000-0000-000064520000}"/>
    <cellStyle name="40% - Accent6 3 2 3 5 2" xfId="21644" xr:uid="{00000000-0005-0000-0000-000065520000}"/>
    <cellStyle name="40% - Accent6 3 2 3 5 2 2" xfId="21645" xr:uid="{00000000-0005-0000-0000-000066520000}"/>
    <cellStyle name="40% - Accent6 3 2 3 5 2 3" xfId="21646" xr:uid="{00000000-0005-0000-0000-000067520000}"/>
    <cellStyle name="40% - Accent6 3 2 3 5 3" xfId="21647" xr:uid="{00000000-0005-0000-0000-000068520000}"/>
    <cellStyle name="40% - Accent6 3 2 3 5 4" xfId="21648" xr:uid="{00000000-0005-0000-0000-000069520000}"/>
    <cellStyle name="40% - Accent6 3 2 3 5 5" xfId="21649" xr:uid="{00000000-0005-0000-0000-00006A520000}"/>
    <cellStyle name="40% - Accent6 3 2 3 5 6" xfId="21650" xr:uid="{00000000-0005-0000-0000-00006B520000}"/>
    <cellStyle name="40% - Accent6 3 2 3 6" xfId="21651" xr:uid="{00000000-0005-0000-0000-00006C520000}"/>
    <cellStyle name="40% - Accent6 3 2 3 6 2" xfId="21652" xr:uid="{00000000-0005-0000-0000-00006D520000}"/>
    <cellStyle name="40% - Accent6 3 2 3 6 3" xfId="21653" xr:uid="{00000000-0005-0000-0000-00006E520000}"/>
    <cellStyle name="40% - Accent6 3 2 3 7" xfId="21654" xr:uid="{00000000-0005-0000-0000-00006F520000}"/>
    <cellStyle name="40% - Accent6 3 2 3 8" xfId="21655" xr:uid="{00000000-0005-0000-0000-000070520000}"/>
    <cellStyle name="40% - Accent6 3 2 3 9" xfId="21656" xr:uid="{00000000-0005-0000-0000-000071520000}"/>
    <cellStyle name="40% - Accent6 3 2 4" xfId="21657" xr:uid="{00000000-0005-0000-0000-000072520000}"/>
    <cellStyle name="40% - Accent6 3 2 4 2" xfId="21658" xr:uid="{00000000-0005-0000-0000-000073520000}"/>
    <cellStyle name="40% - Accent6 3 2 4 2 2" xfId="21659" xr:uid="{00000000-0005-0000-0000-000074520000}"/>
    <cellStyle name="40% - Accent6 3 2 4 2 2 2" xfId="21660" xr:uid="{00000000-0005-0000-0000-000075520000}"/>
    <cellStyle name="40% - Accent6 3 2 4 2 2 2 2" xfId="21661" xr:uid="{00000000-0005-0000-0000-000076520000}"/>
    <cellStyle name="40% - Accent6 3 2 4 2 2 2 3" xfId="21662" xr:uid="{00000000-0005-0000-0000-000077520000}"/>
    <cellStyle name="40% - Accent6 3 2 4 2 2 3" xfId="21663" xr:uid="{00000000-0005-0000-0000-000078520000}"/>
    <cellStyle name="40% - Accent6 3 2 4 2 2 4" xfId="21664" xr:uid="{00000000-0005-0000-0000-000079520000}"/>
    <cellStyle name="40% - Accent6 3 2 4 2 2 5" xfId="21665" xr:uid="{00000000-0005-0000-0000-00007A520000}"/>
    <cellStyle name="40% - Accent6 3 2 4 2 2 6" xfId="21666" xr:uid="{00000000-0005-0000-0000-00007B520000}"/>
    <cellStyle name="40% - Accent6 3 2 4 2 3" xfId="21667" xr:uid="{00000000-0005-0000-0000-00007C520000}"/>
    <cellStyle name="40% - Accent6 3 2 4 2 3 2" xfId="21668" xr:uid="{00000000-0005-0000-0000-00007D520000}"/>
    <cellStyle name="40% - Accent6 3 2 4 2 3 3" xfId="21669" xr:uid="{00000000-0005-0000-0000-00007E520000}"/>
    <cellStyle name="40% - Accent6 3 2 4 2 4" xfId="21670" xr:uid="{00000000-0005-0000-0000-00007F520000}"/>
    <cellStyle name="40% - Accent6 3 2 4 2 5" xfId="21671" xr:uid="{00000000-0005-0000-0000-000080520000}"/>
    <cellStyle name="40% - Accent6 3 2 4 2 6" xfId="21672" xr:uid="{00000000-0005-0000-0000-000081520000}"/>
    <cellStyle name="40% - Accent6 3 2 4 2 7" xfId="21673" xr:uid="{00000000-0005-0000-0000-000082520000}"/>
    <cellStyle name="40% - Accent6 3 2 4 3" xfId="21674" xr:uid="{00000000-0005-0000-0000-000083520000}"/>
    <cellStyle name="40% - Accent6 3 2 4 3 2" xfId="21675" xr:uid="{00000000-0005-0000-0000-000084520000}"/>
    <cellStyle name="40% - Accent6 3 2 4 3 2 2" xfId="21676" xr:uid="{00000000-0005-0000-0000-000085520000}"/>
    <cellStyle name="40% - Accent6 3 2 4 3 2 3" xfId="21677" xr:uid="{00000000-0005-0000-0000-000086520000}"/>
    <cellStyle name="40% - Accent6 3 2 4 3 3" xfId="21678" xr:uid="{00000000-0005-0000-0000-000087520000}"/>
    <cellStyle name="40% - Accent6 3 2 4 3 4" xfId="21679" xr:uid="{00000000-0005-0000-0000-000088520000}"/>
    <cellStyle name="40% - Accent6 3 2 4 3 5" xfId="21680" xr:uid="{00000000-0005-0000-0000-000089520000}"/>
    <cellStyle name="40% - Accent6 3 2 4 3 6" xfId="21681" xr:uid="{00000000-0005-0000-0000-00008A520000}"/>
    <cellStyle name="40% - Accent6 3 2 4 4" xfId="21682" xr:uid="{00000000-0005-0000-0000-00008B520000}"/>
    <cellStyle name="40% - Accent6 3 2 4 4 2" xfId="21683" xr:uid="{00000000-0005-0000-0000-00008C520000}"/>
    <cellStyle name="40% - Accent6 3 2 4 4 2 2" xfId="21684" xr:uid="{00000000-0005-0000-0000-00008D520000}"/>
    <cellStyle name="40% - Accent6 3 2 4 4 2 3" xfId="21685" xr:uid="{00000000-0005-0000-0000-00008E520000}"/>
    <cellStyle name="40% - Accent6 3 2 4 4 3" xfId="21686" xr:uid="{00000000-0005-0000-0000-00008F520000}"/>
    <cellStyle name="40% - Accent6 3 2 4 4 4" xfId="21687" xr:uid="{00000000-0005-0000-0000-000090520000}"/>
    <cellStyle name="40% - Accent6 3 2 4 4 5" xfId="21688" xr:uid="{00000000-0005-0000-0000-000091520000}"/>
    <cellStyle name="40% - Accent6 3 2 4 4 6" xfId="21689" xr:uid="{00000000-0005-0000-0000-000092520000}"/>
    <cellStyle name="40% - Accent6 3 2 4 5" xfId="21690" xr:uid="{00000000-0005-0000-0000-000093520000}"/>
    <cellStyle name="40% - Accent6 3 2 4 5 2" xfId="21691" xr:uid="{00000000-0005-0000-0000-000094520000}"/>
    <cellStyle name="40% - Accent6 3 2 4 5 3" xfId="21692" xr:uid="{00000000-0005-0000-0000-000095520000}"/>
    <cellStyle name="40% - Accent6 3 2 4 6" xfId="21693" xr:uid="{00000000-0005-0000-0000-000096520000}"/>
    <cellStyle name="40% - Accent6 3 2 4 7" xfId="21694" xr:uid="{00000000-0005-0000-0000-000097520000}"/>
    <cellStyle name="40% - Accent6 3 2 4 8" xfId="21695" xr:uid="{00000000-0005-0000-0000-000098520000}"/>
    <cellStyle name="40% - Accent6 3 2 4 9" xfId="21696" xr:uid="{00000000-0005-0000-0000-000099520000}"/>
    <cellStyle name="40% - Accent6 3 2 5" xfId="21697" xr:uid="{00000000-0005-0000-0000-00009A520000}"/>
    <cellStyle name="40% - Accent6 3 2 5 2" xfId="21698" xr:uid="{00000000-0005-0000-0000-00009B520000}"/>
    <cellStyle name="40% - Accent6 3 2 5 2 2" xfId="21699" xr:uid="{00000000-0005-0000-0000-00009C520000}"/>
    <cellStyle name="40% - Accent6 3 2 5 2 2 2" xfId="21700" xr:uid="{00000000-0005-0000-0000-00009D520000}"/>
    <cellStyle name="40% - Accent6 3 2 5 2 2 3" xfId="21701" xr:uid="{00000000-0005-0000-0000-00009E520000}"/>
    <cellStyle name="40% - Accent6 3 2 5 2 3" xfId="21702" xr:uid="{00000000-0005-0000-0000-00009F520000}"/>
    <cellStyle name="40% - Accent6 3 2 5 2 4" xfId="21703" xr:uid="{00000000-0005-0000-0000-0000A0520000}"/>
    <cellStyle name="40% - Accent6 3 2 5 2 5" xfId="21704" xr:uid="{00000000-0005-0000-0000-0000A1520000}"/>
    <cellStyle name="40% - Accent6 3 2 5 2 6" xfId="21705" xr:uid="{00000000-0005-0000-0000-0000A2520000}"/>
    <cellStyle name="40% - Accent6 3 2 5 3" xfId="21706" xr:uid="{00000000-0005-0000-0000-0000A3520000}"/>
    <cellStyle name="40% - Accent6 3 2 5 3 2" xfId="21707" xr:uid="{00000000-0005-0000-0000-0000A4520000}"/>
    <cellStyle name="40% - Accent6 3 2 5 3 3" xfId="21708" xr:uid="{00000000-0005-0000-0000-0000A5520000}"/>
    <cellStyle name="40% - Accent6 3 2 5 4" xfId="21709" xr:uid="{00000000-0005-0000-0000-0000A6520000}"/>
    <cellStyle name="40% - Accent6 3 2 5 5" xfId="21710" xr:uid="{00000000-0005-0000-0000-0000A7520000}"/>
    <cellStyle name="40% - Accent6 3 2 5 6" xfId="21711" xr:uid="{00000000-0005-0000-0000-0000A8520000}"/>
    <cellStyle name="40% - Accent6 3 2 5 7" xfId="21712" xr:uid="{00000000-0005-0000-0000-0000A9520000}"/>
    <cellStyle name="40% - Accent6 3 2 6" xfId="21713" xr:uid="{00000000-0005-0000-0000-0000AA520000}"/>
    <cellStyle name="40% - Accent6 3 2 6 2" xfId="21714" xr:uid="{00000000-0005-0000-0000-0000AB520000}"/>
    <cellStyle name="40% - Accent6 3 2 6 2 2" xfId="21715" xr:uid="{00000000-0005-0000-0000-0000AC520000}"/>
    <cellStyle name="40% - Accent6 3 2 6 2 3" xfId="21716" xr:uid="{00000000-0005-0000-0000-0000AD520000}"/>
    <cellStyle name="40% - Accent6 3 2 6 3" xfId="21717" xr:uid="{00000000-0005-0000-0000-0000AE520000}"/>
    <cellStyle name="40% - Accent6 3 2 6 4" xfId="21718" xr:uid="{00000000-0005-0000-0000-0000AF520000}"/>
    <cellStyle name="40% - Accent6 3 2 6 5" xfId="21719" xr:uid="{00000000-0005-0000-0000-0000B0520000}"/>
    <cellStyle name="40% - Accent6 3 2 6 6" xfId="21720" xr:uid="{00000000-0005-0000-0000-0000B1520000}"/>
    <cellStyle name="40% - Accent6 3 2 7" xfId="21721" xr:uid="{00000000-0005-0000-0000-0000B2520000}"/>
    <cellStyle name="40% - Accent6 3 2 7 2" xfId="21722" xr:uid="{00000000-0005-0000-0000-0000B3520000}"/>
    <cellStyle name="40% - Accent6 3 2 7 2 2" xfId="21723" xr:uid="{00000000-0005-0000-0000-0000B4520000}"/>
    <cellStyle name="40% - Accent6 3 2 7 2 3" xfId="21724" xr:uid="{00000000-0005-0000-0000-0000B5520000}"/>
    <cellStyle name="40% - Accent6 3 2 7 3" xfId="21725" xr:uid="{00000000-0005-0000-0000-0000B6520000}"/>
    <cellStyle name="40% - Accent6 3 2 7 4" xfId="21726" xr:uid="{00000000-0005-0000-0000-0000B7520000}"/>
    <cellStyle name="40% - Accent6 3 2 7 5" xfId="21727" xr:uid="{00000000-0005-0000-0000-0000B8520000}"/>
    <cellStyle name="40% - Accent6 3 2 7 6" xfId="21728" xr:uid="{00000000-0005-0000-0000-0000B9520000}"/>
    <cellStyle name="40% - Accent6 3 2 8" xfId="21729" xr:uid="{00000000-0005-0000-0000-0000BA520000}"/>
    <cellStyle name="40% - Accent6 3 2 8 2" xfId="21730" xr:uid="{00000000-0005-0000-0000-0000BB520000}"/>
    <cellStyle name="40% - Accent6 3 2 8 2 2" xfId="21731" xr:uid="{00000000-0005-0000-0000-0000BC520000}"/>
    <cellStyle name="40% - Accent6 3 2 8 2 3" xfId="21732" xr:uid="{00000000-0005-0000-0000-0000BD520000}"/>
    <cellStyle name="40% - Accent6 3 2 8 3" xfId="21733" xr:uid="{00000000-0005-0000-0000-0000BE520000}"/>
    <cellStyle name="40% - Accent6 3 2 8 4" xfId="21734" xr:uid="{00000000-0005-0000-0000-0000BF520000}"/>
    <cellStyle name="40% - Accent6 3 2 8 5" xfId="21735" xr:uid="{00000000-0005-0000-0000-0000C0520000}"/>
    <cellStyle name="40% - Accent6 3 2 8 6" xfId="21736" xr:uid="{00000000-0005-0000-0000-0000C1520000}"/>
    <cellStyle name="40% - Accent6 3 2 9" xfId="21737" xr:uid="{00000000-0005-0000-0000-0000C2520000}"/>
    <cellStyle name="40% - Accent6 3 2 9 2" xfId="21738" xr:uid="{00000000-0005-0000-0000-0000C3520000}"/>
    <cellStyle name="40% - Accent6 3 2 9 2 2" xfId="21739" xr:uid="{00000000-0005-0000-0000-0000C4520000}"/>
    <cellStyle name="40% - Accent6 3 2 9 2 3" xfId="21740" xr:uid="{00000000-0005-0000-0000-0000C5520000}"/>
    <cellStyle name="40% - Accent6 3 2 9 3" xfId="21741" xr:uid="{00000000-0005-0000-0000-0000C6520000}"/>
    <cellStyle name="40% - Accent6 3 2 9 4" xfId="21742" xr:uid="{00000000-0005-0000-0000-0000C7520000}"/>
    <cellStyle name="40% - Accent6 3 2 9 5" xfId="21743" xr:uid="{00000000-0005-0000-0000-0000C8520000}"/>
    <cellStyle name="40% - Accent6 3 2 9 6" xfId="21744" xr:uid="{00000000-0005-0000-0000-0000C9520000}"/>
    <cellStyle name="40% - Accent6 3 3" xfId="21745" xr:uid="{00000000-0005-0000-0000-0000CA520000}"/>
    <cellStyle name="40% - Accent6 3 3 10" xfId="21746" xr:uid="{00000000-0005-0000-0000-0000CB520000}"/>
    <cellStyle name="40% - Accent6 3 3 10 2" xfId="21747" xr:uid="{00000000-0005-0000-0000-0000CC520000}"/>
    <cellStyle name="40% - Accent6 3 3 10 3" xfId="21748" xr:uid="{00000000-0005-0000-0000-0000CD520000}"/>
    <cellStyle name="40% - Accent6 3 3 11" xfId="21749" xr:uid="{00000000-0005-0000-0000-0000CE520000}"/>
    <cellStyle name="40% - Accent6 3 3 12" xfId="21750" xr:uid="{00000000-0005-0000-0000-0000CF520000}"/>
    <cellStyle name="40% - Accent6 3 3 13" xfId="21751" xr:uid="{00000000-0005-0000-0000-0000D0520000}"/>
    <cellStyle name="40% - Accent6 3 3 14" xfId="21752" xr:uid="{00000000-0005-0000-0000-0000D1520000}"/>
    <cellStyle name="40% - Accent6 3 3 2" xfId="21753" xr:uid="{00000000-0005-0000-0000-0000D2520000}"/>
    <cellStyle name="40% - Accent6 3 3 2 10" xfId="21754" xr:uid="{00000000-0005-0000-0000-0000D3520000}"/>
    <cellStyle name="40% - Accent6 3 3 2 11" xfId="21755" xr:uid="{00000000-0005-0000-0000-0000D4520000}"/>
    <cellStyle name="40% - Accent6 3 3 2 12" xfId="21756" xr:uid="{00000000-0005-0000-0000-0000D5520000}"/>
    <cellStyle name="40% - Accent6 3 3 2 13" xfId="21757" xr:uid="{00000000-0005-0000-0000-0000D6520000}"/>
    <cellStyle name="40% - Accent6 3 3 2 2" xfId="21758" xr:uid="{00000000-0005-0000-0000-0000D7520000}"/>
    <cellStyle name="40% - Accent6 3 3 2 2 10" xfId="21759" xr:uid="{00000000-0005-0000-0000-0000D8520000}"/>
    <cellStyle name="40% - Accent6 3 3 2 2 2" xfId="21760" xr:uid="{00000000-0005-0000-0000-0000D9520000}"/>
    <cellStyle name="40% - Accent6 3 3 2 2 2 2" xfId="21761" xr:uid="{00000000-0005-0000-0000-0000DA520000}"/>
    <cellStyle name="40% - Accent6 3 3 2 2 2 2 2" xfId="21762" xr:uid="{00000000-0005-0000-0000-0000DB520000}"/>
    <cellStyle name="40% - Accent6 3 3 2 2 2 2 2 2" xfId="21763" xr:uid="{00000000-0005-0000-0000-0000DC520000}"/>
    <cellStyle name="40% - Accent6 3 3 2 2 2 2 2 3" xfId="21764" xr:uid="{00000000-0005-0000-0000-0000DD520000}"/>
    <cellStyle name="40% - Accent6 3 3 2 2 2 2 3" xfId="21765" xr:uid="{00000000-0005-0000-0000-0000DE520000}"/>
    <cellStyle name="40% - Accent6 3 3 2 2 2 2 4" xfId="21766" xr:uid="{00000000-0005-0000-0000-0000DF520000}"/>
    <cellStyle name="40% - Accent6 3 3 2 2 2 2 5" xfId="21767" xr:uid="{00000000-0005-0000-0000-0000E0520000}"/>
    <cellStyle name="40% - Accent6 3 3 2 2 2 2 6" xfId="21768" xr:uid="{00000000-0005-0000-0000-0000E1520000}"/>
    <cellStyle name="40% - Accent6 3 3 2 2 2 3" xfId="21769" xr:uid="{00000000-0005-0000-0000-0000E2520000}"/>
    <cellStyle name="40% - Accent6 3 3 2 2 2 3 2" xfId="21770" xr:uid="{00000000-0005-0000-0000-0000E3520000}"/>
    <cellStyle name="40% - Accent6 3 3 2 2 2 3 2 2" xfId="21771" xr:uid="{00000000-0005-0000-0000-0000E4520000}"/>
    <cellStyle name="40% - Accent6 3 3 2 2 2 3 2 3" xfId="21772" xr:uid="{00000000-0005-0000-0000-0000E5520000}"/>
    <cellStyle name="40% - Accent6 3 3 2 2 2 3 3" xfId="21773" xr:uid="{00000000-0005-0000-0000-0000E6520000}"/>
    <cellStyle name="40% - Accent6 3 3 2 2 2 3 4" xfId="21774" xr:uid="{00000000-0005-0000-0000-0000E7520000}"/>
    <cellStyle name="40% - Accent6 3 3 2 2 2 3 5" xfId="21775" xr:uid="{00000000-0005-0000-0000-0000E8520000}"/>
    <cellStyle name="40% - Accent6 3 3 2 2 2 3 6" xfId="21776" xr:uid="{00000000-0005-0000-0000-0000E9520000}"/>
    <cellStyle name="40% - Accent6 3 3 2 2 2 4" xfId="21777" xr:uid="{00000000-0005-0000-0000-0000EA520000}"/>
    <cellStyle name="40% - Accent6 3 3 2 2 2 4 2" xfId="21778" xr:uid="{00000000-0005-0000-0000-0000EB520000}"/>
    <cellStyle name="40% - Accent6 3 3 2 2 2 4 3" xfId="21779" xr:uid="{00000000-0005-0000-0000-0000EC520000}"/>
    <cellStyle name="40% - Accent6 3 3 2 2 2 5" xfId="21780" xr:uid="{00000000-0005-0000-0000-0000ED520000}"/>
    <cellStyle name="40% - Accent6 3 3 2 2 2 6" xfId="21781" xr:uid="{00000000-0005-0000-0000-0000EE520000}"/>
    <cellStyle name="40% - Accent6 3 3 2 2 2 7" xfId="21782" xr:uid="{00000000-0005-0000-0000-0000EF520000}"/>
    <cellStyle name="40% - Accent6 3 3 2 2 2 8" xfId="21783" xr:uid="{00000000-0005-0000-0000-0000F0520000}"/>
    <cellStyle name="40% - Accent6 3 3 2 2 3" xfId="21784" xr:uid="{00000000-0005-0000-0000-0000F1520000}"/>
    <cellStyle name="40% - Accent6 3 3 2 2 3 2" xfId="21785" xr:uid="{00000000-0005-0000-0000-0000F2520000}"/>
    <cellStyle name="40% - Accent6 3 3 2 2 3 2 2" xfId="21786" xr:uid="{00000000-0005-0000-0000-0000F3520000}"/>
    <cellStyle name="40% - Accent6 3 3 2 2 3 2 2 2" xfId="21787" xr:uid="{00000000-0005-0000-0000-0000F4520000}"/>
    <cellStyle name="40% - Accent6 3 3 2 2 3 2 2 3" xfId="21788" xr:uid="{00000000-0005-0000-0000-0000F5520000}"/>
    <cellStyle name="40% - Accent6 3 3 2 2 3 2 3" xfId="21789" xr:uid="{00000000-0005-0000-0000-0000F6520000}"/>
    <cellStyle name="40% - Accent6 3 3 2 2 3 2 4" xfId="21790" xr:uid="{00000000-0005-0000-0000-0000F7520000}"/>
    <cellStyle name="40% - Accent6 3 3 2 2 3 2 5" xfId="21791" xr:uid="{00000000-0005-0000-0000-0000F8520000}"/>
    <cellStyle name="40% - Accent6 3 3 2 2 3 2 6" xfId="21792" xr:uid="{00000000-0005-0000-0000-0000F9520000}"/>
    <cellStyle name="40% - Accent6 3 3 2 2 3 3" xfId="21793" xr:uid="{00000000-0005-0000-0000-0000FA520000}"/>
    <cellStyle name="40% - Accent6 3 3 2 2 3 3 2" xfId="21794" xr:uid="{00000000-0005-0000-0000-0000FB520000}"/>
    <cellStyle name="40% - Accent6 3 3 2 2 3 3 3" xfId="21795" xr:uid="{00000000-0005-0000-0000-0000FC520000}"/>
    <cellStyle name="40% - Accent6 3 3 2 2 3 4" xfId="21796" xr:uid="{00000000-0005-0000-0000-0000FD520000}"/>
    <cellStyle name="40% - Accent6 3 3 2 2 3 5" xfId="21797" xr:uid="{00000000-0005-0000-0000-0000FE520000}"/>
    <cellStyle name="40% - Accent6 3 3 2 2 3 6" xfId="21798" xr:uid="{00000000-0005-0000-0000-0000FF520000}"/>
    <cellStyle name="40% - Accent6 3 3 2 2 3 7" xfId="21799" xr:uid="{00000000-0005-0000-0000-000000530000}"/>
    <cellStyle name="40% - Accent6 3 3 2 2 4" xfId="21800" xr:uid="{00000000-0005-0000-0000-000001530000}"/>
    <cellStyle name="40% - Accent6 3 3 2 2 4 2" xfId="21801" xr:uid="{00000000-0005-0000-0000-000002530000}"/>
    <cellStyle name="40% - Accent6 3 3 2 2 4 2 2" xfId="21802" xr:uid="{00000000-0005-0000-0000-000003530000}"/>
    <cellStyle name="40% - Accent6 3 3 2 2 4 2 3" xfId="21803" xr:uid="{00000000-0005-0000-0000-000004530000}"/>
    <cellStyle name="40% - Accent6 3 3 2 2 4 3" xfId="21804" xr:uid="{00000000-0005-0000-0000-000005530000}"/>
    <cellStyle name="40% - Accent6 3 3 2 2 4 4" xfId="21805" xr:uid="{00000000-0005-0000-0000-000006530000}"/>
    <cellStyle name="40% - Accent6 3 3 2 2 4 5" xfId="21806" xr:uid="{00000000-0005-0000-0000-000007530000}"/>
    <cellStyle name="40% - Accent6 3 3 2 2 4 6" xfId="21807" xr:uid="{00000000-0005-0000-0000-000008530000}"/>
    <cellStyle name="40% - Accent6 3 3 2 2 5" xfId="21808" xr:uid="{00000000-0005-0000-0000-000009530000}"/>
    <cellStyle name="40% - Accent6 3 3 2 2 5 2" xfId="21809" xr:uid="{00000000-0005-0000-0000-00000A530000}"/>
    <cellStyle name="40% - Accent6 3 3 2 2 5 2 2" xfId="21810" xr:uid="{00000000-0005-0000-0000-00000B530000}"/>
    <cellStyle name="40% - Accent6 3 3 2 2 5 2 3" xfId="21811" xr:uid="{00000000-0005-0000-0000-00000C530000}"/>
    <cellStyle name="40% - Accent6 3 3 2 2 5 3" xfId="21812" xr:uid="{00000000-0005-0000-0000-00000D530000}"/>
    <cellStyle name="40% - Accent6 3 3 2 2 5 4" xfId="21813" xr:uid="{00000000-0005-0000-0000-00000E530000}"/>
    <cellStyle name="40% - Accent6 3 3 2 2 5 5" xfId="21814" xr:uid="{00000000-0005-0000-0000-00000F530000}"/>
    <cellStyle name="40% - Accent6 3 3 2 2 5 6" xfId="21815" xr:uid="{00000000-0005-0000-0000-000010530000}"/>
    <cellStyle name="40% - Accent6 3 3 2 2 6" xfId="21816" xr:uid="{00000000-0005-0000-0000-000011530000}"/>
    <cellStyle name="40% - Accent6 3 3 2 2 6 2" xfId="21817" xr:uid="{00000000-0005-0000-0000-000012530000}"/>
    <cellStyle name="40% - Accent6 3 3 2 2 6 3" xfId="21818" xr:uid="{00000000-0005-0000-0000-000013530000}"/>
    <cellStyle name="40% - Accent6 3 3 2 2 7" xfId="21819" xr:uid="{00000000-0005-0000-0000-000014530000}"/>
    <cellStyle name="40% - Accent6 3 3 2 2 8" xfId="21820" xr:uid="{00000000-0005-0000-0000-000015530000}"/>
    <cellStyle name="40% - Accent6 3 3 2 2 9" xfId="21821" xr:uid="{00000000-0005-0000-0000-000016530000}"/>
    <cellStyle name="40% - Accent6 3 3 2 3" xfId="21822" xr:uid="{00000000-0005-0000-0000-000017530000}"/>
    <cellStyle name="40% - Accent6 3 3 2 3 2" xfId="21823" xr:uid="{00000000-0005-0000-0000-000018530000}"/>
    <cellStyle name="40% - Accent6 3 3 2 3 2 2" xfId="21824" xr:uid="{00000000-0005-0000-0000-000019530000}"/>
    <cellStyle name="40% - Accent6 3 3 2 3 2 2 2" xfId="21825" xr:uid="{00000000-0005-0000-0000-00001A530000}"/>
    <cellStyle name="40% - Accent6 3 3 2 3 2 2 2 2" xfId="21826" xr:uid="{00000000-0005-0000-0000-00001B530000}"/>
    <cellStyle name="40% - Accent6 3 3 2 3 2 2 2 3" xfId="21827" xr:uid="{00000000-0005-0000-0000-00001C530000}"/>
    <cellStyle name="40% - Accent6 3 3 2 3 2 2 3" xfId="21828" xr:uid="{00000000-0005-0000-0000-00001D530000}"/>
    <cellStyle name="40% - Accent6 3 3 2 3 2 2 4" xfId="21829" xr:uid="{00000000-0005-0000-0000-00001E530000}"/>
    <cellStyle name="40% - Accent6 3 3 2 3 2 2 5" xfId="21830" xr:uid="{00000000-0005-0000-0000-00001F530000}"/>
    <cellStyle name="40% - Accent6 3 3 2 3 2 2 6" xfId="21831" xr:uid="{00000000-0005-0000-0000-000020530000}"/>
    <cellStyle name="40% - Accent6 3 3 2 3 2 3" xfId="21832" xr:uid="{00000000-0005-0000-0000-000021530000}"/>
    <cellStyle name="40% - Accent6 3 3 2 3 2 3 2" xfId="21833" xr:uid="{00000000-0005-0000-0000-000022530000}"/>
    <cellStyle name="40% - Accent6 3 3 2 3 2 3 3" xfId="21834" xr:uid="{00000000-0005-0000-0000-000023530000}"/>
    <cellStyle name="40% - Accent6 3 3 2 3 2 4" xfId="21835" xr:uid="{00000000-0005-0000-0000-000024530000}"/>
    <cellStyle name="40% - Accent6 3 3 2 3 2 5" xfId="21836" xr:uid="{00000000-0005-0000-0000-000025530000}"/>
    <cellStyle name="40% - Accent6 3 3 2 3 2 6" xfId="21837" xr:uid="{00000000-0005-0000-0000-000026530000}"/>
    <cellStyle name="40% - Accent6 3 3 2 3 2 7" xfId="21838" xr:uid="{00000000-0005-0000-0000-000027530000}"/>
    <cellStyle name="40% - Accent6 3 3 2 3 3" xfId="21839" xr:uid="{00000000-0005-0000-0000-000028530000}"/>
    <cellStyle name="40% - Accent6 3 3 2 3 3 2" xfId="21840" xr:uid="{00000000-0005-0000-0000-000029530000}"/>
    <cellStyle name="40% - Accent6 3 3 2 3 3 2 2" xfId="21841" xr:uid="{00000000-0005-0000-0000-00002A530000}"/>
    <cellStyle name="40% - Accent6 3 3 2 3 3 2 3" xfId="21842" xr:uid="{00000000-0005-0000-0000-00002B530000}"/>
    <cellStyle name="40% - Accent6 3 3 2 3 3 3" xfId="21843" xr:uid="{00000000-0005-0000-0000-00002C530000}"/>
    <cellStyle name="40% - Accent6 3 3 2 3 3 4" xfId="21844" xr:uid="{00000000-0005-0000-0000-00002D530000}"/>
    <cellStyle name="40% - Accent6 3 3 2 3 3 5" xfId="21845" xr:uid="{00000000-0005-0000-0000-00002E530000}"/>
    <cellStyle name="40% - Accent6 3 3 2 3 3 6" xfId="21846" xr:uid="{00000000-0005-0000-0000-00002F530000}"/>
    <cellStyle name="40% - Accent6 3 3 2 3 4" xfId="21847" xr:uid="{00000000-0005-0000-0000-000030530000}"/>
    <cellStyle name="40% - Accent6 3 3 2 3 4 2" xfId="21848" xr:uid="{00000000-0005-0000-0000-000031530000}"/>
    <cellStyle name="40% - Accent6 3 3 2 3 4 2 2" xfId="21849" xr:uid="{00000000-0005-0000-0000-000032530000}"/>
    <cellStyle name="40% - Accent6 3 3 2 3 4 2 3" xfId="21850" xr:uid="{00000000-0005-0000-0000-000033530000}"/>
    <cellStyle name="40% - Accent6 3 3 2 3 4 3" xfId="21851" xr:uid="{00000000-0005-0000-0000-000034530000}"/>
    <cellStyle name="40% - Accent6 3 3 2 3 4 4" xfId="21852" xr:uid="{00000000-0005-0000-0000-000035530000}"/>
    <cellStyle name="40% - Accent6 3 3 2 3 4 5" xfId="21853" xr:uid="{00000000-0005-0000-0000-000036530000}"/>
    <cellStyle name="40% - Accent6 3 3 2 3 4 6" xfId="21854" xr:uid="{00000000-0005-0000-0000-000037530000}"/>
    <cellStyle name="40% - Accent6 3 3 2 3 5" xfId="21855" xr:uid="{00000000-0005-0000-0000-000038530000}"/>
    <cellStyle name="40% - Accent6 3 3 2 3 5 2" xfId="21856" xr:uid="{00000000-0005-0000-0000-000039530000}"/>
    <cellStyle name="40% - Accent6 3 3 2 3 5 3" xfId="21857" xr:uid="{00000000-0005-0000-0000-00003A530000}"/>
    <cellStyle name="40% - Accent6 3 3 2 3 6" xfId="21858" xr:uid="{00000000-0005-0000-0000-00003B530000}"/>
    <cellStyle name="40% - Accent6 3 3 2 3 7" xfId="21859" xr:uid="{00000000-0005-0000-0000-00003C530000}"/>
    <cellStyle name="40% - Accent6 3 3 2 3 8" xfId="21860" xr:uid="{00000000-0005-0000-0000-00003D530000}"/>
    <cellStyle name="40% - Accent6 3 3 2 3 9" xfId="21861" xr:uid="{00000000-0005-0000-0000-00003E530000}"/>
    <cellStyle name="40% - Accent6 3 3 2 4" xfId="21862" xr:uid="{00000000-0005-0000-0000-00003F530000}"/>
    <cellStyle name="40% - Accent6 3 3 2 4 2" xfId="21863" xr:uid="{00000000-0005-0000-0000-000040530000}"/>
    <cellStyle name="40% - Accent6 3 3 2 4 2 2" xfId="21864" xr:uid="{00000000-0005-0000-0000-000041530000}"/>
    <cellStyle name="40% - Accent6 3 3 2 4 2 2 2" xfId="21865" xr:uid="{00000000-0005-0000-0000-000042530000}"/>
    <cellStyle name="40% - Accent6 3 3 2 4 2 2 3" xfId="21866" xr:uid="{00000000-0005-0000-0000-000043530000}"/>
    <cellStyle name="40% - Accent6 3 3 2 4 2 3" xfId="21867" xr:uid="{00000000-0005-0000-0000-000044530000}"/>
    <cellStyle name="40% - Accent6 3 3 2 4 2 4" xfId="21868" xr:uid="{00000000-0005-0000-0000-000045530000}"/>
    <cellStyle name="40% - Accent6 3 3 2 4 2 5" xfId="21869" xr:uid="{00000000-0005-0000-0000-000046530000}"/>
    <cellStyle name="40% - Accent6 3 3 2 4 2 6" xfId="21870" xr:uid="{00000000-0005-0000-0000-000047530000}"/>
    <cellStyle name="40% - Accent6 3 3 2 4 3" xfId="21871" xr:uid="{00000000-0005-0000-0000-000048530000}"/>
    <cellStyle name="40% - Accent6 3 3 2 4 3 2" xfId="21872" xr:uid="{00000000-0005-0000-0000-000049530000}"/>
    <cellStyle name="40% - Accent6 3 3 2 4 3 3" xfId="21873" xr:uid="{00000000-0005-0000-0000-00004A530000}"/>
    <cellStyle name="40% - Accent6 3 3 2 4 4" xfId="21874" xr:uid="{00000000-0005-0000-0000-00004B530000}"/>
    <cellStyle name="40% - Accent6 3 3 2 4 5" xfId="21875" xr:uid="{00000000-0005-0000-0000-00004C530000}"/>
    <cellStyle name="40% - Accent6 3 3 2 4 6" xfId="21876" xr:uid="{00000000-0005-0000-0000-00004D530000}"/>
    <cellStyle name="40% - Accent6 3 3 2 4 7" xfId="21877" xr:uid="{00000000-0005-0000-0000-00004E530000}"/>
    <cellStyle name="40% - Accent6 3 3 2 5" xfId="21878" xr:uid="{00000000-0005-0000-0000-00004F530000}"/>
    <cellStyle name="40% - Accent6 3 3 2 5 2" xfId="21879" xr:uid="{00000000-0005-0000-0000-000050530000}"/>
    <cellStyle name="40% - Accent6 3 3 2 5 2 2" xfId="21880" xr:uid="{00000000-0005-0000-0000-000051530000}"/>
    <cellStyle name="40% - Accent6 3 3 2 5 2 3" xfId="21881" xr:uid="{00000000-0005-0000-0000-000052530000}"/>
    <cellStyle name="40% - Accent6 3 3 2 5 3" xfId="21882" xr:uid="{00000000-0005-0000-0000-000053530000}"/>
    <cellStyle name="40% - Accent6 3 3 2 5 4" xfId="21883" xr:uid="{00000000-0005-0000-0000-000054530000}"/>
    <cellStyle name="40% - Accent6 3 3 2 5 5" xfId="21884" xr:uid="{00000000-0005-0000-0000-000055530000}"/>
    <cellStyle name="40% - Accent6 3 3 2 5 6" xfId="21885" xr:uid="{00000000-0005-0000-0000-000056530000}"/>
    <cellStyle name="40% - Accent6 3 3 2 6" xfId="21886" xr:uid="{00000000-0005-0000-0000-000057530000}"/>
    <cellStyle name="40% - Accent6 3 3 2 6 2" xfId="21887" xr:uid="{00000000-0005-0000-0000-000058530000}"/>
    <cellStyle name="40% - Accent6 3 3 2 6 2 2" xfId="21888" xr:uid="{00000000-0005-0000-0000-000059530000}"/>
    <cellStyle name="40% - Accent6 3 3 2 6 2 3" xfId="21889" xr:uid="{00000000-0005-0000-0000-00005A530000}"/>
    <cellStyle name="40% - Accent6 3 3 2 6 3" xfId="21890" xr:uid="{00000000-0005-0000-0000-00005B530000}"/>
    <cellStyle name="40% - Accent6 3 3 2 6 4" xfId="21891" xr:uid="{00000000-0005-0000-0000-00005C530000}"/>
    <cellStyle name="40% - Accent6 3 3 2 6 5" xfId="21892" xr:uid="{00000000-0005-0000-0000-00005D530000}"/>
    <cellStyle name="40% - Accent6 3 3 2 6 6" xfId="21893" xr:uid="{00000000-0005-0000-0000-00005E530000}"/>
    <cellStyle name="40% - Accent6 3 3 2 7" xfId="21894" xr:uid="{00000000-0005-0000-0000-00005F530000}"/>
    <cellStyle name="40% - Accent6 3 3 2 7 2" xfId="21895" xr:uid="{00000000-0005-0000-0000-000060530000}"/>
    <cellStyle name="40% - Accent6 3 3 2 7 2 2" xfId="21896" xr:uid="{00000000-0005-0000-0000-000061530000}"/>
    <cellStyle name="40% - Accent6 3 3 2 7 2 3" xfId="21897" xr:uid="{00000000-0005-0000-0000-000062530000}"/>
    <cellStyle name="40% - Accent6 3 3 2 7 3" xfId="21898" xr:uid="{00000000-0005-0000-0000-000063530000}"/>
    <cellStyle name="40% - Accent6 3 3 2 7 4" xfId="21899" xr:uid="{00000000-0005-0000-0000-000064530000}"/>
    <cellStyle name="40% - Accent6 3 3 2 7 5" xfId="21900" xr:uid="{00000000-0005-0000-0000-000065530000}"/>
    <cellStyle name="40% - Accent6 3 3 2 7 6" xfId="21901" xr:uid="{00000000-0005-0000-0000-000066530000}"/>
    <cellStyle name="40% - Accent6 3 3 2 8" xfId="21902" xr:uid="{00000000-0005-0000-0000-000067530000}"/>
    <cellStyle name="40% - Accent6 3 3 2 8 2" xfId="21903" xr:uid="{00000000-0005-0000-0000-000068530000}"/>
    <cellStyle name="40% - Accent6 3 3 2 8 2 2" xfId="21904" xr:uid="{00000000-0005-0000-0000-000069530000}"/>
    <cellStyle name="40% - Accent6 3 3 2 8 2 3" xfId="21905" xr:uid="{00000000-0005-0000-0000-00006A530000}"/>
    <cellStyle name="40% - Accent6 3 3 2 8 3" xfId="21906" xr:uid="{00000000-0005-0000-0000-00006B530000}"/>
    <cellStyle name="40% - Accent6 3 3 2 8 4" xfId="21907" xr:uid="{00000000-0005-0000-0000-00006C530000}"/>
    <cellStyle name="40% - Accent6 3 3 2 8 5" xfId="21908" xr:uid="{00000000-0005-0000-0000-00006D530000}"/>
    <cellStyle name="40% - Accent6 3 3 2 8 6" xfId="21909" xr:uid="{00000000-0005-0000-0000-00006E530000}"/>
    <cellStyle name="40% - Accent6 3 3 2 9" xfId="21910" xr:uid="{00000000-0005-0000-0000-00006F530000}"/>
    <cellStyle name="40% - Accent6 3 3 2 9 2" xfId="21911" xr:uid="{00000000-0005-0000-0000-000070530000}"/>
    <cellStyle name="40% - Accent6 3 3 2 9 3" xfId="21912" xr:uid="{00000000-0005-0000-0000-000071530000}"/>
    <cellStyle name="40% - Accent6 3 3 3" xfId="21913" xr:uid="{00000000-0005-0000-0000-000072530000}"/>
    <cellStyle name="40% - Accent6 3 3 3 10" xfId="21914" xr:uid="{00000000-0005-0000-0000-000073530000}"/>
    <cellStyle name="40% - Accent6 3 3 3 2" xfId="21915" xr:uid="{00000000-0005-0000-0000-000074530000}"/>
    <cellStyle name="40% - Accent6 3 3 3 2 2" xfId="21916" xr:uid="{00000000-0005-0000-0000-000075530000}"/>
    <cellStyle name="40% - Accent6 3 3 3 2 2 2" xfId="21917" xr:uid="{00000000-0005-0000-0000-000076530000}"/>
    <cellStyle name="40% - Accent6 3 3 3 2 2 2 2" xfId="21918" xr:uid="{00000000-0005-0000-0000-000077530000}"/>
    <cellStyle name="40% - Accent6 3 3 3 2 2 2 3" xfId="21919" xr:uid="{00000000-0005-0000-0000-000078530000}"/>
    <cellStyle name="40% - Accent6 3 3 3 2 2 3" xfId="21920" xr:uid="{00000000-0005-0000-0000-000079530000}"/>
    <cellStyle name="40% - Accent6 3 3 3 2 2 4" xfId="21921" xr:uid="{00000000-0005-0000-0000-00007A530000}"/>
    <cellStyle name="40% - Accent6 3 3 3 2 2 5" xfId="21922" xr:uid="{00000000-0005-0000-0000-00007B530000}"/>
    <cellStyle name="40% - Accent6 3 3 3 2 2 6" xfId="21923" xr:uid="{00000000-0005-0000-0000-00007C530000}"/>
    <cellStyle name="40% - Accent6 3 3 3 2 3" xfId="21924" xr:uid="{00000000-0005-0000-0000-00007D530000}"/>
    <cellStyle name="40% - Accent6 3 3 3 2 3 2" xfId="21925" xr:uid="{00000000-0005-0000-0000-00007E530000}"/>
    <cellStyle name="40% - Accent6 3 3 3 2 3 2 2" xfId="21926" xr:uid="{00000000-0005-0000-0000-00007F530000}"/>
    <cellStyle name="40% - Accent6 3 3 3 2 3 2 3" xfId="21927" xr:uid="{00000000-0005-0000-0000-000080530000}"/>
    <cellStyle name="40% - Accent6 3 3 3 2 3 3" xfId="21928" xr:uid="{00000000-0005-0000-0000-000081530000}"/>
    <cellStyle name="40% - Accent6 3 3 3 2 3 4" xfId="21929" xr:uid="{00000000-0005-0000-0000-000082530000}"/>
    <cellStyle name="40% - Accent6 3 3 3 2 3 5" xfId="21930" xr:uid="{00000000-0005-0000-0000-000083530000}"/>
    <cellStyle name="40% - Accent6 3 3 3 2 3 6" xfId="21931" xr:uid="{00000000-0005-0000-0000-000084530000}"/>
    <cellStyle name="40% - Accent6 3 3 3 2 4" xfId="21932" xr:uid="{00000000-0005-0000-0000-000085530000}"/>
    <cellStyle name="40% - Accent6 3 3 3 2 4 2" xfId="21933" xr:uid="{00000000-0005-0000-0000-000086530000}"/>
    <cellStyle name="40% - Accent6 3 3 3 2 4 3" xfId="21934" xr:uid="{00000000-0005-0000-0000-000087530000}"/>
    <cellStyle name="40% - Accent6 3 3 3 2 5" xfId="21935" xr:uid="{00000000-0005-0000-0000-000088530000}"/>
    <cellStyle name="40% - Accent6 3 3 3 2 6" xfId="21936" xr:uid="{00000000-0005-0000-0000-000089530000}"/>
    <cellStyle name="40% - Accent6 3 3 3 2 7" xfId="21937" xr:uid="{00000000-0005-0000-0000-00008A530000}"/>
    <cellStyle name="40% - Accent6 3 3 3 2 8" xfId="21938" xr:uid="{00000000-0005-0000-0000-00008B530000}"/>
    <cellStyle name="40% - Accent6 3 3 3 3" xfId="21939" xr:uid="{00000000-0005-0000-0000-00008C530000}"/>
    <cellStyle name="40% - Accent6 3 3 3 3 2" xfId="21940" xr:uid="{00000000-0005-0000-0000-00008D530000}"/>
    <cellStyle name="40% - Accent6 3 3 3 3 2 2" xfId="21941" xr:uid="{00000000-0005-0000-0000-00008E530000}"/>
    <cellStyle name="40% - Accent6 3 3 3 3 2 2 2" xfId="21942" xr:uid="{00000000-0005-0000-0000-00008F530000}"/>
    <cellStyle name="40% - Accent6 3 3 3 3 2 2 3" xfId="21943" xr:uid="{00000000-0005-0000-0000-000090530000}"/>
    <cellStyle name="40% - Accent6 3 3 3 3 2 3" xfId="21944" xr:uid="{00000000-0005-0000-0000-000091530000}"/>
    <cellStyle name="40% - Accent6 3 3 3 3 2 4" xfId="21945" xr:uid="{00000000-0005-0000-0000-000092530000}"/>
    <cellStyle name="40% - Accent6 3 3 3 3 2 5" xfId="21946" xr:uid="{00000000-0005-0000-0000-000093530000}"/>
    <cellStyle name="40% - Accent6 3 3 3 3 2 6" xfId="21947" xr:uid="{00000000-0005-0000-0000-000094530000}"/>
    <cellStyle name="40% - Accent6 3 3 3 3 3" xfId="21948" xr:uid="{00000000-0005-0000-0000-000095530000}"/>
    <cellStyle name="40% - Accent6 3 3 3 3 3 2" xfId="21949" xr:uid="{00000000-0005-0000-0000-000096530000}"/>
    <cellStyle name="40% - Accent6 3 3 3 3 3 3" xfId="21950" xr:uid="{00000000-0005-0000-0000-000097530000}"/>
    <cellStyle name="40% - Accent6 3 3 3 3 4" xfId="21951" xr:uid="{00000000-0005-0000-0000-000098530000}"/>
    <cellStyle name="40% - Accent6 3 3 3 3 5" xfId="21952" xr:uid="{00000000-0005-0000-0000-000099530000}"/>
    <cellStyle name="40% - Accent6 3 3 3 3 6" xfId="21953" xr:uid="{00000000-0005-0000-0000-00009A530000}"/>
    <cellStyle name="40% - Accent6 3 3 3 3 7" xfId="21954" xr:uid="{00000000-0005-0000-0000-00009B530000}"/>
    <cellStyle name="40% - Accent6 3 3 3 4" xfId="21955" xr:uid="{00000000-0005-0000-0000-00009C530000}"/>
    <cellStyle name="40% - Accent6 3 3 3 4 2" xfId="21956" xr:uid="{00000000-0005-0000-0000-00009D530000}"/>
    <cellStyle name="40% - Accent6 3 3 3 4 2 2" xfId="21957" xr:uid="{00000000-0005-0000-0000-00009E530000}"/>
    <cellStyle name="40% - Accent6 3 3 3 4 2 3" xfId="21958" xr:uid="{00000000-0005-0000-0000-00009F530000}"/>
    <cellStyle name="40% - Accent6 3 3 3 4 3" xfId="21959" xr:uid="{00000000-0005-0000-0000-0000A0530000}"/>
    <cellStyle name="40% - Accent6 3 3 3 4 4" xfId="21960" xr:uid="{00000000-0005-0000-0000-0000A1530000}"/>
    <cellStyle name="40% - Accent6 3 3 3 4 5" xfId="21961" xr:uid="{00000000-0005-0000-0000-0000A2530000}"/>
    <cellStyle name="40% - Accent6 3 3 3 4 6" xfId="21962" xr:uid="{00000000-0005-0000-0000-0000A3530000}"/>
    <cellStyle name="40% - Accent6 3 3 3 5" xfId="21963" xr:uid="{00000000-0005-0000-0000-0000A4530000}"/>
    <cellStyle name="40% - Accent6 3 3 3 5 2" xfId="21964" xr:uid="{00000000-0005-0000-0000-0000A5530000}"/>
    <cellStyle name="40% - Accent6 3 3 3 5 2 2" xfId="21965" xr:uid="{00000000-0005-0000-0000-0000A6530000}"/>
    <cellStyle name="40% - Accent6 3 3 3 5 2 3" xfId="21966" xr:uid="{00000000-0005-0000-0000-0000A7530000}"/>
    <cellStyle name="40% - Accent6 3 3 3 5 3" xfId="21967" xr:uid="{00000000-0005-0000-0000-0000A8530000}"/>
    <cellStyle name="40% - Accent6 3 3 3 5 4" xfId="21968" xr:uid="{00000000-0005-0000-0000-0000A9530000}"/>
    <cellStyle name="40% - Accent6 3 3 3 5 5" xfId="21969" xr:uid="{00000000-0005-0000-0000-0000AA530000}"/>
    <cellStyle name="40% - Accent6 3 3 3 5 6" xfId="21970" xr:uid="{00000000-0005-0000-0000-0000AB530000}"/>
    <cellStyle name="40% - Accent6 3 3 3 6" xfId="21971" xr:uid="{00000000-0005-0000-0000-0000AC530000}"/>
    <cellStyle name="40% - Accent6 3 3 3 6 2" xfId="21972" xr:uid="{00000000-0005-0000-0000-0000AD530000}"/>
    <cellStyle name="40% - Accent6 3 3 3 6 3" xfId="21973" xr:uid="{00000000-0005-0000-0000-0000AE530000}"/>
    <cellStyle name="40% - Accent6 3 3 3 7" xfId="21974" xr:uid="{00000000-0005-0000-0000-0000AF530000}"/>
    <cellStyle name="40% - Accent6 3 3 3 8" xfId="21975" xr:uid="{00000000-0005-0000-0000-0000B0530000}"/>
    <cellStyle name="40% - Accent6 3 3 3 9" xfId="21976" xr:uid="{00000000-0005-0000-0000-0000B1530000}"/>
    <cellStyle name="40% - Accent6 3 3 4" xfId="21977" xr:uid="{00000000-0005-0000-0000-0000B2530000}"/>
    <cellStyle name="40% - Accent6 3 3 4 2" xfId="21978" xr:uid="{00000000-0005-0000-0000-0000B3530000}"/>
    <cellStyle name="40% - Accent6 3 3 4 2 2" xfId="21979" xr:uid="{00000000-0005-0000-0000-0000B4530000}"/>
    <cellStyle name="40% - Accent6 3 3 4 2 2 2" xfId="21980" xr:uid="{00000000-0005-0000-0000-0000B5530000}"/>
    <cellStyle name="40% - Accent6 3 3 4 2 2 2 2" xfId="21981" xr:uid="{00000000-0005-0000-0000-0000B6530000}"/>
    <cellStyle name="40% - Accent6 3 3 4 2 2 2 3" xfId="21982" xr:uid="{00000000-0005-0000-0000-0000B7530000}"/>
    <cellStyle name="40% - Accent6 3 3 4 2 2 3" xfId="21983" xr:uid="{00000000-0005-0000-0000-0000B8530000}"/>
    <cellStyle name="40% - Accent6 3 3 4 2 2 4" xfId="21984" xr:uid="{00000000-0005-0000-0000-0000B9530000}"/>
    <cellStyle name="40% - Accent6 3 3 4 2 2 5" xfId="21985" xr:uid="{00000000-0005-0000-0000-0000BA530000}"/>
    <cellStyle name="40% - Accent6 3 3 4 2 2 6" xfId="21986" xr:uid="{00000000-0005-0000-0000-0000BB530000}"/>
    <cellStyle name="40% - Accent6 3 3 4 2 3" xfId="21987" xr:uid="{00000000-0005-0000-0000-0000BC530000}"/>
    <cellStyle name="40% - Accent6 3 3 4 2 3 2" xfId="21988" xr:uid="{00000000-0005-0000-0000-0000BD530000}"/>
    <cellStyle name="40% - Accent6 3 3 4 2 3 3" xfId="21989" xr:uid="{00000000-0005-0000-0000-0000BE530000}"/>
    <cellStyle name="40% - Accent6 3 3 4 2 4" xfId="21990" xr:uid="{00000000-0005-0000-0000-0000BF530000}"/>
    <cellStyle name="40% - Accent6 3 3 4 2 5" xfId="21991" xr:uid="{00000000-0005-0000-0000-0000C0530000}"/>
    <cellStyle name="40% - Accent6 3 3 4 2 6" xfId="21992" xr:uid="{00000000-0005-0000-0000-0000C1530000}"/>
    <cellStyle name="40% - Accent6 3 3 4 2 7" xfId="21993" xr:uid="{00000000-0005-0000-0000-0000C2530000}"/>
    <cellStyle name="40% - Accent6 3 3 4 3" xfId="21994" xr:uid="{00000000-0005-0000-0000-0000C3530000}"/>
    <cellStyle name="40% - Accent6 3 3 4 3 2" xfId="21995" xr:uid="{00000000-0005-0000-0000-0000C4530000}"/>
    <cellStyle name="40% - Accent6 3 3 4 3 2 2" xfId="21996" xr:uid="{00000000-0005-0000-0000-0000C5530000}"/>
    <cellStyle name="40% - Accent6 3 3 4 3 2 3" xfId="21997" xr:uid="{00000000-0005-0000-0000-0000C6530000}"/>
    <cellStyle name="40% - Accent6 3 3 4 3 3" xfId="21998" xr:uid="{00000000-0005-0000-0000-0000C7530000}"/>
    <cellStyle name="40% - Accent6 3 3 4 3 4" xfId="21999" xr:uid="{00000000-0005-0000-0000-0000C8530000}"/>
    <cellStyle name="40% - Accent6 3 3 4 3 5" xfId="22000" xr:uid="{00000000-0005-0000-0000-0000C9530000}"/>
    <cellStyle name="40% - Accent6 3 3 4 3 6" xfId="22001" xr:uid="{00000000-0005-0000-0000-0000CA530000}"/>
    <cellStyle name="40% - Accent6 3 3 4 4" xfId="22002" xr:uid="{00000000-0005-0000-0000-0000CB530000}"/>
    <cellStyle name="40% - Accent6 3 3 4 4 2" xfId="22003" xr:uid="{00000000-0005-0000-0000-0000CC530000}"/>
    <cellStyle name="40% - Accent6 3 3 4 4 2 2" xfId="22004" xr:uid="{00000000-0005-0000-0000-0000CD530000}"/>
    <cellStyle name="40% - Accent6 3 3 4 4 2 3" xfId="22005" xr:uid="{00000000-0005-0000-0000-0000CE530000}"/>
    <cellStyle name="40% - Accent6 3 3 4 4 3" xfId="22006" xr:uid="{00000000-0005-0000-0000-0000CF530000}"/>
    <cellStyle name="40% - Accent6 3 3 4 4 4" xfId="22007" xr:uid="{00000000-0005-0000-0000-0000D0530000}"/>
    <cellStyle name="40% - Accent6 3 3 4 4 5" xfId="22008" xr:uid="{00000000-0005-0000-0000-0000D1530000}"/>
    <cellStyle name="40% - Accent6 3 3 4 4 6" xfId="22009" xr:uid="{00000000-0005-0000-0000-0000D2530000}"/>
    <cellStyle name="40% - Accent6 3 3 4 5" xfId="22010" xr:uid="{00000000-0005-0000-0000-0000D3530000}"/>
    <cellStyle name="40% - Accent6 3 3 4 5 2" xfId="22011" xr:uid="{00000000-0005-0000-0000-0000D4530000}"/>
    <cellStyle name="40% - Accent6 3 3 4 5 3" xfId="22012" xr:uid="{00000000-0005-0000-0000-0000D5530000}"/>
    <cellStyle name="40% - Accent6 3 3 4 6" xfId="22013" xr:uid="{00000000-0005-0000-0000-0000D6530000}"/>
    <cellStyle name="40% - Accent6 3 3 4 7" xfId="22014" xr:uid="{00000000-0005-0000-0000-0000D7530000}"/>
    <cellStyle name="40% - Accent6 3 3 4 8" xfId="22015" xr:uid="{00000000-0005-0000-0000-0000D8530000}"/>
    <cellStyle name="40% - Accent6 3 3 4 9" xfId="22016" xr:uid="{00000000-0005-0000-0000-0000D9530000}"/>
    <cellStyle name="40% - Accent6 3 3 5" xfId="22017" xr:uid="{00000000-0005-0000-0000-0000DA530000}"/>
    <cellStyle name="40% - Accent6 3 3 5 2" xfId="22018" xr:uid="{00000000-0005-0000-0000-0000DB530000}"/>
    <cellStyle name="40% - Accent6 3 3 5 2 2" xfId="22019" xr:uid="{00000000-0005-0000-0000-0000DC530000}"/>
    <cellStyle name="40% - Accent6 3 3 5 2 2 2" xfId="22020" xr:uid="{00000000-0005-0000-0000-0000DD530000}"/>
    <cellStyle name="40% - Accent6 3 3 5 2 2 3" xfId="22021" xr:uid="{00000000-0005-0000-0000-0000DE530000}"/>
    <cellStyle name="40% - Accent6 3 3 5 2 3" xfId="22022" xr:uid="{00000000-0005-0000-0000-0000DF530000}"/>
    <cellStyle name="40% - Accent6 3 3 5 2 4" xfId="22023" xr:uid="{00000000-0005-0000-0000-0000E0530000}"/>
    <cellStyle name="40% - Accent6 3 3 5 2 5" xfId="22024" xr:uid="{00000000-0005-0000-0000-0000E1530000}"/>
    <cellStyle name="40% - Accent6 3 3 5 2 6" xfId="22025" xr:uid="{00000000-0005-0000-0000-0000E2530000}"/>
    <cellStyle name="40% - Accent6 3 3 5 3" xfId="22026" xr:uid="{00000000-0005-0000-0000-0000E3530000}"/>
    <cellStyle name="40% - Accent6 3 3 5 3 2" xfId="22027" xr:uid="{00000000-0005-0000-0000-0000E4530000}"/>
    <cellStyle name="40% - Accent6 3 3 5 3 3" xfId="22028" xr:uid="{00000000-0005-0000-0000-0000E5530000}"/>
    <cellStyle name="40% - Accent6 3 3 5 4" xfId="22029" xr:uid="{00000000-0005-0000-0000-0000E6530000}"/>
    <cellStyle name="40% - Accent6 3 3 5 5" xfId="22030" xr:uid="{00000000-0005-0000-0000-0000E7530000}"/>
    <cellStyle name="40% - Accent6 3 3 5 6" xfId="22031" xr:uid="{00000000-0005-0000-0000-0000E8530000}"/>
    <cellStyle name="40% - Accent6 3 3 5 7" xfId="22032" xr:uid="{00000000-0005-0000-0000-0000E9530000}"/>
    <cellStyle name="40% - Accent6 3 3 6" xfId="22033" xr:uid="{00000000-0005-0000-0000-0000EA530000}"/>
    <cellStyle name="40% - Accent6 3 3 6 2" xfId="22034" xr:uid="{00000000-0005-0000-0000-0000EB530000}"/>
    <cellStyle name="40% - Accent6 3 3 6 2 2" xfId="22035" xr:uid="{00000000-0005-0000-0000-0000EC530000}"/>
    <cellStyle name="40% - Accent6 3 3 6 2 3" xfId="22036" xr:uid="{00000000-0005-0000-0000-0000ED530000}"/>
    <cellStyle name="40% - Accent6 3 3 6 3" xfId="22037" xr:uid="{00000000-0005-0000-0000-0000EE530000}"/>
    <cellStyle name="40% - Accent6 3 3 6 4" xfId="22038" xr:uid="{00000000-0005-0000-0000-0000EF530000}"/>
    <cellStyle name="40% - Accent6 3 3 6 5" xfId="22039" xr:uid="{00000000-0005-0000-0000-0000F0530000}"/>
    <cellStyle name="40% - Accent6 3 3 6 6" xfId="22040" xr:uid="{00000000-0005-0000-0000-0000F1530000}"/>
    <cellStyle name="40% - Accent6 3 3 7" xfId="22041" xr:uid="{00000000-0005-0000-0000-0000F2530000}"/>
    <cellStyle name="40% - Accent6 3 3 7 2" xfId="22042" xr:uid="{00000000-0005-0000-0000-0000F3530000}"/>
    <cellStyle name="40% - Accent6 3 3 7 2 2" xfId="22043" xr:uid="{00000000-0005-0000-0000-0000F4530000}"/>
    <cellStyle name="40% - Accent6 3 3 7 2 3" xfId="22044" xr:uid="{00000000-0005-0000-0000-0000F5530000}"/>
    <cellStyle name="40% - Accent6 3 3 7 3" xfId="22045" xr:uid="{00000000-0005-0000-0000-0000F6530000}"/>
    <cellStyle name="40% - Accent6 3 3 7 4" xfId="22046" xr:uid="{00000000-0005-0000-0000-0000F7530000}"/>
    <cellStyle name="40% - Accent6 3 3 7 5" xfId="22047" xr:uid="{00000000-0005-0000-0000-0000F8530000}"/>
    <cellStyle name="40% - Accent6 3 3 7 6" xfId="22048" xr:uid="{00000000-0005-0000-0000-0000F9530000}"/>
    <cellStyle name="40% - Accent6 3 3 8" xfId="22049" xr:uid="{00000000-0005-0000-0000-0000FA530000}"/>
    <cellStyle name="40% - Accent6 3 3 8 2" xfId="22050" xr:uid="{00000000-0005-0000-0000-0000FB530000}"/>
    <cellStyle name="40% - Accent6 3 3 8 2 2" xfId="22051" xr:uid="{00000000-0005-0000-0000-0000FC530000}"/>
    <cellStyle name="40% - Accent6 3 3 8 2 3" xfId="22052" xr:uid="{00000000-0005-0000-0000-0000FD530000}"/>
    <cellStyle name="40% - Accent6 3 3 8 3" xfId="22053" xr:uid="{00000000-0005-0000-0000-0000FE530000}"/>
    <cellStyle name="40% - Accent6 3 3 8 4" xfId="22054" xr:uid="{00000000-0005-0000-0000-0000FF530000}"/>
    <cellStyle name="40% - Accent6 3 3 8 5" xfId="22055" xr:uid="{00000000-0005-0000-0000-000000540000}"/>
    <cellStyle name="40% - Accent6 3 3 8 6" xfId="22056" xr:uid="{00000000-0005-0000-0000-000001540000}"/>
    <cellStyle name="40% - Accent6 3 3 9" xfId="22057" xr:uid="{00000000-0005-0000-0000-000002540000}"/>
    <cellStyle name="40% - Accent6 3 3 9 2" xfId="22058" xr:uid="{00000000-0005-0000-0000-000003540000}"/>
    <cellStyle name="40% - Accent6 3 3 9 2 2" xfId="22059" xr:uid="{00000000-0005-0000-0000-000004540000}"/>
    <cellStyle name="40% - Accent6 3 3 9 2 3" xfId="22060" xr:uid="{00000000-0005-0000-0000-000005540000}"/>
    <cellStyle name="40% - Accent6 3 3 9 3" xfId="22061" xr:uid="{00000000-0005-0000-0000-000006540000}"/>
    <cellStyle name="40% - Accent6 3 3 9 4" xfId="22062" xr:uid="{00000000-0005-0000-0000-000007540000}"/>
    <cellStyle name="40% - Accent6 3 3 9 5" xfId="22063" xr:uid="{00000000-0005-0000-0000-000008540000}"/>
    <cellStyle name="40% - Accent6 3 3 9 6" xfId="22064" xr:uid="{00000000-0005-0000-0000-000009540000}"/>
    <cellStyle name="40% - Accent6 3 4" xfId="22065" xr:uid="{00000000-0005-0000-0000-00000A540000}"/>
    <cellStyle name="40% - Accent6 3 4 10" xfId="22066" xr:uid="{00000000-0005-0000-0000-00000B540000}"/>
    <cellStyle name="40% - Accent6 3 4 11" xfId="22067" xr:uid="{00000000-0005-0000-0000-00000C540000}"/>
    <cellStyle name="40% - Accent6 3 4 12" xfId="22068" xr:uid="{00000000-0005-0000-0000-00000D540000}"/>
    <cellStyle name="40% - Accent6 3 4 13" xfId="22069" xr:uid="{00000000-0005-0000-0000-00000E540000}"/>
    <cellStyle name="40% - Accent6 3 4 2" xfId="22070" xr:uid="{00000000-0005-0000-0000-00000F540000}"/>
    <cellStyle name="40% - Accent6 3 4 2 10" xfId="22071" xr:uid="{00000000-0005-0000-0000-000010540000}"/>
    <cellStyle name="40% - Accent6 3 4 2 2" xfId="22072" xr:uid="{00000000-0005-0000-0000-000011540000}"/>
    <cellStyle name="40% - Accent6 3 4 2 2 2" xfId="22073" xr:uid="{00000000-0005-0000-0000-000012540000}"/>
    <cellStyle name="40% - Accent6 3 4 2 2 2 2" xfId="22074" xr:uid="{00000000-0005-0000-0000-000013540000}"/>
    <cellStyle name="40% - Accent6 3 4 2 2 2 2 2" xfId="22075" xr:uid="{00000000-0005-0000-0000-000014540000}"/>
    <cellStyle name="40% - Accent6 3 4 2 2 2 2 3" xfId="22076" xr:uid="{00000000-0005-0000-0000-000015540000}"/>
    <cellStyle name="40% - Accent6 3 4 2 2 2 3" xfId="22077" xr:uid="{00000000-0005-0000-0000-000016540000}"/>
    <cellStyle name="40% - Accent6 3 4 2 2 2 4" xfId="22078" xr:uid="{00000000-0005-0000-0000-000017540000}"/>
    <cellStyle name="40% - Accent6 3 4 2 2 2 5" xfId="22079" xr:uid="{00000000-0005-0000-0000-000018540000}"/>
    <cellStyle name="40% - Accent6 3 4 2 2 2 6" xfId="22080" xr:uid="{00000000-0005-0000-0000-000019540000}"/>
    <cellStyle name="40% - Accent6 3 4 2 2 3" xfId="22081" xr:uid="{00000000-0005-0000-0000-00001A540000}"/>
    <cellStyle name="40% - Accent6 3 4 2 2 3 2" xfId="22082" xr:uid="{00000000-0005-0000-0000-00001B540000}"/>
    <cellStyle name="40% - Accent6 3 4 2 2 3 2 2" xfId="22083" xr:uid="{00000000-0005-0000-0000-00001C540000}"/>
    <cellStyle name="40% - Accent6 3 4 2 2 3 2 3" xfId="22084" xr:uid="{00000000-0005-0000-0000-00001D540000}"/>
    <cellStyle name="40% - Accent6 3 4 2 2 3 3" xfId="22085" xr:uid="{00000000-0005-0000-0000-00001E540000}"/>
    <cellStyle name="40% - Accent6 3 4 2 2 3 4" xfId="22086" xr:uid="{00000000-0005-0000-0000-00001F540000}"/>
    <cellStyle name="40% - Accent6 3 4 2 2 3 5" xfId="22087" xr:uid="{00000000-0005-0000-0000-000020540000}"/>
    <cellStyle name="40% - Accent6 3 4 2 2 3 6" xfId="22088" xr:uid="{00000000-0005-0000-0000-000021540000}"/>
    <cellStyle name="40% - Accent6 3 4 2 2 4" xfId="22089" xr:uid="{00000000-0005-0000-0000-000022540000}"/>
    <cellStyle name="40% - Accent6 3 4 2 2 4 2" xfId="22090" xr:uid="{00000000-0005-0000-0000-000023540000}"/>
    <cellStyle name="40% - Accent6 3 4 2 2 4 3" xfId="22091" xr:uid="{00000000-0005-0000-0000-000024540000}"/>
    <cellStyle name="40% - Accent6 3 4 2 2 5" xfId="22092" xr:uid="{00000000-0005-0000-0000-000025540000}"/>
    <cellStyle name="40% - Accent6 3 4 2 2 6" xfId="22093" xr:uid="{00000000-0005-0000-0000-000026540000}"/>
    <cellStyle name="40% - Accent6 3 4 2 2 7" xfId="22094" xr:uid="{00000000-0005-0000-0000-000027540000}"/>
    <cellStyle name="40% - Accent6 3 4 2 2 8" xfId="22095" xr:uid="{00000000-0005-0000-0000-000028540000}"/>
    <cellStyle name="40% - Accent6 3 4 2 3" xfId="22096" xr:uid="{00000000-0005-0000-0000-000029540000}"/>
    <cellStyle name="40% - Accent6 3 4 2 3 2" xfId="22097" xr:uid="{00000000-0005-0000-0000-00002A540000}"/>
    <cellStyle name="40% - Accent6 3 4 2 3 2 2" xfId="22098" xr:uid="{00000000-0005-0000-0000-00002B540000}"/>
    <cellStyle name="40% - Accent6 3 4 2 3 2 2 2" xfId="22099" xr:uid="{00000000-0005-0000-0000-00002C540000}"/>
    <cellStyle name="40% - Accent6 3 4 2 3 2 2 3" xfId="22100" xr:uid="{00000000-0005-0000-0000-00002D540000}"/>
    <cellStyle name="40% - Accent6 3 4 2 3 2 3" xfId="22101" xr:uid="{00000000-0005-0000-0000-00002E540000}"/>
    <cellStyle name="40% - Accent6 3 4 2 3 2 4" xfId="22102" xr:uid="{00000000-0005-0000-0000-00002F540000}"/>
    <cellStyle name="40% - Accent6 3 4 2 3 2 5" xfId="22103" xr:uid="{00000000-0005-0000-0000-000030540000}"/>
    <cellStyle name="40% - Accent6 3 4 2 3 2 6" xfId="22104" xr:uid="{00000000-0005-0000-0000-000031540000}"/>
    <cellStyle name="40% - Accent6 3 4 2 3 3" xfId="22105" xr:uid="{00000000-0005-0000-0000-000032540000}"/>
    <cellStyle name="40% - Accent6 3 4 2 3 3 2" xfId="22106" xr:uid="{00000000-0005-0000-0000-000033540000}"/>
    <cellStyle name="40% - Accent6 3 4 2 3 3 3" xfId="22107" xr:uid="{00000000-0005-0000-0000-000034540000}"/>
    <cellStyle name="40% - Accent6 3 4 2 3 4" xfId="22108" xr:uid="{00000000-0005-0000-0000-000035540000}"/>
    <cellStyle name="40% - Accent6 3 4 2 3 5" xfId="22109" xr:uid="{00000000-0005-0000-0000-000036540000}"/>
    <cellStyle name="40% - Accent6 3 4 2 3 6" xfId="22110" xr:uid="{00000000-0005-0000-0000-000037540000}"/>
    <cellStyle name="40% - Accent6 3 4 2 3 7" xfId="22111" xr:uid="{00000000-0005-0000-0000-000038540000}"/>
    <cellStyle name="40% - Accent6 3 4 2 4" xfId="22112" xr:uid="{00000000-0005-0000-0000-000039540000}"/>
    <cellStyle name="40% - Accent6 3 4 2 4 2" xfId="22113" xr:uid="{00000000-0005-0000-0000-00003A540000}"/>
    <cellStyle name="40% - Accent6 3 4 2 4 2 2" xfId="22114" xr:uid="{00000000-0005-0000-0000-00003B540000}"/>
    <cellStyle name="40% - Accent6 3 4 2 4 2 3" xfId="22115" xr:uid="{00000000-0005-0000-0000-00003C540000}"/>
    <cellStyle name="40% - Accent6 3 4 2 4 3" xfId="22116" xr:uid="{00000000-0005-0000-0000-00003D540000}"/>
    <cellStyle name="40% - Accent6 3 4 2 4 4" xfId="22117" xr:uid="{00000000-0005-0000-0000-00003E540000}"/>
    <cellStyle name="40% - Accent6 3 4 2 4 5" xfId="22118" xr:uid="{00000000-0005-0000-0000-00003F540000}"/>
    <cellStyle name="40% - Accent6 3 4 2 4 6" xfId="22119" xr:uid="{00000000-0005-0000-0000-000040540000}"/>
    <cellStyle name="40% - Accent6 3 4 2 5" xfId="22120" xr:uid="{00000000-0005-0000-0000-000041540000}"/>
    <cellStyle name="40% - Accent6 3 4 2 5 2" xfId="22121" xr:uid="{00000000-0005-0000-0000-000042540000}"/>
    <cellStyle name="40% - Accent6 3 4 2 5 2 2" xfId="22122" xr:uid="{00000000-0005-0000-0000-000043540000}"/>
    <cellStyle name="40% - Accent6 3 4 2 5 2 3" xfId="22123" xr:uid="{00000000-0005-0000-0000-000044540000}"/>
    <cellStyle name="40% - Accent6 3 4 2 5 3" xfId="22124" xr:uid="{00000000-0005-0000-0000-000045540000}"/>
    <cellStyle name="40% - Accent6 3 4 2 5 4" xfId="22125" xr:uid="{00000000-0005-0000-0000-000046540000}"/>
    <cellStyle name="40% - Accent6 3 4 2 5 5" xfId="22126" xr:uid="{00000000-0005-0000-0000-000047540000}"/>
    <cellStyle name="40% - Accent6 3 4 2 5 6" xfId="22127" xr:uid="{00000000-0005-0000-0000-000048540000}"/>
    <cellStyle name="40% - Accent6 3 4 2 6" xfId="22128" xr:uid="{00000000-0005-0000-0000-000049540000}"/>
    <cellStyle name="40% - Accent6 3 4 2 6 2" xfId="22129" xr:uid="{00000000-0005-0000-0000-00004A540000}"/>
    <cellStyle name="40% - Accent6 3 4 2 6 3" xfId="22130" xr:uid="{00000000-0005-0000-0000-00004B540000}"/>
    <cellStyle name="40% - Accent6 3 4 2 7" xfId="22131" xr:uid="{00000000-0005-0000-0000-00004C540000}"/>
    <cellStyle name="40% - Accent6 3 4 2 8" xfId="22132" xr:uid="{00000000-0005-0000-0000-00004D540000}"/>
    <cellStyle name="40% - Accent6 3 4 2 9" xfId="22133" xr:uid="{00000000-0005-0000-0000-00004E540000}"/>
    <cellStyle name="40% - Accent6 3 4 3" xfId="22134" xr:uid="{00000000-0005-0000-0000-00004F540000}"/>
    <cellStyle name="40% - Accent6 3 4 3 2" xfId="22135" xr:uid="{00000000-0005-0000-0000-000050540000}"/>
    <cellStyle name="40% - Accent6 3 4 3 2 2" xfId="22136" xr:uid="{00000000-0005-0000-0000-000051540000}"/>
    <cellStyle name="40% - Accent6 3 4 3 2 2 2" xfId="22137" xr:uid="{00000000-0005-0000-0000-000052540000}"/>
    <cellStyle name="40% - Accent6 3 4 3 2 2 2 2" xfId="22138" xr:uid="{00000000-0005-0000-0000-000053540000}"/>
    <cellStyle name="40% - Accent6 3 4 3 2 2 2 3" xfId="22139" xr:uid="{00000000-0005-0000-0000-000054540000}"/>
    <cellStyle name="40% - Accent6 3 4 3 2 2 3" xfId="22140" xr:uid="{00000000-0005-0000-0000-000055540000}"/>
    <cellStyle name="40% - Accent6 3 4 3 2 2 4" xfId="22141" xr:uid="{00000000-0005-0000-0000-000056540000}"/>
    <cellStyle name="40% - Accent6 3 4 3 2 2 5" xfId="22142" xr:uid="{00000000-0005-0000-0000-000057540000}"/>
    <cellStyle name="40% - Accent6 3 4 3 2 2 6" xfId="22143" xr:uid="{00000000-0005-0000-0000-000058540000}"/>
    <cellStyle name="40% - Accent6 3 4 3 2 3" xfId="22144" xr:uid="{00000000-0005-0000-0000-000059540000}"/>
    <cellStyle name="40% - Accent6 3 4 3 2 3 2" xfId="22145" xr:uid="{00000000-0005-0000-0000-00005A540000}"/>
    <cellStyle name="40% - Accent6 3 4 3 2 3 3" xfId="22146" xr:uid="{00000000-0005-0000-0000-00005B540000}"/>
    <cellStyle name="40% - Accent6 3 4 3 2 4" xfId="22147" xr:uid="{00000000-0005-0000-0000-00005C540000}"/>
    <cellStyle name="40% - Accent6 3 4 3 2 5" xfId="22148" xr:uid="{00000000-0005-0000-0000-00005D540000}"/>
    <cellStyle name="40% - Accent6 3 4 3 2 6" xfId="22149" xr:uid="{00000000-0005-0000-0000-00005E540000}"/>
    <cellStyle name="40% - Accent6 3 4 3 2 7" xfId="22150" xr:uid="{00000000-0005-0000-0000-00005F540000}"/>
    <cellStyle name="40% - Accent6 3 4 3 3" xfId="22151" xr:uid="{00000000-0005-0000-0000-000060540000}"/>
    <cellStyle name="40% - Accent6 3 4 3 3 2" xfId="22152" xr:uid="{00000000-0005-0000-0000-000061540000}"/>
    <cellStyle name="40% - Accent6 3 4 3 3 2 2" xfId="22153" xr:uid="{00000000-0005-0000-0000-000062540000}"/>
    <cellStyle name="40% - Accent6 3 4 3 3 2 3" xfId="22154" xr:uid="{00000000-0005-0000-0000-000063540000}"/>
    <cellStyle name="40% - Accent6 3 4 3 3 3" xfId="22155" xr:uid="{00000000-0005-0000-0000-000064540000}"/>
    <cellStyle name="40% - Accent6 3 4 3 3 4" xfId="22156" xr:uid="{00000000-0005-0000-0000-000065540000}"/>
    <cellStyle name="40% - Accent6 3 4 3 3 5" xfId="22157" xr:uid="{00000000-0005-0000-0000-000066540000}"/>
    <cellStyle name="40% - Accent6 3 4 3 3 6" xfId="22158" xr:uid="{00000000-0005-0000-0000-000067540000}"/>
    <cellStyle name="40% - Accent6 3 4 3 4" xfId="22159" xr:uid="{00000000-0005-0000-0000-000068540000}"/>
    <cellStyle name="40% - Accent6 3 4 3 4 2" xfId="22160" xr:uid="{00000000-0005-0000-0000-000069540000}"/>
    <cellStyle name="40% - Accent6 3 4 3 4 2 2" xfId="22161" xr:uid="{00000000-0005-0000-0000-00006A540000}"/>
    <cellStyle name="40% - Accent6 3 4 3 4 2 3" xfId="22162" xr:uid="{00000000-0005-0000-0000-00006B540000}"/>
    <cellStyle name="40% - Accent6 3 4 3 4 3" xfId="22163" xr:uid="{00000000-0005-0000-0000-00006C540000}"/>
    <cellStyle name="40% - Accent6 3 4 3 4 4" xfId="22164" xr:uid="{00000000-0005-0000-0000-00006D540000}"/>
    <cellStyle name="40% - Accent6 3 4 3 4 5" xfId="22165" xr:uid="{00000000-0005-0000-0000-00006E540000}"/>
    <cellStyle name="40% - Accent6 3 4 3 4 6" xfId="22166" xr:uid="{00000000-0005-0000-0000-00006F540000}"/>
    <cellStyle name="40% - Accent6 3 4 3 5" xfId="22167" xr:uid="{00000000-0005-0000-0000-000070540000}"/>
    <cellStyle name="40% - Accent6 3 4 3 5 2" xfId="22168" xr:uid="{00000000-0005-0000-0000-000071540000}"/>
    <cellStyle name="40% - Accent6 3 4 3 5 3" xfId="22169" xr:uid="{00000000-0005-0000-0000-000072540000}"/>
    <cellStyle name="40% - Accent6 3 4 3 6" xfId="22170" xr:uid="{00000000-0005-0000-0000-000073540000}"/>
    <cellStyle name="40% - Accent6 3 4 3 7" xfId="22171" xr:uid="{00000000-0005-0000-0000-000074540000}"/>
    <cellStyle name="40% - Accent6 3 4 3 8" xfId="22172" xr:uid="{00000000-0005-0000-0000-000075540000}"/>
    <cellStyle name="40% - Accent6 3 4 3 9" xfId="22173" xr:uid="{00000000-0005-0000-0000-000076540000}"/>
    <cellStyle name="40% - Accent6 3 4 4" xfId="22174" xr:uid="{00000000-0005-0000-0000-000077540000}"/>
    <cellStyle name="40% - Accent6 3 4 4 2" xfId="22175" xr:uid="{00000000-0005-0000-0000-000078540000}"/>
    <cellStyle name="40% - Accent6 3 4 4 2 2" xfId="22176" xr:uid="{00000000-0005-0000-0000-000079540000}"/>
    <cellStyle name="40% - Accent6 3 4 4 2 2 2" xfId="22177" xr:uid="{00000000-0005-0000-0000-00007A540000}"/>
    <cellStyle name="40% - Accent6 3 4 4 2 2 3" xfId="22178" xr:uid="{00000000-0005-0000-0000-00007B540000}"/>
    <cellStyle name="40% - Accent6 3 4 4 2 3" xfId="22179" xr:uid="{00000000-0005-0000-0000-00007C540000}"/>
    <cellStyle name="40% - Accent6 3 4 4 2 4" xfId="22180" xr:uid="{00000000-0005-0000-0000-00007D540000}"/>
    <cellStyle name="40% - Accent6 3 4 4 2 5" xfId="22181" xr:uid="{00000000-0005-0000-0000-00007E540000}"/>
    <cellStyle name="40% - Accent6 3 4 4 2 6" xfId="22182" xr:uid="{00000000-0005-0000-0000-00007F540000}"/>
    <cellStyle name="40% - Accent6 3 4 4 3" xfId="22183" xr:uid="{00000000-0005-0000-0000-000080540000}"/>
    <cellStyle name="40% - Accent6 3 4 4 3 2" xfId="22184" xr:uid="{00000000-0005-0000-0000-000081540000}"/>
    <cellStyle name="40% - Accent6 3 4 4 3 3" xfId="22185" xr:uid="{00000000-0005-0000-0000-000082540000}"/>
    <cellStyle name="40% - Accent6 3 4 4 4" xfId="22186" xr:uid="{00000000-0005-0000-0000-000083540000}"/>
    <cellStyle name="40% - Accent6 3 4 4 5" xfId="22187" xr:uid="{00000000-0005-0000-0000-000084540000}"/>
    <cellStyle name="40% - Accent6 3 4 4 6" xfId="22188" xr:uid="{00000000-0005-0000-0000-000085540000}"/>
    <cellStyle name="40% - Accent6 3 4 4 7" xfId="22189" xr:uid="{00000000-0005-0000-0000-000086540000}"/>
    <cellStyle name="40% - Accent6 3 4 5" xfId="22190" xr:uid="{00000000-0005-0000-0000-000087540000}"/>
    <cellStyle name="40% - Accent6 3 4 5 2" xfId="22191" xr:uid="{00000000-0005-0000-0000-000088540000}"/>
    <cellStyle name="40% - Accent6 3 4 5 2 2" xfId="22192" xr:uid="{00000000-0005-0000-0000-000089540000}"/>
    <cellStyle name="40% - Accent6 3 4 5 2 3" xfId="22193" xr:uid="{00000000-0005-0000-0000-00008A540000}"/>
    <cellStyle name="40% - Accent6 3 4 5 3" xfId="22194" xr:uid="{00000000-0005-0000-0000-00008B540000}"/>
    <cellStyle name="40% - Accent6 3 4 5 4" xfId="22195" xr:uid="{00000000-0005-0000-0000-00008C540000}"/>
    <cellStyle name="40% - Accent6 3 4 5 5" xfId="22196" xr:uid="{00000000-0005-0000-0000-00008D540000}"/>
    <cellStyle name="40% - Accent6 3 4 5 6" xfId="22197" xr:uid="{00000000-0005-0000-0000-00008E540000}"/>
    <cellStyle name="40% - Accent6 3 4 6" xfId="22198" xr:uid="{00000000-0005-0000-0000-00008F540000}"/>
    <cellStyle name="40% - Accent6 3 4 6 2" xfId="22199" xr:uid="{00000000-0005-0000-0000-000090540000}"/>
    <cellStyle name="40% - Accent6 3 4 6 2 2" xfId="22200" xr:uid="{00000000-0005-0000-0000-000091540000}"/>
    <cellStyle name="40% - Accent6 3 4 6 2 3" xfId="22201" xr:uid="{00000000-0005-0000-0000-000092540000}"/>
    <cellStyle name="40% - Accent6 3 4 6 3" xfId="22202" xr:uid="{00000000-0005-0000-0000-000093540000}"/>
    <cellStyle name="40% - Accent6 3 4 6 4" xfId="22203" xr:uid="{00000000-0005-0000-0000-000094540000}"/>
    <cellStyle name="40% - Accent6 3 4 6 5" xfId="22204" xr:uid="{00000000-0005-0000-0000-000095540000}"/>
    <cellStyle name="40% - Accent6 3 4 6 6" xfId="22205" xr:uid="{00000000-0005-0000-0000-000096540000}"/>
    <cellStyle name="40% - Accent6 3 4 7" xfId="22206" xr:uid="{00000000-0005-0000-0000-000097540000}"/>
    <cellStyle name="40% - Accent6 3 4 7 2" xfId="22207" xr:uid="{00000000-0005-0000-0000-000098540000}"/>
    <cellStyle name="40% - Accent6 3 4 7 2 2" xfId="22208" xr:uid="{00000000-0005-0000-0000-000099540000}"/>
    <cellStyle name="40% - Accent6 3 4 7 2 3" xfId="22209" xr:uid="{00000000-0005-0000-0000-00009A540000}"/>
    <cellStyle name="40% - Accent6 3 4 7 3" xfId="22210" xr:uid="{00000000-0005-0000-0000-00009B540000}"/>
    <cellStyle name="40% - Accent6 3 4 7 4" xfId="22211" xr:uid="{00000000-0005-0000-0000-00009C540000}"/>
    <cellStyle name="40% - Accent6 3 4 7 5" xfId="22212" xr:uid="{00000000-0005-0000-0000-00009D540000}"/>
    <cellStyle name="40% - Accent6 3 4 7 6" xfId="22213" xr:uid="{00000000-0005-0000-0000-00009E540000}"/>
    <cellStyle name="40% - Accent6 3 4 8" xfId="22214" xr:uid="{00000000-0005-0000-0000-00009F540000}"/>
    <cellStyle name="40% - Accent6 3 4 8 2" xfId="22215" xr:uid="{00000000-0005-0000-0000-0000A0540000}"/>
    <cellStyle name="40% - Accent6 3 4 8 2 2" xfId="22216" xr:uid="{00000000-0005-0000-0000-0000A1540000}"/>
    <cellStyle name="40% - Accent6 3 4 8 2 3" xfId="22217" xr:uid="{00000000-0005-0000-0000-0000A2540000}"/>
    <cellStyle name="40% - Accent6 3 4 8 3" xfId="22218" xr:uid="{00000000-0005-0000-0000-0000A3540000}"/>
    <cellStyle name="40% - Accent6 3 4 8 4" xfId="22219" xr:uid="{00000000-0005-0000-0000-0000A4540000}"/>
    <cellStyle name="40% - Accent6 3 4 8 5" xfId="22220" xr:uid="{00000000-0005-0000-0000-0000A5540000}"/>
    <cellStyle name="40% - Accent6 3 4 8 6" xfId="22221" xr:uid="{00000000-0005-0000-0000-0000A6540000}"/>
    <cellStyle name="40% - Accent6 3 4 9" xfId="22222" xr:uid="{00000000-0005-0000-0000-0000A7540000}"/>
    <cellStyle name="40% - Accent6 3 4 9 2" xfId="22223" xr:uid="{00000000-0005-0000-0000-0000A8540000}"/>
    <cellStyle name="40% - Accent6 3 4 9 3" xfId="22224" xr:uid="{00000000-0005-0000-0000-0000A9540000}"/>
    <cellStyle name="40% - Accent6 3 5" xfId="22225" xr:uid="{00000000-0005-0000-0000-0000AA540000}"/>
    <cellStyle name="40% - Accent6 3 5 10" xfId="22226" xr:uid="{00000000-0005-0000-0000-0000AB540000}"/>
    <cellStyle name="40% - Accent6 3 5 2" xfId="22227" xr:uid="{00000000-0005-0000-0000-0000AC540000}"/>
    <cellStyle name="40% - Accent6 3 5 2 2" xfId="22228" xr:uid="{00000000-0005-0000-0000-0000AD540000}"/>
    <cellStyle name="40% - Accent6 3 5 2 2 2" xfId="22229" xr:uid="{00000000-0005-0000-0000-0000AE540000}"/>
    <cellStyle name="40% - Accent6 3 5 2 2 2 2" xfId="22230" xr:uid="{00000000-0005-0000-0000-0000AF540000}"/>
    <cellStyle name="40% - Accent6 3 5 2 2 2 3" xfId="22231" xr:uid="{00000000-0005-0000-0000-0000B0540000}"/>
    <cellStyle name="40% - Accent6 3 5 2 2 3" xfId="22232" xr:uid="{00000000-0005-0000-0000-0000B1540000}"/>
    <cellStyle name="40% - Accent6 3 5 2 2 4" xfId="22233" xr:uid="{00000000-0005-0000-0000-0000B2540000}"/>
    <cellStyle name="40% - Accent6 3 5 2 2 5" xfId="22234" xr:uid="{00000000-0005-0000-0000-0000B3540000}"/>
    <cellStyle name="40% - Accent6 3 5 2 2 6" xfId="22235" xr:uid="{00000000-0005-0000-0000-0000B4540000}"/>
    <cellStyle name="40% - Accent6 3 5 2 3" xfId="22236" xr:uid="{00000000-0005-0000-0000-0000B5540000}"/>
    <cellStyle name="40% - Accent6 3 5 2 3 2" xfId="22237" xr:uid="{00000000-0005-0000-0000-0000B6540000}"/>
    <cellStyle name="40% - Accent6 3 5 2 3 2 2" xfId="22238" xr:uid="{00000000-0005-0000-0000-0000B7540000}"/>
    <cellStyle name="40% - Accent6 3 5 2 3 2 3" xfId="22239" xr:uid="{00000000-0005-0000-0000-0000B8540000}"/>
    <cellStyle name="40% - Accent6 3 5 2 3 3" xfId="22240" xr:uid="{00000000-0005-0000-0000-0000B9540000}"/>
    <cellStyle name="40% - Accent6 3 5 2 3 4" xfId="22241" xr:uid="{00000000-0005-0000-0000-0000BA540000}"/>
    <cellStyle name="40% - Accent6 3 5 2 3 5" xfId="22242" xr:uid="{00000000-0005-0000-0000-0000BB540000}"/>
    <cellStyle name="40% - Accent6 3 5 2 3 6" xfId="22243" xr:uid="{00000000-0005-0000-0000-0000BC540000}"/>
    <cellStyle name="40% - Accent6 3 5 2 4" xfId="22244" xr:uid="{00000000-0005-0000-0000-0000BD540000}"/>
    <cellStyle name="40% - Accent6 3 5 2 4 2" xfId="22245" xr:uid="{00000000-0005-0000-0000-0000BE540000}"/>
    <cellStyle name="40% - Accent6 3 5 2 4 3" xfId="22246" xr:uid="{00000000-0005-0000-0000-0000BF540000}"/>
    <cellStyle name="40% - Accent6 3 5 2 5" xfId="22247" xr:uid="{00000000-0005-0000-0000-0000C0540000}"/>
    <cellStyle name="40% - Accent6 3 5 2 6" xfId="22248" xr:uid="{00000000-0005-0000-0000-0000C1540000}"/>
    <cellStyle name="40% - Accent6 3 5 2 7" xfId="22249" xr:uid="{00000000-0005-0000-0000-0000C2540000}"/>
    <cellStyle name="40% - Accent6 3 5 2 8" xfId="22250" xr:uid="{00000000-0005-0000-0000-0000C3540000}"/>
    <cellStyle name="40% - Accent6 3 5 3" xfId="22251" xr:uid="{00000000-0005-0000-0000-0000C4540000}"/>
    <cellStyle name="40% - Accent6 3 5 3 2" xfId="22252" xr:uid="{00000000-0005-0000-0000-0000C5540000}"/>
    <cellStyle name="40% - Accent6 3 5 3 2 2" xfId="22253" xr:uid="{00000000-0005-0000-0000-0000C6540000}"/>
    <cellStyle name="40% - Accent6 3 5 3 2 2 2" xfId="22254" xr:uid="{00000000-0005-0000-0000-0000C7540000}"/>
    <cellStyle name="40% - Accent6 3 5 3 2 2 3" xfId="22255" xr:uid="{00000000-0005-0000-0000-0000C8540000}"/>
    <cellStyle name="40% - Accent6 3 5 3 2 3" xfId="22256" xr:uid="{00000000-0005-0000-0000-0000C9540000}"/>
    <cellStyle name="40% - Accent6 3 5 3 2 4" xfId="22257" xr:uid="{00000000-0005-0000-0000-0000CA540000}"/>
    <cellStyle name="40% - Accent6 3 5 3 2 5" xfId="22258" xr:uid="{00000000-0005-0000-0000-0000CB540000}"/>
    <cellStyle name="40% - Accent6 3 5 3 2 6" xfId="22259" xr:uid="{00000000-0005-0000-0000-0000CC540000}"/>
    <cellStyle name="40% - Accent6 3 5 3 3" xfId="22260" xr:uid="{00000000-0005-0000-0000-0000CD540000}"/>
    <cellStyle name="40% - Accent6 3 5 3 3 2" xfId="22261" xr:uid="{00000000-0005-0000-0000-0000CE540000}"/>
    <cellStyle name="40% - Accent6 3 5 3 3 3" xfId="22262" xr:uid="{00000000-0005-0000-0000-0000CF540000}"/>
    <cellStyle name="40% - Accent6 3 5 3 4" xfId="22263" xr:uid="{00000000-0005-0000-0000-0000D0540000}"/>
    <cellStyle name="40% - Accent6 3 5 3 5" xfId="22264" xr:uid="{00000000-0005-0000-0000-0000D1540000}"/>
    <cellStyle name="40% - Accent6 3 5 3 6" xfId="22265" xr:uid="{00000000-0005-0000-0000-0000D2540000}"/>
    <cellStyle name="40% - Accent6 3 5 3 7" xfId="22266" xr:uid="{00000000-0005-0000-0000-0000D3540000}"/>
    <cellStyle name="40% - Accent6 3 5 4" xfId="22267" xr:uid="{00000000-0005-0000-0000-0000D4540000}"/>
    <cellStyle name="40% - Accent6 3 5 4 2" xfId="22268" xr:uid="{00000000-0005-0000-0000-0000D5540000}"/>
    <cellStyle name="40% - Accent6 3 5 4 2 2" xfId="22269" xr:uid="{00000000-0005-0000-0000-0000D6540000}"/>
    <cellStyle name="40% - Accent6 3 5 4 2 3" xfId="22270" xr:uid="{00000000-0005-0000-0000-0000D7540000}"/>
    <cellStyle name="40% - Accent6 3 5 4 3" xfId="22271" xr:uid="{00000000-0005-0000-0000-0000D8540000}"/>
    <cellStyle name="40% - Accent6 3 5 4 4" xfId="22272" xr:uid="{00000000-0005-0000-0000-0000D9540000}"/>
    <cellStyle name="40% - Accent6 3 5 4 5" xfId="22273" xr:uid="{00000000-0005-0000-0000-0000DA540000}"/>
    <cellStyle name="40% - Accent6 3 5 4 6" xfId="22274" xr:uid="{00000000-0005-0000-0000-0000DB540000}"/>
    <cellStyle name="40% - Accent6 3 5 5" xfId="22275" xr:uid="{00000000-0005-0000-0000-0000DC540000}"/>
    <cellStyle name="40% - Accent6 3 5 5 2" xfId="22276" xr:uid="{00000000-0005-0000-0000-0000DD540000}"/>
    <cellStyle name="40% - Accent6 3 5 5 2 2" xfId="22277" xr:uid="{00000000-0005-0000-0000-0000DE540000}"/>
    <cellStyle name="40% - Accent6 3 5 5 2 3" xfId="22278" xr:uid="{00000000-0005-0000-0000-0000DF540000}"/>
    <cellStyle name="40% - Accent6 3 5 5 3" xfId="22279" xr:uid="{00000000-0005-0000-0000-0000E0540000}"/>
    <cellStyle name="40% - Accent6 3 5 5 4" xfId="22280" xr:uid="{00000000-0005-0000-0000-0000E1540000}"/>
    <cellStyle name="40% - Accent6 3 5 5 5" xfId="22281" xr:uid="{00000000-0005-0000-0000-0000E2540000}"/>
    <cellStyle name="40% - Accent6 3 5 5 6" xfId="22282" xr:uid="{00000000-0005-0000-0000-0000E3540000}"/>
    <cellStyle name="40% - Accent6 3 5 6" xfId="22283" xr:uid="{00000000-0005-0000-0000-0000E4540000}"/>
    <cellStyle name="40% - Accent6 3 5 6 2" xfId="22284" xr:uid="{00000000-0005-0000-0000-0000E5540000}"/>
    <cellStyle name="40% - Accent6 3 5 6 3" xfId="22285" xr:uid="{00000000-0005-0000-0000-0000E6540000}"/>
    <cellStyle name="40% - Accent6 3 5 7" xfId="22286" xr:uid="{00000000-0005-0000-0000-0000E7540000}"/>
    <cellStyle name="40% - Accent6 3 5 8" xfId="22287" xr:uid="{00000000-0005-0000-0000-0000E8540000}"/>
    <cellStyle name="40% - Accent6 3 5 9" xfId="22288" xr:uid="{00000000-0005-0000-0000-0000E9540000}"/>
    <cellStyle name="40% - Accent6 3 6" xfId="22289" xr:uid="{00000000-0005-0000-0000-0000EA540000}"/>
    <cellStyle name="40% - Accent6 3 6 2" xfId="22290" xr:uid="{00000000-0005-0000-0000-0000EB540000}"/>
    <cellStyle name="40% - Accent6 3 6 2 2" xfId="22291" xr:uid="{00000000-0005-0000-0000-0000EC540000}"/>
    <cellStyle name="40% - Accent6 3 6 2 2 2" xfId="22292" xr:uid="{00000000-0005-0000-0000-0000ED540000}"/>
    <cellStyle name="40% - Accent6 3 6 2 2 2 2" xfId="22293" xr:uid="{00000000-0005-0000-0000-0000EE540000}"/>
    <cellStyle name="40% - Accent6 3 6 2 2 2 3" xfId="22294" xr:uid="{00000000-0005-0000-0000-0000EF540000}"/>
    <cellStyle name="40% - Accent6 3 6 2 2 3" xfId="22295" xr:uid="{00000000-0005-0000-0000-0000F0540000}"/>
    <cellStyle name="40% - Accent6 3 6 2 2 4" xfId="22296" xr:uid="{00000000-0005-0000-0000-0000F1540000}"/>
    <cellStyle name="40% - Accent6 3 6 2 2 5" xfId="22297" xr:uid="{00000000-0005-0000-0000-0000F2540000}"/>
    <cellStyle name="40% - Accent6 3 6 2 2 6" xfId="22298" xr:uid="{00000000-0005-0000-0000-0000F3540000}"/>
    <cellStyle name="40% - Accent6 3 6 2 3" xfId="22299" xr:uid="{00000000-0005-0000-0000-0000F4540000}"/>
    <cellStyle name="40% - Accent6 3 6 2 3 2" xfId="22300" xr:uid="{00000000-0005-0000-0000-0000F5540000}"/>
    <cellStyle name="40% - Accent6 3 6 2 3 3" xfId="22301" xr:uid="{00000000-0005-0000-0000-0000F6540000}"/>
    <cellStyle name="40% - Accent6 3 6 2 4" xfId="22302" xr:uid="{00000000-0005-0000-0000-0000F7540000}"/>
    <cellStyle name="40% - Accent6 3 6 2 5" xfId="22303" xr:uid="{00000000-0005-0000-0000-0000F8540000}"/>
    <cellStyle name="40% - Accent6 3 6 2 6" xfId="22304" xr:uid="{00000000-0005-0000-0000-0000F9540000}"/>
    <cellStyle name="40% - Accent6 3 6 2 7" xfId="22305" xr:uid="{00000000-0005-0000-0000-0000FA540000}"/>
    <cellStyle name="40% - Accent6 3 6 3" xfId="22306" xr:uid="{00000000-0005-0000-0000-0000FB540000}"/>
    <cellStyle name="40% - Accent6 3 6 3 2" xfId="22307" xr:uid="{00000000-0005-0000-0000-0000FC540000}"/>
    <cellStyle name="40% - Accent6 3 6 3 2 2" xfId="22308" xr:uid="{00000000-0005-0000-0000-0000FD540000}"/>
    <cellStyle name="40% - Accent6 3 6 3 2 3" xfId="22309" xr:uid="{00000000-0005-0000-0000-0000FE540000}"/>
    <cellStyle name="40% - Accent6 3 6 3 3" xfId="22310" xr:uid="{00000000-0005-0000-0000-0000FF540000}"/>
    <cellStyle name="40% - Accent6 3 6 3 4" xfId="22311" xr:uid="{00000000-0005-0000-0000-000000550000}"/>
    <cellStyle name="40% - Accent6 3 6 3 5" xfId="22312" xr:uid="{00000000-0005-0000-0000-000001550000}"/>
    <cellStyle name="40% - Accent6 3 6 3 6" xfId="22313" xr:uid="{00000000-0005-0000-0000-000002550000}"/>
    <cellStyle name="40% - Accent6 3 6 4" xfId="22314" xr:uid="{00000000-0005-0000-0000-000003550000}"/>
    <cellStyle name="40% - Accent6 3 6 4 2" xfId="22315" xr:uid="{00000000-0005-0000-0000-000004550000}"/>
    <cellStyle name="40% - Accent6 3 6 4 2 2" xfId="22316" xr:uid="{00000000-0005-0000-0000-000005550000}"/>
    <cellStyle name="40% - Accent6 3 6 4 2 3" xfId="22317" xr:uid="{00000000-0005-0000-0000-000006550000}"/>
    <cellStyle name="40% - Accent6 3 6 4 3" xfId="22318" xr:uid="{00000000-0005-0000-0000-000007550000}"/>
    <cellStyle name="40% - Accent6 3 6 4 4" xfId="22319" xr:uid="{00000000-0005-0000-0000-000008550000}"/>
    <cellStyle name="40% - Accent6 3 6 4 5" xfId="22320" xr:uid="{00000000-0005-0000-0000-000009550000}"/>
    <cellStyle name="40% - Accent6 3 6 4 6" xfId="22321" xr:uid="{00000000-0005-0000-0000-00000A550000}"/>
    <cellStyle name="40% - Accent6 3 6 5" xfId="22322" xr:uid="{00000000-0005-0000-0000-00000B550000}"/>
    <cellStyle name="40% - Accent6 3 6 5 2" xfId="22323" xr:uid="{00000000-0005-0000-0000-00000C550000}"/>
    <cellStyle name="40% - Accent6 3 6 5 3" xfId="22324" xr:uid="{00000000-0005-0000-0000-00000D550000}"/>
    <cellStyle name="40% - Accent6 3 6 6" xfId="22325" xr:uid="{00000000-0005-0000-0000-00000E550000}"/>
    <cellStyle name="40% - Accent6 3 6 7" xfId="22326" xr:uid="{00000000-0005-0000-0000-00000F550000}"/>
    <cellStyle name="40% - Accent6 3 6 8" xfId="22327" xr:uid="{00000000-0005-0000-0000-000010550000}"/>
    <cellStyle name="40% - Accent6 3 6 9" xfId="22328" xr:uid="{00000000-0005-0000-0000-000011550000}"/>
    <cellStyle name="40% - Accent6 3 7" xfId="22329" xr:uid="{00000000-0005-0000-0000-000012550000}"/>
    <cellStyle name="40% - Accent6 3 7 2" xfId="22330" xr:uid="{00000000-0005-0000-0000-000013550000}"/>
    <cellStyle name="40% - Accent6 3 7 2 2" xfId="22331" xr:uid="{00000000-0005-0000-0000-000014550000}"/>
    <cellStyle name="40% - Accent6 3 7 2 2 2" xfId="22332" xr:uid="{00000000-0005-0000-0000-000015550000}"/>
    <cellStyle name="40% - Accent6 3 7 2 2 3" xfId="22333" xr:uid="{00000000-0005-0000-0000-000016550000}"/>
    <cellStyle name="40% - Accent6 3 7 2 3" xfId="22334" xr:uid="{00000000-0005-0000-0000-000017550000}"/>
    <cellStyle name="40% - Accent6 3 7 2 4" xfId="22335" xr:uid="{00000000-0005-0000-0000-000018550000}"/>
    <cellStyle name="40% - Accent6 3 7 2 5" xfId="22336" xr:uid="{00000000-0005-0000-0000-000019550000}"/>
    <cellStyle name="40% - Accent6 3 7 2 6" xfId="22337" xr:uid="{00000000-0005-0000-0000-00001A550000}"/>
    <cellStyle name="40% - Accent6 3 7 3" xfId="22338" xr:uid="{00000000-0005-0000-0000-00001B550000}"/>
    <cellStyle name="40% - Accent6 3 7 3 2" xfId="22339" xr:uid="{00000000-0005-0000-0000-00001C550000}"/>
    <cellStyle name="40% - Accent6 3 7 3 3" xfId="22340" xr:uid="{00000000-0005-0000-0000-00001D550000}"/>
    <cellStyle name="40% - Accent6 3 7 4" xfId="22341" xr:uid="{00000000-0005-0000-0000-00001E550000}"/>
    <cellStyle name="40% - Accent6 3 7 5" xfId="22342" xr:uid="{00000000-0005-0000-0000-00001F550000}"/>
    <cellStyle name="40% - Accent6 3 7 6" xfId="22343" xr:uid="{00000000-0005-0000-0000-000020550000}"/>
    <cellStyle name="40% - Accent6 3 7 7" xfId="22344" xr:uid="{00000000-0005-0000-0000-000021550000}"/>
    <cellStyle name="40% - Accent6 3 8" xfId="22345" xr:uid="{00000000-0005-0000-0000-000022550000}"/>
    <cellStyle name="40% - Accent6 3 8 2" xfId="22346" xr:uid="{00000000-0005-0000-0000-000023550000}"/>
    <cellStyle name="40% - Accent6 3 8 2 2" xfId="22347" xr:uid="{00000000-0005-0000-0000-000024550000}"/>
    <cellStyle name="40% - Accent6 3 8 2 3" xfId="22348" xr:uid="{00000000-0005-0000-0000-000025550000}"/>
    <cellStyle name="40% - Accent6 3 8 3" xfId="22349" xr:uid="{00000000-0005-0000-0000-000026550000}"/>
    <cellStyle name="40% - Accent6 3 8 4" xfId="22350" xr:uid="{00000000-0005-0000-0000-000027550000}"/>
    <cellStyle name="40% - Accent6 3 8 5" xfId="22351" xr:uid="{00000000-0005-0000-0000-000028550000}"/>
    <cellStyle name="40% - Accent6 3 8 6" xfId="22352" xr:uid="{00000000-0005-0000-0000-000029550000}"/>
    <cellStyle name="40% - Accent6 3 9" xfId="22353" xr:uid="{00000000-0005-0000-0000-00002A550000}"/>
    <cellStyle name="40% - Accent6 3 9 2" xfId="22354" xr:uid="{00000000-0005-0000-0000-00002B550000}"/>
    <cellStyle name="40% - Accent6 3 9 2 2" xfId="22355" xr:uid="{00000000-0005-0000-0000-00002C550000}"/>
    <cellStyle name="40% - Accent6 3 9 2 3" xfId="22356" xr:uid="{00000000-0005-0000-0000-00002D550000}"/>
    <cellStyle name="40% - Accent6 3 9 3" xfId="22357" xr:uid="{00000000-0005-0000-0000-00002E550000}"/>
    <cellStyle name="40% - Accent6 3 9 4" xfId="22358" xr:uid="{00000000-0005-0000-0000-00002F550000}"/>
    <cellStyle name="40% - Accent6 3 9 5" xfId="22359" xr:uid="{00000000-0005-0000-0000-000030550000}"/>
    <cellStyle name="40% - Accent6 3 9 6" xfId="22360" xr:uid="{00000000-0005-0000-0000-000031550000}"/>
    <cellStyle name="40% - Accent6 4" xfId="22361" xr:uid="{00000000-0005-0000-0000-000032550000}"/>
    <cellStyle name="40% - Accent6 4 10" xfId="22362" xr:uid="{00000000-0005-0000-0000-000033550000}"/>
    <cellStyle name="40% - Accent6 4 10 2" xfId="22363" xr:uid="{00000000-0005-0000-0000-000034550000}"/>
    <cellStyle name="40% - Accent6 4 10 2 2" xfId="22364" xr:uid="{00000000-0005-0000-0000-000035550000}"/>
    <cellStyle name="40% - Accent6 4 10 2 3" xfId="22365" xr:uid="{00000000-0005-0000-0000-000036550000}"/>
    <cellStyle name="40% - Accent6 4 10 3" xfId="22366" xr:uid="{00000000-0005-0000-0000-000037550000}"/>
    <cellStyle name="40% - Accent6 4 10 4" xfId="22367" xr:uid="{00000000-0005-0000-0000-000038550000}"/>
    <cellStyle name="40% - Accent6 4 10 5" xfId="22368" xr:uid="{00000000-0005-0000-0000-000039550000}"/>
    <cellStyle name="40% - Accent6 4 10 6" xfId="22369" xr:uid="{00000000-0005-0000-0000-00003A550000}"/>
    <cellStyle name="40% - Accent6 4 11" xfId="22370" xr:uid="{00000000-0005-0000-0000-00003B550000}"/>
    <cellStyle name="40% - Accent6 4 11 2" xfId="22371" xr:uid="{00000000-0005-0000-0000-00003C550000}"/>
    <cellStyle name="40% - Accent6 4 11 3" xfId="22372" xr:uid="{00000000-0005-0000-0000-00003D550000}"/>
    <cellStyle name="40% - Accent6 4 12" xfId="22373" xr:uid="{00000000-0005-0000-0000-00003E550000}"/>
    <cellStyle name="40% - Accent6 4 13" xfId="22374" xr:uid="{00000000-0005-0000-0000-00003F550000}"/>
    <cellStyle name="40% - Accent6 4 14" xfId="22375" xr:uid="{00000000-0005-0000-0000-000040550000}"/>
    <cellStyle name="40% - Accent6 4 15" xfId="22376" xr:uid="{00000000-0005-0000-0000-000041550000}"/>
    <cellStyle name="40% - Accent6 4 2" xfId="22377" xr:uid="{00000000-0005-0000-0000-000042550000}"/>
    <cellStyle name="40% - Accent6 4 2 10" xfId="22378" xr:uid="{00000000-0005-0000-0000-000043550000}"/>
    <cellStyle name="40% - Accent6 4 2 10 2" xfId="22379" xr:uid="{00000000-0005-0000-0000-000044550000}"/>
    <cellStyle name="40% - Accent6 4 2 10 3" xfId="22380" xr:uid="{00000000-0005-0000-0000-000045550000}"/>
    <cellStyle name="40% - Accent6 4 2 11" xfId="22381" xr:uid="{00000000-0005-0000-0000-000046550000}"/>
    <cellStyle name="40% - Accent6 4 2 12" xfId="22382" xr:uid="{00000000-0005-0000-0000-000047550000}"/>
    <cellStyle name="40% - Accent6 4 2 13" xfId="22383" xr:uid="{00000000-0005-0000-0000-000048550000}"/>
    <cellStyle name="40% - Accent6 4 2 14" xfId="22384" xr:uid="{00000000-0005-0000-0000-000049550000}"/>
    <cellStyle name="40% - Accent6 4 2 2" xfId="22385" xr:uid="{00000000-0005-0000-0000-00004A550000}"/>
    <cellStyle name="40% - Accent6 4 2 2 10" xfId="22386" xr:uid="{00000000-0005-0000-0000-00004B550000}"/>
    <cellStyle name="40% - Accent6 4 2 2 11" xfId="22387" xr:uid="{00000000-0005-0000-0000-00004C550000}"/>
    <cellStyle name="40% - Accent6 4 2 2 12" xfId="22388" xr:uid="{00000000-0005-0000-0000-00004D550000}"/>
    <cellStyle name="40% - Accent6 4 2 2 13" xfId="22389" xr:uid="{00000000-0005-0000-0000-00004E550000}"/>
    <cellStyle name="40% - Accent6 4 2 2 2" xfId="22390" xr:uid="{00000000-0005-0000-0000-00004F550000}"/>
    <cellStyle name="40% - Accent6 4 2 2 2 10" xfId="22391" xr:uid="{00000000-0005-0000-0000-000050550000}"/>
    <cellStyle name="40% - Accent6 4 2 2 2 2" xfId="22392" xr:uid="{00000000-0005-0000-0000-000051550000}"/>
    <cellStyle name="40% - Accent6 4 2 2 2 2 2" xfId="22393" xr:uid="{00000000-0005-0000-0000-000052550000}"/>
    <cellStyle name="40% - Accent6 4 2 2 2 2 2 2" xfId="22394" xr:uid="{00000000-0005-0000-0000-000053550000}"/>
    <cellStyle name="40% - Accent6 4 2 2 2 2 2 2 2" xfId="22395" xr:uid="{00000000-0005-0000-0000-000054550000}"/>
    <cellStyle name="40% - Accent6 4 2 2 2 2 2 2 3" xfId="22396" xr:uid="{00000000-0005-0000-0000-000055550000}"/>
    <cellStyle name="40% - Accent6 4 2 2 2 2 2 3" xfId="22397" xr:uid="{00000000-0005-0000-0000-000056550000}"/>
    <cellStyle name="40% - Accent6 4 2 2 2 2 2 4" xfId="22398" xr:uid="{00000000-0005-0000-0000-000057550000}"/>
    <cellStyle name="40% - Accent6 4 2 2 2 2 2 5" xfId="22399" xr:uid="{00000000-0005-0000-0000-000058550000}"/>
    <cellStyle name="40% - Accent6 4 2 2 2 2 2 6" xfId="22400" xr:uid="{00000000-0005-0000-0000-000059550000}"/>
    <cellStyle name="40% - Accent6 4 2 2 2 2 3" xfId="22401" xr:uid="{00000000-0005-0000-0000-00005A550000}"/>
    <cellStyle name="40% - Accent6 4 2 2 2 2 3 2" xfId="22402" xr:uid="{00000000-0005-0000-0000-00005B550000}"/>
    <cellStyle name="40% - Accent6 4 2 2 2 2 3 2 2" xfId="22403" xr:uid="{00000000-0005-0000-0000-00005C550000}"/>
    <cellStyle name="40% - Accent6 4 2 2 2 2 3 2 3" xfId="22404" xr:uid="{00000000-0005-0000-0000-00005D550000}"/>
    <cellStyle name="40% - Accent6 4 2 2 2 2 3 3" xfId="22405" xr:uid="{00000000-0005-0000-0000-00005E550000}"/>
    <cellStyle name="40% - Accent6 4 2 2 2 2 3 4" xfId="22406" xr:uid="{00000000-0005-0000-0000-00005F550000}"/>
    <cellStyle name="40% - Accent6 4 2 2 2 2 3 5" xfId="22407" xr:uid="{00000000-0005-0000-0000-000060550000}"/>
    <cellStyle name="40% - Accent6 4 2 2 2 2 3 6" xfId="22408" xr:uid="{00000000-0005-0000-0000-000061550000}"/>
    <cellStyle name="40% - Accent6 4 2 2 2 2 4" xfId="22409" xr:uid="{00000000-0005-0000-0000-000062550000}"/>
    <cellStyle name="40% - Accent6 4 2 2 2 2 4 2" xfId="22410" xr:uid="{00000000-0005-0000-0000-000063550000}"/>
    <cellStyle name="40% - Accent6 4 2 2 2 2 4 3" xfId="22411" xr:uid="{00000000-0005-0000-0000-000064550000}"/>
    <cellStyle name="40% - Accent6 4 2 2 2 2 5" xfId="22412" xr:uid="{00000000-0005-0000-0000-000065550000}"/>
    <cellStyle name="40% - Accent6 4 2 2 2 2 6" xfId="22413" xr:uid="{00000000-0005-0000-0000-000066550000}"/>
    <cellStyle name="40% - Accent6 4 2 2 2 2 7" xfId="22414" xr:uid="{00000000-0005-0000-0000-000067550000}"/>
    <cellStyle name="40% - Accent6 4 2 2 2 2 8" xfId="22415" xr:uid="{00000000-0005-0000-0000-000068550000}"/>
    <cellStyle name="40% - Accent6 4 2 2 2 3" xfId="22416" xr:uid="{00000000-0005-0000-0000-000069550000}"/>
    <cellStyle name="40% - Accent6 4 2 2 2 3 2" xfId="22417" xr:uid="{00000000-0005-0000-0000-00006A550000}"/>
    <cellStyle name="40% - Accent6 4 2 2 2 3 2 2" xfId="22418" xr:uid="{00000000-0005-0000-0000-00006B550000}"/>
    <cellStyle name="40% - Accent6 4 2 2 2 3 2 2 2" xfId="22419" xr:uid="{00000000-0005-0000-0000-00006C550000}"/>
    <cellStyle name="40% - Accent6 4 2 2 2 3 2 2 3" xfId="22420" xr:uid="{00000000-0005-0000-0000-00006D550000}"/>
    <cellStyle name="40% - Accent6 4 2 2 2 3 2 3" xfId="22421" xr:uid="{00000000-0005-0000-0000-00006E550000}"/>
    <cellStyle name="40% - Accent6 4 2 2 2 3 2 4" xfId="22422" xr:uid="{00000000-0005-0000-0000-00006F550000}"/>
    <cellStyle name="40% - Accent6 4 2 2 2 3 2 5" xfId="22423" xr:uid="{00000000-0005-0000-0000-000070550000}"/>
    <cellStyle name="40% - Accent6 4 2 2 2 3 2 6" xfId="22424" xr:uid="{00000000-0005-0000-0000-000071550000}"/>
    <cellStyle name="40% - Accent6 4 2 2 2 3 3" xfId="22425" xr:uid="{00000000-0005-0000-0000-000072550000}"/>
    <cellStyle name="40% - Accent6 4 2 2 2 3 3 2" xfId="22426" xr:uid="{00000000-0005-0000-0000-000073550000}"/>
    <cellStyle name="40% - Accent6 4 2 2 2 3 3 3" xfId="22427" xr:uid="{00000000-0005-0000-0000-000074550000}"/>
    <cellStyle name="40% - Accent6 4 2 2 2 3 4" xfId="22428" xr:uid="{00000000-0005-0000-0000-000075550000}"/>
    <cellStyle name="40% - Accent6 4 2 2 2 3 5" xfId="22429" xr:uid="{00000000-0005-0000-0000-000076550000}"/>
    <cellStyle name="40% - Accent6 4 2 2 2 3 6" xfId="22430" xr:uid="{00000000-0005-0000-0000-000077550000}"/>
    <cellStyle name="40% - Accent6 4 2 2 2 3 7" xfId="22431" xr:uid="{00000000-0005-0000-0000-000078550000}"/>
    <cellStyle name="40% - Accent6 4 2 2 2 4" xfId="22432" xr:uid="{00000000-0005-0000-0000-000079550000}"/>
    <cellStyle name="40% - Accent6 4 2 2 2 4 2" xfId="22433" xr:uid="{00000000-0005-0000-0000-00007A550000}"/>
    <cellStyle name="40% - Accent6 4 2 2 2 4 2 2" xfId="22434" xr:uid="{00000000-0005-0000-0000-00007B550000}"/>
    <cellStyle name="40% - Accent6 4 2 2 2 4 2 3" xfId="22435" xr:uid="{00000000-0005-0000-0000-00007C550000}"/>
    <cellStyle name="40% - Accent6 4 2 2 2 4 3" xfId="22436" xr:uid="{00000000-0005-0000-0000-00007D550000}"/>
    <cellStyle name="40% - Accent6 4 2 2 2 4 4" xfId="22437" xr:uid="{00000000-0005-0000-0000-00007E550000}"/>
    <cellStyle name="40% - Accent6 4 2 2 2 4 5" xfId="22438" xr:uid="{00000000-0005-0000-0000-00007F550000}"/>
    <cellStyle name="40% - Accent6 4 2 2 2 4 6" xfId="22439" xr:uid="{00000000-0005-0000-0000-000080550000}"/>
    <cellStyle name="40% - Accent6 4 2 2 2 5" xfId="22440" xr:uid="{00000000-0005-0000-0000-000081550000}"/>
    <cellStyle name="40% - Accent6 4 2 2 2 5 2" xfId="22441" xr:uid="{00000000-0005-0000-0000-000082550000}"/>
    <cellStyle name="40% - Accent6 4 2 2 2 5 2 2" xfId="22442" xr:uid="{00000000-0005-0000-0000-000083550000}"/>
    <cellStyle name="40% - Accent6 4 2 2 2 5 2 3" xfId="22443" xr:uid="{00000000-0005-0000-0000-000084550000}"/>
    <cellStyle name="40% - Accent6 4 2 2 2 5 3" xfId="22444" xr:uid="{00000000-0005-0000-0000-000085550000}"/>
    <cellStyle name="40% - Accent6 4 2 2 2 5 4" xfId="22445" xr:uid="{00000000-0005-0000-0000-000086550000}"/>
    <cellStyle name="40% - Accent6 4 2 2 2 5 5" xfId="22446" xr:uid="{00000000-0005-0000-0000-000087550000}"/>
    <cellStyle name="40% - Accent6 4 2 2 2 5 6" xfId="22447" xr:uid="{00000000-0005-0000-0000-000088550000}"/>
    <cellStyle name="40% - Accent6 4 2 2 2 6" xfId="22448" xr:uid="{00000000-0005-0000-0000-000089550000}"/>
    <cellStyle name="40% - Accent6 4 2 2 2 6 2" xfId="22449" xr:uid="{00000000-0005-0000-0000-00008A550000}"/>
    <cellStyle name="40% - Accent6 4 2 2 2 6 3" xfId="22450" xr:uid="{00000000-0005-0000-0000-00008B550000}"/>
    <cellStyle name="40% - Accent6 4 2 2 2 7" xfId="22451" xr:uid="{00000000-0005-0000-0000-00008C550000}"/>
    <cellStyle name="40% - Accent6 4 2 2 2 8" xfId="22452" xr:uid="{00000000-0005-0000-0000-00008D550000}"/>
    <cellStyle name="40% - Accent6 4 2 2 2 9" xfId="22453" xr:uid="{00000000-0005-0000-0000-00008E550000}"/>
    <cellStyle name="40% - Accent6 4 2 2 3" xfId="22454" xr:uid="{00000000-0005-0000-0000-00008F550000}"/>
    <cellStyle name="40% - Accent6 4 2 2 3 2" xfId="22455" xr:uid="{00000000-0005-0000-0000-000090550000}"/>
    <cellStyle name="40% - Accent6 4 2 2 3 2 2" xfId="22456" xr:uid="{00000000-0005-0000-0000-000091550000}"/>
    <cellStyle name="40% - Accent6 4 2 2 3 2 2 2" xfId="22457" xr:uid="{00000000-0005-0000-0000-000092550000}"/>
    <cellStyle name="40% - Accent6 4 2 2 3 2 2 2 2" xfId="22458" xr:uid="{00000000-0005-0000-0000-000093550000}"/>
    <cellStyle name="40% - Accent6 4 2 2 3 2 2 2 3" xfId="22459" xr:uid="{00000000-0005-0000-0000-000094550000}"/>
    <cellStyle name="40% - Accent6 4 2 2 3 2 2 3" xfId="22460" xr:uid="{00000000-0005-0000-0000-000095550000}"/>
    <cellStyle name="40% - Accent6 4 2 2 3 2 2 4" xfId="22461" xr:uid="{00000000-0005-0000-0000-000096550000}"/>
    <cellStyle name="40% - Accent6 4 2 2 3 2 2 5" xfId="22462" xr:uid="{00000000-0005-0000-0000-000097550000}"/>
    <cellStyle name="40% - Accent6 4 2 2 3 2 2 6" xfId="22463" xr:uid="{00000000-0005-0000-0000-000098550000}"/>
    <cellStyle name="40% - Accent6 4 2 2 3 2 3" xfId="22464" xr:uid="{00000000-0005-0000-0000-000099550000}"/>
    <cellStyle name="40% - Accent6 4 2 2 3 2 3 2" xfId="22465" xr:uid="{00000000-0005-0000-0000-00009A550000}"/>
    <cellStyle name="40% - Accent6 4 2 2 3 2 3 3" xfId="22466" xr:uid="{00000000-0005-0000-0000-00009B550000}"/>
    <cellStyle name="40% - Accent6 4 2 2 3 2 4" xfId="22467" xr:uid="{00000000-0005-0000-0000-00009C550000}"/>
    <cellStyle name="40% - Accent6 4 2 2 3 2 5" xfId="22468" xr:uid="{00000000-0005-0000-0000-00009D550000}"/>
    <cellStyle name="40% - Accent6 4 2 2 3 2 6" xfId="22469" xr:uid="{00000000-0005-0000-0000-00009E550000}"/>
    <cellStyle name="40% - Accent6 4 2 2 3 2 7" xfId="22470" xr:uid="{00000000-0005-0000-0000-00009F550000}"/>
    <cellStyle name="40% - Accent6 4 2 2 3 3" xfId="22471" xr:uid="{00000000-0005-0000-0000-0000A0550000}"/>
    <cellStyle name="40% - Accent6 4 2 2 3 3 2" xfId="22472" xr:uid="{00000000-0005-0000-0000-0000A1550000}"/>
    <cellStyle name="40% - Accent6 4 2 2 3 3 2 2" xfId="22473" xr:uid="{00000000-0005-0000-0000-0000A2550000}"/>
    <cellStyle name="40% - Accent6 4 2 2 3 3 2 3" xfId="22474" xr:uid="{00000000-0005-0000-0000-0000A3550000}"/>
    <cellStyle name="40% - Accent6 4 2 2 3 3 3" xfId="22475" xr:uid="{00000000-0005-0000-0000-0000A4550000}"/>
    <cellStyle name="40% - Accent6 4 2 2 3 3 4" xfId="22476" xr:uid="{00000000-0005-0000-0000-0000A5550000}"/>
    <cellStyle name="40% - Accent6 4 2 2 3 3 5" xfId="22477" xr:uid="{00000000-0005-0000-0000-0000A6550000}"/>
    <cellStyle name="40% - Accent6 4 2 2 3 3 6" xfId="22478" xr:uid="{00000000-0005-0000-0000-0000A7550000}"/>
    <cellStyle name="40% - Accent6 4 2 2 3 4" xfId="22479" xr:uid="{00000000-0005-0000-0000-0000A8550000}"/>
    <cellStyle name="40% - Accent6 4 2 2 3 4 2" xfId="22480" xr:uid="{00000000-0005-0000-0000-0000A9550000}"/>
    <cellStyle name="40% - Accent6 4 2 2 3 4 2 2" xfId="22481" xr:uid="{00000000-0005-0000-0000-0000AA550000}"/>
    <cellStyle name="40% - Accent6 4 2 2 3 4 2 3" xfId="22482" xr:uid="{00000000-0005-0000-0000-0000AB550000}"/>
    <cellStyle name="40% - Accent6 4 2 2 3 4 3" xfId="22483" xr:uid="{00000000-0005-0000-0000-0000AC550000}"/>
    <cellStyle name="40% - Accent6 4 2 2 3 4 4" xfId="22484" xr:uid="{00000000-0005-0000-0000-0000AD550000}"/>
    <cellStyle name="40% - Accent6 4 2 2 3 4 5" xfId="22485" xr:uid="{00000000-0005-0000-0000-0000AE550000}"/>
    <cellStyle name="40% - Accent6 4 2 2 3 4 6" xfId="22486" xr:uid="{00000000-0005-0000-0000-0000AF550000}"/>
    <cellStyle name="40% - Accent6 4 2 2 3 5" xfId="22487" xr:uid="{00000000-0005-0000-0000-0000B0550000}"/>
    <cellStyle name="40% - Accent6 4 2 2 3 5 2" xfId="22488" xr:uid="{00000000-0005-0000-0000-0000B1550000}"/>
    <cellStyle name="40% - Accent6 4 2 2 3 5 3" xfId="22489" xr:uid="{00000000-0005-0000-0000-0000B2550000}"/>
    <cellStyle name="40% - Accent6 4 2 2 3 6" xfId="22490" xr:uid="{00000000-0005-0000-0000-0000B3550000}"/>
    <cellStyle name="40% - Accent6 4 2 2 3 7" xfId="22491" xr:uid="{00000000-0005-0000-0000-0000B4550000}"/>
    <cellStyle name="40% - Accent6 4 2 2 3 8" xfId="22492" xr:uid="{00000000-0005-0000-0000-0000B5550000}"/>
    <cellStyle name="40% - Accent6 4 2 2 3 9" xfId="22493" xr:uid="{00000000-0005-0000-0000-0000B6550000}"/>
    <cellStyle name="40% - Accent6 4 2 2 4" xfId="22494" xr:uid="{00000000-0005-0000-0000-0000B7550000}"/>
    <cellStyle name="40% - Accent6 4 2 2 4 2" xfId="22495" xr:uid="{00000000-0005-0000-0000-0000B8550000}"/>
    <cellStyle name="40% - Accent6 4 2 2 4 2 2" xfId="22496" xr:uid="{00000000-0005-0000-0000-0000B9550000}"/>
    <cellStyle name="40% - Accent6 4 2 2 4 2 2 2" xfId="22497" xr:uid="{00000000-0005-0000-0000-0000BA550000}"/>
    <cellStyle name="40% - Accent6 4 2 2 4 2 2 3" xfId="22498" xr:uid="{00000000-0005-0000-0000-0000BB550000}"/>
    <cellStyle name="40% - Accent6 4 2 2 4 2 3" xfId="22499" xr:uid="{00000000-0005-0000-0000-0000BC550000}"/>
    <cellStyle name="40% - Accent6 4 2 2 4 2 4" xfId="22500" xr:uid="{00000000-0005-0000-0000-0000BD550000}"/>
    <cellStyle name="40% - Accent6 4 2 2 4 2 5" xfId="22501" xr:uid="{00000000-0005-0000-0000-0000BE550000}"/>
    <cellStyle name="40% - Accent6 4 2 2 4 2 6" xfId="22502" xr:uid="{00000000-0005-0000-0000-0000BF550000}"/>
    <cellStyle name="40% - Accent6 4 2 2 4 3" xfId="22503" xr:uid="{00000000-0005-0000-0000-0000C0550000}"/>
    <cellStyle name="40% - Accent6 4 2 2 4 3 2" xfId="22504" xr:uid="{00000000-0005-0000-0000-0000C1550000}"/>
    <cellStyle name="40% - Accent6 4 2 2 4 3 3" xfId="22505" xr:uid="{00000000-0005-0000-0000-0000C2550000}"/>
    <cellStyle name="40% - Accent6 4 2 2 4 4" xfId="22506" xr:uid="{00000000-0005-0000-0000-0000C3550000}"/>
    <cellStyle name="40% - Accent6 4 2 2 4 5" xfId="22507" xr:uid="{00000000-0005-0000-0000-0000C4550000}"/>
    <cellStyle name="40% - Accent6 4 2 2 4 6" xfId="22508" xr:uid="{00000000-0005-0000-0000-0000C5550000}"/>
    <cellStyle name="40% - Accent6 4 2 2 4 7" xfId="22509" xr:uid="{00000000-0005-0000-0000-0000C6550000}"/>
    <cellStyle name="40% - Accent6 4 2 2 5" xfId="22510" xr:uid="{00000000-0005-0000-0000-0000C7550000}"/>
    <cellStyle name="40% - Accent6 4 2 2 5 2" xfId="22511" xr:uid="{00000000-0005-0000-0000-0000C8550000}"/>
    <cellStyle name="40% - Accent6 4 2 2 5 2 2" xfId="22512" xr:uid="{00000000-0005-0000-0000-0000C9550000}"/>
    <cellStyle name="40% - Accent6 4 2 2 5 2 3" xfId="22513" xr:uid="{00000000-0005-0000-0000-0000CA550000}"/>
    <cellStyle name="40% - Accent6 4 2 2 5 3" xfId="22514" xr:uid="{00000000-0005-0000-0000-0000CB550000}"/>
    <cellStyle name="40% - Accent6 4 2 2 5 4" xfId="22515" xr:uid="{00000000-0005-0000-0000-0000CC550000}"/>
    <cellStyle name="40% - Accent6 4 2 2 5 5" xfId="22516" xr:uid="{00000000-0005-0000-0000-0000CD550000}"/>
    <cellStyle name="40% - Accent6 4 2 2 5 6" xfId="22517" xr:uid="{00000000-0005-0000-0000-0000CE550000}"/>
    <cellStyle name="40% - Accent6 4 2 2 6" xfId="22518" xr:uid="{00000000-0005-0000-0000-0000CF550000}"/>
    <cellStyle name="40% - Accent6 4 2 2 6 2" xfId="22519" xr:uid="{00000000-0005-0000-0000-0000D0550000}"/>
    <cellStyle name="40% - Accent6 4 2 2 6 2 2" xfId="22520" xr:uid="{00000000-0005-0000-0000-0000D1550000}"/>
    <cellStyle name="40% - Accent6 4 2 2 6 2 3" xfId="22521" xr:uid="{00000000-0005-0000-0000-0000D2550000}"/>
    <cellStyle name="40% - Accent6 4 2 2 6 3" xfId="22522" xr:uid="{00000000-0005-0000-0000-0000D3550000}"/>
    <cellStyle name="40% - Accent6 4 2 2 6 4" xfId="22523" xr:uid="{00000000-0005-0000-0000-0000D4550000}"/>
    <cellStyle name="40% - Accent6 4 2 2 6 5" xfId="22524" xr:uid="{00000000-0005-0000-0000-0000D5550000}"/>
    <cellStyle name="40% - Accent6 4 2 2 6 6" xfId="22525" xr:uid="{00000000-0005-0000-0000-0000D6550000}"/>
    <cellStyle name="40% - Accent6 4 2 2 7" xfId="22526" xr:uid="{00000000-0005-0000-0000-0000D7550000}"/>
    <cellStyle name="40% - Accent6 4 2 2 7 2" xfId="22527" xr:uid="{00000000-0005-0000-0000-0000D8550000}"/>
    <cellStyle name="40% - Accent6 4 2 2 7 2 2" xfId="22528" xr:uid="{00000000-0005-0000-0000-0000D9550000}"/>
    <cellStyle name="40% - Accent6 4 2 2 7 2 3" xfId="22529" xr:uid="{00000000-0005-0000-0000-0000DA550000}"/>
    <cellStyle name="40% - Accent6 4 2 2 7 3" xfId="22530" xr:uid="{00000000-0005-0000-0000-0000DB550000}"/>
    <cellStyle name="40% - Accent6 4 2 2 7 4" xfId="22531" xr:uid="{00000000-0005-0000-0000-0000DC550000}"/>
    <cellStyle name="40% - Accent6 4 2 2 7 5" xfId="22532" xr:uid="{00000000-0005-0000-0000-0000DD550000}"/>
    <cellStyle name="40% - Accent6 4 2 2 7 6" xfId="22533" xr:uid="{00000000-0005-0000-0000-0000DE550000}"/>
    <cellStyle name="40% - Accent6 4 2 2 8" xfId="22534" xr:uid="{00000000-0005-0000-0000-0000DF550000}"/>
    <cellStyle name="40% - Accent6 4 2 2 8 2" xfId="22535" xr:uid="{00000000-0005-0000-0000-0000E0550000}"/>
    <cellStyle name="40% - Accent6 4 2 2 8 2 2" xfId="22536" xr:uid="{00000000-0005-0000-0000-0000E1550000}"/>
    <cellStyle name="40% - Accent6 4 2 2 8 2 3" xfId="22537" xr:uid="{00000000-0005-0000-0000-0000E2550000}"/>
    <cellStyle name="40% - Accent6 4 2 2 8 3" xfId="22538" xr:uid="{00000000-0005-0000-0000-0000E3550000}"/>
    <cellStyle name="40% - Accent6 4 2 2 8 4" xfId="22539" xr:uid="{00000000-0005-0000-0000-0000E4550000}"/>
    <cellStyle name="40% - Accent6 4 2 2 8 5" xfId="22540" xr:uid="{00000000-0005-0000-0000-0000E5550000}"/>
    <cellStyle name="40% - Accent6 4 2 2 8 6" xfId="22541" xr:uid="{00000000-0005-0000-0000-0000E6550000}"/>
    <cellStyle name="40% - Accent6 4 2 2 9" xfId="22542" xr:uid="{00000000-0005-0000-0000-0000E7550000}"/>
    <cellStyle name="40% - Accent6 4 2 2 9 2" xfId="22543" xr:uid="{00000000-0005-0000-0000-0000E8550000}"/>
    <cellStyle name="40% - Accent6 4 2 2 9 3" xfId="22544" xr:uid="{00000000-0005-0000-0000-0000E9550000}"/>
    <cellStyle name="40% - Accent6 4 2 3" xfId="22545" xr:uid="{00000000-0005-0000-0000-0000EA550000}"/>
    <cellStyle name="40% - Accent6 4 2 3 10" xfId="22546" xr:uid="{00000000-0005-0000-0000-0000EB550000}"/>
    <cellStyle name="40% - Accent6 4 2 3 2" xfId="22547" xr:uid="{00000000-0005-0000-0000-0000EC550000}"/>
    <cellStyle name="40% - Accent6 4 2 3 2 2" xfId="22548" xr:uid="{00000000-0005-0000-0000-0000ED550000}"/>
    <cellStyle name="40% - Accent6 4 2 3 2 2 2" xfId="22549" xr:uid="{00000000-0005-0000-0000-0000EE550000}"/>
    <cellStyle name="40% - Accent6 4 2 3 2 2 2 2" xfId="22550" xr:uid="{00000000-0005-0000-0000-0000EF550000}"/>
    <cellStyle name="40% - Accent6 4 2 3 2 2 2 3" xfId="22551" xr:uid="{00000000-0005-0000-0000-0000F0550000}"/>
    <cellStyle name="40% - Accent6 4 2 3 2 2 3" xfId="22552" xr:uid="{00000000-0005-0000-0000-0000F1550000}"/>
    <cellStyle name="40% - Accent6 4 2 3 2 2 4" xfId="22553" xr:uid="{00000000-0005-0000-0000-0000F2550000}"/>
    <cellStyle name="40% - Accent6 4 2 3 2 2 5" xfId="22554" xr:uid="{00000000-0005-0000-0000-0000F3550000}"/>
    <cellStyle name="40% - Accent6 4 2 3 2 2 6" xfId="22555" xr:uid="{00000000-0005-0000-0000-0000F4550000}"/>
    <cellStyle name="40% - Accent6 4 2 3 2 3" xfId="22556" xr:uid="{00000000-0005-0000-0000-0000F5550000}"/>
    <cellStyle name="40% - Accent6 4 2 3 2 3 2" xfId="22557" xr:uid="{00000000-0005-0000-0000-0000F6550000}"/>
    <cellStyle name="40% - Accent6 4 2 3 2 3 2 2" xfId="22558" xr:uid="{00000000-0005-0000-0000-0000F7550000}"/>
    <cellStyle name="40% - Accent6 4 2 3 2 3 2 3" xfId="22559" xr:uid="{00000000-0005-0000-0000-0000F8550000}"/>
    <cellStyle name="40% - Accent6 4 2 3 2 3 3" xfId="22560" xr:uid="{00000000-0005-0000-0000-0000F9550000}"/>
    <cellStyle name="40% - Accent6 4 2 3 2 3 4" xfId="22561" xr:uid="{00000000-0005-0000-0000-0000FA550000}"/>
    <cellStyle name="40% - Accent6 4 2 3 2 3 5" xfId="22562" xr:uid="{00000000-0005-0000-0000-0000FB550000}"/>
    <cellStyle name="40% - Accent6 4 2 3 2 3 6" xfId="22563" xr:uid="{00000000-0005-0000-0000-0000FC550000}"/>
    <cellStyle name="40% - Accent6 4 2 3 2 4" xfId="22564" xr:uid="{00000000-0005-0000-0000-0000FD550000}"/>
    <cellStyle name="40% - Accent6 4 2 3 2 4 2" xfId="22565" xr:uid="{00000000-0005-0000-0000-0000FE550000}"/>
    <cellStyle name="40% - Accent6 4 2 3 2 4 3" xfId="22566" xr:uid="{00000000-0005-0000-0000-0000FF550000}"/>
    <cellStyle name="40% - Accent6 4 2 3 2 5" xfId="22567" xr:uid="{00000000-0005-0000-0000-000000560000}"/>
    <cellStyle name="40% - Accent6 4 2 3 2 6" xfId="22568" xr:uid="{00000000-0005-0000-0000-000001560000}"/>
    <cellStyle name="40% - Accent6 4 2 3 2 7" xfId="22569" xr:uid="{00000000-0005-0000-0000-000002560000}"/>
    <cellStyle name="40% - Accent6 4 2 3 2 8" xfId="22570" xr:uid="{00000000-0005-0000-0000-000003560000}"/>
    <cellStyle name="40% - Accent6 4 2 3 3" xfId="22571" xr:uid="{00000000-0005-0000-0000-000004560000}"/>
    <cellStyle name="40% - Accent6 4 2 3 3 2" xfId="22572" xr:uid="{00000000-0005-0000-0000-000005560000}"/>
    <cellStyle name="40% - Accent6 4 2 3 3 2 2" xfId="22573" xr:uid="{00000000-0005-0000-0000-000006560000}"/>
    <cellStyle name="40% - Accent6 4 2 3 3 2 2 2" xfId="22574" xr:uid="{00000000-0005-0000-0000-000007560000}"/>
    <cellStyle name="40% - Accent6 4 2 3 3 2 2 3" xfId="22575" xr:uid="{00000000-0005-0000-0000-000008560000}"/>
    <cellStyle name="40% - Accent6 4 2 3 3 2 3" xfId="22576" xr:uid="{00000000-0005-0000-0000-000009560000}"/>
    <cellStyle name="40% - Accent6 4 2 3 3 2 4" xfId="22577" xr:uid="{00000000-0005-0000-0000-00000A560000}"/>
    <cellStyle name="40% - Accent6 4 2 3 3 2 5" xfId="22578" xr:uid="{00000000-0005-0000-0000-00000B560000}"/>
    <cellStyle name="40% - Accent6 4 2 3 3 2 6" xfId="22579" xr:uid="{00000000-0005-0000-0000-00000C560000}"/>
    <cellStyle name="40% - Accent6 4 2 3 3 3" xfId="22580" xr:uid="{00000000-0005-0000-0000-00000D560000}"/>
    <cellStyle name="40% - Accent6 4 2 3 3 3 2" xfId="22581" xr:uid="{00000000-0005-0000-0000-00000E560000}"/>
    <cellStyle name="40% - Accent6 4 2 3 3 3 3" xfId="22582" xr:uid="{00000000-0005-0000-0000-00000F560000}"/>
    <cellStyle name="40% - Accent6 4 2 3 3 4" xfId="22583" xr:uid="{00000000-0005-0000-0000-000010560000}"/>
    <cellStyle name="40% - Accent6 4 2 3 3 5" xfId="22584" xr:uid="{00000000-0005-0000-0000-000011560000}"/>
    <cellStyle name="40% - Accent6 4 2 3 3 6" xfId="22585" xr:uid="{00000000-0005-0000-0000-000012560000}"/>
    <cellStyle name="40% - Accent6 4 2 3 3 7" xfId="22586" xr:uid="{00000000-0005-0000-0000-000013560000}"/>
    <cellStyle name="40% - Accent6 4 2 3 4" xfId="22587" xr:uid="{00000000-0005-0000-0000-000014560000}"/>
    <cellStyle name="40% - Accent6 4 2 3 4 2" xfId="22588" xr:uid="{00000000-0005-0000-0000-000015560000}"/>
    <cellStyle name="40% - Accent6 4 2 3 4 2 2" xfId="22589" xr:uid="{00000000-0005-0000-0000-000016560000}"/>
    <cellStyle name="40% - Accent6 4 2 3 4 2 3" xfId="22590" xr:uid="{00000000-0005-0000-0000-000017560000}"/>
    <cellStyle name="40% - Accent6 4 2 3 4 3" xfId="22591" xr:uid="{00000000-0005-0000-0000-000018560000}"/>
    <cellStyle name="40% - Accent6 4 2 3 4 4" xfId="22592" xr:uid="{00000000-0005-0000-0000-000019560000}"/>
    <cellStyle name="40% - Accent6 4 2 3 4 5" xfId="22593" xr:uid="{00000000-0005-0000-0000-00001A560000}"/>
    <cellStyle name="40% - Accent6 4 2 3 4 6" xfId="22594" xr:uid="{00000000-0005-0000-0000-00001B560000}"/>
    <cellStyle name="40% - Accent6 4 2 3 5" xfId="22595" xr:uid="{00000000-0005-0000-0000-00001C560000}"/>
    <cellStyle name="40% - Accent6 4 2 3 5 2" xfId="22596" xr:uid="{00000000-0005-0000-0000-00001D560000}"/>
    <cellStyle name="40% - Accent6 4 2 3 5 2 2" xfId="22597" xr:uid="{00000000-0005-0000-0000-00001E560000}"/>
    <cellStyle name="40% - Accent6 4 2 3 5 2 3" xfId="22598" xr:uid="{00000000-0005-0000-0000-00001F560000}"/>
    <cellStyle name="40% - Accent6 4 2 3 5 3" xfId="22599" xr:uid="{00000000-0005-0000-0000-000020560000}"/>
    <cellStyle name="40% - Accent6 4 2 3 5 4" xfId="22600" xr:uid="{00000000-0005-0000-0000-000021560000}"/>
    <cellStyle name="40% - Accent6 4 2 3 5 5" xfId="22601" xr:uid="{00000000-0005-0000-0000-000022560000}"/>
    <cellStyle name="40% - Accent6 4 2 3 5 6" xfId="22602" xr:uid="{00000000-0005-0000-0000-000023560000}"/>
    <cellStyle name="40% - Accent6 4 2 3 6" xfId="22603" xr:uid="{00000000-0005-0000-0000-000024560000}"/>
    <cellStyle name="40% - Accent6 4 2 3 6 2" xfId="22604" xr:uid="{00000000-0005-0000-0000-000025560000}"/>
    <cellStyle name="40% - Accent6 4 2 3 6 3" xfId="22605" xr:uid="{00000000-0005-0000-0000-000026560000}"/>
    <cellStyle name="40% - Accent6 4 2 3 7" xfId="22606" xr:uid="{00000000-0005-0000-0000-000027560000}"/>
    <cellStyle name="40% - Accent6 4 2 3 8" xfId="22607" xr:uid="{00000000-0005-0000-0000-000028560000}"/>
    <cellStyle name="40% - Accent6 4 2 3 9" xfId="22608" xr:uid="{00000000-0005-0000-0000-000029560000}"/>
    <cellStyle name="40% - Accent6 4 2 4" xfId="22609" xr:uid="{00000000-0005-0000-0000-00002A560000}"/>
    <cellStyle name="40% - Accent6 4 2 4 2" xfId="22610" xr:uid="{00000000-0005-0000-0000-00002B560000}"/>
    <cellStyle name="40% - Accent6 4 2 4 2 2" xfId="22611" xr:uid="{00000000-0005-0000-0000-00002C560000}"/>
    <cellStyle name="40% - Accent6 4 2 4 2 2 2" xfId="22612" xr:uid="{00000000-0005-0000-0000-00002D560000}"/>
    <cellStyle name="40% - Accent6 4 2 4 2 2 2 2" xfId="22613" xr:uid="{00000000-0005-0000-0000-00002E560000}"/>
    <cellStyle name="40% - Accent6 4 2 4 2 2 2 3" xfId="22614" xr:uid="{00000000-0005-0000-0000-00002F560000}"/>
    <cellStyle name="40% - Accent6 4 2 4 2 2 3" xfId="22615" xr:uid="{00000000-0005-0000-0000-000030560000}"/>
    <cellStyle name="40% - Accent6 4 2 4 2 2 4" xfId="22616" xr:uid="{00000000-0005-0000-0000-000031560000}"/>
    <cellStyle name="40% - Accent6 4 2 4 2 2 5" xfId="22617" xr:uid="{00000000-0005-0000-0000-000032560000}"/>
    <cellStyle name="40% - Accent6 4 2 4 2 2 6" xfId="22618" xr:uid="{00000000-0005-0000-0000-000033560000}"/>
    <cellStyle name="40% - Accent6 4 2 4 2 3" xfId="22619" xr:uid="{00000000-0005-0000-0000-000034560000}"/>
    <cellStyle name="40% - Accent6 4 2 4 2 3 2" xfId="22620" xr:uid="{00000000-0005-0000-0000-000035560000}"/>
    <cellStyle name="40% - Accent6 4 2 4 2 3 3" xfId="22621" xr:uid="{00000000-0005-0000-0000-000036560000}"/>
    <cellStyle name="40% - Accent6 4 2 4 2 4" xfId="22622" xr:uid="{00000000-0005-0000-0000-000037560000}"/>
    <cellStyle name="40% - Accent6 4 2 4 2 5" xfId="22623" xr:uid="{00000000-0005-0000-0000-000038560000}"/>
    <cellStyle name="40% - Accent6 4 2 4 2 6" xfId="22624" xr:uid="{00000000-0005-0000-0000-000039560000}"/>
    <cellStyle name="40% - Accent6 4 2 4 2 7" xfId="22625" xr:uid="{00000000-0005-0000-0000-00003A560000}"/>
    <cellStyle name="40% - Accent6 4 2 4 3" xfId="22626" xr:uid="{00000000-0005-0000-0000-00003B560000}"/>
    <cellStyle name="40% - Accent6 4 2 4 3 2" xfId="22627" xr:uid="{00000000-0005-0000-0000-00003C560000}"/>
    <cellStyle name="40% - Accent6 4 2 4 3 2 2" xfId="22628" xr:uid="{00000000-0005-0000-0000-00003D560000}"/>
    <cellStyle name="40% - Accent6 4 2 4 3 2 3" xfId="22629" xr:uid="{00000000-0005-0000-0000-00003E560000}"/>
    <cellStyle name="40% - Accent6 4 2 4 3 3" xfId="22630" xr:uid="{00000000-0005-0000-0000-00003F560000}"/>
    <cellStyle name="40% - Accent6 4 2 4 3 4" xfId="22631" xr:uid="{00000000-0005-0000-0000-000040560000}"/>
    <cellStyle name="40% - Accent6 4 2 4 3 5" xfId="22632" xr:uid="{00000000-0005-0000-0000-000041560000}"/>
    <cellStyle name="40% - Accent6 4 2 4 3 6" xfId="22633" xr:uid="{00000000-0005-0000-0000-000042560000}"/>
    <cellStyle name="40% - Accent6 4 2 4 4" xfId="22634" xr:uid="{00000000-0005-0000-0000-000043560000}"/>
    <cellStyle name="40% - Accent6 4 2 4 4 2" xfId="22635" xr:uid="{00000000-0005-0000-0000-000044560000}"/>
    <cellStyle name="40% - Accent6 4 2 4 4 2 2" xfId="22636" xr:uid="{00000000-0005-0000-0000-000045560000}"/>
    <cellStyle name="40% - Accent6 4 2 4 4 2 3" xfId="22637" xr:uid="{00000000-0005-0000-0000-000046560000}"/>
    <cellStyle name="40% - Accent6 4 2 4 4 3" xfId="22638" xr:uid="{00000000-0005-0000-0000-000047560000}"/>
    <cellStyle name="40% - Accent6 4 2 4 4 4" xfId="22639" xr:uid="{00000000-0005-0000-0000-000048560000}"/>
    <cellStyle name="40% - Accent6 4 2 4 4 5" xfId="22640" xr:uid="{00000000-0005-0000-0000-000049560000}"/>
    <cellStyle name="40% - Accent6 4 2 4 4 6" xfId="22641" xr:uid="{00000000-0005-0000-0000-00004A560000}"/>
    <cellStyle name="40% - Accent6 4 2 4 5" xfId="22642" xr:uid="{00000000-0005-0000-0000-00004B560000}"/>
    <cellStyle name="40% - Accent6 4 2 4 5 2" xfId="22643" xr:uid="{00000000-0005-0000-0000-00004C560000}"/>
    <cellStyle name="40% - Accent6 4 2 4 5 3" xfId="22644" xr:uid="{00000000-0005-0000-0000-00004D560000}"/>
    <cellStyle name="40% - Accent6 4 2 4 6" xfId="22645" xr:uid="{00000000-0005-0000-0000-00004E560000}"/>
    <cellStyle name="40% - Accent6 4 2 4 7" xfId="22646" xr:uid="{00000000-0005-0000-0000-00004F560000}"/>
    <cellStyle name="40% - Accent6 4 2 4 8" xfId="22647" xr:uid="{00000000-0005-0000-0000-000050560000}"/>
    <cellStyle name="40% - Accent6 4 2 4 9" xfId="22648" xr:uid="{00000000-0005-0000-0000-000051560000}"/>
    <cellStyle name="40% - Accent6 4 2 5" xfId="22649" xr:uid="{00000000-0005-0000-0000-000052560000}"/>
    <cellStyle name="40% - Accent6 4 2 5 2" xfId="22650" xr:uid="{00000000-0005-0000-0000-000053560000}"/>
    <cellStyle name="40% - Accent6 4 2 5 2 2" xfId="22651" xr:uid="{00000000-0005-0000-0000-000054560000}"/>
    <cellStyle name="40% - Accent6 4 2 5 2 2 2" xfId="22652" xr:uid="{00000000-0005-0000-0000-000055560000}"/>
    <cellStyle name="40% - Accent6 4 2 5 2 2 3" xfId="22653" xr:uid="{00000000-0005-0000-0000-000056560000}"/>
    <cellStyle name="40% - Accent6 4 2 5 2 3" xfId="22654" xr:uid="{00000000-0005-0000-0000-000057560000}"/>
    <cellStyle name="40% - Accent6 4 2 5 2 4" xfId="22655" xr:uid="{00000000-0005-0000-0000-000058560000}"/>
    <cellStyle name="40% - Accent6 4 2 5 2 5" xfId="22656" xr:uid="{00000000-0005-0000-0000-000059560000}"/>
    <cellStyle name="40% - Accent6 4 2 5 2 6" xfId="22657" xr:uid="{00000000-0005-0000-0000-00005A560000}"/>
    <cellStyle name="40% - Accent6 4 2 5 3" xfId="22658" xr:uid="{00000000-0005-0000-0000-00005B560000}"/>
    <cellStyle name="40% - Accent6 4 2 5 3 2" xfId="22659" xr:uid="{00000000-0005-0000-0000-00005C560000}"/>
    <cellStyle name="40% - Accent6 4 2 5 3 3" xfId="22660" xr:uid="{00000000-0005-0000-0000-00005D560000}"/>
    <cellStyle name="40% - Accent6 4 2 5 4" xfId="22661" xr:uid="{00000000-0005-0000-0000-00005E560000}"/>
    <cellStyle name="40% - Accent6 4 2 5 5" xfId="22662" xr:uid="{00000000-0005-0000-0000-00005F560000}"/>
    <cellStyle name="40% - Accent6 4 2 5 6" xfId="22663" xr:uid="{00000000-0005-0000-0000-000060560000}"/>
    <cellStyle name="40% - Accent6 4 2 5 7" xfId="22664" xr:uid="{00000000-0005-0000-0000-000061560000}"/>
    <cellStyle name="40% - Accent6 4 2 6" xfId="22665" xr:uid="{00000000-0005-0000-0000-000062560000}"/>
    <cellStyle name="40% - Accent6 4 2 6 2" xfId="22666" xr:uid="{00000000-0005-0000-0000-000063560000}"/>
    <cellStyle name="40% - Accent6 4 2 6 2 2" xfId="22667" xr:uid="{00000000-0005-0000-0000-000064560000}"/>
    <cellStyle name="40% - Accent6 4 2 6 2 3" xfId="22668" xr:uid="{00000000-0005-0000-0000-000065560000}"/>
    <cellStyle name="40% - Accent6 4 2 6 3" xfId="22669" xr:uid="{00000000-0005-0000-0000-000066560000}"/>
    <cellStyle name="40% - Accent6 4 2 6 4" xfId="22670" xr:uid="{00000000-0005-0000-0000-000067560000}"/>
    <cellStyle name="40% - Accent6 4 2 6 5" xfId="22671" xr:uid="{00000000-0005-0000-0000-000068560000}"/>
    <cellStyle name="40% - Accent6 4 2 6 6" xfId="22672" xr:uid="{00000000-0005-0000-0000-000069560000}"/>
    <cellStyle name="40% - Accent6 4 2 7" xfId="22673" xr:uid="{00000000-0005-0000-0000-00006A560000}"/>
    <cellStyle name="40% - Accent6 4 2 7 2" xfId="22674" xr:uid="{00000000-0005-0000-0000-00006B560000}"/>
    <cellStyle name="40% - Accent6 4 2 7 2 2" xfId="22675" xr:uid="{00000000-0005-0000-0000-00006C560000}"/>
    <cellStyle name="40% - Accent6 4 2 7 2 3" xfId="22676" xr:uid="{00000000-0005-0000-0000-00006D560000}"/>
    <cellStyle name="40% - Accent6 4 2 7 3" xfId="22677" xr:uid="{00000000-0005-0000-0000-00006E560000}"/>
    <cellStyle name="40% - Accent6 4 2 7 4" xfId="22678" xr:uid="{00000000-0005-0000-0000-00006F560000}"/>
    <cellStyle name="40% - Accent6 4 2 7 5" xfId="22679" xr:uid="{00000000-0005-0000-0000-000070560000}"/>
    <cellStyle name="40% - Accent6 4 2 7 6" xfId="22680" xr:uid="{00000000-0005-0000-0000-000071560000}"/>
    <cellStyle name="40% - Accent6 4 2 8" xfId="22681" xr:uid="{00000000-0005-0000-0000-000072560000}"/>
    <cellStyle name="40% - Accent6 4 2 8 2" xfId="22682" xr:uid="{00000000-0005-0000-0000-000073560000}"/>
    <cellStyle name="40% - Accent6 4 2 8 2 2" xfId="22683" xr:uid="{00000000-0005-0000-0000-000074560000}"/>
    <cellStyle name="40% - Accent6 4 2 8 2 3" xfId="22684" xr:uid="{00000000-0005-0000-0000-000075560000}"/>
    <cellStyle name="40% - Accent6 4 2 8 3" xfId="22685" xr:uid="{00000000-0005-0000-0000-000076560000}"/>
    <cellStyle name="40% - Accent6 4 2 8 4" xfId="22686" xr:uid="{00000000-0005-0000-0000-000077560000}"/>
    <cellStyle name="40% - Accent6 4 2 8 5" xfId="22687" xr:uid="{00000000-0005-0000-0000-000078560000}"/>
    <cellStyle name="40% - Accent6 4 2 8 6" xfId="22688" xr:uid="{00000000-0005-0000-0000-000079560000}"/>
    <cellStyle name="40% - Accent6 4 2 9" xfId="22689" xr:uid="{00000000-0005-0000-0000-00007A560000}"/>
    <cellStyle name="40% - Accent6 4 2 9 2" xfId="22690" xr:uid="{00000000-0005-0000-0000-00007B560000}"/>
    <cellStyle name="40% - Accent6 4 2 9 2 2" xfId="22691" xr:uid="{00000000-0005-0000-0000-00007C560000}"/>
    <cellStyle name="40% - Accent6 4 2 9 2 3" xfId="22692" xr:uid="{00000000-0005-0000-0000-00007D560000}"/>
    <cellStyle name="40% - Accent6 4 2 9 3" xfId="22693" xr:uid="{00000000-0005-0000-0000-00007E560000}"/>
    <cellStyle name="40% - Accent6 4 2 9 4" xfId="22694" xr:uid="{00000000-0005-0000-0000-00007F560000}"/>
    <cellStyle name="40% - Accent6 4 2 9 5" xfId="22695" xr:uid="{00000000-0005-0000-0000-000080560000}"/>
    <cellStyle name="40% - Accent6 4 2 9 6" xfId="22696" xr:uid="{00000000-0005-0000-0000-000081560000}"/>
    <cellStyle name="40% - Accent6 4 3" xfId="22697" xr:uid="{00000000-0005-0000-0000-000082560000}"/>
    <cellStyle name="40% - Accent6 4 3 10" xfId="22698" xr:uid="{00000000-0005-0000-0000-000083560000}"/>
    <cellStyle name="40% - Accent6 4 3 11" xfId="22699" xr:uid="{00000000-0005-0000-0000-000084560000}"/>
    <cellStyle name="40% - Accent6 4 3 12" xfId="22700" xr:uid="{00000000-0005-0000-0000-000085560000}"/>
    <cellStyle name="40% - Accent6 4 3 13" xfId="22701" xr:uid="{00000000-0005-0000-0000-000086560000}"/>
    <cellStyle name="40% - Accent6 4 3 2" xfId="22702" xr:uid="{00000000-0005-0000-0000-000087560000}"/>
    <cellStyle name="40% - Accent6 4 3 2 10" xfId="22703" xr:uid="{00000000-0005-0000-0000-000088560000}"/>
    <cellStyle name="40% - Accent6 4 3 2 2" xfId="22704" xr:uid="{00000000-0005-0000-0000-000089560000}"/>
    <cellStyle name="40% - Accent6 4 3 2 2 2" xfId="22705" xr:uid="{00000000-0005-0000-0000-00008A560000}"/>
    <cellStyle name="40% - Accent6 4 3 2 2 2 2" xfId="22706" xr:uid="{00000000-0005-0000-0000-00008B560000}"/>
    <cellStyle name="40% - Accent6 4 3 2 2 2 2 2" xfId="22707" xr:uid="{00000000-0005-0000-0000-00008C560000}"/>
    <cellStyle name="40% - Accent6 4 3 2 2 2 2 3" xfId="22708" xr:uid="{00000000-0005-0000-0000-00008D560000}"/>
    <cellStyle name="40% - Accent6 4 3 2 2 2 3" xfId="22709" xr:uid="{00000000-0005-0000-0000-00008E560000}"/>
    <cellStyle name="40% - Accent6 4 3 2 2 2 4" xfId="22710" xr:uid="{00000000-0005-0000-0000-00008F560000}"/>
    <cellStyle name="40% - Accent6 4 3 2 2 2 5" xfId="22711" xr:uid="{00000000-0005-0000-0000-000090560000}"/>
    <cellStyle name="40% - Accent6 4 3 2 2 2 6" xfId="22712" xr:uid="{00000000-0005-0000-0000-000091560000}"/>
    <cellStyle name="40% - Accent6 4 3 2 2 3" xfId="22713" xr:uid="{00000000-0005-0000-0000-000092560000}"/>
    <cellStyle name="40% - Accent6 4 3 2 2 3 2" xfId="22714" xr:uid="{00000000-0005-0000-0000-000093560000}"/>
    <cellStyle name="40% - Accent6 4 3 2 2 3 2 2" xfId="22715" xr:uid="{00000000-0005-0000-0000-000094560000}"/>
    <cellStyle name="40% - Accent6 4 3 2 2 3 2 3" xfId="22716" xr:uid="{00000000-0005-0000-0000-000095560000}"/>
    <cellStyle name="40% - Accent6 4 3 2 2 3 3" xfId="22717" xr:uid="{00000000-0005-0000-0000-000096560000}"/>
    <cellStyle name="40% - Accent6 4 3 2 2 3 4" xfId="22718" xr:uid="{00000000-0005-0000-0000-000097560000}"/>
    <cellStyle name="40% - Accent6 4 3 2 2 3 5" xfId="22719" xr:uid="{00000000-0005-0000-0000-000098560000}"/>
    <cellStyle name="40% - Accent6 4 3 2 2 3 6" xfId="22720" xr:uid="{00000000-0005-0000-0000-000099560000}"/>
    <cellStyle name="40% - Accent6 4 3 2 2 4" xfId="22721" xr:uid="{00000000-0005-0000-0000-00009A560000}"/>
    <cellStyle name="40% - Accent6 4 3 2 2 4 2" xfId="22722" xr:uid="{00000000-0005-0000-0000-00009B560000}"/>
    <cellStyle name="40% - Accent6 4 3 2 2 4 3" xfId="22723" xr:uid="{00000000-0005-0000-0000-00009C560000}"/>
    <cellStyle name="40% - Accent6 4 3 2 2 5" xfId="22724" xr:uid="{00000000-0005-0000-0000-00009D560000}"/>
    <cellStyle name="40% - Accent6 4 3 2 2 6" xfId="22725" xr:uid="{00000000-0005-0000-0000-00009E560000}"/>
    <cellStyle name="40% - Accent6 4 3 2 2 7" xfId="22726" xr:uid="{00000000-0005-0000-0000-00009F560000}"/>
    <cellStyle name="40% - Accent6 4 3 2 2 8" xfId="22727" xr:uid="{00000000-0005-0000-0000-0000A0560000}"/>
    <cellStyle name="40% - Accent6 4 3 2 3" xfId="22728" xr:uid="{00000000-0005-0000-0000-0000A1560000}"/>
    <cellStyle name="40% - Accent6 4 3 2 3 2" xfId="22729" xr:uid="{00000000-0005-0000-0000-0000A2560000}"/>
    <cellStyle name="40% - Accent6 4 3 2 3 2 2" xfId="22730" xr:uid="{00000000-0005-0000-0000-0000A3560000}"/>
    <cellStyle name="40% - Accent6 4 3 2 3 2 2 2" xfId="22731" xr:uid="{00000000-0005-0000-0000-0000A4560000}"/>
    <cellStyle name="40% - Accent6 4 3 2 3 2 2 3" xfId="22732" xr:uid="{00000000-0005-0000-0000-0000A5560000}"/>
    <cellStyle name="40% - Accent6 4 3 2 3 2 3" xfId="22733" xr:uid="{00000000-0005-0000-0000-0000A6560000}"/>
    <cellStyle name="40% - Accent6 4 3 2 3 2 4" xfId="22734" xr:uid="{00000000-0005-0000-0000-0000A7560000}"/>
    <cellStyle name="40% - Accent6 4 3 2 3 2 5" xfId="22735" xr:uid="{00000000-0005-0000-0000-0000A8560000}"/>
    <cellStyle name="40% - Accent6 4 3 2 3 2 6" xfId="22736" xr:uid="{00000000-0005-0000-0000-0000A9560000}"/>
    <cellStyle name="40% - Accent6 4 3 2 3 3" xfId="22737" xr:uid="{00000000-0005-0000-0000-0000AA560000}"/>
    <cellStyle name="40% - Accent6 4 3 2 3 3 2" xfId="22738" xr:uid="{00000000-0005-0000-0000-0000AB560000}"/>
    <cellStyle name="40% - Accent6 4 3 2 3 3 3" xfId="22739" xr:uid="{00000000-0005-0000-0000-0000AC560000}"/>
    <cellStyle name="40% - Accent6 4 3 2 3 4" xfId="22740" xr:uid="{00000000-0005-0000-0000-0000AD560000}"/>
    <cellStyle name="40% - Accent6 4 3 2 3 5" xfId="22741" xr:uid="{00000000-0005-0000-0000-0000AE560000}"/>
    <cellStyle name="40% - Accent6 4 3 2 3 6" xfId="22742" xr:uid="{00000000-0005-0000-0000-0000AF560000}"/>
    <cellStyle name="40% - Accent6 4 3 2 3 7" xfId="22743" xr:uid="{00000000-0005-0000-0000-0000B0560000}"/>
    <cellStyle name="40% - Accent6 4 3 2 4" xfId="22744" xr:uid="{00000000-0005-0000-0000-0000B1560000}"/>
    <cellStyle name="40% - Accent6 4 3 2 4 2" xfId="22745" xr:uid="{00000000-0005-0000-0000-0000B2560000}"/>
    <cellStyle name="40% - Accent6 4 3 2 4 2 2" xfId="22746" xr:uid="{00000000-0005-0000-0000-0000B3560000}"/>
    <cellStyle name="40% - Accent6 4 3 2 4 2 3" xfId="22747" xr:uid="{00000000-0005-0000-0000-0000B4560000}"/>
    <cellStyle name="40% - Accent6 4 3 2 4 3" xfId="22748" xr:uid="{00000000-0005-0000-0000-0000B5560000}"/>
    <cellStyle name="40% - Accent6 4 3 2 4 4" xfId="22749" xr:uid="{00000000-0005-0000-0000-0000B6560000}"/>
    <cellStyle name="40% - Accent6 4 3 2 4 5" xfId="22750" xr:uid="{00000000-0005-0000-0000-0000B7560000}"/>
    <cellStyle name="40% - Accent6 4 3 2 4 6" xfId="22751" xr:uid="{00000000-0005-0000-0000-0000B8560000}"/>
    <cellStyle name="40% - Accent6 4 3 2 5" xfId="22752" xr:uid="{00000000-0005-0000-0000-0000B9560000}"/>
    <cellStyle name="40% - Accent6 4 3 2 5 2" xfId="22753" xr:uid="{00000000-0005-0000-0000-0000BA560000}"/>
    <cellStyle name="40% - Accent6 4 3 2 5 2 2" xfId="22754" xr:uid="{00000000-0005-0000-0000-0000BB560000}"/>
    <cellStyle name="40% - Accent6 4 3 2 5 2 3" xfId="22755" xr:uid="{00000000-0005-0000-0000-0000BC560000}"/>
    <cellStyle name="40% - Accent6 4 3 2 5 3" xfId="22756" xr:uid="{00000000-0005-0000-0000-0000BD560000}"/>
    <cellStyle name="40% - Accent6 4 3 2 5 4" xfId="22757" xr:uid="{00000000-0005-0000-0000-0000BE560000}"/>
    <cellStyle name="40% - Accent6 4 3 2 5 5" xfId="22758" xr:uid="{00000000-0005-0000-0000-0000BF560000}"/>
    <cellStyle name="40% - Accent6 4 3 2 5 6" xfId="22759" xr:uid="{00000000-0005-0000-0000-0000C0560000}"/>
    <cellStyle name="40% - Accent6 4 3 2 6" xfId="22760" xr:uid="{00000000-0005-0000-0000-0000C1560000}"/>
    <cellStyle name="40% - Accent6 4 3 2 6 2" xfId="22761" xr:uid="{00000000-0005-0000-0000-0000C2560000}"/>
    <cellStyle name="40% - Accent6 4 3 2 6 3" xfId="22762" xr:uid="{00000000-0005-0000-0000-0000C3560000}"/>
    <cellStyle name="40% - Accent6 4 3 2 7" xfId="22763" xr:uid="{00000000-0005-0000-0000-0000C4560000}"/>
    <cellStyle name="40% - Accent6 4 3 2 8" xfId="22764" xr:uid="{00000000-0005-0000-0000-0000C5560000}"/>
    <cellStyle name="40% - Accent6 4 3 2 9" xfId="22765" xr:uid="{00000000-0005-0000-0000-0000C6560000}"/>
    <cellStyle name="40% - Accent6 4 3 3" xfId="22766" xr:uid="{00000000-0005-0000-0000-0000C7560000}"/>
    <cellStyle name="40% - Accent6 4 3 3 2" xfId="22767" xr:uid="{00000000-0005-0000-0000-0000C8560000}"/>
    <cellStyle name="40% - Accent6 4 3 3 2 2" xfId="22768" xr:uid="{00000000-0005-0000-0000-0000C9560000}"/>
    <cellStyle name="40% - Accent6 4 3 3 2 2 2" xfId="22769" xr:uid="{00000000-0005-0000-0000-0000CA560000}"/>
    <cellStyle name="40% - Accent6 4 3 3 2 2 2 2" xfId="22770" xr:uid="{00000000-0005-0000-0000-0000CB560000}"/>
    <cellStyle name="40% - Accent6 4 3 3 2 2 2 3" xfId="22771" xr:uid="{00000000-0005-0000-0000-0000CC560000}"/>
    <cellStyle name="40% - Accent6 4 3 3 2 2 3" xfId="22772" xr:uid="{00000000-0005-0000-0000-0000CD560000}"/>
    <cellStyle name="40% - Accent6 4 3 3 2 2 4" xfId="22773" xr:uid="{00000000-0005-0000-0000-0000CE560000}"/>
    <cellStyle name="40% - Accent6 4 3 3 2 2 5" xfId="22774" xr:uid="{00000000-0005-0000-0000-0000CF560000}"/>
    <cellStyle name="40% - Accent6 4 3 3 2 2 6" xfId="22775" xr:uid="{00000000-0005-0000-0000-0000D0560000}"/>
    <cellStyle name="40% - Accent6 4 3 3 2 3" xfId="22776" xr:uid="{00000000-0005-0000-0000-0000D1560000}"/>
    <cellStyle name="40% - Accent6 4 3 3 2 3 2" xfId="22777" xr:uid="{00000000-0005-0000-0000-0000D2560000}"/>
    <cellStyle name="40% - Accent6 4 3 3 2 3 3" xfId="22778" xr:uid="{00000000-0005-0000-0000-0000D3560000}"/>
    <cellStyle name="40% - Accent6 4 3 3 2 4" xfId="22779" xr:uid="{00000000-0005-0000-0000-0000D4560000}"/>
    <cellStyle name="40% - Accent6 4 3 3 2 5" xfId="22780" xr:uid="{00000000-0005-0000-0000-0000D5560000}"/>
    <cellStyle name="40% - Accent6 4 3 3 2 6" xfId="22781" xr:uid="{00000000-0005-0000-0000-0000D6560000}"/>
    <cellStyle name="40% - Accent6 4 3 3 2 7" xfId="22782" xr:uid="{00000000-0005-0000-0000-0000D7560000}"/>
    <cellStyle name="40% - Accent6 4 3 3 3" xfId="22783" xr:uid="{00000000-0005-0000-0000-0000D8560000}"/>
    <cellStyle name="40% - Accent6 4 3 3 3 2" xfId="22784" xr:uid="{00000000-0005-0000-0000-0000D9560000}"/>
    <cellStyle name="40% - Accent6 4 3 3 3 2 2" xfId="22785" xr:uid="{00000000-0005-0000-0000-0000DA560000}"/>
    <cellStyle name="40% - Accent6 4 3 3 3 2 3" xfId="22786" xr:uid="{00000000-0005-0000-0000-0000DB560000}"/>
    <cellStyle name="40% - Accent6 4 3 3 3 3" xfId="22787" xr:uid="{00000000-0005-0000-0000-0000DC560000}"/>
    <cellStyle name="40% - Accent6 4 3 3 3 4" xfId="22788" xr:uid="{00000000-0005-0000-0000-0000DD560000}"/>
    <cellStyle name="40% - Accent6 4 3 3 3 5" xfId="22789" xr:uid="{00000000-0005-0000-0000-0000DE560000}"/>
    <cellStyle name="40% - Accent6 4 3 3 3 6" xfId="22790" xr:uid="{00000000-0005-0000-0000-0000DF560000}"/>
    <cellStyle name="40% - Accent6 4 3 3 4" xfId="22791" xr:uid="{00000000-0005-0000-0000-0000E0560000}"/>
    <cellStyle name="40% - Accent6 4 3 3 4 2" xfId="22792" xr:uid="{00000000-0005-0000-0000-0000E1560000}"/>
    <cellStyle name="40% - Accent6 4 3 3 4 2 2" xfId="22793" xr:uid="{00000000-0005-0000-0000-0000E2560000}"/>
    <cellStyle name="40% - Accent6 4 3 3 4 2 3" xfId="22794" xr:uid="{00000000-0005-0000-0000-0000E3560000}"/>
    <cellStyle name="40% - Accent6 4 3 3 4 3" xfId="22795" xr:uid="{00000000-0005-0000-0000-0000E4560000}"/>
    <cellStyle name="40% - Accent6 4 3 3 4 4" xfId="22796" xr:uid="{00000000-0005-0000-0000-0000E5560000}"/>
    <cellStyle name="40% - Accent6 4 3 3 4 5" xfId="22797" xr:uid="{00000000-0005-0000-0000-0000E6560000}"/>
    <cellStyle name="40% - Accent6 4 3 3 4 6" xfId="22798" xr:uid="{00000000-0005-0000-0000-0000E7560000}"/>
    <cellStyle name="40% - Accent6 4 3 3 5" xfId="22799" xr:uid="{00000000-0005-0000-0000-0000E8560000}"/>
    <cellStyle name="40% - Accent6 4 3 3 5 2" xfId="22800" xr:uid="{00000000-0005-0000-0000-0000E9560000}"/>
    <cellStyle name="40% - Accent6 4 3 3 5 3" xfId="22801" xr:uid="{00000000-0005-0000-0000-0000EA560000}"/>
    <cellStyle name="40% - Accent6 4 3 3 6" xfId="22802" xr:uid="{00000000-0005-0000-0000-0000EB560000}"/>
    <cellStyle name="40% - Accent6 4 3 3 7" xfId="22803" xr:uid="{00000000-0005-0000-0000-0000EC560000}"/>
    <cellStyle name="40% - Accent6 4 3 3 8" xfId="22804" xr:uid="{00000000-0005-0000-0000-0000ED560000}"/>
    <cellStyle name="40% - Accent6 4 3 3 9" xfId="22805" xr:uid="{00000000-0005-0000-0000-0000EE560000}"/>
    <cellStyle name="40% - Accent6 4 3 4" xfId="22806" xr:uid="{00000000-0005-0000-0000-0000EF560000}"/>
    <cellStyle name="40% - Accent6 4 3 4 2" xfId="22807" xr:uid="{00000000-0005-0000-0000-0000F0560000}"/>
    <cellStyle name="40% - Accent6 4 3 4 2 2" xfId="22808" xr:uid="{00000000-0005-0000-0000-0000F1560000}"/>
    <cellStyle name="40% - Accent6 4 3 4 2 2 2" xfId="22809" xr:uid="{00000000-0005-0000-0000-0000F2560000}"/>
    <cellStyle name="40% - Accent6 4 3 4 2 2 3" xfId="22810" xr:uid="{00000000-0005-0000-0000-0000F3560000}"/>
    <cellStyle name="40% - Accent6 4 3 4 2 3" xfId="22811" xr:uid="{00000000-0005-0000-0000-0000F4560000}"/>
    <cellStyle name="40% - Accent6 4 3 4 2 4" xfId="22812" xr:uid="{00000000-0005-0000-0000-0000F5560000}"/>
    <cellStyle name="40% - Accent6 4 3 4 2 5" xfId="22813" xr:uid="{00000000-0005-0000-0000-0000F6560000}"/>
    <cellStyle name="40% - Accent6 4 3 4 2 6" xfId="22814" xr:uid="{00000000-0005-0000-0000-0000F7560000}"/>
    <cellStyle name="40% - Accent6 4 3 4 3" xfId="22815" xr:uid="{00000000-0005-0000-0000-0000F8560000}"/>
    <cellStyle name="40% - Accent6 4 3 4 3 2" xfId="22816" xr:uid="{00000000-0005-0000-0000-0000F9560000}"/>
    <cellStyle name="40% - Accent6 4 3 4 3 3" xfId="22817" xr:uid="{00000000-0005-0000-0000-0000FA560000}"/>
    <cellStyle name="40% - Accent6 4 3 4 4" xfId="22818" xr:uid="{00000000-0005-0000-0000-0000FB560000}"/>
    <cellStyle name="40% - Accent6 4 3 4 5" xfId="22819" xr:uid="{00000000-0005-0000-0000-0000FC560000}"/>
    <cellStyle name="40% - Accent6 4 3 4 6" xfId="22820" xr:uid="{00000000-0005-0000-0000-0000FD560000}"/>
    <cellStyle name="40% - Accent6 4 3 4 7" xfId="22821" xr:uid="{00000000-0005-0000-0000-0000FE560000}"/>
    <cellStyle name="40% - Accent6 4 3 5" xfId="22822" xr:uid="{00000000-0005-0000-0000-0000FF560000}"/>
    <cellStyle name="40% - Accent6 4 3 5 2" xfId="22823" xr:uid="{00000000-0005-0000-0000-000000570000}"/>
    <cellStyle name="40% - Accent6 4 3 5 2 2" xfId="22824" xr:uid="{00000000-0005-0000-0000-000001570000}"/>
    <cellStyle name="40% - Accent6 4 3 5 2 3" xfId="22825" xr:uid="{00000000-0005-0000-0000-000002570000}"/>
    <cellStyle name="40% - Accent6 4 3 5 3" xfId="22826" xr:uid="{00000000-0005-0000-0000-000003570000}"/>
    <cellStyle name="40% - Accent6 4 3 5 4" xfId="22827" xr:uid="{00000000-0005-0000-0000-000004570000}"/>
    <cellStyle name="40% - Accent6 4 3 5 5" xfId="22828" xr:uid="{00000000-0005-0000-0000-000005570000}"/>
    <cellStyle name="40% - Accent6 4 3 5 6" xfId="22829" xr:uid="{00000000-0005-0000-0000-000006570000}"/>
    <cellStyle name="40% - Accent6 4 3 6" xfId="22830" xr:uid="{00000000-0005-0000-0000-000007570000}"/>
    <cellStyle name="40% - Accent6 4 3 6 2" xfId="22831" xr:uid="{00000000-0005-0000-0000-000008570000}"/>
    <cellStyle name="40% - Accent6 4 3 6 2 2" xfId="22832" xr:uid="{00000000-0005-0000-0000-000009570000}"/>
    <cellStyle name="40% - Accent6 4 3 6 2 3" xfId="22833" xr:uid="{00000000-0005-0000-0000-00000A570000}"/>
    <cellStyle name="40% - Accent6 4 3 6 3" xfId="22834" xr:uid="{00000000-0005-0000-0000-00000B570000}"/>
    <cellStyle name="40% - Accent6 4 3 6 4" xfId="22835" xr:uid="{00000000-0005-0000-0000-00000C570000}"/>
    <cellStyle name="40% - Accent6 4 3 6 5" xfId="22836" xr:uid="{00000000-0005-0000-0000-00000D570000}"/>
    <cellStyle name="40% - Accent6 4 3 6 6" xfId="22837" xr:uid="{00000000-0005-0000-0000-00000E570000}"/>
    <cellStyle name="40% - Accent6 4 3 7" xfId="22838" xr:uid="{00000000-0005-0000-0000-00000F570000}"/>
    <cellStyle name="40% - Accent6 4 3 7 2" xfId="22839" xr:uid="{00000000-0005-0000-0000-000010570000}"/>
    <cellStyle name="40% - Accent6 4 3 7 2 2" xfId="22840" xr:uid="{00000000-0005-0000-0000-000011570000}"/>
    <cellStyle name="40% - Accent6 4 3 7 2 3" xfId="22841" xr:uid="{00000000-0005-0000-0000-000012570000}"/>
    <cellStyle name="40% - Accent6 4 3 7 3" xfId="22842" xr:uid="{00000000-0005-0000-0000-000013570000}"/>
    <cellStyle name="40% - Accent6 4 3 7 4" xfId="22843" xr:uid="{00000000-0005-0000-0000-000014570000}"/>
    <cellStyle name="40% - Accent6 4 3 7 5" xfId="22844" xr:uid="{00000000-0005-0000-0000-000015570000}"/>
    <cellStyle name="40% - Accent6 4 3 7 6" xfId="22845" xr:uid="{00000000-0005-0000-0000-000016570000}"/>
    <cellStyle name="40% - Accent6 4 3 8" xfId="22846" xr:uid="{00000000-0005-0000-0000-000017570000}"/>
    <cellStyle name="40% - Accent6 4 3 8 2" xfId="22847" xr:uid="{00000000-0005-0000-0000-000018570000}"/>
    <cellStyle name="40% - Accent6 4 3 8 2 2" xfId="22848" xr:uid="{00000000-0005-0000-0000-000019570000}"/>
    <cellStyle name="40% - Accent6 4 3 8 2 3" xfId="22849" xr:uid="{00000000-0005-0000-0000-00001A570000}"/>
    <cellStyle name="40% - Accent6 4 3 8 3" xfId="22850" xr:uid="{00000000-0005-0000-0000-00001B570000}"/>
    <cellStyle name="40% - Accent6 4 3 8 4" xfId="22851" xr:uid="{00000000-0005-0000-0000-00001C570000}"/>
    <cellStyle name="40% - Accent6 4 3 8 5" xfId="22852" xr:uid="{00000000-0005-0000-0000-00001D570000}"/>
    <cellStyle name="40% - Accent6 4 3 8 6" xfId="22853" xr:uid="{00000000-0005-0000-0000-00001E570000}"/>
    <cellStyle name="40% - Accent6 4 3 9" xfId="22854" xr:uid="{00000000-0005-0000-0000-00001F570000}"/>
    <cellStyle name="40% - Accent6 4 3 9 2" xfId="22855" xr:uid="{00000000-0005-0000-0000-000020570000}"/>
    <cellStyle name="40% - Accent6 4 3 9 3" xfId="22856" xr:uid="{00000000-0005-0000-0000-000021570000}"/>
    <cellStyle name="40% - Accent6 4 4" xfId="22857" xr:uid="{00000000-0005-0000-0000-000022570000}"/>
    <cellStyle name="40% - Accent6 4 4 10" xfId="22858" xr:uid="{00000000-0005-0000-0000-000023570000}"/>
    <cellStyle name="40% - Accent6 4 4 2" xfId="22859" xr:uid="{00000000-0005-0000-0000-000024570000}"/>
    <cellStyle name="40% - Accent6 4 4 2 2" xfId="22860" xr:uid="{00000000-0005-0000-0000-000025570000}"/>
    <cellStyle name="40% - Accent6 4 4 2 2 2" xfId="22861" xr:uid="{00000000-0005-0000-0000-000026570000}"/>
    <cellStyle name="40% - Accent6 4 4 2 2 2 2" xfId="22862" xr:uid="{00000000-0005-0000-0000-000027570000}"/>
    <cellStyle name="40% - Accent6 4 4 2 2 2 3" xfId="22863" xr:uid="{00000000-0005-0000-0000-000028570000}"/>
    <cellStyle name="40% - Accent6 4 4 2 2 3" xfId="22864" xr:uid="{00000000-0005-0000-0000-000029570000}"/>
    <cellStyle name="40% - Accent6 4 4 2 2 4" xfId="22865" xr:uid="{00000000-0005-0000-0000-00002A570000}"/>
    <cellStyle name="40% - Accent6 4 4 2 2 5" xfId="22866" xr:uid="{00000000-0005-0000-0000-00002B570000}"/>
    <cellStyle name="40% - Accent6 4 4 2 2 6" xfId="22867" xr:uid="{00000000-0005-0000-0000-00002C570000}"/>
    <cellStyle name="40% - Accent6 4 4 2 3" xfId="22868" xr:uid="{00000000-0005-0000-0000-00002D570000}"/>
    <cellStyle name="40% - Accent6 4 4 2 3 2" xfId="22869" xr:uid="{00000000-0005-0000-0000-00002E570000}"/>
    <cellStyle name="40% - Accent6 4 4 2 3 2 2" xfId="22870" xr:uid="{00000000-0005-0000-0000-00002F570000}"/>
    <cellStyle name="40% - Accent6 4 4 2 3 2 3" xfId="22871" xr:uid="{00000000-0005-0000-0000-000030570000}"/>
    <cellStyle name="40% - Accent6 4 4 2 3 3" xfId="22872" xr:uid="{00000000-0005-0000-0000-000031570000}"/>
    <cellStyle name="40% - Accent6 4 4 2 3 4" xfId="22873" xr:uid="{00000000-0005-0000-0000-000032570000}"/>
    <cellStyle name="40% - Accent6 4 4 2 3 5" xfId="22874" xr:uid="{00000000-0005-0000-0000-000033570000}"/>
    <cellStyle name="40% - Accent6 4 4 2 3 6" xfId="22875" xr:uid="{00000000-0005-0000-0000-000034570000}"/>
    <cellStyle name="40% - Accent6 4 4 2 4" xfId="22876" xr:uid="{00000000-0005-0000-0000-000035570000}"/>
    <cellStyle name="40% - Accent6 4 4 2 4 2" xfId="22877" xr:uid="{00000000-0005-0000-0000-000036570000}"/>
    <cellStyle name="40% - Accent6 4 4 2 4 3" xfId="22878" xr:uid="{00000000-0005-0000-0000-000037570000}"/>
    <cellStyle name="40% - Accent6 4 4 2 5" xfId="22879" xr:uid="{00000000-0005-0000-0000-000038570000}"/>
    <cellStyle name="40% - Accent6 4 4 2 6" xfId="22880" xr:uid="{00000000-0005-0000-0000-000039570000}"/>
    <cellStyle name="40% - Accent6 4 4 2 7" xfId="22881" xr:uid="{00000000-0005-0000-0000-00003A570000}"/>
    <cellStyle name="40% - Accent6 4 4 2 8" xfId="22882" xr:uid="{00000000-0005-0000-0000-00003B570000}"/>
    <cellStyle name="40% - Accent6 4 4 3" xfId="22883" xr:uid="{00000000-0005-0000-0000-00003C570000}"/>
    <cellStyle name="40% - Accent6 4 4 3 2" xfId="22884" xr:uid="{00000000-0005-0000-0000-00003D570000}"/>
    <cellStyle name="40% - Accent6 4 4 3 2 2" xfId="22885" xr:uid="{00000000-0005-0000-0000-00003E570000}"/>
    <cellStyle name="40% - Accent6 4 4 3 2 2 2" xfId="22886" xr:uid="{00000000-0005-0000-0000-00003F570000}"/>
    <cellStyle name="40% - Accent6 4 4 3 2 2 3" xfId="22887" xr:uid="{00000000-0005-0000-0000-000040570000}"/>
    <cellStyle name="40% - Accent6 4 4 3 2 3" xfId="22888" xr:uid="{00000000-0005-0000-0000-000041570000}"/>
    <cellStyle name="40% - Accent6 4 4 3 2 4" xfId="22889" xr:uid="{00000000-0005-0000-0000-000042570000}"/>
    <cellStyle name="40% - Accent6 4 4 3 2 5" xfId="22890" xr:uid="{00000000-0005-0000-0000-000043570000}"/>
    <cellStyle name="40% - Accent6 4 4 3 2 6" xfId="22891" xr:uid="{00000000-0005-0000-0000-000044570000}"/>
    <cellStyle name="40% - Accent6 4 4 3 3" xfId="22892" xr:uid="{00000000-0005-0000-0000-000045570000}"/>
    <cellStyle name="40% - Accent6 4 4 3 3 2" xfId="22893" xr:uid="{00000000-0005-0000-0000-000046570000}"/>
    <cellStyle name="40% - Accent6 4 4 3 3 3" xfId="22894" xr:uid="{00000000-0005-0000-0000-000047570000}"/>
    <cellStyle name="40% - Accent6 4 4 3 4" xfId="22895" xr:uid="{00000000-0005-0000-0000-000048570000}"/>
    <cellStyle name="40% - Accent6 4 4 3 5" xfId="22896" xr:uid="{00000000-0005-0000-0000-000049570000}"/>
    <cellStyle name="40% - Accent6 4 4 3 6" xfId="22897" xr:uid="{00000000-0005-0000-0000-00004A570000}"/>
    <cellStyle name="40% - Accent6 4 4 3 7" xfId="22898" xr:uid="{00000000-0005-0000-0000-00004B570000}"/>
    <cellStyle name="40% - Accent6 4 4 4" xfId="22899" xr:uid="{00000000-0005-0000-0000-00004C570000}"/>
    <cellStyle name="40% - Accent6 4 4 4 2" xfId="22900" xr:uid="{00000000-0005-0000-0000-00004D570000}"/>
    <cellStyle name="40% - Accent6 4 4 4 2 2" xfId="22901" xr:uid="{00000000-0005-0000-0000-00004E570000}"/>
    <cellStyle name="40% - Accent6 4 4 4 2 3" xfId="22902" xr:uid="{00000000-0005-0000-0000-00004F570000}"/>
    <cellStyle name="40% - Accent6 4 4 4 3" xfId="22903" xr:uid="{00000000-0005-0000-0000-000050570000}"/>
    <cellStyle name="40% - Accent6 4 4 4 4" xfId="22904" xr:uid="{00000000-0005-0000-0000-000051570000}"/>
    <cellStyle name="40% - Accent6 4 4 4 5" xfId="22905" xr:uid="{00000000-0005-0000-0000-000052570000}"/>
    <cellStyle name="40% - Accent6 4 4 4 6" xfId="22906" xr:uid="{00000000-0005-0000-0000-000053570000}"/>
    <cellStyle name="40% - Accent6 4 4 5" xfId="22907" xr:uid="{00000000-0005-0000-0000-000054570000}"/>
    <cellStyle name="40% - Accent6 4 4 5 2" xfId="22908" xr:uid="{00000000-0005-0000-0000-000055570000}"/>
    <cellStyle name="40% - Accent6 4 4 5 2 2" xfId="22909" xr:uid="{00000000-0005-0000-0000-000056570000}"/>
    <cellStyle name="40% - Accent6 4 4 5 2 3" xfId="22910" xr:uid="{00000000-0005-0000-0000-000057570000}"/>
    <cellStyle name="40% - Accent6 4 4 5 3" xfId="22911" xr:uid="{00000000-0005-0000-0000-000058570000}"/>
    <cellStyle name="40% - Accent6 4 4 5 4" xfId="22912" xr:uid="{00000000-0005-0000-0000-000059570000}"/>
    <cellStyle name="40% - Accent6 4 4 5 5" xfId="22913" xr:uid="{00000000-0005-0000-0000-00005A570000}"/>
    <cellStyle name="40% - Accent6 4 4 5 6" xfId="22914" xr:uid="{00000000-0005-0000-0000-00005B570000}"/>
    <cellStyle name="40% - Accent6 4 4 6" xfId="22915" xr:uid="{00000000-0005-0000-0000-00005C570000}"/>
    <cellStyle name="40% - Accent6 4 4 6 2" xfId="22916" xr:uid="{00000000-0005-0000-0000-00005D570000}"/>
    <cellStyle name="40% - Accent6 4 4 6 3" xfId="22917" xr:uid="{00000000-0005-0000-0000-00005E570000}"/>
    <cellStyle name="40% - Accent6 4 4 7" xfId="22918" xr:uid="{00000000-0005-0000-0000-00005F570000}"/>
    <cellStyle name="40% - Accent6 4 4 8" xfId="22919" xr:uid="{00000000-0005-0000-0000-000060570000}"/>
    <cellStyle name="40% - Accent6 4 4 9" xfId="22920" xr:uid="{00000000-0005-0000-0000-000061570000}"/>
    <cellStyle name="40% - Accent6 4 5" xfId="22921" xr:uid="{00000000-0005-0000-0000-000062570000}"/>
    <cellStyle name="40% - Accent6 4 5 2" xfId="22922" xr:uid="{00000000-0005-0000-0000-000063570000}"/>
    <cellStyle name="40% - Accent6 4 5 2 2" xfId="22923" xr:uid="{00000000-0005-0000-0000-000064570000}"/>
    <cellStyle name="40% - Accent6 4 5 2 2 2" xfId="22924" xr:uid="{00000000-0005-0000-0000-000065570000}"/>
    <cellStyle name="40% - Accent6 4 5 2 2 2 2" xfId="22925" xr:uid="{00000000-0005-0000-0000-000066570000}"/>
    <cellStyle name="40% - Accent6 4 5 2 2 2 3" xfId="22926" xr:uid="{00000000-0005-0000-0000-000067570000}"/>
    <cellStyle name="40% - Accent6 4 5 2 2 3" xfId="22927" xr:uid="{00000000-0005-0000-0000-000068570000}"/>
    <cellStyle name="40% - Accent6 4 5 2 2 4" xfId="22928" xr:uid="{00000000-0005-0000-0000-000069570000}"/>
    <cellStyle name="40% - Accent6 4 5 2 2 5" xfId="22929" xr:uid="{00000000-0005-0000-0000-00006A570000}"/>
    <cellStyle name="40% - Accent6 4 5 2 2 6" xfId="22930" xr:uid="{00000000-0005-0000-0000-00006B570000}"/>
    <cellStyle name="40% - Accent6 4 5 2 3" xfId="22931" xr:uid="{00000000-0005-0000-0000-00006C570000}"/>
    <cellStyle name="40% - Accent6 4 5 2 3 2" xfId="22932" xr:uid="{00000000-0005-0000-0000-00006D570000}"/>
    <cellStyle name="40% - Accent6 4 5 2 3 3" xfId="22933" xr:uid="{00000000-0005-0000-0000-00006E570000}"/>
    <cellStyle name="40% - Accent6 4 5 2 4" xfId="22934" xr:uid="{00000000-0005-0000-0000-00006F570000}"/>
    <cellStyle name="40% - Accent6 4 5 2 5" xfId="22935" xr:uid="{00000000-0005-0000-0000-000070570000}"/>
    <cellStyle name="40% - Accent6 4 5 2 6" xfId="22936" xr:uid="{00000000-0005-0000-0000-000071570000}"/>
    <cellStyle name="40% - Accent6 4 5 2 7" xfId="22937" xr:uid="{00000000-0005-0000-0000-000072570000}"/>
    <cellStyle name="40% - Accent6 4 5 3" xfId="22938" xr:uid="{00000000-0005-0000-0000-000073570000}"/>
    <cellStyle name="40% - Accent6 4 5 3 2" xfId="22939" xr:uid="{00000000-0005-0000-0000-000074570000}"/>
    <cellStyle name="40% - Accent6 4 5 3 2 2" xfId="22940" xr:uid="{00000000-0005-0000-0000-000075570000}"/>
    <cellStyle name="40% - Accent6 4 5 3 2 3" xfId="22941" xr:uid="{00000000-0005-0000-0000-000076570000}"/>
    <cellStyle name="40% - Accent6 4 5 3 3" xfId="22942" xr:uid="{00000000-0005-0000-0000-000077570000}"/>
    <cellStyle name="40% - Accent6 4 5 3 4" xfId="22943" xr:uid="{00000000-0005-0000-0000-000078570000}"/>
    <cellStyle name="40% - Accent6 4 5 3 5" xfId="22944" xr:uid="{00000000-0005-0000-0000-000079570000}"/>
    <cellStyle name="40% - Accent6 4 5 3 6" xfId="22945" xr:uid="{00000000-0005-0000-0000-00007A570000}"/>
    <cellStyle name="40% - Accent6 4 5 4" xfId="22946" xr:uid="{00000000-0005-0000-0000-00007B570000}"/>
    <cellStyle name="40% - Accent6 4 5 4 2" xfId="22947" xr:uid="{00000000-0005-0000-0000-00007C570000}"/>
    <cellStyle name="40% - Accent6 4 5 4 2 2" xfId="22948" xr:uid="{00000000-0005-0000-0000-00007D570000}"/>
    <cellStyle name="40% - Accent6 4 5 4 2 3" xfId="22949" xr:uid="{00000000-0005-0000-0000-00007E570000}"/>
    <cellStyle name="40% - Accent6 4 5 4 3" xfId="22950" xr:uid="{00000000-0005-0000-0000-00007F570000}"/>
    <cellStyle name="40% - Accent6 4 5 4 4" xfId="22951" xr:uid="{00000000-0005-0000-0000-000080570000}"/>
    <cellStyle name="40% - Accent6 4 5 4 5" xfId="22952" xr:uid="{00000000-0005-0000-0000-000081570000}"/>
    <cellStyle name="40% - Accent6 4 5 4 6" xfId="22953" xr:uid="{00000000-0005-0000-0000-000082570000}"/>
    <cellStyle name="40% - Accent6 4 5 5" xfId="22954" xr:uid="{00000000-0005-0000-0000-000083570000}"/>
    <cellStyle name="40% - Accent6 4 5 5 2" xfId="22955" xr:uid="{00000000-0005-0000-0000-000084570000}"/>
    <cellStyle name="40% - Accent6 4 5 5 3" xfId="22956" xr:uid="{00000000-0005-0000-0000-000085570000}"/>
    <cellStyle name="40% - Accent6 4 5 6" xfId="22957" xr:uid="{00000000-0005-0000-0000-000086570000}"/>
    <cellStyle name="40% - Accent6 4 5 7" xfId="22958" xr:uid="{00000000-0005-0000-0000-000087570000}"/>
    <cellStyle name="40% - Accent6 4 5 8" xfId="22959" xr:uid="{00000000-0005-0000-0000-000088570000}"/>
    <cellStyle name="40% - Accent6 4 5 9" xfId="22960" xr:uid="{00000000-0005-0000-0000-000089570000}"/>
    <cellStyle name="40% - Accent6 4 6" xfId="22961" xr:uid="{00000000-0005-0000-0000-00008A570000}"/>
    <cellStyle name="40% - Accent6 4 6 2" xfId="22962" xr:uid="{00000000-0005-0000-0000-00008B570000}"/>
    <cellStyle name="40% - Accent6 4 6 2 2" xfId="22963" xr:uid="{00000000-0005-0000-0000-00008C570000}"/>
    <cellStyle name="40% - Accent6 4 6 2 2 2" xfId="22964" xr:uid="{00000000-0005-0000-0000-00008D570000}"/>
    <cellStyle name="40% - Accent6 4 6 2 2 3" xfId="22965" xr:uid="{00000000-0005-0000-0000-00008E570000}"/>
    <cellStyle name="40% - Accent6 4 6 2 3" xfId="22966" xr:uid="{00000000-0005-0000-0000-00008F570000}"/>
    <cellStyle name="40% - Accent6 4 6 2 4" xfId="22967" xr:uid="{00000000-0005-0000-0000-000090570000}"/>
    <cellStyle name="40% - Accent6 4 6 2 5" xfId="22968" xr:uid="{00000000-0005-0000-0000-000091570000}"/>
    <cellStyle name="40% - Accent6 4 6 2 6" xfId="22969" xr:uid="{00000000-0005-0000-0000-000092570000}"/>
    <cellStyle name="40% - Accent6 4 6 3" xfId="22970" xr:uid="{00000000-0005-0000-0000-000093570000}"/>
    <cellStyle name="40% - Accent6 4 6 3 2" xfId="22971" xr:uid="{00000000-0005-0000-0000-000094570000}"/>
    <cellStyle name="40% - Accent6 4 6 3 3" xfId="22972" xr:uid="{00000000-0005-0000-0000-000095570000}"/>
    <cellStyle name="40% - Accent6 4 6 4" xfId="22973" xr:uid="{00000000-0005-0000-0000-000096570000}"/>
    <cellStyle name="40% - Accent6 4 6 5" xfId="22974" xr:uid="{00000000-0005-0000-0000-000097570000}"/>
    <cellStyle name="40% - Accent6 4 6 6" xfId="22975" xr:uid="{00000000-0005-0000-0000-000098570000}"/>
    <cellStyle name="40% - Accent6 4 6 7" xfId="22976" xr:uid="{00000000-0005-0000-0000-000099570000}"/>
    <cellStyle name="40% - Accent6 4 7" xfId="22977" xr:uid="{00000000-0005-0000-0000-00009A570000}"/>
    <cellStyle name="40% - Accent6 4 7 2" xfId="22978" xr:uid="{00000000-0005-0000-0000-00009B570000}"/>
    <cellStyle name="40% - Accent6 4 7 2 2" xfId="22979" xr:uid="{00000000-0005-0000-0000-00009C570000}"/>
    <cellStyle name="40% - Accent6 4 7 2 3" xfId="22980" xr:uid="{00000000-0005-0000-0000-00009D570000}"/>
    <cellStyle name="40% - Accent6 4 7 3" xfId="22981" xr:uid="{00000000-0005-0000-0000-00009E570000}"/>
    <cellStyle name="40% - Accent6 4 7 4" xfId="22982" xr:uid="{00000000-0005-0000-0000-00009F570000}"/>
    <cellStyle name="40% - Accent6 4 7 5" xfId="22983" xr:uid="{00000000-0005-0000-0000-0000A0570000}"/>
    <cellStyle name="40% - Accent6 4 7 6" xfId="22984" xr:uid="{00000000-0005-0000-0000-0000A1570000}"/>
    <cellStyle name="40% - Accent6 4 8" xfId="22985" xr:uid="{00000000-0005-0000-0000-0000A2570000}"/>
    <cellStyle name="40% - Accent6 4 8 2" xfId="22986" xr:uid="{00000000-0005-0000-0000-0000A3570000}"/>
    <cellStyle name="40% - Accent6 4 8 2 2" xfId="22987" xr:uid="{00000000-0005-0000-0000-0000A4570000}"/>
    <cellStyle name="40% - Accent6 4 8 2 3" xfId="22988" xr:uid="{00000000-0005-0000-0000-0000A5570000}"/>
    <cellStyle name="40% - Accent6 4 8 3" xfId="22989" xr:uid="{00000000-0005-0000-0000-0000A6570000}"/>
    <cellStyle name="40% - Accent6 4 8 4" xfId="22990" xr:uid="{00000000-0005-0000-0000-0000A7570000}"/>
    <cellStyle name="40% - Accent6 4 8 5" xfId="22991" xr:uid="{00000000-0005-0000-0000-0000A8570000}"/>
    <cellStyle name="40% - Accent6 4 8 6" xfId="22992" xr:uid="{00000000-0005-0000-0000-0000A9570000}"/>
    <cellStyle name="40% - Accent6 4 9" xfId="22993" xr:uid="{00000000-0005-0000-0000-0000AA570000}"/>
    <cellStyle name="40% - Accent6 4 9 2" xfId="22994" xr:uid="{00000000-0005-0000-0000-0000AB570000}"/>
    <cellStyle name="40% - Accent6 4 9 2 2" xfId="22995" xr:uid="{00000000-0005-0000-0000-0000AC570000}"/>
    <cellStyle name="40% - Accent6 4 9 2 3" xfId="22996" xr:uid="{00000000-0005-0000-0000-0000AD570000}"/>
    <cellStyle name="40% - Accent6 4 9 3" xfId="22997" xr:uid="{00000000-0005-0000-0000-0000AE570000}"/>
    <cellStyle name="40% - Accent6 4 9 4" xfId="22998" xr:uid="{00000000-0005-0000-0000-0000AF570000}"/>
    <cellStyle name="40% - Accent6 4 9 5" xfId="22999" xr:uid="{00000000-0005-0000-0000-0000B0570000}"/>
    <cellStyle name="40% - Accent6 4 9 6" xfId="23000" xr:uid="{00000000-0005-0000-0000-0000B1570000}"/>
    <cellStyle name="40% - Accent6 5" xfId="23001" xr:uid="{00000000-0005-0000-0000-0000B2570000}"/>
    <cellStyle name="40% - Accent6 5 10" xfId="23002" xr:uid="{00000000-0005-0000-0000-0000B3570000}"/>
    <cellStyle name="40% - Accent6 5 11" xfId="23003" xr:uid="{00000000-0005-0000-0000-0000B4570000}"/>
    <cellStyle name="40% - Accent6 5 12" xfId="23004" xr:uid="{00000000-0005-0000-0000-0000B5570000}"/>
    <cellStyle name="40% - Accent6 5 13" xfId="23005" xr:uid="{00000000-0005-0000-0000-0000B6570000}"/>
    <cellStyle name="40% - Accent6 5 2" xfId="23006" xr:uid="{00000000-0005-0000-0000-0000B7570000}"/>
    <cellStyle name="40% - Accent6 5 2 10" xfId="23007" xr:uid="{00000000-0005-0000-0000-0000B8570000}"/>
    <cellStyle name="40% - Accent6 5 2 2" xfId="23008" xr:uid="{00000000-0005-0000-0000-0000B9570000}"/>
    <cellStyle name="40% - Accent6 5 2 2 2" xfId="23009" xr:uid="{00000000-0005-0000-0000-0000BA570000}"/>
    <cellStyle name="40% - Accent6 5 2 2 2 2" xfId="23010" xr:uid="{00000000-0005-0000-0000-0000BB570000}"/>
    <cellStyle name="40% - Accent6 5 2 2 2 2 2" xfId="23011" xr:uid="{00000000-0005-0000-0000-0000BC570000}"/>
    <cellStyle name="40% - Accent6 5 2 2 2 2 3" xfId="23012" xr:uid="{00000000-0005-0000-0000-0000BD570000}"/>
    <cellStyle name="40% - Accent6 5 2 2 2 3" xfId="23013" xr:uid="{00000000-0005-0000-0000-0000BE570000}"/>
    <cellStyle name="40% - Accent6 5 2 2 2 4" xfId="23014" xr:uid="{00000000-0005-0000-0000-0000BF570000}"/>
    <cellStyle name="40% - Accent6 5 2 2 2 5" xfId="23015" xr:uid="{00000000-0005-0000-0000-0000C0570000}"/>
    <cellStyle name="40% - Accent6 5 2 2 2 6" xfId="23016" xr:uid="{00000000-0005-0000-0000-0000C1570000}"/>
    <cellStyle name="40% - Accent6 5 2 2 3" xfId="23017" xr:uid="{00000000-0005-0000-0000-0000C2570000}"/>
    <cellStyle name="40% - Accent6 5 2 2 3 2" xfId="23018" xr:uid="{00000000-0005-0000-0000-0000C3570000}"/>
    <cellStyle name="40% - Accent6 5 2 2 3 2 2" xfId="23019" xr:uid="{00000000-0005-0000-0000-0000C4570000}"/>
    <cellStyle name="40% - Accent6 5 2 2 3 2 3" xfId="23020" xr:uid="{00000000-0005-0000-0000-0000C5570000}"/>
    <cellStyle name="40% - Accent6 5 2 2 3 3" xfId="23021" xr:uid="{00000000-0005-0000-0000-0000C6570000}"/>
    <cellStyle name="40% - Accent6 5 2 2 3 4" xfId="23022" xr:uid="{00000000-0005-0000-0000-0000C7570000}"/>
    <cellStyle name="40% - Accent6 5 2 2 3 5" xfId="23023" xr:uid="{00000000-0005-0000-0000-0000C8570000}"/>
    <cellStyle name="40% - Accent6 5 2 2 3 6" xfId="23024" xr:uid="{00000000-0005-0000-0000-0000C9570000}"/>
    <cellStyle name="40% - Accent6 5 2 2 4" xfId="23025" xr:uid="{00000000-0005-0000-0000-0000CA570000}"/>
    <cellStyle name="40% - Accent6 5 2 2 4 2" xfId="23026" xr:uid="{00000000-0005-0000-0000-0000CB570000}"/>
    <cellStyle name="40% - Accent6 5 2 2 4 3" xfId="23027" xr:uid="{00000000-0005-0000-0000-0000CC570000}"/>
    <cellStyle name="40% - Accent6 5 2 2 5" xfId="23028" xr:uid="{00000000-0005-0000-0000-0000CD570000}"/>
    <cellStyle name="40% - Accent6 5 2 2 6" xfId="23029" xr:uid="{00000000-0005-0000-0000-0000CE570000}"/>
    <cellStyle name="40% - Accent6 5 2 2 7" xfId="23030" xr:uid="{00000000-0005-0000-0000-0000CF570000}"/>
    <cellStyle name="40% - Accent6 5 2 2 8" xfId="23031" xr:uid="{00000000-0005-0000-0000-0000D0570000}"/>
    <cellStyle name="40% - Accent6 5 2 3" xfId="23032" xr:uid="{00000000-0005-0000-0000-0000D1570000}"/>
    <cellStyle name="40% - Accent6 5 2 3 2" xfId="23033" xr:uid="{00000000-0005-0000-0000-0000D2570000}"/>
    <cellStyle name="40% - Accent6 5 2 3 2 2" xfId="23034" xr:uid="{00000000-0005-0000-0000-0000D3570000}"/>
    <cellStyle name="40% - Accent6 5 2 3 2 2 2" xfId="23035" xr:uid="{00000000-0005-0000-0000-0000D4570000}"/>
    <cellStyle name="40% - Accent6 5 2 3 2 2 3" xfId="23036" xr:uid="{00000000-0005-0000-0000-0000D5570000}"/>
    <cellStyle name="40% - Accent6 5 2 3 2 3" xfId="23037" xr:uid="{00000000-0005-0000-0000-0000D6570000}"/>
    <cellStyle name="40% - Accent6 5 2 3 2 4" xfId="23038" xr:uid="{00000000-0005-0000-0000-0000D7570000}"/>
    <cellStyle name="40% - Accent6 5 2 3 2 5" xfId="23039" xr:uid="{00000000-0005-0000-0000-0000D8570000}"/>
    <cellStyle name="40% - Accent6 5 2 3 2 6" xfId="23040" xr:uid="{00000000-0005-0000-0000-0000D9570000}"/>
    <cellStyle name="40% - Accent6 5 2 3 3" xfId="23041" xr:uid="{00000000-0005-0000-0000-0000DA570000}"/>
    <cellStyle name="40% - Accent6 5 2 3 3 2" xfId="23042" xr:uid="{00000000-0005-0000-0000-0000DB570000}"/>
    <cellStyle name="40% - Accent6 5 2 3 3 3" xfId="23043" xr:uid="{00000000-0005-0000-0000-0000DC570000}"/>
    <cellStyle name="40% - Accent6 5 2 3 4" xfId="23044" xr:uid="{00000000-0005-0000-0000-0000DD570000}"/>
    <cellStyle name="40% - Accent6 5 2 3 5" xfId="23045" xr:uid="{00000000-0005-0000-0000-0000DE570000}"/>
    <cellStyle name="40% - Accent6 5 2 3 6" xfId="23046" xr:uid="{00000000-0005-0000-0000-0000DF570000}"/>
    <cellStyle name="40% - Accent6 5 2 3 7" xfId="23047" xr:uid="{00000000-0005-0000-0000-0000E0570000}"/>
    <cellStyle name="40% - Accent6 5 2 4" xfId="23048" xr:uid="{00000000-0005-0000-0000-0000E1570000}"/>
    <cellStyle name="40% - Accent6 5 2 4 2" xfId="23049" xr:uid="{00000000-0005-0000-0000-0000E2570000}"/>
    <cellStyle name="40% - Accent6 5 2 4 2 2" xfId="23050" xr:uid="{00000000-0005-0000-0000-0000E3570000}"/>
    <cellStyle name="40% - Accent6 5 2 4 2 3" xfId="23051" xr:uid="{00000000-0005-0000-0000-0000E4570000}"/>
    <cellStyle name="40% - Accent6 5 2 4 3" xfId="23052" xr:uid="{00000000-0005-0000-0000-0000E5570000}"/>
    <cellStyle name="40% - Accent6 5 2 4 4" xfId="23053" xr:uid="{00000000-0005-0000-0000-0000E6570000}"/>
    <cellStyle name="40% - Accent6 5 2 4 5" xfId="23054" xr:uid="{00000000-0005-0000-0000-0000E7570000}"/>
    <cellStyle name="40% - Accent6 5 2 4 6" xfId="23055" xr:uid="{00000000-0005-0000-0000-0000E8570000}"/>
    <cellStyle name="40% - Accent6 5 2 5" xfId="23056" xr:uid="{00000000-0005-0000-0000-0000E9570000}"/>
    <cellStyle name="40% - Accent6 5 2 5 2" xfId="23057" xr:uid="{00000000-0005-0000-0000-0000EA570000}"/>
    <cellStyle name="40% - Accent6 5 2 5 2 2" xfId="23058" xr:uid="{00000000-0005-0000-0000-0000EB570000}"/>
    <cellStyle name="40% - Accent6 5 2 5 2 3" xfId="23059" xr:uid="{00000000-0005-0000-0000-0000EC570000}"/>
    <cellStyle name="40% - Accent6 5 2 5 3" xfId="23060" xr:uid="{00000000-0005-0000-0000-0000ED570000}"/>
    <cellStyle name="40% - Accent6 5 2 5 4" xfId="23061" xr:uid="{00000000-0005-0000-0000-0000EE570000}"/>
    <cellStyle name="40% - Accent6 5 2 5 5" xfId="23062" xr:uid="{00000000-0005-0000-0000-0000EF570000}"/>
    <cellStyle name="40% - Accent6 5 2 5 6" xfId="23063" xr:uid="{00000000-0005-0000-0000-0000F0570000}"/>
    <cellStyle name="40% - Accent6 5 2 6" xfId="23064" xr:uid="{00000000-0005-0000-0000-0000F1570000}"/>
    <cellStyle name="40% - Accent6 5 2 6 2" xfId="23065" xr:uid="{00000000-0005-0000-0000-0000F2570000}"/>
    <cellStyle name="40% - Accent6 5 2 6 3" xfId="23066" xr:uid="{00000000-0005-0000-0000-0000F3570000}"/>
    <cellStyle name="40% - Accent6 5 2 7" xfId="23067" xr:uid="{00000000-0005-0000-0000-0000F4570000}"/>
    <cellStyle name="40% - Accent6 5 2 8" xfId="23068" xr:uid="{00000000-0005-0000-0000-0000F5570000}"/>
    <cellStyle name="40% - Accent6 5 2 9" xfId="23069" xr:uid="{00000000-0005-0000-0000-0000F6570000}"/>
    <cellStyle name="40% - Accent6 5 3" xfId="23070" xr:uid="{00000000-0005-0000-0000-0000F7570000}"/>
    <cellStyle name="40% - Accent6 5 3 2" xfId="23071" xr:uid="{00000000-0005-0000-0000-0000F8570000}"/>
    <cellStyle name="40% - Accent6 5 3 2 2" xfId="23072" xr:uid="{00000000-0005-0000-0000-0000F9570000}"/>
    <cellStyle name="40% - Accent6 5 3 2 2 2" xfId="23073" xr:uid="{00000000-0005-0000-0000-0000FA570000}"/>
    <cellStyle name="40% - Accent6 5 3 2 2 2 2" xfId="23074" xr:uid="{00000000-0005-0000-0000-0000FB570000}"/>
    <cellStyle name="40% - Accent6 5 3 2 2 2 3" xfId="23075" xr:uid="{00000000-0005-0000-0000-0000FC570000}"/>
    <cellStyle name="40% - Accent6 5 3 2 2 3" xfId="23076" xr:uid="{00000000-0005-0000-0000-0000FD570000}"/>
    <cellStyle name="40% - Accent6 5 3 2 2 4" xfId="23077" xr:uid="{00000000-0005-0000-0000-0000FE570000}"/>
    <cellStyle name="40% - Accent6 5 3 2 2 5" xfId="23078" xr:uid="{00000000-0005-0000-0000-0000FF570000}"/>
    <cellStyle name="40% - Accent6 5 3 2 2 6" xfId="23079" xr:uid="{00000000-0005-0000-0000-000000580000}"/>
    <cellStyle name="40% - Accent6 5 3 2 3" xfId="23080" xr:uid="{00000000-0005-0000-0000-000001580000}"/>
    <cellStyle name="40% - Accent6 5 3 2 3 2" xfId="23081" xr:uid="{00000000-0005-0000-0000-000002580000}"/>
    <cellStyle name="40% - Accent6 5 3 2 3 3" xfId="23082" xr:uid="{00000000-0005-0000-0000-000003580000}"/>
    <cellStyle name="40% - Accent6 5 3 2 4" xfId="23083" xr:uid="{00000000-0005-0000-0000-000004580000}"/>
    <cellStyle name="40% - Accent6 5 3 2 5" xfId="23084" xr:uid="{00000000-0005-0000-0000-000005580000}"/>
    <cellStyle name="40% - Accent6 5 3 2 6" xfId="23085" xr:uid="{00000000-0005-0000-0000-000006580000}"/>
    <cellStyle name="40% - Accent6 5 3 2 7" xfId="23086" xr:uid="{00000000-0005-0000-0000-000007580000}"/>
    <cellStyle name="40% - Accent6 5 3 3" xfId="23087" xr:uid="{00000000-0005-0000-0000-000008580000}"/>
    <cellStyle name="40% - Accent6 5 3 3 2" xfId="23088" xr:uid="{00000000-0005-0000-0000-000009580000}"/>
    <cellStyle name="40% - Accent6 5 3 3 2 2" xfId="23089" xr:uid="{00000000-0005-0000-0000-00000A580000}"/>
    <cellStyle name="40% - Accent6 5 3 3 2 3" xfId="23090" xr:uid="{00000000-0005-0000-0000-00000B580000}"/>
    <cellStyle name="40% - Accent6 5 3 3 3" xfId="23091" xr:uid="{00000000-0005-0000-0000-00000C580000}"/>
    <cellStyle name="40% - Accent6 5 3 3 4" xfId="23092" xr:uid="{00000000-0005-0000-0000-00000D580000}"/>
    <cellStyle name="40% - Accent6 5 3 3 5" xfId="23093" xr:uid="{00000000-0005-0000-0000-00000E580000}"/>
    <cellStyle name="40% - Accent6 5 3 3 6" xfId="23094" xr:uid="{00000000-0005-0000-0000-00000F580000}"/>
    <cellStyle name="40% - Accent6 5 3 4" xfId="23095" xr:uid="{00000000-0005-0000-0000-000010580000}"/>
    <cellStyle name="40% - Accent6 5 3 4 2" xfId="23096" xr:uid="{00000000-0005-0000-0000-000011580000}"/>
    <cellStyle name="40% - Accent6 5 3 4 2 2" xfId="23097" xr:uid="{00000000-0005-0000-0000-000012580000}"/>
    <cellStyle name="40% - Accent6 5 3 4 2 3" xfId="23098" xr:uid="{00000000-0005-0000-0000-000013580000}"/>
    <cellStyle name="40% - Accent6 5 3 4 3" xfId="23099" xr:uid="{00000000-0005-0000-0000-000014580000}"/>
    <cellStyle name="40% - Accent6 5 3 4 4" xfId="23100" xr:uid="{00000000-0005-0000-0000-000015580000}"/>
    <cellStyle name="40% - Accent6 5 3 4 5" xfId="23101" xr:uid="{00000000-0005-0000-0000-000016580000}"/>
    <cellStyle name="40% - Accent6 5 3 4 6" xfId="23102" xr:uid="{00000000-0005-0000-0000-000017580000}"/>
    <cellStyle name="40% - Accent6 5 3 5" xfId="23103" xr:uid="{00000000-0005-0000-0000-000018580000}"/>
    <cellStyle name="40% - Accent6 5 3 5 2" xfId="23104" xr:uid="{00000000-0005-0000-0000-000019580000}"/>
    <cellStyle name="40% - Accent6 5 3 5 3" xfId="23105" xr:uid="{00000000-0005-0000-0000-00001A580000}"/>
    <cellStyle name="40% - Accent6 5 3 6" xfId="23106" xr:uid="{00000000-0005-0000-0000-00001B580000}"/>
    <cellStyle name="40% - Accent6 5 3 7" xfId="23107" xr:uid="{00000000-0005-0000-0000-00001C580000}"/>
    <cellStyle name="40% - Accent6 5 3 8" xfId="23108" xr:uid="{00000000-0005-0000-0000-00001D580000}"/>
    <cellStyle name="40% - Accent6 5 3 9" xfId="23109" xr:uid="{00000000-0005-0000-0000-00001E580000}"/>
    <cellStyle name="40% - Accent6 5 4" xfId="23110" xr:uid="{00000000-0005-0000-0000-00001F580000}"/>
    <cellStyle name="40% - Accent6 5 4 2" xfId="23111" xr:uid="{00000000-0005-0000-0000-000020580000}"/>
    <cellStyle name="40% - Accent6 5 4 2 2" xfId="23112" xr:uid="{00000000-0005-0000-0000-000021580000}"/>
    <cellStyle name="40% - Accent6 5 4 2 2 2" xfId="23113" xr:uid="{00000000-0005-0000-0000-000022580000}"/>
    <cellStyle name="40% - Accent6 5 4 2 2 3" xfId="23114" xr:uid="{00000000-0005-0000-0000-000023580000}"/>
    <cellStyle name="40% - Accent6 5 4 2 3" xfId="23115" xr:uid="{00000000-0005-0000-0000-000024580000}"/>
    <cellStyle name="40% - Accent6 5 4 2 4" xfId="23116" xr:uid="{00000000-0005-0000-0000-000025580000}"/>
    <cellStyle name="40% - Accent6 5 4 2 5" xfId="23117" xr:uid="{00000000-0005-0000-0000-000026580000}"/>
    <cellStyle name="40% - Accent6 5 4 2 6" xfId="23118" xr:uid="{00000000-0005-0000-0000-000027580000}"/>
    <cellStyle name="40% - Accent6 5 4 3" xfId="23119" xr:uid="{00000000-0005-0000-0000-000028580000}"/>
    <cellStyle name="40% - Accent6 5 4 3 2" xfId="23120" xr:uid="{00000000-0005-0000-0000-000029580000}"/>
    <cellStyle name="40% - Accent6 5 4 3 3" xfId="23121" xr:uid="{00000000-0005-0000-0000-00002A580000}"/>
    <cellStyle name="40% - Accent6 5 4 4" xfId="23122" xr:uid="{00000000-0005-0000-0000-00002B580000}"/>
    <cellStyle name="40% - Accent6 5 4 5" xfId="23123" xr:uid="{00000000-0005-0000-0000-00002C580000}"/>
    <cellStyle name="40% - Accent6 5 4 6" xfId="23124" xr:uid="{00000000-0005-0000-0000-00002D580000}"/>
    <cellStyle name="40% - Accent6 5 4 7" xfId="23125" xr:uid="{00000000-0005-0000-0000-00002E580000}"/>
    <cellStyle name="40% - Accent6 5 5" xfId="23126" xr:uid="{00000000-0005-0000-0000-00002F580000}"/>
    <cellStyle name="40% - Accent6 5 5 2" xfId="23127" xr:uid="{00000000-0005-0000-0000-000030580000}"/>
    <cellStyle name="40% - Accent6 5 5 2 2" xfId="23128" xr:uid="{00000000-0005-0000-0000-000031580000}"/>
    <cellStyle name="40% - Accent6 5 5 2 3" xfId="23129" xr:uid="{00000000-0005-0000-0000-000032580000}"/>
    <cellStyle name="40% - Accent6 5 5 3" xfId="23130" xr:uid="{00000000-0005-0000-0000-000033580000}"/>
    <cellStyle name="40% - Accent6 5 5 4" xfId="23131" xr:uid="{00000000-0005-0000-0000-000034580000}"/>
    <cellStyle name="40% - Accent6 5 5 5" xfId="23132" xr:uid="{00000000-0005-0000-0000-000035580000}"/>
    <cellStyle name="40% - Accent6 5 5 6" xfId="23133" xr:uid="{00000000-0005-0000-0000-000036580000}"/>
    <cellStyle name="40% - Accent6 5 6" xfId="23134" xr:uid="{00000000-0005-0000-0000-000037580000}"/>
    <cellStyle name="40% - Accent6 5 6 2" xfId="23135" xr:uid="{00000000-0005-0000-0000-000038580000}"/>
    <cellStyle name="40% - Accent6 5 6 2 2" xfId="23136" xr:uid="{00000000-0005-0000-0000-000039580000}"/>
    <cellStyle name="40% - Accent6 5 6 2 3" xfId="23137" xr:uid="{00000000-0005-0000-0000-00003A580000}"/>
    <cellStyle name="40% - Accent6 5 6 3" xfId="23138" xr:uid="{00000000-0005-0000-0000-00003B580000}"/>
    <cellStyle name="40% - Accent6 5 6 4" xfId="23139" xr:uid="{00000000-0005-0000-0000-00003C580000}"/>
    <cellStyle name="40% - Accent6 5 6 5" xfId="23140" xr:uid="{00000000-0005-0000-0000-00003D580000}"/>
    <cellStyle name="40% - Accent6 5 6 6" xfId="23141" xr:uid="{00000000-0005-0000-0000-00003E580000}"/>
    <cellStyle name="40% - Accent6 5 7" xfId="23142" xr:uid="{00000000-0005-0000-0000-00003F580000}"/>
    <cellStyle name="40% - Accent6 5 7 2" xfId="23143" xr:uid="{00000000-0005-0000-0000-000040580000}"/>
    <cellStyle name="40% - Accent6 5 7 2 2" xfId="23144" xr:uid="{00000000-0005-0000-0000-000041580000}"/>
    <cellStyle name="40% - Accent6 5 7 2 3" xfId="23145" xr:uid="{00000000-0005-0000-0000-000042580000}"/>
    <cellStyle name="40% - Accent6 5 7 3" xfId="23146" xr:uid="{00000000-0005-0000-0000-000043580000}"/>
    <cellStyle name="40% - Accent6 5 7 4" xfId="23147" xr:uid="{00000000-0005-0000-0000-000044580000}"/>
    <cellStyle name="40% - Accent6 5 7 5" xfId="23148" xr:uid="{00000000-0005-0000-0000-000045580000}"/>
    <cellStyle name="40% - Accent6 5 7 6" xfId="23149" xr:uid="{00000000-0005-0000-0000-000046580000}"/>
    <cellStyle name="40% - Accent6 5 8" xfId="23150" xr:uid="{00000000-0005-0000-0000-000047580000}"/>
    <cellStyle name="40% - Accent6 5 8 2" xfId="23151" xr:uid="{00000000-0005-0000-0000-000048580000}"/>
    <cellStyle name="40% - Accent6 5 8 2 2" xfId="23152" xr:uid="{00000000-0005-0000-0000-000049580000}"/>
    <cellStyle name="40% - Accent6 5 8 2 3" xfId="23153" xr:uid="{00000000-0005-0000-0000-00004A580000}"/>
    <cellStyle name="40% - Accent6 5 8 3" xfId="23154" xr:uid="{00000000-0005-0000-0000-00004B580000}"/>
    <cellStyle name="40% - Accent6 5 8 4" xfId="23155" xr:uid="{00000000-0005-0000-0000-00004C580000}"/>
    <cellStyle name="40% - Accent6 5 8 5" xfId="23156" xr:uid="{00000000-0005-0000-0000-00004D580000}"/>
    <cellStyle name="40% - Accent6 5 8 6" xfId="23157" xr:uid="{00000000-0005-0000-0000-00004E580000}"/>
    <cellStyle name="40% - Accent6 5 9" xfId="23158" xr:uid="{00000000-0005-0000-0000-00004F580000}"/>
    <cellStyle name="40% - Accent6 5 9 2" xfId="23159" xr:uid="{00000000-0005-0000-0000-000050580000}"/>
    <cellStyle name="40% - Accent6 5 9 3" xfId="23160" xr:uid="{00000000-0005-0000-0000-000051580000}"/>
    <cellStyle name="40% - Accent6 6" xfId="23161" xr:uid="{00000000-0005-0000-0000-000052580000}"/>
    <cellStyle name="40% - Accent6 6 10" xfId="23162" xr:uid="{00000000-0005-0000-0000-000053580000}"/>
    <cellStyle name="40% - Accent6 6 11" xfId="23163" xr:uid="{00000000-0005-0000-0000-000054580000}"/>
    <cellStyle name="40% - Accent6 6 2" xfId="23164" xr:uid="{00000000-0005-0000-0000-000055580000}"/>
    <cellStyle name="40% - Accent6 6 2 2" xfId="23165" xr:uid="{00000000-0005-0000-0000-000056580000}"/>
    <cellStyle name="40% - Accent6 6 2 2 2" xfId="23166" xr:uid="{00000000-0005-0000-0000-000057580000}"/>
    <cellStyle name="40% - Accent6 6 2 2 2 2" xfId="23167" xr:uid="{00000000-0005-0000-0000-000058580000}"/>
    <cellStyle name="40% - Accent6 6 2 2 2 3" xfId="23168" xr:uid="{00000000-0005-0000-0000-000059580000}"/>
    <cellStyle name="40% - Accent6 6 2 2 3" xfId="23169" xr:uid="{00000000-0005-0000-0000-00005A580000}"/>
    <cellStyle name="40% - Accent6 6 2 2 4" xfId="23170" xr:uid="{00000000-0005-0000-0000-00005B580000}"/>
    <cellStyle name="40% - Accent6 6 2 2 5" xfId="23171" xr:uid="{00000000-0005-0000-0000-00005C580000}"/>
    <cellStyle name="40% - Accent6 6 2 2 6" xfId="23172" xr:uid="{00000000-0005-0000-0000-00005D580000}"/>
    <cellStyle name="40% - Accent6 6 2 3" xfId="23173" xr:uid="{00000000-0005-0000-0000-00005E580000}"/>
    <cellStyle name="40% - Accent6 6 2 3 2" xfId="23174" xr:uid="{00000000-0005-0000-0000-00005F580000}"/>
    <cellStyle name="40% - Accent6 6 2 3 2 2" xfId="23175" xr:uid="{00000000-0005-0000-0000-000060580000}"/>
    <cellStyle name="40% - Accent6 6 2 3 2 3" xfId="23176" xr:uid="{00000000-0005-0000-0000-000061580000}"/>
    <cellStyle name="40% - Accent6 6 2 3 3" xfId="23177" xr:uid="{00000000-0005-0000-0000-000062580000}"/>
    <cellStyle name="40% - Accent6 6 2 3 4" xfId="23178" xr:uid="{00000000-0005-0000-0000-000063580000}"/>
    <cellStyle name="40% - Accent6 6 2 3 5" xfId="23179" xr:uid="{00000000-0005-0000-0000-000064580000}"/>
    <cellStyle name="40% - Accent6 6 2 3 6" xfId="23180" xr:uid="{00000000-0005-0000-0000-000065580000}"/>
    <cellStyle name="40% - Accent6 6 2 4" xfId="23181" xr:uid="{00000000-0005-0000-0000-000066580000}"/>
    <cellStyle name="40% - Accent6 6 2 4 2" xfId="23182" xr:uid="{00000000-0005-0000-0000-000067580000}"/>
    <cellStyle name="40% - Accent6 6 2 4 3" xfId="23183" xr:uid="{00000000-0005-0000-0000-000068580000}"/>
    <cellStyle name="40% - Accent6 6 2 5" xfId="23184" xr:uid="{00000000-0005-0000-0000-000069580000}"/>
    <cellStyle name="40% - Accent6 6 2 6" xfId="23185" xr:uid="{00000000-0005-0000-0000-00006A580000}"/>
    <cellStyle name="40% - Accent6 6 2 7" xfId="23186" xr:uid="{00000000-0005-0000-0000-00006B580000}"/>
    <cellStyle name="40% - Accent6 6 2 8" xfId="23187" xr:uid="{00000000-0005-0000-0000-00006C580000}"/>
    <cellStyle name="40% - Accent6 6 3" xfId="23188" xr:uid="{00000000-0005-0000-0000-00006D580000}"/>
    <cellStyle name="40% - Accent6 6 3 2" xfId="23189" xr:uid="{00000000-0005-0000-0000-00006E580000}"/>
    <cellStyle name="40% - Accent6 6 3 2 2" xfId="23190" xr:uid="{00000000-0005-0000-0000-00006F580000}"/>
    <cellStyle name="40% - Accent6 6 3 2 2 2" xfId="23191" xr:uid="{00000000-0005-0000-0000-000070580000}"/>
    <cellStyle name="40% - Accent6 6 3 2 2 3" xfId="23192" xr:uid="{00000000-0005-0000-0000-000071580000}"/>
    <cellStyle name="40% - Accent6 6 3 2 3" xfId="23193" xr:uid="{00000000-0005-0000-0000-000072580000}"/>
    <cellStyle name="40% - Accent6 6 3 2 4" xfId="23194" xr:uid="{00000000-0005-0000-0000-000073580000}"/>
    <cellStyle name="40% - Accent6 6 3 2 5" xfId="23195" xr:uid="{00000000-0005-0000-0000-000074580000}"/>
    <cellStyle name="40% - Accent6 6 3 2 6" xfId="23196" xr:uid="{00000000-0005-0000-0000-000075580000}"/>
    <cellStyle name="40% - Accent6 6 3 3" xfId="23197" xr:uid="{00000000-0005-0000-0000-000076580000}"/>
    <cellStyle name="40% - Accent6 6 3 3 2" xfId="23198" xr:uid="{00000000-0005-0000-0000-000077580000}"/>
    <cellStyle name="40% - Accent6 6 3 3 3" xfId="23199" xr:uid="{00000000-0005-0000-0000-000078580000}"/>
    <cellStyle name="40% - Accent6 6 3 4" xfId="23200" xr:uid="{00000000-0005-0000-0000-000079580000}"/>
    <cellStyle name="40% - Accent6 6 3 5" xfId="23201" xr:uid="{00000000-0005-0000-0000-00007A580000}"/>
    <cellStyle name="40% - Accent6 6 3 6" xfId="23202" xr:uid="{00000000-0005-0000-0000-00007B580000}"/>
    <cellStyle name="40% - Accent6 6 3 7" xfId="23203" xr:uid="{00000000-0005-0000-0000-00007C580000}"/>
    <cellStyle name="40% - Accent6 6 4" xfId="23204" xr:uid="{00000000-0005-0000-0000-00007D580000}"/>
    <cellStyle name="40% - Accent6 6 4 2" xfId="23205" xr:uid="{00000000-0005-0000-0000-00007E580000}"/>
    <cellStyle name="40% - Accent6 6 4 2 2" xfId="23206" xr:uid="{00000000-0005-0000-0000-00007F580000}"/>
    <cellStyle name="40% - Accent6 6 4 2 3" xfId="23207" xr:uid="{00000000-0005-0000-0000-000080580000}"/>
    <cellStyle name="40% - Accent6 6 4 3" xfId="23208" xr:uid="{00000000-0005-0000-0000-000081580000}"/>
    <cellStyle name="40% - Accent6 6 4 4" xfId="23209" xr:uid="{00000000-0005-0000-0000-000082580000}"/>
    <cellStyle name="40% - Accent6 6 4 5" xfId="23210" xr:uid="{00000000-0005-0000-0000-000083580000}"/>
    <cellStyle name="40% - Accent6 6 4 6" xfId="23211" xr:uid="{00000000-0005-0000-0000-000084580000}"/>
    <cellStyle name="40% - Accent6 6 5" xfId="23212" xr:uid="{00000000-0005-0000-0000-000085580000}"/>
    <cellStyle name="40% - Accent6 6 5 2" xfId="23213" xr:uid="{00000000-0005-0000-0000-000086580000}"/>
    <cellStyle name="40% - Accent6 6 5 2 2" xfId="23214" xr:uid="{00000000-0005-0000-0000-000087580000}"/>
    <cellStyle name="40% - Accent6 6 5 2 3" xfId="23215" xr:uid="{00000000-0005-0000-0000-000088580000}"/>
    <cellStyle name="40% - Accent6 6 5 3" xfId="23216" xr:uid="{00000000-0005-0000-0000-000089580000}"/>
    <cellStyle name="40% - Accent6 6 5 4" xfId="23217" xr:uid="{00000000-0005-0000-0000-00008A580000}"/>
    <cellStyle name="40% - Accent6 6 5 5" xfId="23218" xr:uid="{00000000-0005-0000-0000-00008B580000}"/>
    <cellStyle name="40% - Accent6 6 5 6" xfId="23219" xr:uid="{00000000-0005-0000-0000-00008C580000}"/>
    <cellStyle name="40% - Accent6 6 6" xfId="23220" xr:uid="{00000000-0005-0000-0000-00008D580000}"/>
    <cellStyle name="40% - Accent6 6 6 2" xfId="23221" xr:uid="{00000000-0005-0000-0000-00008E580000}"/>
    <cellStyle name="40% - Accent6 6 6 2 2" xfId="23222" xr:uid="{00000000-0005-0000-0000-00008F580000}"/>
    <cellStyle name="40% - Accent6 6 6 2 3" xfId="23223" xr:uid="{00000000-0005-0000-0000-000090580000}"/>
    <cellStyle name="40% - Accent6 6 6 3" xfId="23224" xr:uid="{00000000-0005-0000-0000-000091580000}"/>
    <cellStyle name="40% - Accent6 6 6 4" xfId="23225" xr:uid="{00000000-0005-0000-0000-000092580000}"/>
    <cellStyle name="40% - Accent6 6 6 5" xfId="23226" xr:uid="{00000000-0005-0000-0000-000093580000}"/>
    <cellStyle name="40% - Accent6 6 6 6" xfId="23227" xr:uid="{00000000-0005-0000-0000-000094580000}"/>
    <cellStyle name="40% - Accent6 6 7" xfId="23228" xr:uid="{00000000-0005-0000-0000-000095580000}"/>
    <cellStyle name="40% - Accent6 6 7 2" xfId="23229" xr:uid="{00000000-0005-0000-0000-000096580000}"/>
    <cellStyle name="40% - Accent6 6 7 3" xfId="23230" xr:uid="{00000000-0005-0000-0000-000097580000}"/>
    <cellStyle name="40% - Accent6 6 8" xfId="23231" xr:uid="{00000000-0005-0000-0000-000098580000}"/>
    <cellStyle name="40% - Accent6 6 9" xfId="23232" xr:uid="{00000000-0005-0000-0000-000099580000}"/>
    <cellStyle name="40% - Accent6 7" xfId="23233" xr:uid="{00000000-0005-0000-0000-00009A580000}"/>
    <cellStyle name="40% - Accent6 7 2" xfId="23234" xr:uid="{00000000-0005-0000-0000-00009B580000}"/>
    <cellStyle name="40% - Accent6 7 2 2" xfId="23235" xr:uid="{00000000-0005-0000-0000-00009C580000}"/>
    <cellStyle name="40% - Accent6 7 2 3" xfId="23236" xr:uid="{00000000-0005-0000-0000-00009D580000}"/>
    <cellStyle name="40% - Accent6 7 3" xfId="23237" xr:uid="{00000000-0005-0000-0000-00009E580000}"/>
    <cellStyle name="40% - Accent6 7 4" xfId="23238" xr:uid="{00000000-0005-0000-0000-00009F580000}"/>
    <cellStyle name="40% - Accent6 7 5" xfId="23239" xr:uid="{00000000-0005-0000-0000-0000A0580000}"/>
    <cellStyle name="40% - Accent6 7 6" xfId="23240" xr:uid="{00000000-0005-0000-0000-0000A1580000}"/>
    <cellStyle name="40% - Accent6 8" xfId="23241" xr:uid="{00000000-0005-0000-0000-0000A2580000}"/>
    <cellStyle name="40% - Accent6 8 2" xfId="23242" xr:uid="{00000000-0005-0000-0000-0000A3580000}"/>
    <cellStyle name="40% - Accent6 8 2 2" xfId="23243" xr:uid="{00000000-0005-0000-0000-0000A4580000}"/>
    <cellStyle name="40% - Accent6 8 2 3" xfId="23244" xr:uid="{00000000-0005-0000-0000-0000A5580000}"/>
    <cellStyle name="40% - Accent6 8 3" xfId="23245" xr:uid="{00000000-0005-0000-0000-0000A6580000}"/>
    <cellStyle name="40% - Accent6 8 4" xfId="23246" xr:uid="{00000000-0005-0000-0000-0000A7580000}"/>
    <cellStyle name="40% - Accent6 8 5" xfId="23247" xr:uid="{00000000-0005-0000-0000-0000A8580000}"/>
    <cellStyle name="40% - Accent6 8 6" xfId="23248" xr:uid="{00000000-0005-0000-0000-0000A9580000}"/>
    <cellStyle name="40% - Accent6 9" xfId="23249" xr:uid="{00000000-0005-0000-0000-0000AA580000}"/>
    <cellStyle name="40% - Accent6 9 2" xfId="23250" xr:uid="{00000000-0005-0000-0000-0000AB580000}"/>
    <cellStyle name="40% - Accent6 9 2 2" xfId="23251" xr:uid="{00000000-0005-0000-0000-0000AC580000}"/>
    <cellStyle name="40% - Accent6 9 2 3" xfId="23252" xr:uid="{00000000-0005-0000-0000-0000AD580000}"/>
    <cellStyle name="40% - Accent6 9 3" xfId="23253" xr:uid="{00000000-0005-0000-0000-0000AE580000}"/>
    <cellStyle name="40% - Accent6 9 4" xfId="23254" xr:uid="{00000000-0005-0000-0000-0000AF580000}"/>
    <cellStyle name="40% - Accent6 9 5" xfId="23255" xr:uid="{00000000-0005-0000-0000-0000B0580000}"/>
    <cellStyle name="40% - Accent6 9 6" xfId="23256" xr:uid="{00000000-0005-0000-0000-0000B1580000}"/>
    <cellStyle name="508Table-Start" xfId="23257" xr:uid="{00000000-0005-0000-0000-0000B2580000}"/>
    <cellStyle name="508Table-Stop" xfId="23258" xr:uid="{00000000-0005-0000-0000-0000B3580000}"/>
    <cellStyle name="60% - Accent1" xfId="23" builtinId="32" customBuiltin="1"/>
    <cellStyle name="60% - Accent1 2" xfId="215" xr:uid="{00000000-0005-0000-0000-0000B5580000}"/>
    <cellStyle name="60% - Accent1 2 2" xfId="23259" xr:uid="{00000000-0005-0000-0000-0000B6580000}"/>
    <cellStyle name="60% - Accent1 3" xfId="23260" xr:uid="{00000000-0005-0000-0000-0000B7580000}"/>
    <cellStyle name="60% - Accent1 4" xfId="23261" xr:uid="{00000000-0005-0000-0000-0000B8580000}"/>
    <cellStyle name="60% - Accent1 5" xfId="23262" xr:uid="{00000000-0005-0000-0000-0000B9580000}"/>
    <cellStyle name="60% - Accent1 6" xfId="61068" xr:uid="{2101FC1D-8A57-4E99-A55A-9A56489C537B}"/>
    <cellStyle name="60% - Accent2" xfId="27" builtinId="36" customBuiltin="1"/>
    <cellStyle name="60% - Accent2 2" xfId="216" xr:uid="{00000000-0005-0000-0000-0000BB580000}"/>
    <cellStyle name="60% - Accent2 2 2" xfId="23263" xr:uid="{00000000-0005-0000-0000-0000BC580000}"/>
    <cellStyle name="60% - Accent2 3" xfId="23264" xr:uid="{00000000-0005-0000-0000-0000BD580000}"/>
    <cellStyle name="60% - Accent2 4" xfId="23265" xr:uid="{00000000-0005-0000-0000-0000BE580000}"/>
    <cellStyle name="60% - Accent2 5" xfId="23266" xr:uid="{00000000-0005-0000-0000-0000BF580000}"/>
    <cellStyle name="60% - Accent2 6" xfId="61069" xr:uid="{8AE4E2A5-1E5D-4104-8119-E637154244D2}"/>
    <cellStyle name="60% - Accent3" xfId="31" builtinId="40" customBuiltin="1"/>
    <cellStyle name="60% - Accent3 2" xfId="217" xr:uid="{00000000-0005-0000-0000-0000C1580000}"/>
    <cellStyle name="60% - Accent3 2 2" xfId="23267" xr:uid="{00000000-0005-0000-0000-0000C2580000}"/>
    <cellStyle name="60% - Accent3 3" xfId="23268" xr:uid="{00000000-0005-0000-0000-0000C3580000}"/>
    <cellStyle name="60% - Accent3 4" xfId="23269" xr:uid="{00000000-0005-0000-0000-0000C4580000}"/>
    <cellStyle name="60% - Accent3 5" xfId="23270" xr:uid="{00000000-0005-0000-0000-0000C5580000}"/>
    <cellStyle name="60% - Accent3 6" xfId="61070" xr:uid="{A392D90C-8FE3-4624-AE8F-F85EC06ACFD2}"/>
    <cellStyle name="60% - Accent4" xfId="35" builtinId="44" customBuiltin="1"/>
    <cellStyle name="60% - Accent4 2" xfId="218" xr:uid="{00000000-0005-0000-0000-0000C7580000}"/>
    <cellStyle name="60% - Accent4 2 2" xfId="23271" xr:uid="{00000000-0005-0000-0000-0000C8580000}"/>
    <cellStyle name="60% - Accent4 3" xfId="23272" xr:uid="{00000000-0005-0000-0000-0000C9580000}"/>
    <cellStyle name="60% - Accent4 4" xfId="23273" xr:uid="{00000000-0005-0000-0000-0000CA580000}"/>
    <cellStyle name="60% - Accent4 5" xfId="23274" xr:uid="{00000000-0005-0000-0000-0000CB580000}"/>
    <cellStyle name="60% - Accent4 6" xfId="61071" xr:uid="{C7A74085-DD32-4C8A-9F1B-51AEA1C05BA9}"/>
    <cellStyle name="60% - Accent5" xfId="39" builtinId="48" customBuiltin="1"/>
    <cellStyle name="60% - Accent5 2" xfId="219" xr:uid="{00000000-0005-0000-0000-0000CD580000}"/>
    <cellStyle name="60% - Accent5 2 2" xfId="23275" xr:uid="{00000000-0005-0000-0000-0000CE580000}"/>
    <cellStyle name="60% - Accent5 3" xfId="23276" xr:uid="{00000000-0005-0000-0000-0000CF580000}"/>
    <cellStyle name="60% - Accent5 4" xfId="23277" xr:uid="{00000000-0005-0000-0000-0000D0580000}"/>
    <cellStyle name="60% - Accent5 5" xfId="23278" xr:uid="{00000000-0005-0000-0000-0000D1580000}"/>
    <cellStyle name="60% - Accent5 6" xfId="61072" xr:uid="{79145594-1E57-411E-8B15-EC372C82909D}"/>
    <cellStyle name="60% - Accent6" xfId="43" builtinId="52" customBuiltin="1"/>
    <cellStyle name="60% - Accent6 2" xfId="220" xr:uid="{00000000-0005-0000-0000-0000D3580000}"/>
    <cellStyle name="60% - Accent6 2 2" xfId="23279" xr:uid="{00000000-0005-0000-0000-0000D4580000}"/>
    <cellStyle name="60% - Accent6 3" xfId="23280" xr:uid="{00000000-0005-0000-0000-0000D5580000}"/>
    <cellStyle name="60% - Accent6 4" xfId="23281" xr:uid="{00000000-0005-0000-0000-0000D6580000}"/>
    <cellStyle name="60% - Accent6 5" xfId="23282" xr:uid="{00000000-0005-0000-0000-0000D7580000}"/>
    <cellStyle name="60% - Accent6 6" xfId="61073" xr:uid="{586F51ED-5873-4EB1-8170-B5C90CD9669D}"/>
    <cellStyle name="A2.Heading1" xfId="64" xr:uid="{00000000-0005-0000-0000-0000D8580000}"/>
    <cellStyle name="Accent1" xfId="20" builtinId="29" customBuiltin="1"/>
    <cellStyle name="Accent1 - 20%" xfId="65" xr:uid="{00000000-0005-0000-0000-0000DA580000}"/>
    <cellStyle name="Accent1 - 40%" xfId="66" xr:uid="{00000000-0005-0000-0000-0000DB580000}"/>
    <cellStyle name="Accent1 - 60%" xfId="67" xr:uid="{00000000-0005-0000-0000-0000DC580000}"/>
    <cellStyle name="Accent1 2" xfId="221" xr:uid="{00000000-0005-0000-0000-0000DD580000}"/>
    <cellStyle name="Accent1 2 2" xfId="23283" xr:uid="{00000000-0005-0000-0000-0000DE580000}"/>
    <cellStyle name="Accent1 3" xfId="23284" xr:uid="{00000000-0005-0000-0000-0000DF580000}"/>
    <cellStyle name="Accent1 4" xfId="23285" xr:uid="{00000000-0005-0000-0000-0000E0580000}"/>
    <cellStyle name="Accent1 5" xfId="23286" xr:uid="{00000000-0005-0000-0000-0000E1580000}"/>
    <cellStyle name="Accent2" xfId="24" builtinId="33" customBuiltin="1"/>
    <cellStyle name="Accent2 - 20%" xfId="68" xr:uid="{00000000-0005-0000-0000-0000E3580000}"/>
    <cellStyle name="Accent2 - 40%" xfId="69" xr:uid="{00000000-0005-0000-0000-0000E4580000}"/>
    <cellStyle name="Accent2 - 60%" xfId="70" xr:uid="{00000000-0005-0000-0000-0000E5580000}"/>
    <cellStyle name="Accent2 2" xfId="222" xr:uid="{00000000-0005-0000-0000-0000E6580000}"/>
    <cellStyle name="Accent2 2 2" xfId="23287" xr:uid="{00000000-0005-0000-0000-0000E7580000}"/>
    <cellStyle name="Accent2 3" xfId="23288" xr:uid="{00000000-0005-0000-0000-0000E8580000}"/>
    <cellStyle name="Accent2 4" xfId="23289" xr:uid="{00000000-0005-0000-0000-0000E9580000}"/>
    <cellStyle name="Accent2 5" xfId="23290" xr:uid="{00000000-0005-0000-0000-0000EA580000}"/>
    <cellStyle name="Accent3" xfId="28" builtinId="37" customBuiltin="1"/>
    <cellStyle name="Accent3 - 20%" xfId="71" xr:uid="{00000000-0005-0000-0000-0000EC580000}"/>
    <cellStyle name="Accent3 - 40%" xfId="72" xr:uid="{00000000-0005-0000-0000-0000ED580000}"/>
    <cellStyle name="Accent3 - 60%" xfId="73" xr:uid="{00000000-0005-0000-0000-0000EE580000}"/>
    <cellStyle name="Accent3 2" xfId="223" xr:uid="{00000000-0005-0000-0000-0000EF580000}"/>
    <cellStyle name="Accent3 2 2" xfId="23291" xr:uid="{00000000-0005-0000-0000-0000F0580000}"/>
    <cellStyle name="Accent3 3" xfId="23292" xr:uid="{00000000-0005-0000-0000-0000F1580000}"/>
    <cellStyle name="Accent3 4" xfId="23293" xr:uid="{00000000-0005-0000-0000-0000F2580000}"/>
    <cellStyle name="Accent3 5" xfId="23294" xr:uid="{00000000-0005-0000-0000-0000F3580000}"/>
    <cellStyle name="Accent4" xfId="32" builtinId="41" customBuiltin="1"/>
    <cellStyle name="Accent4 - 20%" xfId="74" xr:uid="{00000000-0005-0000-0000-0000F5580000}"/>
    <cellStyle name="Accent4 - 40%" xfId="75" xr:uid="{00000000-0005-0000-0000-0000F6580000}"/>
    <cellStyle name="Accent4 - 60%" xfId="76" xr:uid="{00000000-0005-0000-0000-0000F7580000}"/>
    <cellStyle name="Accent4 2" xfId="224" xr:uid="{00000000-0005-0000-0000-0000F8580000}"/>
    <cellStyle name="Accent4 3" xfId="23295" xr:uid="{00000000-0005-0000-0000-0000F9580000}"/>
    <cellStyle name="Accent4 4" xfId="23296" xr:uid="{00000000-0005-0000-0000-0000FA580000}"/>
    <cellStyle name="Accent4 5" xfId="23297" xr:uid="{00000000-0005-0000-0000-0000FB580000}"/>
    <cellStyle name="Accent5" xfId="36" builtinId="45" customBuiltin="1"/>
    <cellStyle name="Accent5 - 20%" xfId="77" xr:uid="{00000000-0005-0000-0000-0000FD580000}"/>
    <cellStyle name="Accent5 - 40%" xfId="78" xr:uid="{00000000-0005-0000-0000-0000FE580000}"/>
    <cellStyle name="Accent5 - 60%" xfId="79" xr:uid="{00000000-0005-0000-0000-0000FF580000}"/>
    <cellStyle name="Accent5 2" xfId="225" xr:uid="{00000000-0005-0000-0000-000000590000}"/>
    <cellStyle name="Accent5 3" xfId="23298" xr:uid="{00000000-0005-0000-0000-000001590000}"/>
    <cellStyle name="Accent5 4" xfId="23299" xr:uid="{00000000-0005-0000-0000-000002590000}"/>
    <cellStyle name="Accent5 5" xfId="23300" xr:uid="{00000000-0005-0000-0000-000003590000}"/>
    <cellStyle name="Accent6" xfId="40" builtinId="49" customBuiltin="1"/>
    <cellStyle name="Accent6 - 20%" xfId="80" xr:uid="{00000000-0005-0000-0000-000005590000}"/>
    <cellStyle name="Accent6 - 40%" xfId="81" xr:uid="{00000000-0005-0000-0000-000006590000}"/>
    <cellStyle name="Accent6 - 60%" xfId="82" xr:uid="{00000000-0005-0000-0000-000007590000}"/>
    <cellStyle name="Accent6 2" xfId="226" xr:uid="{00000000-0005-0000-0000-000008590000}"/>
    <cellStyle name="Accent6 2 2" xfId="23301" xr:uid="{00000000-0005-0000-0000-000009590000}"/>
    <cellStyle name="Accent6 3" xfId="23302" xr:uid="{00000000-0005-0000-0000-00000A590000}"/>
    <cellStyle name="Accent6 4" xfId="23303" xr:uid="{00000000-0005-0000-0000-00000B590000}"/>
    <cellStyle name="Accent6 5" xfId="23304" xr:uid="{00000000-0005-0000-0000-00000C590000}"/>
    <cellStyle name="AM/PM" xfId="23305" xr:uid="{00000000-0005-0000-0000-00000D590000}"/>
    <cellStyle name="AM/PM 2" xfId="23306" xr:uid="{00000000-0005-0000-0000-00000E590000}"/>
    <cellStyle name="AM/PM 3" xfId="23307" xr:uid="{00000000-0005-0000-0000-00000F590000}"/>
    <cellStyle name="Background" xfId="23308" xr:uid="{00000000-0005-0000-0000-000010590000}"/>
    <cellStyle name="Bad" xfId="9" builtinId="27" customBuiltin="1"/>
    <cellStyle name="Bad 2" xfId="227" xr:uid="{00000000-0005-0000-0000-000012590000}"/>
    <cellStyle name="Bad 2 2" xfId="23309" xr:uid="{00000000-0005-0000-0000-000013590000}"/>
    <cellStyle name="Bad 3" xfId="23310" xr:uid="{00000000-0005-0000-0000-000014590000}"/>
    <cellStyle name="Bad 4" xfId="23311" xr:uid="{00000000-0005-0000-0000-000015590000}"/>
    <cellStyle name="Bad 5" xfId="23312" xr:uid="{00000000-0005-0000-0000-000016590000}"/>
    <cellStyle name="Body: normal cell" xfId="23313" xr:uid="{00000000-0005-0000-0000-000017590000}"/>
    <cellStyle name="Calculation" xfId="13" builtinId="22" customBuiltin="1"/>
    <cellStyle name="Calculation 2" xfId="228" xr:uid="{00000000-0005-0000-0000-000019590000}"/>
    <cellStyle name="Calculation 2 10" xfId="315" xr:uid="{00000000-0005-0000-0000-00001A590000}"/>
    <cellStyle name="Calculation 2 2" xfId="229" xr:uid="{00000000-0005-0000-0000-00001B590000}"/>
    <cellStyle name="Calculation 2 2 2" xfId="316" xr:uid="{00000000-0005-0000-0000-00001C590000}"/>
    <cellStyle name="Calculation 2 2 3" xfId="317" xr:uid="{00000000-0005-0000-0000-00001D590000}"/>
    <cellStyle name="Calculation 2 3" xfId="318" xr:uid="{00000000-0005-0000-0000-00001E590000}"/>
    <cellStyle name="Calculation 2 3 2" xfId="319" xr:uid="{00000000-0005-0000-0000-00001F590000}"/>
    <cellStyle name="Calculation 2 3 3" xfId="320" xr:uid="{00000000-0005-0000-0000-000020590000}"/>
    <cellStyle name="Calculation 2 4" xfId="321" xr:uid="{00000000-0005-0000-0000-000021590000}"/>
    <cellStyle name="Calculation 2 4 2" xfId="322" xr:uid="{00000000-0005-0000-0000-000022590000}"/>
    <cellStyle name="Calculation 2 4 3" xfId="323" xr:uid="{00000000-0005-0000-0000-000023590000}"/>
    <cellStyle name="Calculation 2 5" xfId="324" xr:uid="{00000000-0005-0000-0000-000024590000}"/>
    <cellStyle name="Calculation 2 5 2" xfId="325" xr:uid="{00000000-0005-0000-0000-000025590000}"/>
    <cellStyle name="Calculation 2 5 3" xfId="326" xr:uid="{00000000-0005-0000-0000-000026590000}"/>
    <cellStyle name="Calculation 2 5 4" xfId="327" xr:uid="{00000000-0005-0000-0000-000027590000}"/>
    <cellStyle name="Calculation 2 6" xfId="328" xr:uid="{00000000-0005-0000-0000-000028590000}"/>
    <cellStyle name="Calculation 2 7" xfId="329" xr:uid="{00000000-0005-0000-0000-000029590000}"/>
    <cellStyle name="Calculation 2 8" xfId="330" xr:uid="{00000000-0005-0000-0000-00002A590000}"/>
    <cellStyle name="Calculation 2 9" xfId="331" xr:uid="{00000000-0005-0000-0000-00002B590000}"/>
    <cellStyle name="Calculation 3" xfId="332" xr:uid="{00000000-0005-0000-0000-00002C590000}"/>
    <cellStyle name="Calculation 3 2" xfId="333" xr:uid="{00000000-0005-0000-0000-00002D590000}"/>
    <cellStyle name="Calculation 3 3" xfId="334" xr:uid="{00000000-0005-0000-0000-00002E590000}"/>
    <cellStyle name="Calculation 4" xfId="23314" xr:uid="{00000000-0005-0000-0000-00002F590000}"/>
    <cellStyle name="Calculation 5" xfId="23315" xr:uid="{00000000-0005-0000-0000-000030590000}"/>
    <cellStyle name="Check Cell" xfId="15" builtinId="23" customBuiltin="1"/>
    <cellStyle name="Check Cell 2" xfId="230" xr:uid="{00000000-0005-0000-0000-000032590000}"/>
    <cellStyle name="Check Cell 3" xfId="23316" xr:uid="{00000000-0005-0000-0000-000033590000}"/>
    <cellStyle name="Check Cell 4" xfId="23317" xr:uid="{00000000-0005-0000-0000-000034590000}"/>
    <cellStyle name="Check Cell 5" xfId="23318" xr:uid="{00000000-0005-0000-0000-000035590000}"/>
    <cellStyle name="CHlevel1" xfId="23319" xr:uid="{00000000-0005-0000-0000-000036590000}"/>
    <cellStyle name="CHlevel2" xfId="23320" xr:uid="{00000000-0005-0000-0000-000037590000}"/>
    <cellStyle name="CHlevel3" xfId="23321" xr:uid="{00000000-0005-0000-0000-000038590000}"/>
    <cellStyle name="CHlevel4" xfId="23322" xr:uid="{00000000-0005-0000-0000-000039590000}"/>
    <cellStyle name="Column heading" xfId="23323" xr:uid="{00000000-0005-0000-0000-00003A590000}"/>
    <cellStyle name="Comma" xfId="48" builtinId="3"/>
    <cellStyle name="Comma  - Style1" xfId="23324" xr:uid="{00000000-0005-0000-0000-00003C590000}"/>
    <cellStyle name="Comma  - Style2" xfId="23325" xr:uid="{00000000-0005-0000-0000-00003D590000}"/>
    <cellStyle name="Comma  - Style3" xfId="23326" xr:uid="{00000000-0005-0000-0000-00003E590000}"/>
    <cellStyle name="Comma  - Style4" xfId="23327" xr:uid="{00000000-0005-0000-0000-00003F590000}"/>
    <cellStyle name="Comma  - Style5" xfId="23328" xr:uid="{00000000-0005-0000-0000-000040590000}"/>
    <cellStyle name="Comma  - Style6" xfId="23329" xr:uid="{00000000-0005-0000-0000-000041590000}"/>
    <cellStyle name="Comma  - Style7" xfId="23330" xr:uid="{00000000-0005-0000-0000-000042590000}"/>
    <cellStyle name="Comma  - Style8" xfId="23331" xr:uid="{00000000-0005-0000-0000-000043590000}"/>
    <cellStyle name="Comma (1)" xfId="23332" xr:uid="{00000000-0005-0000-0000-000044590000}"/>
    <cellStyle name="Comma (1) 2" xfId="23333" xr:uid="{00000000-0005-0000-0000-000045590000}"/>
    <cellStyle name="Comma (1) 3" xfId="23334" xr:uid="{00000000-0005-0000-0000-000046590000}"/>
    <cellStyle name="Comma [0] 2" xfId="23335" xr:uid="{00000000-0005-0000-0000-000047590000}"/>
    <cellStyle name="Comma [0] 3" xfId="23336" xr:uid="{00000000-0005-0000-0000-000048590000}"/>
    <cellStyle name="Comma [0] 4" xfId="23337" xr:uid="{00000000-0005-0000-0000-000049590000}"/>
    <cellStyle name="Comma [0] 5" xfId="23338" xr:uid="{00000000-0005-0000-0000-00004A590000}"/>
    <cellStyle name="Comma [0] 5 2" xfId="23339" xr:uid="{00000000-0005-0000-0000-00004B590000}"/>
    <cellStyle name="Comma [0] 6" xfId="23340" xr:uid="{00000000-0005-0000-0000-00004C590000}"/>
    <cellStyle name="Comma [0] 7" xfId="23341" xr:uid="{00000000-0005-0000-0000-00004D590000}"/>
    <cellStyle name="Comma [0] 7 2" xfId="23342" xr:uid="{00000000-0005-0000-0000-00004E590000}"/>
    <cellStyle name="Comma [1]" xfId="23343" xr:uid="{00000000-0005-0000-0000-00004F590000}"/>
    <cellStyle name="Comma [1] 2" xfId="23344" xr:uid="{00000000-0005-0000-0000-000050590000}"/>
    <cellStyle name="Comma [1] 3" xfId="23345" xr:uid="{00000000-0005-0000-0000-000051590000}"/>
    <cellStyle name="Comma [1] 4" xfId="23346" xr:uid="{00000000-0005-0000-0000-000052590000}"/>
    <cellStyle name="Comma 10" xfId="83" xr:uid="{00000000-0005-0000-0000-000053590000}"/>
    <cellStyle name="Comma 10 2" xfId="23347" xr:uid="{00000000-0005-0000-0000-000054590000}"/>
    <cellStyle name="Comma 10 2 2" xfId="23348" xr:uid="{00000000-0005-0000-0000-000055590000}"/>
    <cellStyle name="Comma 10 2 3" xfId="23349" xr:uid="{00000000-0005-0000-0000-000056590000}"/>
    <cellStyle name="Comma 10 3" xfId="23350" xr:uid="{00000000-0005-0000-0000-000057590000}"/>
    <cellStyle name="Comma 10 4" xfId="23351" xr:uid="{00000000-0005-0000-0000-000058590000}"/>
    <cellStyle name="Comma 10 5" xfId="23352" xr:uid="{00000000-0005-0000-0000-000059590000}"/>
    <cellStyle name="Comma 10 6" xfId="23353" xr:uid="{00000000-0005-0000-0000-00005A590000}"/>
    <cellStyle name="Comma 11" xfId="23354" xr:uid="{00000000-0005-0000-0000-00005B590000}"/>
    <cellStyle name="Comma 11 2" xfId="23355" xr:uid="{00000000-0005-0000-0000-00005C590000}"/>
    <cellStyle name="Comma 11 2 2" xfId="23356" xr:uid="{00000000-0005-0000-0000-00005D590000}"/>
    <cellStyle name="Comma 11 2 3" xfId="23357" xr:uid="{00000000-0005-0000-0000-00005E590000}"/>
    <cellStyle name="Comma 11 3" xfId="23358" xr:uid="{00000000-0005-0000-0000-00005F590000}"/>
    <cellStyle name="Comma 11 4" xfId="23359" xr:uid="{00000000-0005-0000-0000-000060590000}"/>
    <cellStyle name="Comma 11 5" xfId="23360" xr:uid="{00000000-0005-0000-0000-000061590000}"/>
    <cellStyle name="Comma 11 6" xfId="23361" xr:uid="{00000000-0005-0000-0000-000062590000}"/>
    <cellStyle name="Comma 12" xfId="23362" xr:uid="{00000000-0005-0000-0000-000063590000}"/>
    <cellStyle name="Comma 12 2" xfId="23363" xr:uid="{00000000-0005-0000-0000-000064590000}"/>
    <cellStyle name="Comma 12 2 2" xfId="23364" xr:uid="{00000000-0005-0000-0000-000065590000}"/>
    <cellStyle name="Comma 12 2 3" xfId="23365" xr:uid="{00000000-0005-0000-0000-000066590000}"/>
    <cellStyle name="Comma 12 3" xfId="23366" xr:uid="{00000000-0005-0000-0000-000067590000}"/>
    <cellStyle name="Comma 12 4" xfId="23367" xr:uid="{00000000-0005-0000-0000-000068590000}"/>
    <cellStyle name="Comma 12 5" xfId="23368" xr:uid="{00000000-0005-0000-0000-000069590000}"/>
    <cellStyle name="Comma 12 6" xfId="23369" xr:uid="{00000000-0005-0000-0000-00006A590000}"/>
    <cellStyle name="Comma 13" xfId="23370" xr:uid="{00000000-0005-0000-0000-00006B590000}"/>
    <cellStyle name="Comma 13 2" xfId="23371" xr:uid="{00000000-0005-0000-0000-00006C590000}"/>
    <cellStyle name="Comma 13 3" xfId="23372" xr:uid="{00000000-0005-0000-0000-00006D590000}"/>
    <cellStyle name="Comma 14" xfId="23373" xr:uid="{00000000-0005-0000-0000-00006E590000}"/>
    <cellStyle name="Comma 15" xfId="23374" xr:uid="{00000000-0005-0000-0000-00006F590000}"/>
    <cellStyle name="Comma 15 2" xfId="23375" xr:uid="{00000000-0005-0000-0000-000070590000}"/>
    <cellStyle name="Comma 15 3" xfId="23376" xr:uid="{00000000-0005-0000-0000-000071590000}"/>
    <cellStyle name="Comma 16" xfId="23377" xr:uid="{00000000-0005-0000-0000-000072590000}"/>
    <cellStyle name="Comma 17" xfId="23378" xr:uid="{00000000-0005-0000-0000-000073590000}"/>
    <cellStyle name="Comma 18" xfId="23379" xr:uid="{00000000-0005-0000-0000-000074590000}"/>
    <cellStyle name="Comma 19" xfId="23380" xr:uid="{00000000-0005-0000-0000-000075590000}"/>
    <cellStyle name="Comma 2" xfId="46" xr:uid="{00000000-0005-0000-0000-000076590000}"/>
    <cellStyle name="Comma 2 2" xfId="84" xr:uid="{00000000-0005-0000-0000-000077590000}"/>
    <cellStyle name="Comma 2 2 2" xfId="85" xr:uid="{00000000-0005-0000-0000-000078590000}"/>
    <cellStyle name="Comma 2 2 2 2" xfId="335" xr:uid="{00000000-0005-0000-0000-000079590000}"/>
    <cellStyle name="Comma 2 2 2 3" xfId="23381" xr:uid="{00000000-0005-0000-0000-00007A590000}"/>
    <cellStyle name="Comma 2 2 3" xfId="336" xr:uid="{00000000-0005-0000-0000-00007B590000}"/>
    <cellStyle name="Comma 2 2 4" xfId="337" xr:uid="{00000000-0005-0000-0000-00007C590000}"/>
    <cellStyle name="Comma 2 2 5" xfId="23382" xr:uid="{00000000-0005-0000-0000-00007D590000}"/>
    <cellStyle name="Comma 2 2 6" xfId="23383" xr:uid="{00000000-0005-0000-0000-00007E590000}"/>
    <cellStyle name="Comma 2 3" xfId="86" xr:uid="{00000000-0005-0000-0000-00007F590000}"/>
    <cellStyle name="Comma 2 3 2" xfId="338" xr:uid="{00000000-0005-0000-0000-000080590000}"/>
    <cellStyle name="Comma 2 3 2 2" xfId="339" xr:uid="{00000000-0005-0000-0000-000081590000}"/>
    <cellStyle name="Comma 2 3 2 3" xfId="23384" xr:uid="{00000000-0005-0000-0000-000082590000}"/>
    <cellStyle name="Comma 2 3 3" xfId="340" xr:uid="{00000000-0005-0000-0000-000083590000}"/>
    <cellStyle name="Comma 2 3 4" xfId="341" xr:uid="{00000000-0005-0000-0000-000084590000}"/>
    <cellStyle name="Comma 2 3 5" xfId="23385" xr:uid="{00000000-0005-0000-0000-000085590000}"/>
    <cellStyle name="Comma 2 3 6" xfId="23386" xr:uid="{00000000-0005-0000-0000-000086590000}"/>
    <cellStyle name="Comma 2 4" xfId="87" xr:uid="{00000000-0005-0000-0000-000087590000}"/>
    <cellStyle name="Comma 2 4 2" xfId="342" xr:uid="{00000000-0005-0000-0000-000088590000}"/>
    <cellStyle name="Comma 2 5" xfId="343" xr:uid="{00000000-0005-0000-0000-000089590000}"/>
    <cellStyle name="Comma 2 6" xfId="344" xr:uid="{00000000-0005-0000-0000-00008A590000}"/>
    <cellStyle name="Comma 2 7" xfId="345" xr:uid="{00000000-0005-0000-0000-00008B590000}"/>
    <cellStyle name="Comma 20" xfId="23387" xr:uid="{00000000-0005-0000-0000-00008C590000}"/>
    <cellStyle name="Comma 21" xfId="23388" xr:uid="{00000000-0005-0000-0000-00008D590000}"/>
    <cellStyle name="Comma 22" xfId="23389" xr:uid="{00000000-0005-0000-0000-00008E590000}"/>
    <cellStyle name="Comma 23" xfId="23390" xr:uid="{00000000-0005-0000-0000-00008F590000}"/>
    <cellStyle name="Comma 24" xfId="23391" xr:uid="{00000000-0005-0000-0000-000090590000}"/>
    <cellStyle name="Comma 25" xfId="23392" xr:uid="{00000000-0005-0000-0000-000091590000}"/>
    <cellStyle name="Comma 26" xfId="23393" xr:uid="{00000000-0005-0000-0000-000092590000}"/>
    <cellStyle name="Comma 3" xfId="88" xr:uid="{00000000-0005-0000-0000-000093590000}"/>
    <cellStyle name="Comma 3 10" xfId="23394" xr:uid="{00000000-0005-0000-0000-000094590000}"/>
    <cellStyle name="Comma 3 10 2" xfId="23395" xr:uid="{00000000-0005-0000-0000-000095590000}"/>
    <cellStyle name="Comma 3 10 2 2" xfId="23396" xr:uid="{00000000-0005-0000-0000-000096590000}"/>
    <cellStyle name="Comma 3 10 2 3" xfId="23397" xr:uid="{00000000-0005-0000-0000-000097590000}"/>
    <cellStyle name="Comma 3 10 3" xfId="23398" xr:uid="{00000000-0005-0000-0000-000098590000}"/>
    <cellStyle name="Comma 3 10 4" xfId="23399" xr:uid="{00000000-0005-0000-0000-000099590000}"/>
    <cellStyle name="Comma 3 10 5" xfId="23400" xr:uid="{00000000-0005-0000-0000-00009A590000}"/>
    <cellStyle name="Comma 3 10 6" xfId="23401" xr:uid="{00000000-0005-0000-0000-00009B590000}"/>
    <cellStyle name="Comma 3 11" xfId="23402" xr:uid="{00000000-0005-0000-0000-00009C590000}"/>
    <cellStyle name="Comma 3 11 2" xfId="23403" xr:uid="{00000000-0005-0000-0000-00009D590000}"/>
    <cellStyle name="Comma 3 11 2 2" xfId="23404" xr:uid="{00000000-0005-0000-0000-00009E590000}"/>
    <cellStyle name="Comma 3 11 2 3" xfId="23405" xr:uid="{00000000-0005-0000-0000-00009F590000}"/>
    <cellStyle name="Comma 3 11 3" xfId="23406" xr:uid="{00000000-0005-0000-0000-0000A0590000}"/>
    <cellStyle name="Comma 3 11 4" xfId="23407" xr:uid="{00000000-0005-0000-0000-0000A1590000}"/>
    <cellStyle name="Comma 3 11 5" xfId="23408" xr:uid="{00000000-0005-0000-0000-0000A2590000}"/>
    <cellStyle name="Comma 3 11 6" xfId="23409" xr:uid="{00000000-0005-0000-0000-0000A3590000}"/>
    <cellStyle name="Comma 3 12" xfId="23410" xr:uid="{00000000-0005-0000-0000-0000A4590000}"/>
    <cellStyle name="Comma 3 12 2" xfId="23411" xr:uid="{00000000-0005-0000-0000-0000A5590000}"/>
    <cellStyle name="Comma 3 12 2 2" xfId="23412" xr:uid="{00000000-0005-0000-0000-0000A6590000}"/>
    <cellStyle name="Comma 3 12 2 3" xfId="23413" xr:uid="{00000000-0005-0000-0000-0000A7590000}"/>
    <cellStyle name="Comma 3 12 3" xfId="23414" xr:uid="{00000000-0005-0000-0000-0000A8590000}"/>
    <cellStyle name="Comma 3 12 4" xfId="23415" xr:uid="{00000000-0005-0000-0000-0000A9590000}"/>
    <cellStyle name="Comma 3 12 5" xfId="23416" xr:uid="{00000000-0005-0000-0000-0000AA590000}"/>
    <cellStyle name="Comma 3 12 6" xfId="23417" xr:uid="{00000000-0005-0000-0000-0000AB590000}"/>
    <cellStyle name="Comma 3 13" xfId="23418" xr:uid="{00000000-0005-0000-0000-0000AC590000}"/>
    <cellStyle name="Comma 3 14" xfId="23419" xr:uid="{00000000-0005-0000-0000-0000AD590000}"/>
    <cellStyle name="Comma 3 14 2" xfId="23420" xr:uid="{00000000-0005-0000-0000-0000AE590000}"/>
    <cellStyle name="Comma 3 14 3" xfId="23421" xr:uid="{00000000-0005-0000-0000-0000AF590000}"/>
    <cellStyle name="Comma 3 15" xfId="23422" xr:uid="{00000000-0005-0000-0000-0000B0590000}"/>
    <cellStyle name="Comma 3 16" xfId="23423" xr:uid="{00000000-0005-0000-0000-0000B1590000}"/>
    <cellStyle name="Comma 3 17" xfId="23424" xr:uid="{00000000-0005-0000-0000-0000B2590000}"/>
    <cellStyle name="Comma 3 18" xfId="23425" xr:uid="{00000000-0005-0000-0000-0000B3590000}"/>
    <cellStyle name="Comma 3 2" xfId="89" xr:uid="{00000000-0005-0000-0000-0000B4590000}"/>
    <cellStyle name="Comma 3 2 10" xfId="23426" xr:uid="{00000000-0005-0000-0000-0000B5590000}"/>
    <cellStyle name="Comma 3 2 10 2" xfId="23427" xr:uid="{00000000-0005-0000-0000-0000B6590000}"/>
    <cellStyle name="Comma 3 2 10 2 2" xfId="23428" xr:uid="{00000000-0005-0000-0000-0000B7590000}"/>
    <cellStyle name="Comma 3 2 10 2 3" xfId="23429" xr:uid="{00000000-0005-0000-0000-0000B8590000}"/>
    <cellStyle name="Comma 3 2 10 3" xfId="23430" xr:uid="{00000000-0005-0000-0000-0000B9590000}"/>
    <cellStyle name="Comma 3 2 10 4" xfId="23431" xr:uid="{00000000-0005-0000-0000-0000BA590000}"/>
    <cellStyle name="Comma 3 2 10 5" xfId="23432" xr:uid="{00000000-0005-0000-0000-0000BB590000}"/>
    <cellStyle name="Comma 3 2 10 6" xfId="23433" xr:uid="{00000000-0005-0000-0000-0000BC590000}"/>
    <cellStyle name="Comma 3 2 11" xfId="23434" xr:uid="{00000000-0005-0000-0000-0000BD590000}"/>
    <cellStyle name="Comma 3 2 11 2" xfId="23435" xr:uid="{00000000-0005-0000-0000-0000BE590000}"/>
    <cellStyle name="Comma 3 2 11 2 2" xfId="23436" xr:uid="{00000000-0005-0000-0000-0000BF590000}"/>
    <cellStyle name="Comma 3 2 11 2 3" xfId="23437" xr:uid="{00000000-0005-0000-0000-0000C0590000}"/>
    <cellStyle name="Comma 3 2 11 3" xfId="23438" xr:uid="{00000000-0005-0000-0000-0000C1590000}"/>
    <cellStyle name="Comma 3 2 11 4" xfId="23439" xr:uid="{00000000-0005-0000-0000-0000C2590000}"/>
    <cellStyle name="Comma 3 2 11 5" xfId="23440" xr:uid="{00000000-0005-0000-0000-0000C3590000}"/>
    <cellStyle name="Comma 3 2 11 6" xfId="23441" xr:uid="{00000000-0005-0000-0000-0000C4590000}"/>
    <cellStyle name="Comma 3 2 12" xfId="23442" xr:uid="{00000000-0005-0000-0000-0000C5590000}"/>
    <cellStyle name="Comma 3 2 12 2" xfId="23443" xr:uid="{00000000-0005-0000-0000-0000C6590000}"/>
    <cellStyle name="Comma 3 2 12 3" xfId="23444" xr:uid="{00000000-0005-0000-0000-0000C7590000}"/>
    <cellStyle name="Comma 3 2 13" xfId="23445" xr:uid="{00000000-0005-0000-0000-0000C8590000}"/>
    <cellStyle name="Comma 3 2 14" xfId="23446" xr:uid="{00000000-0005-0000-0000-0000C9590000}"/>
    <cellStyle name="Comma 3 2 15" xfId="23447" xr:uid="{00000000-0005-0000-0000-0000CA590000}"/>
    <cellStyle name="Comma 3 2 16" xfId="23448" xr:uid="{00000000-0005-0000-0000-0000CB590000}"/>
    <cellStyle name="Comma 3 2 2" xfId="346" xr:uid="{00000000-0005-0000-0000-0000CC590000}"/>
    <cellStyle name="Comma 3 2 2 10" xfId="23449" xr:uid="{00000000-0005-0000-0000-0000CD590000}"/>
    <cellStyle name="Comma 3 2 2 10 2" xfId="23450" xr:uid="{00000000-0005-0000-0000-0000CE590000}"/>
    <cellStyle name="Comma 3 2 2 10 3" xfId="23451" xr:uid="{00000000-0005-0000-0000-0000CF590000}"/>
    <cellStyle name="Comma 3 2 2 11" xfId="23452" xr:uid="{00000000-0005-0000-0000-0000D0590000}"/>
    <cellStyle name="Comma 3 2 2 12" xfId="23453" xr:uid="{00000000-0005-0000-0000-0000D1590000}"/>
    <cellStyle name="Comma 3 2 2 13" xfId="23454" xr:uid="{00000000-0005-0000-0000-0000D2590000}"/>
    <cellStyle name="Comma 3 2 2 14" xfId="23455" xr:uid="{00000000-0005-0000-0000-0000D3590000}"/>
    <cellStyle name="Comma 3 2 2 2" xfId="347" xr:uid="{00000000-0005-0000-0000-0000D4590000}"/>
    <cellStyle name="Comma 3 2 2 2 10" xfId="23456" xr:uid="{00000000-0005-0000-0000-0000D5590000}"/>
    <cellStyle name="Comma 3 2 2 2 11" xfId="23457" xr:uid="{00000000-0005-0000-0000-0000D6590000}"/>
    <cellStyle name="Comma 3 2 2 2 12" xfId="23458" xr:uid="{00000000-0005-0000-0000-0000D7590000}"/>
    <cellStyle name="Comma 3 2 2 2 13" xfId="23459" xr:uid="{00000000-0005-0000-0000-0000D8590000}"/>
    <cellStyle name="Comma 3 2 2 2 2" xfId="23460" xr:uid="{00000000-0005-0000-0000-0000D9590000}"/>
    <cellStyle name="Comma 3 2 2 2 2 10" xfId="23461" xr:uid="{00000000-0005-0000-0000-0000DA590000}"/>
    <cellStyle name="Comma 3 2 2 2 2 2" xfId="23462" xr:uid="{00000000-0005-0000-0000-0000DB590000}"/>
    <cellStyle name="Comma 3 2 2 2 2 2 2" xfId="23463" xr:uid="{00000000-0005-0000-0000-0000DC590000}"/>
    <cellStyle name="Comma 3 2 2 2 2 2 2 2" xfId="23464" xr:uid="{00000000-0005-0000-0000-0000DD590000}"/>
    <cellStyle name="Comma 3 2 2 2 2 2 2 2 2" xfId="23465" xr:uid="{00000000-0005-0000-0000-0000DE590000}"/>
    <cellStyle name="Comma 3 2 2 2 2 2 2 2 3" xfId="23466" xr:uid="{00000000-0005-0000-0000-0000DF590000}"/>
    <cellStyle name="Comma 3 2 2 2 2 2 2 3" xfId="23467" xr:uid="{00000000-0005-0000-0000-0000E0590000}"/>
    <cellStyle name="Comma 3 2 2 2 2 2 2 4" xfId="23468" xr:uid="{00000000-0005-0000-0000-0000E1590000}"/>
    <cellStyle name="Comma 3 2 2 2 2 2 2 5" xfId="23469" xr:uid="{00000000-0005-0000-0000-0000E2590000}"/>
    <cellStyle name="Comma 3 2 2 2 2 2 2 6" xfId="23470" xr:uid="{00000000-0005-0000-0000-0000E3590000}"/>
    <cellStyle name="Comma 3 2 2 2 2 2 3" xfId="23471" xr:uid="{00000000-0005-0000-0000-0000E4590000}"/>
    <cellStyle name="Comma 3 2 2 2 2 2 3 2" xfId="23472" xr:uid="{00000000-0005-0000-0000-0000E5590000}"/>
    <cellStyle name="Comma 3 2 2 2 2 2 3 2 2" xfId="23473" xr:uid="{00000000-0005-0000-0000-0000E6590000}"/>
    <cellStyle name="Comma 3 2 2 2 2 2 3 2 3" xfId="23474" xr:uid="{00000000-0005-0000-0000-0000E7590000}"/>
    <cellStyle name="Comma 3 2 2 2 2 2 3 3" xfId="23475" xr:uid="{00000000-0005-0000-0000-0000E8590000}"/>
    <cellStyle name="Comma 3 2 2 2 2 2 3 4" xfId="23476" xr:uid="{00000000-0005-0000-0000-0000E9590000}"/>
    <cellStyle name="Comma 3 2 2 2 2 2 3 5" xfId="23477" xr:uid="{00000000-0005-0000-0000-0000EA590000}"/>
    <cellStyle name="Comma 3 2 2 2 2 2 3 6" xfId="23478" xr:uid="{00000000-0005-0000-0000-0000EB590000}"/>
    <cellStyle name="Comma 3 2 2 2 2 2 4" xfId="23479" xr:uid="{00000000-0005-0000-0000-0000EC590000}"/>
    <cellStyle name="Comma 3 2 2 2 2 2 4 2" xfId="23480" xr:uid="{00000000-0005-0000-0000-0000ED590000}"/>
    <cellStyle name="Comma 3 2 2 2 2 2 4 3" xfId="23481" xr:uid="{00000000-0005-0000-0000-0000EE590000}"/>
    <cellStyle name="Comma 3 2 2 2 2 2 5" xfId="23482" xr:uid="{00000000-0005-0000-0000-0000EF590000}"/>
    <cellStyle name="Comma 3 2 2 2 2 2 6" xfId="23483" xr:uid="{00000000-0005-0000-0000-0000F0590000}"/>
    <cellStyle name="Comma 3 2 2 2 2 2 7" xfId="23484" xr:uid="{00000000-0005-0000-0000-0000F1590000}"/>
    <cellStyle name="Comma 3 2 2 2 2 2 8" xfId="23485" xr:uid="{00000000-0005-0000-0000-0000F2590000}"/>
    <cellStyle name="Comma 3 2 2 2 2 3" xfId="23486" xr:uid="{00000000-0005-0000-0000-0000F3590000}"/>
    <cellStyle name="Comma 3 2 2 2 2 3 2" xfId="23487" xr:uid="{00000000-0005-0000-0000-0000F4590000}"/>
    <cellStyle name="Comma 3 2 2 2 2 3 2 2" xfId="23488" xr:uid="{00000000-0005-0000-0000-0000F5590000}"/>
    <cellStyle name="Comma 3 2 2 2 2 3 2 2 2" xfId="23489" xr:uid="{00000000-0005-0000-0000-0000F6590000}"/>
    <cellStyle name="Comma 3 2 2 2 2 3 2 2 3" xfId="23490" xr:uid="{00000000-0005-0000-0000-0000F7590000}"/>
    <cellStyle name="Comma 3 2 2 2 2 3 2 3" xfId="23491" xr:uid="{00000000-0005-0000-0000-0000F8590000}"/>
    <cellStyle name="Comma 3 2 2 2 2 3 2 4" xfId="23492" xr:uid="{00000000-0005-0000-0000-0000F9590000}"/>
    <cellStyle name="Comma 3 2 2 2 2 3 2 5" xfId="23493" xr:uid="{00000000-0005-0000-0000-0000FA590000}"/>
    <cellStyle name="Comma 3 2 2 2 2 3 2 6" xfId="23494" xr:uid="{00000000-0005-0000-0000-0000FB590000}"/>
    <cellStyle name="Comma 3 2 2 2 2 3 3" xfId="23495" xr:uid="{00000000-0005-0000-0000-0000FC590000}"/>
    <cellStyle name="Comma 3 2 2 2 2 3 3 2" xfId="23496" xr:uid="{00000000-0005-0000-0000-0000FD590000}"/>
    <cellStyle name="Comma 3 2 2 2 2 3 3 3" xfId="23497" xr:uid="{00000000-0005-0000-0000-0000FE590000}"/>
    <cellStyle name="Comma 3 2 2 2 2 3 4" xfId="23498" xr:uid="{00000000-0005-0000-0000-0000FF590000}"/>
    <cellStyle name="Comma 3 2 2 2 2 3 5" xfId="23499" xr:uid="{00000000-0005-0000-0000-0000005A0000}"/>
    <cellStyle name="Comma 3 2 2 2 2 3 6" xfId="23500" xr:uid="{00000000-0005-0000-0000-0000015A0000}"/>
    <cellStyle name="Comma 3 2 2 2 2 3 7" xfId="23501" xr:uid="{00000000-0005-0000-0000-0000025A0000}"/>
    <cellStyle name="Comma 3 2 2 2 2 4" xfId="23502" xr:uid="{00000000-0005-0000-0000-0000035A0000}"/>
    <cellStyle name="Comma 3 2 2 2 2 4 2" xfId="23503" xr:uid="{00000000-0005-0000-0000-0000045A0000}"/>
    <cellStyle name="Comma 3 2 2 2 2 4 2 2" xfId="23504" xr:uid="{00000000-0005-0000-0000-0000055A0000}"/>
    <cellStyle name="Comma 3 2 2 2 2 4 2 3" xfId="23505" xr:uid="{00000000-0005-0000-0000-0000065A0000}"/>
    <cellStyle name="Comma 3 2 2 2 2 4 3" xfId="23506" xr:uid="{00000000-0005-0000-0000-0000075A0000}"/>
    <cellStyle name="Comma 3 2 2 2 2 4 4" xfId="23507" xr:uid="{00000000-0005-0000-0000-0000085A0000}"/>
    <cellStyle name="Comma 3 2 2 2 2 4 5" xfId="23508" xr:uid="{00000000-0005-0000-0000-0000095A0000}"/>
    <cellStyle name="Comma 3 2 2 2 2 4 6" xfId="23509" xr:uid="{00000000-0005-0000-0000-00000A5A0000}"/>
    <cellStyle name="Comma 3 2 2 2 2 5" xfId="23510" xr:uid="{00000000-0005-0000-0000-00000B5A0000}"/>
    <cellStyle name="Comma 3 2 2 2 2 5 2" xfId="23511" xr:uid="{00000000-0005-0000-0000-00000C5A0000}"/>
    <cellStyle name="Comma 3 2 2 2 2 5 2 2" xfId="23512" xr:uid="{00000000-0005-0000-0000-00000D5A0000}"/>
    <cellStyle name="Comma 3 2 2 2 2 5 2 3" xfId="23513" xr:uid="{00000000-0005-0000-0000-00000E5A0000}"/>
    <cellStyle name="Comma 3 2 2 2 2 5 3" xfId="23514" xr:uid="{00000000-0005-0000-0000-00000F5A0000}"/>
    <cellStyle name="Comma 3 2 2 2 2 5 4" xfId="23515" xr:uid="{00000000-0005-0000-0000-0000105A0000}"/>
    <cellStyle name="Comma 3 2 2 2 2 5 5" xfId="23516" xr:uid="{00000000-0005-0000-0000-0000115A0000}"/>
    <cellStyle name="Comma 3 2 2 2 2 5 6" xfId="23517" xr:uid="{00000000-0005-0000-0000-0000125A0000}"/>
    <cellStyle name="Comma 3 2 2 2 2 6" xfId="23518" xr:uid="{00000000-0005-0000-0000-0000135A0000}"/>
    <cellStyle name="Comma 3 2 2 2 2 6 2" xfId="23519" xr:uid="{00000000-0005-0000-0000-0000145A0000}"/>
    <cellStyle name="Comma 3 2 2 2 2 6 3" xfId="23520" xr:uid="{00000000-0005-0000-0000-0000155A0000}"/>
    <cellStyle name="Comma 3 2 2 2 2 7" xfId="23521" xr:uid="{00000000-0005-0000-0000-0000165A0000}"/>
    <cellStyle name="Comma 3 2 2 2 2 8" xfId="23522" xr:uid="{00000000-0005-0000-0000-0000175A0000}"/>
    <cellStyle name="Comma 3 2 2 2 2 9" xfId="23523" xr:uid="{00000000-0005-0000-0000-0000185A0000}"/>
    <cellStyle name="Comma 3 2 2 2 3" xfId="23524" xr:uid="{00000000-0005-0000-0000-0000195A0000}"/>
    <cellStyle name="Comma 3 2 2 2 3 2" xfId="23525" xr:uid="{00000000-0005-0000-0000-00001A5A0000}"/>
    <cellStyle name="Comma 3 2 2 2 3 2 2" xfId="23526" xr:uid="{00000000-0005-0000-0000-00001B5A0000}"/>
    <cellStyle name="Comma 3 2 2 2 3 2 2 2" xfId="23527" xr:uid="{00000000-0005-0000-0000-00001C5A0000}"/>
    <cellStyle name="Comma 3 2 2 2 3 2 2 2 2" xfId="23528" xr:uid="{00000000-0005-0000-0000-00001D5A0000}"/>
    <cellStyle name="Comma 3 2 2 2 3 2 2 2 3" xfId="23529" xr:uid="{00000000-0005-0000-0000-00001E5A0000}"/>
    <cellStyle name="Comma 3 2 2 2 3 2 2 3" xfId="23530" xr:uid="{00000000-0005-0000-0000-00001F5A0000}"/>
    <cellStyle name="Comma 3 2 2 2 3 2 2 4" xfId="23531" xr:uid="{00000000-0005-0000-0000-0000205A0000}"/>
    <cellStyle name="Comma 3 2 2 2 3 2 2 5" xfId="23532" xr:uid="{00000000-0005-0000-0000-0000215A0000}"/>
    <cellStyle name="Comma 3 2 2 2 3 2 2 6" xfId="23533" xr:uid="{00000000-0005-0000-0000-0000225A0000}"/>
    <cellStyle name="Comma 3 2 2 2 3 2 3" xfId="23534" xr:uid="{00000000-0005-0000-0000-0000235A0000}"/>
    <cellStyle name="Comma 3 2 2 2 3 2 3 2" xfId="23535" xr:uid="{00000000-0005-0000-0000-0000245A0000}"/>
    <cellStyle name="Comma 3 2 2 2 3 2 3 3" xfId="23536" xr:uid="{00000000-0005-0000-0000-0000255A0000}"/>
    <cellStyle name="Comma 3 2 2 2 3 2 4" xfId="23537" xr:uid="{00000000-0005-0000-0000-0000265A0000}"/>
    <cellStyle name="Comma 3 2 2 2 3 2 5" xfId="23538" xr:uid="{00000000-0005-0000-0000-0000275A0000}"/>
    <cellStyle name="Comma 3 2 2 2 3 2 6" xfId="23539" xr:uid="{00000000-0005-0000-0000-0000285A0000}"/>
    <cellStyle name="Comma 3 2 2 2 3 2 7" xfId="23540" xr:uid="{00000000-0005-0000-0000-0000295A0000}"/>
    <cellStyle name="Comma 3 2 2 2 3 3" xfId="23541" xr:uid="{00000000-0005-0000-0000-00002A5A0000}"/>
    <cellStyle name="Comma 3 2 2 2 3 3 2" xfId="23542" xr:uid="{00000000-0005-0000-0000-00002B5A0000}"/>
    <cellStyle name="Comma 3 2 2 2 3 3 2 2" xfId="23543" xr:uid="{00000000-0005-0000-0000-00002C5A0000}"/>
    <cellStyle name="Comma 3 2 2 2 3 3 2 3" xfId="23544" xr:uid="{00000000-0005-0000-0000-00002D5A0000}"/>
    <cellStyle name="Comma 3 2 2 2 3 3 3" xfId="23545" xr:uid="{00000000-0005-0000-0000-00002E5A0000}"/>
    <cellStyle name="Comma 3 2 2 2 3 3 4" xfId="23546" xr:uid="{00000000-0005-0000-0000-00002F5A0000}"/>
    <cellStyle name="Comma 3 2 2 2 3 3 5" xfId="23547" xr:uid="{00000000-0005-0000-0000-0000305A0000}"/>
    <cellStyle name="Comma 3 2 2 2 3 3 6" xfId="23548" xr:uid="{00000000-0005-0000-0000-0000315A0000}"/>
    <cellStyle name="Comma 3 2 2 2 3 4" xfId="23549" xr:uid="{00000000-0005-0000-0000-0000325A0000}"/>
    <cellStyle name="Comma 3 2 2 2 3 4 2" xfId="23550" xr:uid="{00000000-0005-0000-0000-0000335A0000}"/>
    <cellStyle name="Comma 3 2 2 2 3 4 2 2" xfId="23551" xr:uid="{00000000-0005-0000-0000-0000345A0000}"/>
    <cellStyle name="Comma 3 2 2 2 3 4 2 3" xfId="23552" xr:uid="{00000000-0005-0000-0000-0000355A0000}"/>
    <cellStyle name="Comma 3 2 2 2 3 4 3" xfId="23553" xr:uid="{00000000-0005-0000-0000-0000365A0000}"/>
    <cellStyle name="Comma 3 2 2 2 3 4 4" xfId="23554" xr:uid="{00000000-0005-0000-0000-0000375A0000}"/>
    <cellStyle name="Comma 3 2 2 2 3 4 5" xfId="23555" xr:uid="{00000000-0005-0000-0000-0000385A0000}"/>
    <cellStyle name="Comma 3 2 2 2 3 4 6" xfId="23556" xr:uid="{00000000-0005-0000-0000-0000395A0000}"/>
    <cellStyle name="Comma 3 2 2 2 3 5" xfId="23557" xr:uid="{00000000-0005-0000-0000-00003A5A0000}"/>
    <cellStyle name="Comma 3 2 2 2 3 5 2" xfId="23558" xr:uid="{00000000-0005-0000-0000-00003B5A0000}"/>
    <cellStyle name="Comma 3 2 2 2 3 5 3" xfId="23559" xr:uid="{00000000-0005-0000-0000-00003C5A0000}"/>
    <cellStyle name="Comma 3 2 2 2 3 6" xfId="23560" xr:uid="{00000000-0005-0000-0000-00003D5A0000}"/>
    <cellStyle name="Comma 3 2 2 2 3 7" xfId="23561" xr:uid="{00000000-0005-0000-0000-00003E5A0000}"/>
    <cellStyle name="Comma 3 2 2 2 3 8" xfId="23562" xr:uid="{00000000-0005-0000-0000-00003F5A0000}"/>
    <cellStyle name="Comma 3 2 2 2 3 9" xfId="23563" xr:uid="{00000000-0005-0000-0000-0000405A0000}"/>
    <cellStyle name="Comma 3 2 2 2 4" xfId="23564" xr:uid="{00000000-0005-0000-0000-0000415A0000}"/>
    <cellStyle name="Comma 3 2 2 2 4 2" xfId="23565" xr:uid="{00000000-0005-0000-0000-0000425A0000}"/>
    <cellStyle name="Comma 3 2 2 2 4 2 2" xfId="23566" xr:uid="{00000000-0005-0000-0000-0000435A0000}"/>
    <cellStyle name="Comma 3 2 2 2 4 2 2 2" xfId="23567" xr:uid="{00000000-0005-0000-0000-0000445A0000}"/>
    <cellStyle name="Comma 3 2 2 2 4 2 2 3" xfId="23568" xr:uid="{00000000-0005-0000-0000-0000455A0000}"/>
    <cellStyle name="Comma 3 2 2 2 4 2 3" xfId="23569" xr:uid="{00000000-0005-0000-0000-0000465A0000}"/>
    <cellStyle name="Comma 3 2 2 2 4 2 4" xfId="23570" xr:uid="{00000000-0005-0000-0000-0000475A0000}"/>
    <cellStyle name="Comma 3 2 2 2 4 2 5" xfId="23571" xr:uid="{00000000-0005-0000-0000-0000485A0000}"/>
    <cellStyle name="Comma 3 2 2 2 4 2 6" xfId="23572" xr:uid="{00000000-0005-0000-0000-0000495A0000}"/>
    <cellStyle name="Comma 3 2 2 2 4 3" xfId="23573" xr:uid="{00000000-0005-0000-0000-00004A5A0000}"/>
    <cellStyle name="Comma 3 2 2 2 4 3 2" xfId="23574" xr:uid="{00000000-0005-0000-0000-00004B5A0000}"/>
    <cellStyle name="Comma 3 2 2 2 4 3 3" xfId="23575" xr:uid="{00000000-0005-0000-0000-00004C5A0000}"/>
    <cellStyle name="Comma 3 2 2 2 4 4" xfId="23576" xr:uid="{00000000-0005-0000-0000-00004D5A0000}"/>
    <cellStyle name="Comma 3 2 2 2 4 5" xfId="23577" xr:uid="{00000000-0005-0000-0000-00004E5A0000}"/>
    <cellStyle name="Comma 3 2 2 2 4 6" xfId="23578" xr:uid="{00000000-0005-0000-0000-00004F5A0000}"/>
    <cellStyle name="Comma 3 2 2 2 4 7" xfId="23579" xr:uid="{00000000-0005-0000-0000-0000505A0000}"/>
    <cellStyle name="Comma 3 2 2 2 5" xfId="23580" xr:uid="{00000000-0005-0000-0000-0000515A0000}"/>
    <cellStyle name="Comma 3 2 2 2 5 2" xfId="23581" xr:uid="{00000000-0005-0000-0000-0000525A0000}"/>
    <cellStyle name="Comma 3 2 2 2 5 2 2" xfId="23582" xr:uid="{00000000-0005-0000-0000-0000535A0000}"/>
    <cellStyle name="Comma 3 2 2 2 5 2 3" xfId="23583" xr:uid="{00000000-0005-0000-0000-0000545A0000}"/>
    <cellStyle name="Comma 3 2 2 2 5 3" xfId="23584" xr:uid="{00000000-0005-0000-0000-0000555A0000}"/>
    <cellStyle name="Comma 3 2 2 2 5 4" xfId="23585" xr:uid="{00000000-0005-0000-0000-0000565A0000}"/>
    <cellStyle name="Comma 3 2 2 2 5 5" xfId="23586" xr:uid="{00000000-0005-0000-0000-0000575A0000}"/>
    <cellStyle name="Comma 3 2 2 2 5 6" xfId="23587" xr:uid="{00000000-0005-0000-0000-0000585A0000}"/>
    <cellStyle name="Comma 3 2 2 2 6" xfId="23588" xr:uid="{00000000-0005-0000-0000-0000595A0000}"/>
    <cellStyle name="Comma 3 2 2 2 6 2" xfId="23589" xr:uid="{00000000-0005-0000-0000-00005A5A0000}"/>
    <cellStyle name="Comma 3 2 2 2 6 2 2" xfId="23590" xr:uid="{00000000-0005-0000-0000-00005B5A0000}"/>
    <cellStyle name="Comma 3 2 2 2 6 2 3" xfId="23591" xr:uid="{00000000-0005-0000-0000-00005C5A0000}"/>
    <cellStyle name="Comma 3 2 2 2 6 3" xfId="23592" xr:uid="{00000000-0005-0000-0000-00005D5A0000}"/>
    <cellStyle name="Comma 3 2 2 2 6 4" xfId="23593" xr:uid="{00000000-0005-0000-0000-00005E5A0000}"/>
    <cellStyle name="Comma 3 2 2 2 6 5" xfId="23594" xr:uid="{00000000-0005-0000-0000-00005F5A0000}"/>
    <cellStyle name="Comma 3 2 2 2 6 6" xfId="23595" xr:uid="{00000000-0005-0000-0000-0000605A0000}"/>
    <cellStyle name="Comma 3 2 2 2 7" xfId="23596" xr:uid="{00000000-0005-0000-0000-0000615A0000}"/>
    <cellStyle name="Comma 3 2 2 2 7 2" xfId="23597" xr:uid="{00000000-0005-0000-0000-0000625A0000}"/>
    <cellStyle name="Comma 3 2 2 2 7 2 2" xfId="23598" xr:uid="{00000000-0005-0000-0000-0000635A0000}"/>
    <cellStyle name="Comma 3 2 2 2 7 2 3" xfId="23599" xr:uid="{00000000-0005-0000-0000-0000645A0000}"/>
    <cellStyle name="Comma 3 2 2 2 7 3" xfId="23600" xr:uid="{00000000-0005-0000-0000-0000655A0000}"/>
    <cellStyle name="Comma 3 2 2 2 7 4" xfId="23601" xr:uid="{00000000-0005-0000-0000-0000665A0000}"/>
    <cellStyle name="Comma 3 2 2 2 7 5" xfId="23602" xr:uid="{00000000-0005-0000-0000-0000675A0000}"/>
    <cellStyle name="Comma 3 2 2 2 7 6" xfId="23603" xr:uid="{00000000-0005-0000-0000-0000685A0000}"/>
    <cellStyle name="Comma 3 2 2 2 8" xfId="23604" xr:uid="{00000000-0005-0000-0000-0000695A0000}"/>
    <cellStyle name="Comma 3 2 2 2 8 2" xfId="23605" xr:uid="{00000000-0005-0000-0000-00006A5A0000}"/>
    <cellStyle name="Comma 3 2 2 2 8 2 2" xfId="23606" xr:uid="{00000000-0005-0000-0000-00006B5A0000}"/>
    <cellStyle name="Comma 3 2 2 2 8 2 3" xfId="23607" xr:uid="{00000000-0005-0000-0000-00006C5A0000}"/>
    <cellStyle name="Comma 3 2 2 2 8 3" xfId="23608" xr:uid="{00000000-0005-0000-0000-00006D5A0000}"/>
    <cellStyle name="Comma 3 2 2 2 8 4" xfId="23609" xr:uid="{00000000-0005-0000-0000-00006E5A0000}"/>
    <cellStyle name="Comma 3 2 2 2 8 5" xfId="23610" xr:uid="{00000000-0005-0000-0000-00006F5A0000}"/>
    <cellStyle name="Comma 3 2 2 2 8 6" xfId="23611" xr:uid="{00000000-0005-0000-0000-0000705A0000}"/>
    <cellStyle name="Comma 3 2 2 2 9" xfId="23612" xr:uid="{00000000-0005-0000-0000-0000715A0000}"/>
    <cellStyle name="Comma 3 2 2 2 9 2" xfId="23613" xr:uid="{00000000-0005-0000-0000-0000725A0000}"/>
    <cellStyle name="Comma 3 2 2 2 9 3" xfId="23614" xr:uid="{00000000-0005-0000-0000-0000735A0000}"/>
    <cellStyle name="Comma 3 2 2 3" xfId="23615" xr:uid="{00000000-0005-0000-0000-0000745A0000}"/>
    <cellStyle name="Comma 3 2 2 3 10" xfId="23616" xr:uid="{00000000-0005-0000-0000-0000755A0000}"/>
    <cellStyle name="Comma 3 2 2 3 2" xfId="23617" xr:uid="{00000000-0005-0000-0000-0000765A0000}"/>
    <cellStyle name="Comma 3 2 2 3 2 2" xfId="23618" xr:uid="{00000000-0005-0000-0000-0000775A0000}"/>
    <cellStyle name="Comma 3 2 2 3 2 2 2" xfId="23619" xr:uid="{00000000-0005-0000-0000-0000785A0000}"/>
    <cellStyle name="Comma 3 2 2 3 2 2 2 2" xfId="23620" xr:uid="{00000000-0005-0000-0000-0000795A0000}"/>
    <cellStyle name="Comma 3 2 2 3 2 2 2 3" xfId="23621" xr:uid="{00000000-0005-0000-0000-00007A5A0000}"/>
    <cellStyle name="Comma 3 2 2 3 2 2 3" xfId="23622" xr:uid="{00000000-0005-0000-0000-00007B5A0000}"/>
    <cellStyle name="Comma 3 2 2 3 2 2 4" xfId="23623" xr:uid="{00000000-0005-0000-0000-00007C5A0000}"/>
    <cellStyle name="Comma 3 2 2 3 2 2 5" xfId="23624" xr:uid="{00000000-0005-0000-0000-00007D5A0000}"/>
    <cellStyle name="Comma 3 2 2 3 2 2 6" xfId="23625" xr:uid="{00000000-0005-0000-0000-00007E5A0000}"/>
    <cellStyle name="Comma 3 2 2 3 2 3" xfId="23626" xr:uid="{00000000-0005-0000-0000-00007F5A0000}"/>
    <cellStyle name="Comma 3 2 2 3 2 3 2" xfId="23627" xr:uid="{00000000-0005-0000-0000-0000805A0000}"/>
    <cellStyle name="Comma 3 2 2 3 2 3 2 2" xfId="23628" xr:uid="{00000000-0005-0000-0000-0000815A0000}"/>
    <cellStyle name="Comma 3 2 2 3 2 3 2 3" xfId="23629" xr:uid="{00000000-0005-0000-0000-0000825A0000}"/>
    <cellStyle name="Comma 3 2 2 3 2 3 3" xfId="23630" xr:uid="{00000000-0005-0000-0000-0000835A0000}"/>
    <cellStyle name="Comma 3 2 2 3 2 3 4" xfId="23631" xr:uid="{00000000-0005-0000-0000-0000845A0000}"/>
    <cellStyle name="Comma 3 2 2 3 2 3 5" xfId="23632" xr:uid="{00000000-0005-0000-0000-0000855A0000}"/>
    <cellStyle name="Comma 3 2 2 3 2 3 6" xfId="23633" xr:uid="{00000000-0005-0000-0000-0000865A0000}"/>
    <cellStyle name="Comma 3 2 2 3 2 4" xfId="23634" xr:uid="{00000000-0005-0000-0000-0000875A0000}"/>
    <cellStyle name="Comma 3 2 2 3 2 4 2" xfId="23635" xr:uid="{00000000-0005-0000-0000-0000885A0000}"/>
    <cellStyle name="Comma 3 2 2 3 2 4 3" xfId="23636" xr:uid="{00000000-0005-0000-0000-0000895A0000}"/>
    <cellStyle name="Comma 3 2 2 3 2 5" xfId="23637" xr:uid="{00000000-0005-0000-0000-00008A5A0000}"/>
    <cellStyle name="Comma 3 2 2 3 2 6" xfId="23638" xr:uid="{00000000-0005-0000-0000-00008B5A0000}"/>
    <cellStyle name="Comma 3 2 2 3 2 7" xfId="23639" xr:uid="{00000000-0005-0000-0000-00008C5A0000}"/>
    <cellStyle name="Comma 3 2 2 3 2 8" xfId="23640" xr:uid="{00000000-0005-0000-0000-00008D5A0000}"/>
    <cellStyle name="Comma 3 2 2 3 3" xfId="23641" xr:uid="{00000000-0005-0000-0000-00008E5A0000}"/>
    <cellStyle name="Comma 3 2 2 3 3 2" xfId="23642" xr:uid="{00000000-0005-0000-0000-00008F5A0000}"/>
    <cellStyle name="Comma 3 2 2 3 3 2 2" xfId="23643" xr:uid="{00000000-0005-0000-0000-0000905A0000}"/>
    <cellStyle name="Comma 3 2 2 3 3 2 2 2" xfId="23644" xr:uid="{00000000-0005-0000-0000-0000915A0000}"/>
    <cellStyle name="Comma 3 2 2 3 3 2 2 3" xfId="23645" xr:uid="{00000000-0005-0000-0000-0000925A0000}"/>
    <cellStyle name="Comma 3 2 2 3 3 2 3" xfId="23646" xr:uid="{00000000-0005-0000-0000-0000935A0000}"/>
    <cellStyle name="Comma 3 2 2 3 3 2 4" xfId="23647" xr:uid="{00000000-0005-0000-0000-0000945A0000}"/>
    <cellStyle name="Comma 3 2 2 3 3 2 5" xfId="23648" xr:uid="{00000000-0005-0000-0000-0000955A0000}"/>
    <cellStyle name="Comma 3 2 2 3 3 2 6" xfId="23649" xr:uid="{00000000-0005-0000-0000-0000965A0000}"/>
    <cellStyle name="Comma 3 2 2 3 3 3" xfId="23650" xr:uid="{00000000-0005-0000-0000-0000975A0000}"/>
    <cellStyle name="Comma 3 2 2 3 3 3 2" xfId="23651" xr:uid="{00000000-0005-0000-0000-0000985A0000}"/>
    <cellStyle name="Comma 3 2 2 3 3 3 3" xfId="23652" xr:uid="{00000000-0005-0000-0000-0000995A0000}"/>
    <cellStyle name="Comma 3 2 2 3 3 4" xfId="23653" xr:uid="{00000000-0005-0000-0000-00009A5A0000}"/>
    <cellStyle name="Comma 3 2 2 3 3 5" xfId="23654" xr:uid="{00000000-0005-0000-0000-00009B5A0000}"/>
    <cellStyle name="Comma 3 2 2 3 3 6" xfId="23655" xr:uid="{00000000-0005-0000-0000-00009C5A0000}"/>
    <cellStyle name="Comma 3 2 2 3 3 7" xfId="23656" xr:uid="{00000000-0005-0000-0000-00009D5A0000}"/>
    <cellStyle name="Comma 3 2 2 3 4" xfId="23657" xr:uid="{00000000-0005-0000-0000-00009E5A0000}"/>
    <cellStyle name="Comma 3 2 2 3 4 2" xfId="23658" xr:uid="{00000000-0005-0000-0000-00009F5A0000}"/>
    <cellStyle name="Comma 3 2 2 3 4 2 2" xfId="23659" xr:uid="{00000000-0005-0000-0000-0000A05A0000}"/>
    <cellStyle name="Comma 3 2 2 3 4 2 3" xfId="23660" xr:uid="{00000000-0005-0000-0000-0000A15A0000}"/>
    <cellStyle name="Comma 3 2 2 3 4 3" xfId="23661" xr:uid="{00000000-0005-0000-0000-0000A25A0000}"/>
    <cellStyle name="Comma 3 2 2 3 4 4" xfId="23662" xr:uid="{00000000-0005-0000-0000-0000A35A0000}"/>
    <cellStyle name="Comma 3 2 2 3 4 5" xfId="23663" xr:uid="{00000000-0005-0000-0000-0000A45A0000}"/>
    <cellStyle name="Comma 3 2 2 3 4 6" xfId="23664" xr:uid="{00000000-0005-0000-0000-0000A55A0000}"/>
    <cellStyle name="Comma 3 2 2 3 5" xfId="23665" xr:uid="{00000000-0005-0000-0000-0000A65A0000}"/>
    <cellStyle name="Comma 3 2 2 3 5 2" xfId="23666" xr:uid="{00000000-0005-0000-0000-0000A75A0000}"/>
    <cellStyle name="Comma 3 2 2 3 5 2 2" xfId="23667" xr:uid="{00000000-0005-0000-0000-0000A85A0000}"/>
    <cellStyle name="Comma 3 2 2 3 5 2 3" xfId="23668" xr:uid="{00000000-0005-0000-0000-0000A95A0000}"/>
    <cellStyle name="Comma 3 2 2 3 5 3" xfId="23669" xr:uid="{00000000-0005-0000-0000-0000AA5A0000}"/>
    <cellStyle name="Comma 3 2 2 3 5 4" xfId="23670" xr:uid="{00000000-0005-0000-0000-0000AB5A0000}"/>
    <cellStyle name="Comma 3 2 2 3 5 5" xfId="23671" xr:uid="{00000000-0005-0000-0000-0000AC5A0000}"/>
    <cellStyle name="Comma 3 2 2 3 5 6" xfId="23672" xr:uid="{00000000-0005-0000-0000-0000AD5A0000}"/>
    <cellStyle name="Comma 3 2 2 3 6" xfId="23673" xr:uid="{00000000-0005-0000-0000-0000AE5A0000}"/>
    <cellStyle name="Comma 3 2 2 3 6 2" xfId="23674" xr:uid="{00000000-0005-0000-0000-0000AF5A0000}"/>
    <cellStyle name="Comma 3 2 2 3 6 3" xfId="23675" xr:uid="{00000000-0005-0000-0000-0000B05A0000}"/>
    <cellStyle name="Comma 3 2 2 3 7" xfId="23676" xr:uid="{00000000-0005-0000-0000-0000B15A0000}"/>
    <cellStyle name="Comma 3 2 2 3 8" xfId="23677" xr:uid="{00000000-0005-0000-0000-0000B25A0000}"/>
    <cellStyle name="Comma 3 2 2 3 9" xfId="23678" xr:uid="{00000000-0005-0000-0000-0000B35A0000}"/>
    <cellStyle name="Comma 3 2 2 4" xfId="23679" xr:uid="{00000000-0005-0000-0000-0000B45A0000}"/>
    <cellStyle name="Comma 3 2 2 4 2" xfId="23680" xr:uid="{00000000-0005-0000-0000-0000B55A0000}"/>
    <cellStyle name="Comma 3 2 2 4 2 2" xfId="23681" xr:uid="{00000000-0005-0000-0000-0000B65A0000}"/>
    <cellStyle name="Comma 3 2 2 4 2 2 2" xfId="23682" xr:uid="{00000000-0005-0000-0000-0000B75A0000}"/>
    <cellStyle name="Comma 3 2 2 4 2 2 2 2" xfId="23683" xr:uid="{00000000-0005-0000-0000-0000B85A0000}"/>
    <cellStyle name="Comma 3 2 2 4 2 2 2 3" xfId="23684" xr:uid="{00000000-0005-0000-0000-0000B95A0000}"/>
    <cellStyle name="Comma 3 2 2 4 2 2 3" xfId="23685" xr:uid="{00000000-0005-0000-0000-0000BA5A0000}"/>
    <cellStyle name="Comma 3 2 2 4 2 2 4" xfId="23686" xr:uid="{00000000-0005-0000-0000-0000BB5A0000}"/>
    <cellStyle name="Comma 3 2 2 4 2 2 5" xfId="23687" xr:uid="{00000000-0005-0000-0000-0000BC5A0000}"/>
    <cellStyle name="Comma 3 2 2 4 2 2 6" xfId="23688" xr:uid="{00000000-0005-0000-0000-0000BD5A0000}"/>
    <cellStyle name="Comma 3 2 2 4 2 3" xfId="23689" xr:uid="{00000000-0005-0000-0000-0000BE5A0000}"/>
    <cellStyle name="Comma 3 2 2 4 2 3 2" xfId="23690" xr:uid="{00000000-0005-0000-0000-0000BF5A0000}"/>
    <cellStyle name="Comma 3 2 2 4 2 3 3" xfId="23691" xr:uid="{00000000-0005-0000-0000-0000C05A0000}"/>
    <cellStyle name="Comma 3 2 2 4 2 4" xfId="23692" xr:uid="{00000000-0005-0000-0000-0000C15A0000}"/>
    <cellStyle name="Comma 3 2 2 4 2 5" xfId="23693" xr:uid="{00000000-0005-0000-0000-0000C25A0000}"/>
    <cellStyle name="Comma 3 2 2 4 2 6" xfId="23694" xr:uid="{00000000-0005-0000-0000-0000C35A0000}"/>
    <cellStyle name="Comma 3 2 2 4 2 7" xfId="23695" xr:uid="{00000000-0005-0000-0000-0000C45A0000}"/>
    <cellStyle name="Comma 3 2 2 4 3" xfId="23696" xr:uid="{00000000-0005-0000-0000-0000C55A0000}"/>
    <cellStyle name="Comma 3 2 2 4 3 2" xfId="23697" xr:uid="{00000000-0005-0000-0000-0000C65A0000}"/>
    <cellStyle name="Comma 3 2 2 4 3 2 2" xfId="23698" xr:uid="{00000000-0005-0000-0000-0000C75A0000}"/>
    <cellStyle name="Comma 3 2 2 4 3 2 3" xfId="23699" xr:uid="{00000000-0005-0000-0000-0000C85A0000}"/>
    <cellStyle name="Comma 3 2 2 4 3 3" xfId="23700" xr:uid="{00000000-0005-0000-0000-0000C95A0000}"/>
    <cellStyle name="Comma 3 2 2 4 3 4" xfId="23701" xr:uid="{00000000-0005-0000-0000-0000CA5A0000}"/>
    <cellStyle name="Comma 3 2 2 4 3 5" xfId="23702" xr:uid="{00000000-0005-0000-0000-0000CB5A0000}"/>
    <cellStyle name="Comma 3 2 2 4 3 6" xfId="23703" xr:uid="{00000000-0005-0000-0000-0000CC5A0000}"/>
    <cellStyle name="Comma 3 2 2 4 4" xfId="23704" xr:uid="{00000000-0005-0000-0000-0000CD5A0000}"/>
    <cellStyle name="Comma 3 2 2 4 4 2" xfId="23705" xr:uid="{00000000-0005-0000-0000-0000CE5A0000}"/>
    <cellStyle name="Comma 3 2 2 4 4 2 2" xfId="23706" xr:uid="{00000000-0005-0000-0000-0000CF5A0000}"/>
    <cellStyle name="Comma 3 2 2 4 4 2 3" xfId="23707" xr:uid="{00000000-0005-0000-0000-0000D05A0000}"/>
    <cellStyle name="Comma 3 2 2 4 4 3" xfId="23708" xr:uid="{00000000-0005-0000-0000-0000D15A0000}"/>
    <cellStyle name="Comma 3 2 2 4 4 4" xfId="23709" xr:uid="{00000000-0005-0000-0000-0000D25A0000}"/>
    <cellStyle name="Comma 3 2 2 4 4 5" xfId="23710" xr:uid="{00000000-0005-0000-0000-0000D35A0000}"/>
    <cellStyle name="Comma 3 2 2 4 4 6" xfId="23711" xr:uid="{00000000-0005-0000-0000-0000D45A0000}"/>
    <cellStyle name="Comma 3 2 2 4 5" xfId="23712" xr:uid="{00000000-0005-0000-0000-0000D55A0000}"/>
    <cellStyle name="Comma 3 2 2 4 5 2" xfId="23713" xr:uid="{00000000-0005-0000-0000-0000D65A0000}"/>
    <cellStyle name="Comma 3 2 2 4 5 3" xfId="23714" xr:uid="{00000000-0005-0000-0000-0000D75A0000}"/>
    <cellStyle name="Comma 3 2 2 4 6" xfId="23715" xr:uid="{00000000-0005-0000-0000-0000D85A0000}"/>
    <cellStyle name="Comma 3 2 2 4 7" xfId="23716" xr:uid="{00000000-0005-0000-0000-0000D95A0000}"/>
    <cellStyle name="Comma 3 2 2 4 8" xfId="23717" xr:uid="{00000000-0005-0000-0000-0000DA5A0000}"/>
    <cellStyle name="Comma 3 2 2 4 9" xfId="23718" xr:uid="{00000000-0005-0000-0000-0000DB5A0000}"/>
    <cellStyle name="Comma 3 2 2 5" xfId="23719" xr:uid="{00000000-0005-0000-0000-0000DC5A0000}"/>
    <cellStyle name="Comma 3 2 2 5 2" xfId="23720" xr:uid="{00000000-0005-0000-0000-0000DD5A0000}"/>
    <cellStyle name="Comma 3 2 2 5 2 2" xfId="23721" xr:uid="{00000000-0005-0000-0000-0000DE5A0000}"/>
    <cellStyle name="Comma 3 2 2 5 2 2 2" xfId="23722" xr:uid="{00000000-0005-0000-0000-0000DF5A0000}"/>
    <cellStyle name="Comma 3 2 2 5 2 2 3" xfId="23723" xr:uid="{00000000-0005-0000-0000-0000E05A0000}"/>
    <cellStyle name="Comma 3 2 2 5 2 3" xfId="23724" xr:uid="{00000000-0005-0000-0000-0000E15A0000}"/>
    <cellStyle name="Comma 3 2 2 5 2 4" xfId="23725" xr:uid="{00000000-0005-0000-0000-0000E25A0000}"/>
    <cellStyle name="Comma 3 2 2 5 2 5" xfId="23726" xr:uid="{00000000-0005-0000-0000-0000E35A0000}"/>
    <cellStyle name="Comma 3 2 2 5 2 6" xfId="23727" xr:uid="{00000000-0005-0000-0000-0000E45A0000}"/>
    <cellStyle name="Comma 3 2 2 5 3" xfId="23728" xr:uid="{00000000-0005-0000-0000-0000E55A0000}"/>
    <cellStyle name="Comma 3 2 2 5 3 2" xfId="23729" xr:uid="{00000000-0005-0000-0000-0000E65A0000}"/>
    <cellStyle name="Comma 3 2 2 5 3 3" xfId="23730" xr:uid="{00000000-0005-0000-0000-0000E75A0000}"/>
    <cellStyle name="Comma 3 2 2 5 4" xfId="23731" xr:uid="{00000000-0005-0000-0000-0000E85A0000}"/>
    <cellStyle name="Comma 3 2 2 5 5" xfId="23732" xr:uid="{00000000-0005-0000-0000-0000E95A0000}"/>
    <cellStyle name="Comma 3 2 2 5 6" xfId="23733" xr:uid="{00000000-0005-0000-0000-0000EA5A0000}"/>
    <cellStyle name="Comma 3 2 2 5 7" xfId="23734" xr:uid="{00000000-0005-0000-0000-0000EB5A0000}"/>
    <cellStyle name="Comma 3 2 2 6" xfId="23735" xr:uid="{00000000-0005-0000-0000-0000EC5A0000}"/>
    <cellStyle name="Comma 3 2 2 6 2" xfId="23736" xr:uid="{00000000-0005-0000-0000-0000ED5A0000}"/>
    <cellStyle name="Comma 3 2 2 6 2 2" xfId="23737" xr:uid="{00000000-0005-0000-0000-0000EE5A0000}"/>
    <cellStyle name="Comma 3 2 2 6 2 3" xfId="23738" xr:uid="{00000000-0005-0000-0000-0000EF5A0000}"/>
    <cellStyle name="Comma 3 2 2 6 3" xfId="23739" xr:uid="{00000000-0005-0000-0000-0000F05A0000}"/>
    <cellStyle name="Comma 3 2 2 6 4" xfId="23740" xr:uid="{00000000-0005-0000-0000-0000F15A0000}"/>
    <cellStyle name="Comma 3 2 2 6 5" xfId="23741" xr:uid="{00000000-0005-0000-0000-0000F25A0000}"/>
    <cellStyle name="Comma 3 2 2 6 6" xfId="23742" xr:uid="{00000000-0005-0000-0000-0000F35A0000}"/>
    <cellStyle name="Comma 3 2 2 7" xfId="23743" xr:uid="{00000000-0005-0000-0000-0000F45A0000}"/>
    <cellStyle name="Comma 3 2 2 7 2" xfId="23744" xr:uid="{00000000-0005-0000-0000-0000F55A0000}"/>
    <cellStyle name="Comma 3 2 2 7 2 2" xfId="23745" xr:uid="{00000000-0005-0000-0000-0000F65A0000}"/>
    <cellStyle name="Comma 3 2 2 7 2 3" xfId="23746" xr:uid="{00000000-0005-0000-0000-0000F75A0000}"/>
    <cellStyle name="Comma 3 2 2 7 3" xfId="23747" xr:uid="{00000000-0005-0000-0000-0000F85A0000}"/>
    <cellStyle name="Comma 3 2 2 7 4" xfId="23748" xr:uid="{00000000-0005-0000-0000-0000F95A0000}"/>
    <cellStyle name="Comma 3 2 2 7 5" xfId="23749" xr:uid="{00000000-0005-0000-0000-0000FA5A0000}"/>
    <cellStyle name="Comma 3 2 2 7 6" xfId="23750" xr:uid="{00000000-0005-0000-0000-0000FB5A0000}"/>
    <cellStyle name="Comma 3 2 2 8" xfId="23751" xr:uid="{00000000-0005-0000-0000-0000FC5A0000}"/>
    <cellStyle name="Comma 3 2 2 8 2" xfId="23752" xr:uid="{00000000-0005-0000-0000-0000FD5A0000}"/>
    <cellStyle name="Comma 3 2 2 8 2 2" xfId="23753" xr:uid="{00000000-0005-0000-0000-0000FE5A0000}"/>
    <cellStyle name="Comma 3 2 2 8 2 3" xfId="23754" xr:uid="{00000000-0005-0000-0000-0000FF5A0000}"/>
    <cellStyle name="Comma 3 2 2 8 3" xfId="23755" xr:uid="{00000000-0005-0000-0000-0000005B0000}"/>
    <cellStyle name="Comma 3 2 2 8 4" xfId="23756" xr:uid="{00000000-0005-0000-0000-0000015B0000}"/>
    <cellStyle name="Comma 3 2 2 8 5" xfId="23757" xr:uid="{00000000-0005-0000-0000-0000025B0000}"/>
    <cellStyle name="Comma 3 2 2 8 6" xfId="23758" xr:uid="{00000000-0005-0000-0000-0000035B0000}"/>
    <cellStyle name="Comma 3 2 2 9" xfId="23759" xr:uid="{00000000-0005-0000-0000-0000045B0000}"/>
    <cellStyle name="Comma 3 2 2 9 2" xfId="23760" xr:uid="{00000000-0005-0000-0000-0000055B0000}"/>
    <cellStyle name="Comma 3 2 2 9 2 2" xfId="23761" xr:uid="{00000000-0005-0000-0000-0000065B0000}"/>
    <cellStyle name="Comma 3 2 2 9 2 3" xfId="23762" xr:uid="{00000000-0005-0000-0000-0000075B0000}"/>
    <cellStyle name="Comma 3 2 2 9 3" xfId="23763" xr:uid="{00000000-0005-0000-0000-0000085B0000}"/>
    <cellStyle name="Comma 3 2 2 9 4" xfId="23764" xr:uid="{00000000-0005-0000-0000-0000095B0000}"/>
    <cellStyle name="Comma 3 2 2 9 5" xfId="23765" xr:uid="{00000000-0005-0000-0000-00000A5B0000}"/>
    <cellStyle name="Comma 3 2 2 9 6" xfId="23766" xr:uid="{00000000-0005-0000-0000-00000B5B0000}"/>
    <cellStyle name="Comma 3 2 3" xfId="348" xr:uid="{00000000-0005-0000-0000-00000C5B0000}"/>
    <cellStyle name="Comma 3 2 3 10" xfId="23767" xr:uid="{00000000-0005-0000-0000-00000D5B0000}"/>
    <cellStyle name="Comma 3 2 3 10 2" xfId="23768" xr:uid="{00000000-0005-0000-0000-00000E5B0000}"/>
    <cellStyle name="Comma 3 2 3 10 3" xfId="23769" xr:uid="{00000000-0005-0000-0000-00000F5B0000}"/>
    <cellStyle name="Comma 3 2 3 11" xfId="23770" xr:uid="{00000000-0005-0000-0000-0000105B0000}"/>
    <cellStyle name="Comma 3 2 3 12" xfId="23771" xr:uid="{00000000-0005-0000-0000-0000115B0000}"/>
    <cellStyle name="Comma 3 2 3 13" xfId="23772" xr:uid="{00000000-0005-0000-0000-0000125B0000}"/>
    <cellStyle name="Comma 3 2 3 14" xfId="23773" xr:uid="{00000000-0005-0000-0000-0000135B0000}"/>
    <cellStyle name="Comma 3 2 3 2" xfId="23774" xr:uid="{00000000-0005-0000-0000-0000145B0000}"/>
    <cellStyle name="Comma 3 2 3 2 10" xfId="23775" xr:uid="{00000000-0005-0000-0000-0000155B0000}"/>
    <cellStyle name="Comma 3 2 3 2 11" xfId="23776" xr:uid="{00000000-0005-0000-0000-0000165B0000}"/>
    <cellStyle name="Comma 3 2 3 2 12" xfId="23777" xr:uid="{00000000-0005-0000-0000-0000175B0000}"/>
    <cellStyle name="Comma 3 2 3 2 13" xfId="23778" xr:uid="{00000000-0005-0000-0000-0000185B0000}"/>
    <cellStyle name="Comma 3 2 3 2 2" xfId="23779" xr:uid="{00000000-0005-0000-0000-0000195B0000}"/>
    <cellStyle name="Comma 3 2 3 2 2 10" xfId="23780" xr:uid="{00000000-0005-0000-0000-00001A5B0000}"/>
    <cellStyle name="Comma 3 2 3 2 2 2" xfId="23781" xr:uid="{00000000-0005-0000-0000-00001B5B0000}"/>
    <cellStyle name="Comma 3 2 3 2 2 2 2" xfId="23782" xr:uid="{00000000-0005-0000-0000-00001C5B0000}"/>
    <cellStyle name="Comma 3 2 3 2 2 2 2 2" xfId="23783" xr:uid="{00000000-0005-0000-0000-00001D5B0000}"/>
    <cellStyle name="Comma 3 2 3 2 2 2 2 2 2" xfId="23784" xr:uid="{00000000-0005-0000-0000-00001E5B0000}"/>
    <cellStyle name="Comma 3 2 3 2 2 2 2 2 3" xfId="23785" xr:uid="{00000000-0005-0000-0000-00001F5B0000}"/>
    <cellStyle name="Comma 3 2 3 2 2 2 2 3" xfId="23786" xr:uid="{00000000-0005-0000-0000-0000205B0000}"/>
    <cellStyle name="Comma 3 2 3 2 2 2 2 4" xfId="23787" xr:uid="{00000000-0005-0000-0000-0000215B0000}"/>
    <cellStyle name="Comma 3 2 3 2 2 2 2 5" xfId="23788" xr:uid="{00000000-0005-0000-0000-0000225B0000}"/>
    <cellStyle name="Comma 3 2 3 2 2 2 2 6" xfId="23789" xr:uid="{00000000-0005-0000-0000-0000235B0000}"/>
    <cellStyle name="Comma 3 2 3 2 2 2 3" xfId="23790" xr:uid="{00000000-0005-0000-0000-0000245B0000}"/>
    <cellStyle name="Comma 3 2 3 2 2 2 3 2" xfId="23791" xr:uid="{00000000-0005-0000-0000-0000255B0000}"/>
    <cellStyle name="Comma 3 2 3 2 2 2 3 2 2" xfId="23792" xr:uid="{00000000-0005-0000-0000-0000265B0000}"/>
    <cellStyle name="Comma 3 2 3 2 2 2 3 2 3" xfId="23793" xr:uid="{00000000-0005-0000-0000-0000275B0000}"/>
    <cellStyle name="Comma 3 2 3 2 2 2 3 3" xfId="23794" xr:uid="{00000000-0005-0000-0000-0000285B0000}"/>
    <cellStyle name="Comma 3 2 3 2 2 2 3 4" xfId="23795" xr:uid="{00000000-0005-0000-0000-0000295B0000}"/>
    <cellStyle name="Comma 3 2 3 2 2 2 3 5" xfId="23796" xr:uid="{00000000-0005-0000-0000-00002A5B0000}"/>
    <cellStyle name="Comma 3 2 3 2 2 2 3 6" xfId="23797" xr:uid="{00000000-0005-0000-0000-00002B5B0000}"/>
    <cellStyle name="Comma 3 2 3 2 2 2 4" xfId="23798" xr:uid="{00000000-0005-0000-0000-00002C5B0000}"/>
    <cellStyle name="Comma 3 2 3 2 2 2 4 2" xfId="23799" xr:uid="{00000000-0005-0000-0000-00002D5B0000}"/>
    <cellStyle name="Comma 3 2 3 2 2 2 4 3" xfId="23800" xr:uid="{00000000-0005-0000-0000-00002E5B0000}"/>
    <cellStyle name="Comma 3 2 3 2 2 2 5" xfId="23801" xr:uid="{00000000-0005-0000-0000-00002F5B0000}"/>
    <cellStyle name="Comma 3 2 3 2 2 2 6" xfId="23802" xr:uid="{00000000-0005-0000-0000-0000305B0000}"/>
    <cellStyle name="Comma 3 2 3 2 2 2 7" xfId="23803" xr:uid="{00000000-0005-0000-0000-0000315B0000}"/>
    <cellStyle name="Comma 3 2 3 2 2 2 8" xfId="23804" xr:uid="{00000000-0005-0000-0000-0000325B0000}"/>
    <cellStyle name="Comma 3 2 3 2 2 3" xfId="23805" xr:uid="{00000000-0005-0000-0000-0000335B0000}"/>
    <cellStyle name="Comma 3 2 3 2 2 3 2" xfId="23806" xr:uid="{00000000-0005-0000-0000-0000345B0000}"/>
    <cellStyle name="Comma 3 2 3 2 2 3 2 2" xfId="23807" xr:uid="{00000000-0005-0000-0000-0000355B0000}"/>
    <cellStyle name="Comma 3 2 3 2 2 3 2 2 2" xfId="23808" xr:uid="{00000000-0005-0000-0000-0000365B0000}"/>
    <cellStyle name="Comma 3 2 3 2 2 3 2 2 3" xfId="23809" xr:uid="{00000000-0005-0000-0000-0000375B0000}"/>
    <cellStyle name="Comma 3 2 3 2 2 3 2 3" xfId="23810" xr:uid="{00000000-0005-0000-0000-0000385B0000}"/>
    <cellStyle name="Comma 3 2 3 2 2 3 2 4" xfId="23811" xr:uid="{00000000-0005-0000-0000-0000395B0000}"/>
    <cellStyle name="Comma 3 2 3 2 2 3 2 5" xfId="23812" xr:uid="{00000000-0005-0000-0000-00003A5B0000}"/>
    <cellStyle name="Comma 3 2 3 2 2 3 2 6" xfId="23813" xr:uid="{00000000-0005-0000-0000-00003B5B0000}"/>
    <cellStyle name="Comma 3 2 3 2 2 3 3" xfId="23814" xr:uid="{00000000-0005-0000-0000-00003C5B0000}"/>
    <cellStyle name="Comma 3 2 3 2 2 3 3 2" xfId="23815" xr:uid="{00000000-0005-0000-0000-00003D5B0000}"/>
    <cellStyle name="Comma 3 2 3 2 2 3 3 3" xfId="23816" xr:uid="{00000000-0005-0000-0000-00003E5B0000}"/>
    <cellStyle name="Comma 3 2 3 2 2 3 4" xfId="23817" xr:uid="{00000000-0005-0000-0000-00003F5B0000}"/>
    <cellStyle name="Comma 3 2 3 2 2 3 5" xfId="23818" xr:uid="{00000000-0005-0000-0000-0000405B0000}"/>
    <cellStyle name="Comma 3 2 3 2 2 3 6" xfId="23819" xr:uid="{00000000-0005-0000-0000-0000415B0000}"/>
    <cellStyle name="Comma 3 2 3 2 2 3 7" xfId="23820" xr:uid="{00000000-0005-0000-0000-0000425B0000}"/>
    <cellStyle name="Comma 3 2 3 2 2 4" xfId="23821" xr:uid="{00000000-0005-0000-0000-0000435B0000}"/>
    <cellStyle name="Comma 3 2 3 2 2 4 2" xfId="23822" xr:uid="{00000000-0005-0000-0000-0000445B0000}"/>
    <cellStyle name="Comma 3 2 3 2 2 4 2 2" xfId="23823" xr:uid="{00000000-0005-0000-0000-0000455B0000}"/>
    <cellStyle name="Comma 3 2 3 2 2 4 2 3" xfId="23824" xr:uid="{00000000-0005-0000-0000-0000465B0000}"/>
    <cellStyle name="Comma 3 2 3 2 2 4 3" xfId="23825" xr:uid="{00000000-0005-0000-0000-0000475B0000}"/>
    <cellStyle name="Comma 3 2 3 2 2 4 4" xfId="23826" xr:uid="{00000000-0005-0000-0000-0000485B0000}"/>
    <cellStyle name="Comma 3 2 3 2 2 4 5" xfId="23827" xr:uid="{00000000-0005-0000-0000-0000495B0000}"/>
    <cellStyle name="Comma 3 2 3 2 2 4 6" xfId="23828" xr:uid="{00000000-0005-0000-0000-00004A5B0000}"/>
    <cellStyle name="Comma 3 2 3 2 2 5" xfId="23829" xr:uid="{00000000-0005-0000-0000-00004B5B0000}"/>
    <cellStyle name="Comma 3 2 3 2 2 5 2" xfId="23830" xr:uid="{00000000-0005-0000-0000-00004C5B0000}"/>
    <cellStyle name="Comma 3 2 3 2 2 5 2 2" xfId="23831" xr:uid="{00000000-0005-0000-0000-00004D5B0000}"/>
    <cellStyle name="Comma 3 2 3 2 2 5 2 3" xfId="23832" xr:uid="{00000000-0005-0000-0000-00004E5B0000}"/>
    <cellStyle name="Comma 3 2 3 2 2 5 3" xfId="23833" xr:uid="{00000000-0005-0000-0000-00004F5B0000}"/>
    <cellStyle name="Comma 3 2 3 2 2 5 4" xfId="23834" xr:uid="{00000000-0005-0000-0000-0000505B0000}"/>
    <cellStyle name="Comma 3 2 3 2 2 5 5" xfId="23835" xr:uid="{00000000-0005-0000-0000-0000515B0000}"/>
    <cellStyle name="Comma 3 2 3 2 2 5 6" xfId="23836" xr:uid="{00000000-0005-0000-0000-0000525B0000}"/>
    <cellStyle name="Comma 3 2 3 2 2 6" xfId="23837" xr:uid="{00000000-0005-0000-0000-0000535B0000}"/>
    <cellStyle name="Comma 3 2 3 2 2 6 2" xfId="23838" xr:uid="{00000000-0005-0000-0000-0000545B0000}"/>
    <cellStyle name="Comma 3 2 3 2 2 6 3" xfId="23839" xr:uid="{00000000-0005-0000-0000-0000555B0000}"/>
    <cellStyle name="Comma 3 2 3 2 2 7" xfId="23840" xr:uid="{00000000-0005-0000-0000-0000565B0000}"/>
    <cellStyle name="Comma 3 2 3 2 2 8" xfId="23841" xr:uid="{00000000-0005-0000-0000-0000575B0000}"/>
    <cellStyle name="Comma 3 2 3 2 2 9" xfId="23842" xr:uid="{00000000-0005-0000-0000-0000585B0000}"/>
    <cellStyle name="Comma 3 2 3 2 3" xfId="23843" xr:uid="{00000000-0005-0000-0000-0000595B0000}"/>
    <cellStyle name="Comma 3 2 3 2 3 2" xfId="23844" xr:uid="{00000000-0005-0000-0000-00005A5B0000}"/>
    <cellStyle name="Comma 3 2 3 2 3 2 2" xfId="23845" xr:uid="{00000000-0005-0000-0000-00005B5B0000}"/>
    <cellStyle name="Comma 3 2 3 2 3 2 2 2" xfId="23846" xr:uid="{00000000-0005-0000-0000-00005C5B0000}"/>
    <cellStyle name="Comma 3 2 3 2 3 2 2 2 2" xfId="23847" xr:uid="{00000000-0005-0000-0000-00005D5B0000}"/>
    <cellStyle name="Comma 3 2 3 2 3 2 2 2 3" xfId="23848" xr:uid="{00000000-0005-0000-0000-00005E5B0000}"/>
    <cellStyle name="Comma 3 2 3 2 3 2 2 3" xfId="23849" xr:uid="{00000000-0005-0000-0000-00005F5B0000}"/>
    <cellStyle name="Comma 3 2 3 2 3 2 2 4" xfId="23850" xr:uid="{00000000-0005-0000-0000-0000605B0000}"/>
    <cellStyle name="Comma 3 2 3 2 3 2 2 5" xfId="23851" xr:uid="{00000000-0005-0000-0000-0000615B0000}"/>
    <cellStyle name="Comma 3 2 3 2 3 2 2 6" xfId="23852" xr:uid="{00000000-0005-0000-0000-0000625B0000}"/>
    <cellStyle name="Comma 3 2 3 2 3 2 3" xfId="23853" xr:uid="{00000000-0005-0000-0000-0000635B0000}"/>
    <cellStyle name="Comma 3 2 3 2 3 2 3 2" xfId="23854" xr:uid="{00000000-0005-0000-0000-0000645B0000}"/>
    <cellStyle name="Comma 3 2 3 2 3 2 3 3" xfId="23855" xr:uid="{00000000-0005-0000-0000-0000655B0000}"/>
    <cellStyle name="Comma 3 2 3 2 3 2 4" xfId="23856" xr:uid="{00000000-0005-0000-0000-0000665B0000}"/>
    <cellStyle name="Comma 3 2 3 2 3 2 5" xfId="23857" xr:uid="{00000000-0005-0000-0000-0000675B0000}"/>
    <cellStyle name="Comma 3 2 3 2 3 2 6" xfId="23858" xr:uid="{00000000-0005-0000-0000-0000685B0000}"/>
    <cellStyle name="Comma 3 2 3 2 3 2 7" xfId="23859" xr:uid="{00000000-0005-0000-0000-0000695B0000}"/>
    <cellStyle name="Comma 3 2 3 2 3 3" xfId="23860" xr:uid="{00000000-0005-0000-0000-00006A5B0000}"/>
    <cellStyle name="Comma 3 2 3 2 3 3 2" xfId="23861" xr:uid="{00000000-0005-0000-0000-00006B5B0000}"/>
    <cellStyle name="Comma 3 2 3 2 3 3 2 2" xfId="23862" xr:uid="{00000000-0005-0000-0000-00006C5B0000}"/>
    <cellStyle name="Comma 3 2 3 2 3 3 2 3" xfId="23863" xr:uid="{00000000-0005-0000-0000-00006D5B0000}"/>
    <cellStyle name="Comma 3 2 3 2 3 3 3" xfId="23864" xr:uid="{00000000-0005-0000-0000-00006E5B0000}"/>
    <cellStyle name="Comma 3 2 3 2 3 3 4" xfId="23865" xr:uid="{00000000-0005-0000-0000-00006F5B0000}"/>
    <cellStyle name="Comma 3 2 3 2 3 3 5" xfId="23866" xr:uid="{00000000-0005-0000-0000-0000705B0000}"/>
    <cellStyle name="Comma 3 2 3 2 3 3 6" xfId="23867" xr:uid="{00000000-0005-0000-0000-0000715B0000}"/>
    <cellStyle name="Comma 3 2 3 2 3 4" xfId="23868" xr:uid="{00000000-0005-0000-0000-0000725B0000}"/>
    <cellStyle name="Comma 3 2 3 2 3 4 2" xfId="23869" xr:uid="{00000000-0005-0000-0000-0000735B0000}"/>
    <cellStyle name="Comma 3 2 3 2 3 4 2 2" xfId="23870" xr:uid="{00000000-0005-0000-0000-0000745B0000}"/>
    <cellStyle name="Comma 3 2 3 2 3 4 2 3" xfId="23871" xr:uid="{00000000-0005-0000-0000-0000755B0000}"/>
    <cellStyle name="Comma 3 2 3 2 3 4 3" xfId="23872" xr:uid="{00000000-0005-0000-0000-0000765B0000}"/>
    <cellStyle name="Comma 3 2 3 2 3 4 4" xfId="23873" xr:uid="{00000000-0005-0000-0000-0000775B0000}"/>
    <cellStyle name="Comma 3 2 3 2 3 4 5" xfId="23874" xr:uid="{00000000-0005-0000-0000-0000785B0000}"/>
    <cellStyle name="Comma 3 2 3 2 3 4 6" xfId="23875" xr:uid="{00000000-0005-0000-0000-0000795B0000}"/>
    <cellStyle name="Comma 3 2 3 2 3 5" xfId="23876" xr:uid="{00000000-0005-0000-0000-00007A5B0000}"/>
    <cellStyle name="Comma 3 2 3 2 3 5 2" xfId="23877" xr:uid="{00000000-0005-0000-0000-00007B5B0000}"/>
    <cellStyle name="Comma 3 2 3 2 3 5 3" xfId="23878" xr:uid="{00000000-0005-0000-0000-00007C5B0000}"/>
    <cellStyle name="Comma 3 2 3 2 3 6" xfId="23879" xr:uid="{00000000-0005-0000-0000-00007D5B0000}"/>
    <cellStyle name="Comma 3 2 3 2 3 7" xfId="23880" xr:uid="{00000000-0005-0000-0000-00007E5B0000}"/>
    <cellStyle name="Comma 3 2 3 2 3 8" xfId="23881" xr:uid="{00000000-0005-0000-0000-00007F5B0000}"/>
    <cellStyle name="Comma 3 2 3 2 3 9" xfId="23882" xr:uid="{00000000-0005-0000-0000-0000805B0000}"/>
    <cellStyle name="Comma 3 2 3 2 4" xfId="23883" xr:uid="{00000000-0005-0000-0000-0000815B0000}"/>
    <cellStyle name="Comma 3 2 3 2 4 2" xfId="23884" xr:uid="{00000000-0005-0000-0000-0000825B0000}"/>
    <cellStyle name="Comma 3 2 3 2 4 2 2" xfId="23885" xr:uid="{00000000-0005-0000-0000-0000835B0000}"/>
    <cellStyle name="Comma 3 2 3 2 4 2 2 2" xfId="23886" xr:uid="{00000000-0005-0000-0000-0000845B0000}"/>
    <cellStyle name="Comma 3 2 3 2 4 2 2 3" xfId="23887" xr:uid="{00000000-0005-0000-0000-0000855B0000}"/>
    <cellStyle name="Comma 3 2 3 2 4 2 3" xfId="23888" xr:uid="{00000000-0005-0000-0000-0000865B0000}"/>
    <cellStyle name="Comma 3 2 3 2 4 2 4" xfId="23889" xr:uid="{00000000-0005-0000-0000-0000875B0000}"/>
    <cellStyle name="Comma 3 2 3 2 4 2 5" xfId="23890" xr:uid="{00000000-0005-0000-0000-0000885B0000}"/>
    <cellStyle name="Comma 3 2 3 2 4 2 6" xfId="23891" xr:uid="{00000000-0005-0000-0000-0000895B0000}"/>
    <cellStyle name="Comma 3 2 3 2 4 3" xfId="23892" xr:uid="{00000000-0005-0000-0000-00008A5B0000}"/>
    <cellStyle name="Comma 3 2 3 2 4 3 2" xfId="23893" xr:uid="{00000000-0005-0000-0000-00008B5B0000}"/>
    <cellStyle name="Comma 3 2 3 2 4 3 3" xfId="23894" xr:uid="{00000000-0005-0000-0000-00008C5B0000}"/>
    <cellStyle name="Comma 3 2 3 2 4 4" xfId="23895" xr:uid="{00000000-0005-0000-0000-00008D5B0000}"/>
    <cellStyle name="Comma 3 2 3 2 4 5" xfId="23896" xr:uid="{00000000-0005-0000-0000-00008E5B0000}"/>
    <cellStyle name="Comma 3 2 3 2 4 6" xfId="23897" xr:uid="{00000000-0005-0000-0000-00008F5B0000}"/>
    <cellStyle name="Comma 3 2 3 2 4 7" xfId="23898" xr:uid="{00000000-0005-0000-0000-0000905B0000}"/>
    <cellStyle name="Comma 3 2 3 2 5" xfId="23899" xr:uid="{00000000-0005-0000-0000-0000915B0000}"/>
    <cellStyle name="Comma 3 2 3 2 5 2" xfId="23900" xr:uid="{00000000-0005-0000-0000-0000925B0000}"/>
    <cellStyle name="Comma 3 2 3 2 5 2 2" xfId="23901" xr:uid="{00000000-0005-0000-0000-0000935B0000}"/>
    <cellStyle name="Comma 3 2 3 2 5 2 3" xfId="23902" xr:uid="{00000000-0005-0000-0000-0000945B0000}"/>
    <cellStyle name="Comma 3 2 3 2 5 3" xfId="23903" xr:uid="{00000000-0005-0000-0000-0000955B0000}"/>
    <cellStyle name="Comma 3 2 3 2 5 4" xfId="23904" xr:uid="{00000000-0005-0000-0000-0000965B0000}"/>
    <cellStyle name="Comma 3 2 3 2 5 5" xfId="23905" xr:uid="{00000000-0005-0000-0000-0000975B0000}"/>
    <cellStyle name="Comma 3 2 3 2 5 6" xfId="23906" xr:uid="{00000000-0005-0000-0000-0000985B0000}"/>
    <cellStyle name="Comma 3 2 3 2 6" xfId="23907" xr:uid="{00000000-0005-0000-0000-0000995B0000}"/>
    <cellStyle name="Comma 3 2 3 2 6 2" xfId="23908" xr:uid="{00000000-0005-0000-0000-00009A5B0000}"/>
    <cellStyle name="Comma 3 2 3 2 6 2 2" xfId="23909" xr:uid="{00000000-0005-0000-0000-00009B5B0000}"/>
    <cellStyle name="Comma 3 2 3 2 6 2 3" xfId="23910" xr:uid="{00000000-0005-0000-0000-00009C5B0000}"/>
    <cellStyle name="Comma 3 2 3 2 6 3" xfId="23911" xr:uid="{00000000-0005-0000-0000-00009D5B0000}"/>
    <cellStyle name="Comma 3 2 3 2 6 4" xfId="23912" xr:uid="{00000000-0005-0000-0000-00009E5B0000}"/>
    <cellStyle name="Comma 3 2 3 2 6 5" xfId="23913" xr:uid="{00000000-0005-0000-0000-00009F5B0000}"/>
    <cellStyle name="Comma 3 2 3 2 6 6" xfId="23914" xr:uid="{00000000-0005-0000-0000-0000A05B0000}"/>
    <cellStyle name="Comma 3 2 3 2 7" xfId="23915" xr:uid="{00000000-0005-0000-0000-0000A15B0000}"/>
    <cellStyle name="Comma 3 2 3 2 7 2" xfId="23916" xr:uid="{00000000-0005-0000-0000-0000A25B0000}"/>
    <cellStyle name="Comma 3 2 3 2 7 2 2" xfId="23917" xr:uid="{00000000-0005-0000-0000-0000A35B0000}"/>
    <cellStyle name="Comma 3 2 3 2 7 2 3" xfId="23918" xr:uid="{00000000-0005-0000-0000-0000A45B0000}"/>
    <cellStyle name="Comma 3 2 3 2 7 3" xfId="23919" xr:uid="{00000000-0005-0000-0000-0000A55B0000}"/>
    <cellStyle name="Comma 3 2 3 2 7 4" xfId="23920" xr:uid="{00000000-0005-0000-0000-0000A65B0000}"/>
    <cellStyle name="Comma 3 2 3 2 7 5" xfId="23921" xr:uid="{00000000-0005-0000-0000-0000A75B0000}"/>
    <cellStyle name="Comma 3 2 3 2 7 6" xfId="23922" xr:uid="{00000000-0005-0000-0000-0000A85B0000}"/>
    <cellStyle name="Comma 3 2 3 2 8" xfId="23923" xr:uid="{00000000-0005-0000-0000-0000A95B0000}"/>
    <cellStyle name="Comma 3 2 3 2 8 2" xfId="23924" xr:uid="{00000000-0005-0000-0000-0000AA5B0000}"/>
    <cellStyle name="Comma 3 2 3 2 8 2 2" xfId="23925" xr:uid="{00000000-0005-0000-0000-0000AB5B0000}"/>
    <cellStyle name="Comma 3 2 3 2 8 2 3" xfId="23926" xr:uid="{00000000-0005-0000-0000-0000AC5B0000}"/>
    <cellStyle name="Comma 3 2 3 2 8 3" xfId="23927" xr:uid="{00000000-0005-0000-0000-0000AD5B0000}"/>
    <cellStyle name="Comma 3 2 3 2 8 4" xfId="23928" xr:uid="{00000000-0005-0000-0000-0000AE5B0000}"/>
    <cellStyle name="Comma 3 2 3 2 8 5" xfId="23929" xr:uid="{00000000-0005-0000-0000-0000AF5B0000}"/>
    <cellStyle name="Comma 3 2 3 2 8 6" xfId="23930" xr:uid="{00000000-0005-0000-0000-0000B05B0000}"/>
    <cellStyle name="Comma 3 2 3 2 9" xfId="23931" xr:uid="{00000000-0005-0000-0000-0000B15B0000}"/>
    <cellStyle name="Comma 3 2 3 2 9 2" xfId="23932" xr:uid="{00000000-0005-0000-0000-0000B25B0000}"/>
    <cellStyle name="Comma 3 2 3 2 9 3" xfId="23933" xr:uid="{00000000-0005-0000-0000-0000B35B0000}"/>
    <cellStyle name="Comma 3 2 3 3" xfId="23934" xr:uid="{00000000-0005-0000-0000-0000B45B0000}"/>
    <cellStyle name="Comma 3 2 3 3 10" xfId="23935" xr:uid="{00000000-0005-0000-0000-0000B55B0000}"/>
    <cellStyle name="Comma 3 2 3 3 2" xfId="23936" xr:uid="{00000000-0005-0000-0000-0000B65B0000}"/>
    <cellStyle name="Comma 3 2 3 3 2 2" xfId="23937" xr:uid="{00000000-0005-0000-0000-0000B75B0000}"/>
    <cellStyle name="Comma 3 2 3 3 2 2 2" xfId="23938" xr:uid="{00000000-0005-0000-0000-0000B85B0000}"/>
    <cellStyle name="Comma 3 2 3 3 2 2 2 2" xfId="23939" xr:uid="{00000000-0005-0000-0000-0000B95B0000}"/>
    <cellStyle name="Comma 3 2 3 3 2 2 2 3" xfId="23940" xr:uid="{00000000-0005-0000-0000-0000BA5B0000}"/>
    <cellStyle name="Comma 3 2 3 3 2 2 3" xfId="23941" xr:uid="{00000000-0005-0000-0000-0000BB5B0000}"/>
    <cellStyle name="Comma 3 2 3 3 2 2 4" xfId="23942" xr:uid="{00000000-0005-0000-0000-0000BC5B0000}"/>
    <cellStyle name="Comma 3 2 3 3 2 2 5" xfId="23943" xr:uid="{00000000-0005-0000-0000-0000BD5B0000}"/>
    <cellStyle name="Comma 3 2 3 3 2 2 6" xfId="23944" xr:uid="{00000000-0005-0000-0000-0000BE5B0000}"/>
    <cellStyle name="Comma 3 2 3 3 2 3" xfId="23945" xr:uid="{00000000-0005-0000-0000-0000BF5B0000}"/>
    <cellStyle name="Comma 3 2 3 3 2 3 2" xfId="23946" xr:uid="{00000000-0005-0000-0000-0000C05B0000}"/>
    <cellStyle name="Comma 3 2 3 3 2 3 2 2" xfId="23947" xr:uid="{00000000-0005-0000-0000-0000C15B0000}"/>
    <cellStyle name="Comma 3 2 3 3 2 3 2 3" xfId="23948" xr:uid="{00000000-0005-0000-0000-0000C25B0000}"/>
    <cellStyle name="Comma 3 2 3 3 2 3 3" xfId="23949" xr:uid="{00000000-0005-0000-0000-0000C35B0000}"/>
    <cellStyle name="Comma 3 2 3 3 2 3 4" xfId="23950" xr:uid="{00000000-0005-0000-0000-0000C45B0000}"/>
    <cellStyle name="Comma 3 2 3 3 2 3 5" xfId="23951" xr:uid="{00000000-0005-0000-0000-0000C55B0000}"/>
    <cellStyle name="Comma 3 2 3 3 2 3 6" xfId="23952" xr:uid="{00000000-0005-0000-0000-0000C65B0000}"/>
    <cellStyle name="Comma 3 2 3 3 2 4" xfId="23953" xr:uid="{00000000-0005-0000-0000-0000C75B0000}"/>
    <cellStyle name="Comma 3 2 3 3 2 4 2" xfId="23954" xr:uid="{00000000-0005-0000-0000-0000C85B0000}"/>
    <cellStyle name="Comma 3 2 3 3 2 4 3" xfId="23955" xr:uid="{00000000-0005-0000-0000-0000C95B0000}"/>
    <cellStyle name="Comma 3 2 3 3 2 5" xfId="23956" xr:uid="{00000000-0005-0000-0000-0000CA5B0000}"/>
    <cellStyle name="Comma 3 2 3 3 2 6" xfId="23957" xr:uid="{00000000-0005-0000-0000-0000CB5B0000}"/>
    <cellStyle name="Comma 3 2 3 3 2 7" xfId="23958" xr:uid="{00000000-0005-0000-0000-0000CC5B0000}"/>
    <cellStyle name="Comma 3 2 3 3 2 8" xfId="23959" xr:uid="{00000000-0005-0000-0000-0000CD5B0000}"/>
    <cellStyle name="Comma 3 2 3 3 3" xfId="23960" xr:uid="{00000000-0005-0000-0000-0000CE5B0000}"/>
    <cellStyle name="Comma 3 2 3 3 3 2" xfId="23961" xr:uid="{00000000-0005-0000-0000-0000CF5B0000}"/>
    <cellStyle name="Comma 3 2 3 3 3 2 2" xfId="23962" xr:uid="{00000000-0005-0000-0000-0000D05B0000}"/>
    <cellStyle name="Comma 3 2 3 3 3 2 2 2" xfId="23963" xr:uid="{00000000-0005-0000-0000-0000D15B0000}"/>
    <cellStyle name="Comma 3 2 3 3 3 2 2 3" xfId="23964" xr:uid="{00000000-0005-0000-0000-0000D25B0000}"/>
    <cellStyle name="Comma 3 2 3 3 3 2 3" xfId="23965" xr:uid="{00000000-0005-0000-0000-0000D35B0000}"/>
    <cellStyle name="Comma 3 2 3 3 3 2 4" xfId="23966" xr:uid="{00000000-0005-0000-0000-0000D45B0000}"/>
    <cellStyle name="Comma 3 2 3 3 3 2 5" xfId="23967" xr:uid="{00000000-0005-0000-0000-0000D55B0000}"/>
    <cellStyle name="Comma 3 2 3 3 3 2 6" xfId="23968" xr:uid="{00000000-0005-0000-0000-0000D65B0000}"/>
    <cellStyle name="Comma 3 2 3 3 3 3" xfId="23969" xr:uid="{00000000-0005-0000-0000-0000D75B0000}"/>
    <cellStyle name="Comma 3 2 3 3 3 3 2" xfId="23970" xr:uid="{00000000-0005-0000-0000-0000D85B0000}"/>
    <cellStyle name="Comma 3 2 3 3 3 3 3" xfId="23971" xr:uid="{00000000-0005-0000-0000-0000D95B0000}"/>
    <cellStyle name="Comma 3 2 3 3 3 4" xfId="23972" xr:uid="{00000000-0005-0000-0000-0000DA5B0000}"/>
    <cellStyle name="Comma 3 2 3 3 3 5" xfId="23973" xr:uid="{00000000-0005-0000-0000-0000DB5B0000}"/>
    <cellStyle name="Comma 3 2 3 3 3 6" xfId="23974" xr:uid="{00000000-0005-0000-0000-0000DC5B0000}"/>
    <cellStyle name="Comma 3 2 3 3 3 7" xfId="23975" xr:uid="{00000000-0005-0000-0000-0000DD5B0000}"/>
    <cellStyle name="Comma 3 2 3 3 4" xfId="23976" xr:uid="{00000000-0005-0000-0000-0000DE5B0000}"/>
    <cellStyle name="Comma 3 2 3 3 4 2" xfId="23977" xr:uid="{00000000-0005-0000-0000-0000DF5B0000}"/>
    <cellStyle name="Comma 3 2 3 3 4 2 2" xfId="23978" xr:uid="{00000000-0005-0000-0000-0000E05B0000}"/>
    <cellStyle name="Comma 3 2 3 3 4 2 3" xfId="23979" xr:uid="{00000000-0005-0000-0000-0000E15B0000}"/>
    <cellStyle name="Comma 3 2 3 3 4 3" xfId="23980" xr:uid="{00000000-0005-0000-0000-0000E25B0000}"/>
    <cellStyle name="Comma 3 2 3 3 4 4" xfId="23981" xr:uid="{00000000-0005-0000-0000-0000E35B0000}"/>
    <cellStyle name="Comma 3 2 3 3 4 5" xfId="23982" xr:uid="{00000000-0005-0000-0000-0000E45B0000}"/>
    <cellStyle name="Comma 3 2 3 3 4 6" xfId="23983" xr:uid="{00000000-0005-0000-0000-0000E55B0000}"/>
    <cellStyle name="Comma 3 2 3 3 5" xfId="23984" xr:uid="{00000000-0005-0000-0000-0000E65B0000}"/>
    <cellStyle name="Comma 3 2 3 3 5 2" xfId="23985" xr:uid="{00000000-0005-0000-0000-0000E75B0000}"/>
    <cellStyle name="Comma 3 2 3 3 5 2 2" xfId="23986" xr:uid="{00000000-0005-0000-0000-0000E85B0000}"/>
    <cellStyle name="Comma 3 2 3 3 5 2 3" xfId="23987" xr:uid="{00000000-0005-0000-0000-0000E95B0000}"/>
    <cellStyle name="Comma 3 2 3 3 5 3" xfId="23988" xr:uid="{00000000-0005-0000-0000-0000EA5B0000}"/>
    <cellStyle name="Comma 3 2 3 3 5 4" xfId="23989" xr:uid="{00000000-0005-0000-0000-0000EB5B0000}"/>
    <cellStyle name="Comma 3 2 3 3 5 5" xfId="23990" xr:uid="{00000000-0005-0000-0000-0000EC5B0000}"/>
    <cellStyle name="Comma 3 2 3 3 5 6" xfId="23991" xr:uid="{00000000-0005-0000-0000-0000ED5B0000}"/>
    <cellStyle name="Comma 3 2 3 3 6" xfId="23992" xr:uid="{00000000-0005-0000-0000-0000EE5B0000}"/>
    <cellStyle name="Comma 3 2 3 3 6 2" xfId="23993" xr:uid="{00000000-0005-0000-0000-0000EF5B0000}"/>
    <cellStyle name="Comma 3 2 3 3 6 3" xfId="23994" xr:uid="{00000000-0005-0000-0000-0000F05B0000}"/>
    <cellStyle name="Comma 3 2 3 3 7" xfId="23995" xr:uid="{00000000-0005-0000-0000-0000F15B0000}"/>
    <cellStyle name="Comma 3 2 3 3 8" xfId="23996" xr:uid="{00000000-0005-0000-0000-0000F25B0000}"/>
    <cellStyle name="Comma 3 2 3 3 9" xfId="23997" xr:uid="{00000000-0005-0000-0000-0000F35B0000}"/>
    <cellStyle name="Comma 3 2 3 4" xfId="23998" xr:uid="{00000000-0005-0000-0000-0000F45B0000}"/>
    <cellStyle name="Comma 3 2 3 4 2" xfId="23999" xr:uid="{00000000-0005-0000-0000-0000F55B0000}"/>
    <cellStyle name="Comma 3 2 3 4 2 2" xfId="24000" xr:uid="{00000000-0005-0000-0000-0000F65B0000}"/>
    <cellStyle name="Comma 3 2 3 4 2 2 2" xfId="24001" xr:uid="{00000000-0005-0000-0000-0000F75B0000}"/>
    <cellStyle name="Comma 3 2 3 4 2 2 2 2" xfId="24002" xr:uid="{00000000-0005-0000-0000-0000F85B0000}"/>
    <cellStyle name="Comma 3 2 3 4 2 2 2 3" xfId="24003" xr:uid="{00000000-0005-0000-0000-0000F95B0000}"/>
    <cellStyle name="Comma 3 2 3 4 2 2 3" xfId="24004" xr:uid="{00000000-0005-0000-0000-0000FA5B0000}"/>
    <cellStyle name="Comma 3 2 3 4 2 2 4" xfId="24005" xr:uid="{00000000-0005-0000-0000-0000FB5B0000}"/>
    <cellStyle name="Comma 3 2 3 4 2 2 5" xfId="24006" xr:uid="{00000000-0005-0000-0000-0000FC5B0000}"/>
    <cellStyle name="Comma 3 2 3 4 2 2 6" xfId="24007" xr:uid="{00000000-0005-0000-0000-0000FD5B0000}"/>
    <cellStyle name="Comma 3 2 3 4 2 3" xfId="24008" xr:uid="{00000000-0005-0000-0000-0000FE5B0000}"/>
    <cellStyle name="Comma 3 2 3 4 2 3 2" xfId="24009" xr:uid="{00000000-0005-0000-0000-0000FF5B0000}"/>
    <cellStyle name="Comma 3 2 3 4 2 3 3" xfId="24010" xr:uid="{00000000-0005-0000-0000-0000005C0000}"/>
    <cellStyle name="Comma 3 2 3 4 2 4" xfId="24011" xr:uid="{00000000-0005-0000-0000-0000015C0000}"/>
    <cellStyle name="Comma 3 2 3 4 2 5" xfId="24012" xr:uid="{00000000-0005-0000-0000-0000025C0000}"/>
    <cellStyle name="Comma 3 2 3 4 2 6" xfId="24013" xr:uid="{00000000-0005-0000-0000-0000035C0000}"/>
    <cellStyle name="Comma 3 2 3 4 2 7" xfId="24014" xr:uid="{00000000-0005-0000-0000-0000045C0000}"/>
    <cellStyle name="Comma 3 2 3 4 3" xfId="24015" xr:uid="{00000000-0005-0000-0000-0000055C0000}"/>
    <cellStyle name="Comma 3 2 3 4 3 2" xfId="24016" xr:uid="{00000000-0005-0000-0000-0000065C0000}"/>
    <cellStyle name="Comma 3 2 3 4 3 2 2" xfId="24017" xr:uid="{00000000-0005-0000-0000-0000075C0000}"/>
    <cellStyle name="Comma 3 2 3 4 3 2 3" xfId="24018" xr:uid="{00000000-0005-0000-0000-0000085C0000}"/>
    <cellStyle name="Comma 3 2 3 4 3 3" xfId="24019" xr:uid="{00000000-0005-0000-0000-0000095C0000}"/>
    <cellStyle name="Comma 3 2 3 4 3 4" xfId="24020" xr:uid="{00000000-0005-0000-0000-00000A5C0000}"/>
    <cellStyle name="Comma 3 2 3 4 3 5" xfId="24021" xr:uid="{00000000-0005-0000-0000-00000B5C0000}"/>
    <cellStyle name="Comma 3 2 3 4 3 6" xfId="24022" xr:uid="{00000000-0005-0000-0000-00000C5C0000}"/>
    <cellStyle name="Comma 3 2 3 4 4" xfId="24023" xr:uid="{00000000-0005-0000-0000-00000D5C0000}"/>
    <cellStyle name="Comma 3 2 3 4 4 2" xfId="24024" xr:uid="{00000000-0005-0000-0000-00000E5C0000}"/>
    <cellStyle name="Comma 3 2 3 4 4 2 2" xfId="24025" xr:uid="{00000000-0005-0000-0000-00000F5C0000}"/>
    <cellStyle name="Comma 3 2 3 4 4 2 3" xfId="24026" xr:uid="{00000000-0005-0000-0000-0000105C0000}"/>
    <cellStyle name="Comma 3 2 3 4 4 3" xfId="24027" xr:uid="{00000000-0005-0000-0000-0000115C0000}"/>
    <cellStyle name="Comma 3 2 3 4 4 4" xfId="24028" xr:uid="{00000000-0005-0000-0000-0000125C0000}"/>
    <cellStyle name="Comma 3 2 3 4 4 5" xfId="24029" xr:uid="{00000000-0005-0000-0000-0000135C0000}"/>
    <cellStyle name="Comma 3 2 3 4 4 6" xfId="24030" xr:uid="{00000000-0005-0000-0000-0000145C0000}"/>
    <cellStyle name="Comma 3 2 3 4 5" xfId="24031" xr:uid="{00000000-0005-0000-0000-0000155C0000}"/>
    <cellStyle name="Comma 3 2 3 4 5 2" xfId="24032" xr:uid="{00000000-0005-0000-0000-0000165C0000}"/>
    <cellStyle name="Comma 3 2 3 4 5 3" xfId="24033" xr:uid="{00000000-0005-0000-0000-0000175C0000}"/>
    <cellStyle name="Comma 3 2 3 4 6" xfId="24034" xr:uid="{00000000-0005-0000-0000-0000185C0000}"/>
    <cellStyle name="Comma 3 2 3 4 7" xfId="24035" xr:uid="{00000000-0005-0000-0000-0000195C0000}"/>
    <cellStyle name="Comma 3 2 3 4 8" xfId="24036" xr:uid="{00000000-0005-0000-0000-00001A5C0000}"/>
    <cellStyle name="Comma 3 2 3 4 9" xfId="24037" xr:uid="{00000000-0005-0000-0000-00001B5C0000}"/>
    <cellStyle name="Comma 3 2 3 5" xfId="24038" xr:uid="{00000000-0005-0000-0000-00001C5C0000}"/>
    <cellStyle name="Comma 3 2 3 5 2" xfId="24039" xr:uid="{00000000-0005-0000-0000-00001D5C0000}"/>
    <cellStyle name="Comma 3 2 3 5 2 2" xfId="24040" xr:uid="{00000000-0005-0000-0000-00001E5C0000}"/>
    <cellStyle name="Comma 3 2 3 5 2 2 2" xfId="24041" xr:uid="{00000000-0005-0000-0000-00001F5C0000}"/>
    <cellStyle name="Comma 3 2 3 5 2 2 3" xfId="24042" xr:uid="{00000000-0005-0000-0000-0000205C0000}"/>
    <cellStyle name="Comma 3 2 3 5 2 3" xfId="24043" xr:uid="{00000000-0005-0000-0000-0000215C0000}"/>
    <cellStyle name="Comma 3 2 3 5 2 4" xfId="24044" xr:uid="{00000000-0005-0000-0000-0000225C0000}"/>
    <cellStyle name="Comma 3 2 3 5 2 5" xfId="24045" xr:uid="{00000000-0005-0000-0000-0000235C0000}"/>
    <cellStyle name="Comma 3 2 3 5 2 6" xfId="24046" xr:uid="{00000000-0005-0000-0000-0000245C0000}"/>
    <cellStyle name="Comma 3 2 3 5 3" xfId="24047" xr:uid="{00000000-0005-0000-0000-0000255C0000}"/>
    <cellStyle name="Comma 3 2 3 5 3 2" xfId="24048" xr:uid="{00000000-0005-0000-0000-0000265C0000}"/>
    <cellStyle name="Comma 3 2 3 5 3 3" xfId="24049" xr:uid="{00000000-0005-0000-0000-0000275C0000}"/>
    <cellStyle name="Comma 3 2 3 5 4" xfId="24050" xr:uid="{00000000-0005-0000-0000-0000285C0000}"/>
    <cellStyle name="Comma 3 2 3 5 5" xfId="24051" xr:uid="{00000000-0005-0000-0000-0000295C0000}"/>
    <cellStyle name="Comma 3 2 3 5 6" xfId="24052" xr:uid="{00000000-0005-0000-0000-00002A5C0000}"/>
    <cellStyle name="Comma 3 2 3 5 7" xfId="24053" xr:uid="{00000000-0005-0000-0000-00002B5C0000}"/>
    <cellStyle name="Comma 3 2 3 6" xfId="24054" xr:uid="{00000000-0005-0000-0000-00002C5C0000}"/>
    <cellStyle name="Comma 3 2 3 6 2" xfId="24055" xr:uid="{00000000-0005-0000-0000-00002D5C0000}"/>
    <cellStyle name="Comma 3 2 3 6 2 2" xfId="24056" xr:uid="{00000000-0005-0000-0000-00002E5C0000}"/>
    <cellStyle name="Comma 3 2 3 6 2 3" xfId="24057" xr:uid="{00000000-0005-0000-0000-00002F5C0000}"/>
    <cellStyle name="Comma 3 2 3 6 3" xfId="24058" xr:uid="{00000000-0005-0000-0000-0000305C0000}"/>
    <cellStyle name="Comma 3 2 3 6 4" xfId="24059" xr:uid="{00000000-0005-0000-0000-0000315C0000}"/>
    <cellStyle name="Comma 3 2 3 6 5" xfId="24060" xr:uid="{00000000-0005-0000-0000-0000325C0000}"/>
    <cellStyle name="Comma 3 2 3 6 6" xfId="24061" xr:uid="{00000000-0005-0000-0000-0000335C0000}"/>
    <cellStyle name="Comma 3 2 3 7" xfId="24062" xr:uid="{00000000-0005-0000-0000-0000345C0000}"/>
    <cellStyle name="Comma 3 2 3 7 2" xfId="24063" xr:uid="{00000000-0005-0000-0000-0000355C0000}"/>
    <cellStyle name="Comma 3 2 3 7 2 2" xfId="24064" xr:uid="{00000000-0005-0000-0000-0000365C0000}"/>
    <cellStyle name="Comma 3 2 3 7 2 3" xfId="24065" xr:uid="{00000000-0005-0000-0000-0000375C0000}"/>
    <cellStyle name="Comma 3 2 3 7 3" xfId="24066" xr:uid="{00000000-0005-0000-0000-0000385C0000}"/>
    <cellStyle name="Comma 3 2 3 7 4" xfId="24067" xr:uid="{00000000-0005-0000-0000-0000395C0000}"/>
    <cellStyle name="Comma 3 2 3 7 5" xfId="24068" xr:uid="{00000000-0005-0000-0000-00003A5C0000}"/>
    <cellStyle name="Comma 3 2 3 7 6" xfId="24069" xr:uid="{00000000-0005-0000-0000-00003B5C0000}"/>
    <cellStyle name="Comma 3 2 3 8" xfId="24070" xr:uid="{00000000-0005-0000-0000-00003C5C0000}"/>
    <cellStyle name="Comma 3 2 3 8 2" xfId="24071" xr:uid="{00000000-0005-0000-0000-00003D5C0000}"/>
    <cellStyle name="Comma 3 2 3 8 2 2" xfId="24072" xr:uid="{00000000-0005-0000-0000-00003E5C0000}"/>
    <cellStyle name="Comma 3 2 3 8 2 3" xfId="24073" xr:uid="{00000000-0005-0000-0000-00003F5C0000}"/>
    <cellStyle name="Comma 3 2 3 8 3" xfId="24074" xr:uid="{00000000-0005-0000-0000-0000405C0000}"/>
    <cellStyle name="Comma 3 2 3 8 4" xfId="24075" xr:uid="{00000000-0005-0000-0000-0000415C0000}"/>
    <cellStyle name="Comma 3 2 3 8 5" xfId="24076" xr:uid="{00000000-0005-0000-0000-0000425C0000}"/>
    <cellStyle name="Comma 3 2 3 8 6" xfId="24077" xr:uid="{00000000-0005-0000-0000-0000435C0000}"/>
    <cellStyle name="Comma 3 2 3 9" xfId="24078" xr:uid="{00000000-0005-0000-0000-0000445C0000}"/>
    <cellStyle name="Comma 3 2 3 9 2" xfId="24079" xr:uid="{00000000-0005-0000-0000-0000455C0000}"/>
    <cellStyle name="Comma 3 2 3 9 2 2" xfId="24080" xr:uid="{00000000-0005-0000-0000-0000465C0000}"/>
    <cellStyle name="Comma 3 2 3 9 2 3" xfId="24081" xr:uid="{00000000-0005-0000-0000-0000475C0000}"/>
    <cellStyle name="Comma 3 2 3 9 3" xfId="24082" xr:uid="{00000000-0005-0000-0000-0000485C0000}"/>
    <cellStyle name="Comma 3 2 3 9 4" xfId="24083" xr:uid="{00000000-0005-0000-0000-0000495C0000}"/>
    <cellStyle name="Comma 3 2 3 9 5" xfId="24084" xr:uid="{00000000-0005-0000-0000-00004A5C0000}"/>
    <cellStyle name="Comma 3 2 3 9 6" xfId="24085" xr:uid="{00000000-0005-0000-0000-00004B5C0000}"/>
    <cellStyle name="Comma 3 2 4" xfId="349" xr:uid="{00000000-0005-0000-0000-00004C5C0000}"/>
    <cellStyle name="Comma 3 2 4 10" xfId="24086" xr:uid="{00000000-0005-0000-0000-00004D5C0000}"/>
    <cellStyle name="Comma 3 2 4 11" xfId="24087" xr:uid="{00000000-0005-0000-0000-00004E5C0000}"/>
    <cellStyle name="Comma 3 2 4 12" xfId="24088" xr:uid="{00000000-0005-0000-0000-00004F5C0000}"/>
    <cellStyle name="Comma 3 2 4 13" xfId="24089" xr:uid="{00000000-0005-0000-0000-0000505C0000}"/>
    <cellStyle name="Comma 3 2 4 2" xfId="24090" xr:uid="{00000000-0005-0000-0000-0000515C0000}"/>
    <cellStyle name="Comma 3 2 4 2 10" xfId="24091" xr:uid="{00000000-0005-0000-0000-0000525C0000}"/>
    <cellStyle name="Comma 3 2 4 2 2" xfId="24092" xr:uid="{00000000-0005-0000-0000-0000535C0000}"/>
    <cellStyle name="Comma 3 2 4 2 2 2" xfId="24093" xr:uid="{00000000-0005-0000-0000-0000545C0000}"/>
    <cellStyle name="Comma 3 2 4 2 2 2 2" xfId="24094" xr:uid="{00000000-0005-0000-0000-0000555C0000}"/>
    <cellStyle name="Comma 3 2 4 2 2 2 2 2" xfId="24095" xr:uid="{00000000-0005-0000-0000-0000565C0000}"/>
    <cellStyle name="Comma 3 2 4 2 2 2 2 3" xfId="24096" xr:uid="{00000000-0005-0000-0000-0000575C0000}"/>
    <cellStyle name="Comma 3 2 4 2 2 2 3" xfId="24097" xr:uid="{00000000-0005-0000-0000-0000585C0000}"/>
    <cellStyle name="Comma 3 2 4 2 2 2 4" xfId="24098" xr:uid="{00000000-0005-0000-0000-0000595C0000}"/>
    <cellStyle name="Comma 3 2 4 2 2 2 5" xfId="24099" xr:uid="{00000000-0005-0000-0000-00005A5C0000}"/>
    <cellStyle name="Comma 3 2 4 2 2 2 6" xfId="24100" xr:uid="{00000000-0005-0000-0000-00005B5C0000}"/>
    <cellStyle name="Comma 3 2 4 2 2 3" xfId="24101" xr:uid="{00000000-0005-0000-0000-00005C5C0000}"/>
    <cellStyle name="Comma 3 2 4 2 2 3 2" xfId="24102" xr:uid="{00000000-0005-0000-0000-00005D5C0000}"/>
    <cellStyle name="Comma 3 2 4 2 2 3 2 2" xfId="24103" xr:uid="{00000000-0005-0000-0000-00005E5C0000}"/>
    <cellStyle name="Comma 3 2 4 2 2 3 2 3" xfId="24104" xr:uid="{00000000-0005-0000-0000-00005F5C0000}"/>
    <cellStyle name="Comma 3 2 4 2 2 3 3" xfId="24105" xr:uid="{00000000-0005-0000-0000-0000605C0000}"/>
    <cellStyle name="Comma 3 2 4 2 2 3 4" xfId="24106" xr:uid="{00000000-0005-0000-0000-0000615C0000}"/>
    <cellStyle name="Comma 3 2 4 2 2 3 5" xfId="24107" xr:uid="{00000000-0005-0000-0000-0000625C0000}"/>
    <cellStyle name="Comma 3 2 4 2 2 3 6" xfId="24108" xr:uid="{00000000-0005-0000-0000-0000635C0000}"/>
    <cellStyle name="Comma 3 2 4 2 2 4" xfId="24109" xr:uid="{00000000-0005-0000-0000-0000645C0000}"/>
    <cellStyle name="Comma 3 2 4 2 2 4 2" xfId="24110" xr:uid="{00000000-0005-0000-0000-0000655C0000}"/>
    <cellStyle name="Comma 3 2 4 2 2 4 3" xfId="24111" xr:uid="{00000000-0005-0000-0000-0000665C0000}"/>
    <cellStyle name="Comma 3 2 4 2 2 5" xfId="24112" xr:uid="{00000000-0005-0000-0000-0000675C0000}"/>
    <cellStyle name="Comma 3 2 4 2 2 6" xfId="24113" xr:uid="{00000000-0005-0000-0000-0000685C0000}"/>
    <cellStyle name="Comma 3 2 4 2 2 7" xfId="24114" xr:uid="{00000000-0005-0000-0000-0000695C0000}"/>
    <cellStyle name="Comma 3 2 4 2 2 8" xfId="24115" xr:uid="{00000000-0005-0000-0000-00006A5C0000}"/>
    <cellStyle name="Comma 3 2 4 2 3" xfId="24116" xr:uid="{00000000-0005-0000-0000-00006B5C0000}"/>
    <cellStyle name="Comma 3 2 4 2 3 2" xfId="24117" xr:uid="{00000000-0005-0000-0000-00006C5C0000}"/>
    <cellStyle name="Comma 3 2 4 2 3 2 2" xfId="24118" xr:uid="{00000000-0005-0000-0000-00006D5C0000}"/>
    <cellStyle name="Comma 3 2 4 2 3 2 2 2" xfId="24119" xr:uid="{00000000-0005-0000-0000-00006E5C0000}"/>
    <cellStyle name="Comma 3 2 4 2 3 2 2 3" xfId="24120" xr:uid="{00000000-0005-0000-0000-00006F5C0000}"/>
    <cellStyle name="Comma 3 2 4 2 3 2 3" xfId="24121" xr:uid="{00000000-0005-0000-0000-0000705C0000}"/>
    <cellStyle name="Comma 3 2 4 2 3 2 4" xfId="24122" xr:uid="{00000000-0005-0000-0000-0000715C0000}"/>
    <cellStyle name="Comma 3 2 4 2 3 2 5" xfId="24123" xr:uid="{00000000-0005-0000-0000-0000725C0000}"/>
    <cellStyle name="Comma 3 2 4 2 3 2 6" xfId="24124" xr:uid="{00000000-0005-0000-0000-0000735C0000}"/>
    <cellStyle name="Comma 3 2 4 2 3 3" xfId="24125" xr:uid="{00000000-0005-0000-0000-0000745C0000}"/>
    <cellStyle name="Comma 3 2 4 2 3 3 2" xfId="24126" xr:uid="{00000000-0005-0000-0000-0000755C0000}"/>
    <cellStyle name="Comma 3 2 4 2 3 3 3" xfId="24127" xr:uid="{00000000-0005-0000-0000-0000765C0000}"/>
    <cellStyle name="Comma 3 2 4 2 3 4" xfId="24128" xr:uid="{00000000-0005-0000-0000-0000775C0000}"/>
    <cellStyle name="Comma 3 2 4 2 3 5" xfId="24129" xr:uid="{00000000-0005-0000-0000-0000785C0000}"/>
    <cellStyle name="Comma 3 2 4 2 3 6" xfId="24130" xr:uid="{00000000-0005-0000-0000-0000795C0000}"/>
    <cellStyle name="Comma 3 2 4 2 3 7" xfId="24131" xr:uid="{00000000-0005-0000-0000-00007A5C0000}"/>
    <cellStyle name="Comma 3 2 4 2 4" xfId="24132" xr:uid="{00000000-0005-0000-0000-00007B5C0000}"/>
    <cellStyle name="Comma 3 2 4 2 4 2" xfId="24133" xr:uid="{00000000-0005-0000-0000-00007C5C0000}"/>
    <cellStyle name="Comma 3 2 4 2 4 2 2" xfId="24134" xr:uid="{00000000-0005-0000-0000-00007D5C0000}"/>
    <cellStyle name="Comma 3 2 4 2 4 2 3" xfId="24135" xr:uid="{00000000-0005-0000-0000-00007E5C0000}"/>
    <cellStyle name="Comma 3 2 4 2 4 3" xfId="24136" xr:uid="{00000000-0005-0000-0000-00007F5C0000}"/>
    <cellStyle name="Comma 3 2 4 2 4 4" xfId="24137" xr:uid="{00000000-0005-0000-0000-0000805C0000}"/>
    <cellStyle name="Comma 3 2 4 2 4 5" xfId="24138" xr:uid="{00000000-0005-0000-0000-0000815C0000}"/>
    <cellStyle name="Comma 3 2 4 2 4 6" xfId="24139" xr:uid="{00000000-0005-0000-0000-0000825C0000}"/>
    <cellStyle name="Comma 3 2 4 2 5" xfId="24140" xr:uid="{00000000-0005-0000-0000-0000835C0000}"/>
    <cellStyle name="Comma 3 2 4 2 5 2" xfId="24141" xr:uid="{00000000-0005-0000-0000-0000845C0000}"/>
    <cellStyle name="Comma 3 2 4 2 5 2 2" xfId="24142" xr:uid="{00000000-0005-0000-0000-0000855C0000}"/>
    <cellStyle name="Comma 3 2 4 2 5 2 3" xfId="24143" xr:uid="{00000000-0005-0000-0000-0000865C0000}"/>
    <cellStyle name="Comma 3 2 4 2 5 3" xfId="24144" xr:uid="{00000000-0005-0000-0000-0000875C0000}"/>
    <cellStyle name="Comma 3 2 4 2 5 4" xfId="24145" xr:uid="{00000000-0005-0000-0000-0000885C0000}"/>
    <cellStyle name="Comma 3 2 4 2 5 5" xfId="24146" xr:uid="{00000000-0005-0000-0000-0000895C0000}"/>
    <cellStyle name="Comma 3 2 4 2 5 6" xfId="24147" xr:uid="{00000000-0005-0000-0000-00008A5C0000}"/>
    <cellStyle name="Comma 3 2 4 2 6" xfId="24148" xr:uid="{00000000-0005-0000-0000-00008B5C0000}"/>
    <cellStyle name="Comma 3 2 4 2 6 2" xfId="24149" xr:uid="{00000000-0005-0000-0000-00008C5C0000}"/>
    <cellStyle name="Comma 3 2 4 2 6 3" xfId="24150" xr:uid="{00000000-0005-0000-0000-00008D5C0000}"/>
    <cellStyle name="Comma 3 2 4 2 7" xfId="24151" xr:uid="{00000000-0005-0000-0000-00008E5C0000}"/>
    <cellStyle name="Comma 3 2 4 2 8" xfId="24152" xr:uid="{00000000-0005-0000-0000-00008F5C0000}"/>
    <cellStyle name="Comma 3 2 4 2 9" xfId="24153" xr:uid="{00000000-0005-0000-0000-0000905C0000}"/>
    <cellStyle name="Comma 3 2 4 3" xfId="24154" xr:uid="{00000000-0005-0000-0000-0000915C0000}"/>
    <cellStyle name="Comma 3 2 4 3 2" xfId="24155" xr:uid="{00000000-0005-0000-0000-0000925C0000}"/>
    <cellStyle name="Comma 3 2 4 3 2 2" xfId="24156" xr:uid="{00000000-0005-0000-0000-0000935C0000}"/>
    <cellStyle name="Comma 3 2 4 3 2 2 2" xfId="24157" xr:uid="{00000000-0005-0000-0000-0000945C0000}"/>
    <cellStyle name="Comma 3 2 4 3 2 2 2 2" xfId="24158" xr:uid="{00000000-0005-0000-0000-0000955C0000}"/>
    <cellStyle name="Comma 3 2 4 3 2 2 2 3" xfId="24159" xr:uid="{00000000-0005-0000-0000-0000965C0000}"/>
    <cellStyle name="Comma 3 2 4 3 2 2 3" xfId="24160" xr:uid="{00000000-0005-0000-0000-0000975C0000}"/>
    <cellStyle name="Comma 3 2 4 3 2 2 4" xfId="24161" xr:uid="{00000000-0005-0000-0000-0000985C0000}"/>
    <cellStyle name="Comma 3 2 4 3 2 2 5" xfId="24162" xr:uid="{00000000-0005-0000-0000-0000995C0000}"/>
    <cellStyle name="Comma 3 2 4 3 2 2 6" xfId="24163" xr:uid="{00000000-0005-0000-0000-00009A5C0000}"/>
    <cellStyle name="Comma 3 2 4 3 2 3" xfId="24164" xr:uid="{00000000-0005-0000-0000-00009B5C0000}"/>
    <cellStyle name="Comma 3 2 4 3 2 3 2" xfId="24165" xr:uid="{00000000-0005-0000-0000-00009C5C0000}"/>
    <cellStyle name="Comma 3 2 4 3 2 3 3" xfId="24166" xr:uid="{00000000-0005-0000-0000-00009D5C0000}"/>
    <cellStyle name="Comma 3 2 4 3 2 4" xfId="24167" xr:uid="{00000000-0005-0000-0000-00009E5C0000}"/>
    <cellStyle name="Comma 3 2 4 3 2 5" xfId="24168" xr:uid="{00000000-0005-0000-0000-00009F5C0000}"/>
    <cellStyle name="Comma 3 2 4 3 2 6" xfId="24169" xr:uid="{00000000-0005-0000-0000-0000A05C0000}"/>
    <cellStyle name="Comma 3 2 4 3 2 7" xfId="24170" xr:uid="{00000000-0005-0000-0000-0000A15C0000}"/>
    <cellStyle name="Comma 3 2 4 3 3" xfId="24171" xr:uid="{00000000-0005-0000-0000-0000A25C0000}"/>
    <cellStyle name="Comma 3 2 4 3 3 2" xfId="24172" xr:uid="{00000000-0005-0000-0000-0000A35C0000}"/>
    <cellStyle name="Comma 3 2 4 3 3 2 2" xfId="24173" xr:uid="{00000000-0005-0000-0000-0000A45C0000}"/>
    <cellStyle name="Comma 3 2 4 3 3 2 3" xfId="24174" xr:uid="{00000000-0005-0000-0000-0000A55C0000}"/>
    <cellStyle name="Comma 3 2 4 3 3 3" xfId="24175" xr:uid="{00000000-0005-0000-0000-0000A65C0000}"/>
    <cellStyle name="Comma 3 2 4 3 3 4" xfId="24176" xr:uid="{00000000-0005-0000-0000-0000A75C0000}"/>
    <cellStyle name="Comma 3 2 4 3 3 5" xfId="24177" xr:uid="{00000000-0005-0000-0000-0000A85C0000}"/>
    <cellStyle name="Comma 3 2 4 3 3 6" xfId="24178" xr:uid="{00000000-0005-0000-0000-0000A95C0000}"/>
    <cellStyle name="Comma 3 2 4 3 4" xfId="24179" xr:uid="{00000000-0005-0000-0000-0000AA5C0000}"/>
    <cellStyle name="Comma 3 2 4 3 4 2" xfId="24180" xr:uid="{00000000-0005-0000-0000-0000AB5C0000}"/>
    <cellStyle name="Comma 3 2 4 3 4 2 2" xfId="24181" xr:uid="{00000000-0005-0000-0000-0000AC5C0000}"/>
    <cellStyle name="Comma 3 2 4 3 4 2 3" xfId="24182" xr:uid="{00000000-0005-0000-0000-0000AD5C0000}"/>
    <cellStyle name="Comma 3 2 4 3 4 3" xfId="24183" xr:uid="{00000000-0005-0000-0000-0000AE5C0000}"/>
    <cellStyle name="Comma 3 2 4 3 4 4" xfId="24184" xr:uid="{00000000-0005-0000-0000-0000AF5C0000}"/>
    <cellStyle name="Comma 3 2 4 3 4 5" xfId="24185" xr:uid="{00000000-0005-0000-0000-0000B05C0000}"/>
    <cellStyle name="Comma 3 2 4 3 4 6" xfId="24186" xr:uid="{00000000-0005-0000-0000-0000B15C0000}"/>
    <cellStyle name="Comma 3 2 4 3 5" xfId="24187" xr:uid="{00000000-0005-0000-0000-0000B25C0000}"/>
    <cellStyle name="Comma 3 2 4 3 5 2" xfId="24188" xr:uid="{00000000-0005-0000-0000-0000B35C0000}"/>
    <cellStyle name="Comma 3 2 4 3 5 3" xfId="24189" xr:uid="{00000000-0005-0000-0000-0000B45C0000}"/>
    <cellStyle name="Comma 3 2 4 3 6" xfId="24190" xr:uid="{00000000-0005-0000-0000-0000B55C0000}"/>
    <cellStyle name="Comma 3 2 4 3 7" xfId="24191" xr:uid="{00000000-0005-0000-0000-0000B65C0000}"/>
    <cellStyle name="Comma 3 2 4 3 8" xfId="24192" xr:uid="{00000000-0005-0000-0000-0000B75C0000}"/>
    <cellStyle name="Comma 3 2 4 3 9" xfId="24193" xr:uid="{00000000-0005-0000-0000-0000B85C0000}"/>
    <cellStyle name="Comma 3 2 4 4" xfId="24194" xr:uid="{00000000-0005-0000-0000-0000B95C0000}"/>
    <cellStyle name="Comma 3 2 4 4 2" xfId="24195" xr:uid="{00000000-0005-0000-0000-0000BA5C0000}"/>
    <cellStyle name="Comma 3 2 4 4 2 2" xfId="24196" xr:uid="{00000000-0005-0000-0000-0000BB5C0000}"/>
    <cellStyle name="Comma 3 2 4 4 2 2 2" xfId="24197" xr:uid="{00000000-0005-0000-0000-0000BC5C0000}"/>
    <cellStyle name="Comma 3 2 4 4 2 2 3" xfId="24198" xr:uid="{00000000-0005-0000-0000-0000BD5C0000}"/>
    <cellStyle name="Comma 3 2 4 4 2 3" xfId="24199" xr:uid="{00000000-0005-0000-0000-0000BE5C0000}"/>
    <cellStyle name="Comma 3 2 4 4 2 4" xfId="24200" xr:uid="{00000000-0005-0000-0000-0000BF5C0000}"/>
    <cellStyle name="Comma 3 2 4 4 2 5" xfId="24201" xr:uid="{00000000-0005-0000-0000-0000C05C0000}"/>
    <cellStyle name="Comma 3 2 4 4 2 6" xfId="24202" xr:uid="{00000000-0005-0000-0000-0000C15C0000}"/>
    <cellStyle name="Comma 3 2 4 4 3" xfId="24203" xr:uid="{00000000-0005-0000-0000-0000C25C0000}"/>
    <cellStyle name="Comma 3 2 4 4 3 2" xfId="24204" xr:uid="{00000000-0005-0000-0000-0000C35C0000}"/>
    <cellStyle name="Comma 3 2 4 4 3 3" xfId="24205" xr:uid="{00000000-0005-0000-0000-0000C45C0000}"/>
    <cellStyle name="Comma 3 2 4 4 4" xfId="24206" xr:uid="{00000000-0005-0000-0000-0000C55C0000}"/>
    <cellStyle name="Comma 3 2 4 4 5" xfId="24207" xr:uid="{00000000-0005-0000-0000-0000C65C0000}"/>
    <cellStyle name="Comma 3 2 4 4 6" xfId="24208" xr:uid="{00000000-0005-0000-0000-0000C75C0000}"/>
    <cellStyle name="Comma 3 2 4 4 7" xfId="24209" xr:uid="{00000000-0005-0000-0000-0000C85C0000}"/>
    <cellStyle name="Comma 3 2 4 5" xfId="24210" xr:uid="{00000000-0005-0000-0000-0000C95C0000}"/>
    <cellStyle name="Comma 3 2 4 5 2" xfId="24211" xr:uid="{00000000-0005-0000-0000-0000CA5C0000}"/>
    <cellStyle name="Comma 3 2 4 5 2 2" xfId="24212" xr:uid="{00000000-0005-0000-0000-0000CB5C0000}"/>
    <cellStyle name="Comma 3 2 4 5 2 3" xfId="24213" xr:uid="{00000000-0005-0000-0000-0000CC5C0000}"/>
    <cellStyle name="Comma 3 2 4 5 3" xfId="24214" xr:uid="{00000000-0005-0000-0000-0000CD5C0000}"/>
    <cellStyle name="Comma 3 2 4 5 4" xfId="24215" xr:uid="{00000000-0005-0000-0000-0000CE5C0000}"/>
    <cellStyle name="Comma 3 2 4 5 5" xfId="24216" xr:uid="{00000000-0005-0000-0000-0000CF5C0000}"/>
    <cellStyle name="Comma 3 2 4 5 6" xfId="24217" xr:uid="{00000000-0005-0000-0000-0000D05C0000}"/>
    <cellStyle name="Comma 3 2 4 6" xfId="24218" xr:uid="{00000000-0005-0000-0000-0000D15C0000}"/>
    <cellStyle name="Comma 3 2 4 6 2" xfId="24219" xr:uid="{00000000-0005-0000-0000-0000D25C0000}"/>
    <cellStyle name="Comma 3 2 4 6 2 2" xfId="24220" xr:uid="{00000000-0005-0000-0000-0000D35C0000}"/>
    <cellStyle name="Comma 3 2 4 6 2 3" xfId="24221" xr:uid="{00000000-0005-0000-0000-0000D45C0000}"/>
    <cellStyle name="Comma 3 2 4 6 3" xfId="24222" xr:uid="{00000000-0005-0000-0000-0000D55C0000}"/>
    <cellStyle name="Comma 3 2 4 6 4" xfId="24223" xr:uid="{00000000-0005-0000-0000-0000D65C0000}"/>
    <cellStyle name="Comma 3 2 4 6 5" xfId="24224" xr:uid="{00000000-0005-0000-0000-0000D75C0000}"/>
    <cellStyle name="Comma 3 2 4 6 6" xfId="24225" xr:uid="{00000000-0005-0000-0000-0000D85C0000}"/>
    <cellStyle name="Comma 3 2 4 7" xfId="24226" xr:uid="{00000000-0005-0000-0000-0000D95C0000}"/>
    <cellStyle name="Comma 3 2 4 7 2" xfId="24227" xr:uid="{00000000-0005-0000-0000-0000DA5C0000}"/>
    <cellStyle name="Comma 3 2 4 7 2 2" xfId="24228" xr:uid="{00000000-0005-0000-0000-0000DB5C0000}"/>
    <cellStyle name="Comma 3 2 4 7 2 3" xfId="24229" xr:uid="{00000000-0005-0000-0000-0000DC5C0000}"/>
    <cellStyle name="Comma 3 2 4 7 3" xfId="24230" xr:uid="{00000000-0005-0000-0000-0000DD5C0000}"/>
    <cellStyle name="Comma 3 2 4 7 4" xfId="24231" xr:uid="{00000000-0005-0000-0000-0000DE5C0000}"/>
    <cellStyle name="Comma 3 2 4 7 5" xfId="24232" xr:uid="{00000000-0005-0000-0000-0000DF5C0000}"/>
    <cellStyle name="Comma 3 2 4 7 6" xfId="24233" xr:uid="{00000000-0005-0000-0000-0000E05C0000}"/>
    <cellStyle name="Comma 3 2 4 8" xfId="24234" xr:uid="{00000000-0005-0000-0000-0000E15C0000}"/>
    <cellStyle name="Comma 3 2 4 8 2" xfId="24235" xr:uid="{00000000-0005-0000-0000-0000E25C0000}"/>
    <cellStyle name="Comma 3 2 4 8 2 2" xfId="24236" xr:uid="{00000000-0005-0000-0000-0000E35C0000}"/>
    <cellStyle name="Comma 3 2 4 8 2 3" xfId="24237" xr:uid="{00000000-0005-0000-0000-0000E45C0000}"/>
    <cellStyle name="Comma 3 2 4 8 3" xfId="24238" xr:uid="{00000000-0005-0000-0000-0000E55C0000}"/>
    <cellStyle name="Comma 3 2 4 8 4" xfId="24239" xr:uid="{00000000-0005-0000-0000-0000E65C0000}"/>
    <cellStyle name="Comma 3 2 4 8 5" xfId="24240" xr:uid="{00000000-0005-0000-0000-0000E75C0000}"/>
    <cellStyle name="Comma 3 2 4 8 6" xfId="24241" xr:uid="{00000000-0005-0000-0000-0000E85C0000}"/>
    <cellStyle name="Comma 3 2 4 9" xfId="24242" xr:uid="{00000000-0005-0000-0000-0000E95C0000}"/>
    <cellStyle name="Comma 3 2 4 9 2" xfId="24243" xr:uid="{00000000-0005-0000-0000-0000EA5C0000}"/>
    <cellStyle name="Comma 3 2 4 9 3" xfId="24244" xr:uid="{00000000-0005-0000-0000-0000EB5C0000}"/>
    <cellStyle name="Comma 3 2 5" xfId="24245" xr:uid="{00000000-0005-0000-0000-0000EC5C0000}"/>
    <cellStyle name="Comma 3 2 5 10" xfId="24246" xr:uid="{00000000-0005-0000-0000-0000ED5C0000}"/>
    <cellStyle name="Comma 3 2 5 2" xfId="24247" xr:uid="{00000000-0005-0000-0000-0000EE5C0000}"/>
    <cellStyle name="Comma 3 2 5 2 2" xfId="24248" xr:uid="{00000000-0005-0000-0000-0000EF5C0000}"/>
    <cellStyle name="Comma 3 2 5 2 2 2" xfId="24249" xr:uid="{00000000-0005-0000-0000-0000F05C0000}"/>
    <cellStyle name="Comma 3 2 5 2 2 2 2" xfId="24250" xr:uid="{00000000-0005-0000-0000-0000F15C0000}"/>
    <cellStyle name="Comma 3 2 5 2 2 2 3" xfId="24251" xr:uid="{00000000-0005-0000-0000-0000F25C0000}"/>
    <cellStyle name="Comma 3 2 5 2 2 3" xfId="24252" xr:uid="{00000000-0005-0000-0000-0000F35C0000}"/>
    <cellStyle name="Comma 3 2 5 2 2 4" xfId="24253" xr:uid="{00000000-0005-0000-0000-0000F45C0000}"/>
    <cellStyle name="Comma 3 2 5 2 2 5" xfId="24254" xr:uid="{00000000-0005-0000-0000-0000F55C0000}"/>
    <cellStyle name="Comma 3 2 5 2 2 6" xfId="24255" xr:uid="{00000000-0005-0000-0000-0000F65C0000}"/>
    <cellStyle name="Comma 3 2 5 2 3" xfId="24256" xr:uid="{00000000-0005-0000-0000-0000F75C0000}"/>
    <cellStyle name="Comma 3 2 5 2 3 2" xfId="24257" xr:uid="{00000000-0005-0000-0000-0000F85C0000}"/>
    <cellStyle name="Comma 3 2 5 2 3 2 2" xfId="24258" xr:uid="{00000000-0005-0000-0000-0000F95C0000}"/>
    <cellStyle name="Comma 3 2 5 2 3 2 3" xfId="24259" xr:uid="{00000000-0005-0000-0000-0000FA5C0000}"/>
    <cellStyle name="Comma 3 2 5 2 3 3" xfId="24260" xr:uid="{00000000-0005-0000-0000-0000FB5C0000}"/>
    <cellStyle name="Comma 3 2 5 2 3 4" xfId="24261" xr:uid="{00000000-0005-0000-0000-0000FC5C0000}"/>
    <cellStyle name="Comma 3 2 5 2 3 5" xfId="24262" xr:uid="{00000000-0005-0000-0000-0000FD5C0000}"/>
    <cellStyle name="Comma 3 2 5 2 3 6" xfId="24263" xr:uid="{00000000-0005-0000-0000-0000FE5C0000}"/>
    <cellStyle name="Comma 3 2 5 2 4" xfId="24264" xr:uid="{00000000-0005-0000-0000-0000FF5C0000}"/>
    <cellStyle name="Comma 3 2 5 2 4 2" xfId="24265" xr:uid="{00000000-0005-0000-0000-0000005D0000}"/>
    <cellStyle name="Comma 3 2 5 2 4 3" xfId="24266" xr:uid="{00000000-0005-0000-0000-0000015D0000}"/>
    <cellStyle name="Comma 3 2 5 2 5" xfId="24267" xr:uid="{00000000-0005-0000-0000-0000025D0000}"/>
    <cellStyle name="Comma 3 2 5 2 6" xfId="24268" xr:uid="{00000000-0005-0000-0000-0000035D0000}"/>
    <cellStyle name="Comma 3 2 5 2 7" xfId="24269" xr:uid="{00000000-0005-0000-0000-0000045D0000}"/>
    <cellStyle name="Comma 3 2 5 2 8" xfId="24270" xr:uid="{00000000-0005-0000-0000-0000055D0000}"/>
    <cellStyle name="Comma 3 2 5 3" xfId="24271" xr:uid="{00000000-0005-0000-0000-0000065D0000}"/>
    <cellStyle name="Comma 3 2 5 3 2" xfId="24272" xr:uid="{00000000-0005-0000-0000-0000075D0000}"/>
    <cellStyle name="Comma 3 2 5 3 2 2" xfId="24273" xr:uid="{00000000-0005-0000-0000-0000085D0000}"/>
    <cellStyle name="Comma 3 2 5 3 2 2 2" xfId="24274" xr:uid="{00000000-0005-0000-0000-0000095D0000}"/>
    <cellStyle name="Comma 3 2 5 3 2 2 3" xfId="24275" xr:uid="{00000000-0005-0000-0000-00000A5D0000}"/>
    <cellStyle name="Comma 3 2 5 3 2 3" xfId="24276" xr:uid="{00000000-0005-0000-0000-00000B5D0000}"/>
    <cellStyle name="Comma 3 2 5 3 2 4" xfId="24277" xr:uid="{00000000-0005-0000-0000-00000C5D0000}"/>
    <cellStyle name="Comma 3 2 5 3 2 5" xfId="24278" xr:uid="{00000000-0005-0000-0000-00000D5D0000}"/>
    <cellStyle name="Comma 3 2 5 3 2 6" xfId="24279" xr:uid="{00000000-0005-0000-0000-00000E5D0000}"/>
    <cellStyle name="Comma 3 2 5 3 3" xfId="24280" xr:uid="{00000000-0005-0000-0000-00000F5D0000}"/>
    <cellStyle name="Comma 3 2 5 3 3 2" xfId="24281" xr:uid="{00000000-0005-0000-0000-0000105D0000}"/>
    <cellStyle name="Comma 3 2 5 3 3 3" xfId="24282" xr:uid="{00000000-0005-0000-0000-0000115D0000}"/>
    <cellStyle name="Comma 3 2 5 3 4" xfId="24283" xr:uid="{00000000-0005-0000-0000-0000125D0000}"/>
    <cellStyle name="Comma 3 2 5 3 5" xfId="24284" xr:uid="{00000000-0005-0000-0000-0000135D0000}"/>
    <cellStyle name="Comma 3 2 5 3 6" xfId="24285" xr:uid="{00000000-0005-0000-0000-0000145D0000}"/>
    <cellStyle name="Comma 3 2 5 3 7" xfId="24286" xr:uid="{00000000-0005-0000-0000-0000155D0000}"/>
    <cellStyle name="Comma 3 2 5 4" xfId="24287" xr:uid="{00000000-0005-0000-0000-0000165D0000}"/>
    <cellStyle name="Comma 3 2 5 4 2" xfId="24288" xr:uid="{00000000-0005-0000-0000-0000175D0000}"/>
    <cellStyle name="Comma 3 2 5 4 2 2" xfId="24289" xr:uid="{00000000-0005-0000-0000-0000185D0000}"/>
    <cellStyle name="Comma 3 2 5 4 2 3" xfId="24290" xr:uid="{00000000-0005-0000-0000-0000195D0000}"/>
    <cellStyle name="Comma 3 2 5 4 3" xfId="24291" xr:uid="{00000000-0005-0000-0000-00001A5D0000}"/>
    <cellStyle name="Comma 3 2 5 4 4" xfId="24292" xr:uid="{00000000-0005-0000-0000-00001B5D0000}"/>
    <cellStyle name="Comma 3 2 5 4 5" xfId="24293" xr:uid="{00000000-0005-0000-0000-00001C5D0000}"/>
    <cellStyle name="Comma 3 2 5 4 6" xfId="24294" xr:uid="{00000000-0005-0000-0000-00001D5D0000}"/>
    <cellStyle name="Comma 3 2 5 5" xfId="24295" xr:uid="{00000000-0005-0000-0000-00001E5D0000}"/>
    <cellStyle name="Comma 3 2 5 5 2" xfId="24296" xr:uid="{00000000-0005-0000-0000-00001F5D0000}"/>
    <cellStyle name="Comma 3 2 5 5 2 2" xfId="24297" xr:uid="{00000000-0005-0000-0000-0000205D0000}"/>
    <cellStyle name="Comma 3 2 5 5 2 3" xfId="24298" xr:uid="{00000000-0005-0000-0000-0000215D0000}"/>
    <cellStyle name="Comma 3 2 5 5 3" xfId="24299" xr:uid="{00000000-0005-0000-0000-0000225D0000}"/>
    <cellStyle name="Comma 3 2 5 5 4" xfId="24300" xr:uid="{00000000-0005-0000-0000-0000235D0000}"/>
    <cellStyle name="Comma 3 2 5 5 5" xfId="24301" xr:uid="{00000000-0005-0000-0000-0000245D0000}"/>
    <cellStyle name="Comma 3 2 5 5 6" xfId="24302" xr:uid="{00000000-0005-0000-0000-0000255D0000}"/>
    <cellStyle name="Comma 3 2 5 6" xfId="24303" xr:uid="{00000000-0005-0000-0000-0000265D0000}"/>
    <cellStyle name="Comma 3 2 5 6 2" xfId="24304" xr:uid="{00000000-0005-0000-0000-0000275D0000}"/>
    <cellStyle name="Comma 3 2 5 6 3" xfId="24305" xr:uid="{00000000-0005-0000-0000-0000285D0000}"/>
    <cellStyle name="Comma 3 2 5 7" xfId="24306" xr:uid="{00000000-0005-0000-0000-0000295D0000}"/>
    <cellStyle name="Comma 3 2 5 8" xfId="24307" xr:uid="{00000000-0005-0000-0000-00002A5D0000}"/>
    <cellStyle name="Comma 3 2 5 9" xfId="24308" xr:uid="{00000000-0005-0000-0000-00002B5D0000}"/>
    <cellStyle name="Comma 3 2 6" xfId="24309" xr:uid="{00000000-0005-0000-0000-00002C5D0000}"/>
    <cellStyle name="Comma 3 2 6 2" xfId="24310" xr:uid="{00000000-0005-0000-0000-00002D5D0000}"/>
    <cellStyle name="Comma 3 2 6 2 2" xfId="24311" xr:uid="{00000000-0005-0000-0000-00002E5D0000}"/>
    <cellStyle name="Comma 3 2 6 2 2 2" xfId="24312" xr:uid="{00000000-0005-0000-0000-00002F5D0000}"/>
    <cellStyle name="Comma 3 2 6 2 2 2 2" xfId="24313" xr:uid="{00000000-0005-0000-0000-0000305D0000}"/>
    <cellStyle name="Comma 3 2 6 2 2 2 3" xfId="24314" xr:uid="{00000000-0005-0000-0000-0000315D0000}"/>
    <cellStyle name="Comma 3 2 6 2 2 3" xfId="24315" xr:uid="{00000000-0005-0000-0000-0000325D0000}"/>
    <cellStyle name="Comma 3 2 6 2 2 4" xfId="24316" xr:uid="{00000000-0005-0000-0000-0000335D0000}"/>
    <cellStyle name="Comma 3 2 6 2 2 5" xfId="24317" xr:uid="{00000000-0005-0000-0000-0000345D0000}"/>
    <cellStyle name="Comma 3 2 6 2 2 6" xfId="24318" xr:uid="{00000000-0005-0000-0000-0000355D0000}"/>
    <cellStyle name="Comma 3 2 6 2 3" xfId="24319" xr:uid="{00000000-0005-0000-0000-0000365D0000}"/>
    <cellStyle name="Comma 3 2 6 2 3 2" xfId="24320" xr:uid="{00000000-0005-0000-0000-0000375D0000}"/>
    <cellStyle name="Comma 3 2 6 2 3 3" xfId="24321" xr:uid="{00000000-0005-0000-0000-0000385D0000}"/>
    <cellStyle name="Comma 3 2 6 2 4" xfId="24322" xr:uid="{00000000-0005-0000-0000-0000395D0000}"/>
    <cellStyle name="Comma 3 2 6 2 5" xfId="24323" xr:uid="{00000000-0005-0000-0000-00003A5D0000}"/>
    <cellStyle name="Comma 3 2 6 2 6" xfId="24324" xr:uid="{00000000-0005-0000-0000-00003B5D0000}"/>
    <cellStyle name="Comma 3 2 6 2 7" xfId="24325" xr:uid="{00000000-0005-0000-0000-00003C5D0000}"/>
    <cellStyle name="Comma 3 2 6 3" xfId="24326" xr:uid="{00000000-0005-0000-0000-00003D5D0000}"/>
    <cellStyle name="Comma 3 2 6 3 2" xfId="24327" xr:uid="{00000000-0005-0000-0000-00003E5D0000}"/>
    <cellStyle name="Comma 3 2 6 3 2 2" xfId="24328" xr:uid="{00000000-0005-0000-0000-00003F5D0000}"/>
    <cellStyle name="Comma 3 2 6 3 2 3" xfId="24329" xr:uid="{00000000-0005-0000-0000-0000405D0000}"/>
    <cellStyle name="Comma 3 2 6 3 3" xfId="24330" xr:uid="{00000000-0005-0000-0000-0000415D0000}"/>
    <cellStyle name="Comma 3 2 6 3 4" xfId="24331" xr:uid="{00000000-0005-0000-0000-0000425D0000}"/>
    <cellStyle name="Comma 3 2 6 3 5" xfId="24332" xr:uid="{00000000-0005-0000-0000-0000435D0000}"/>
    <cellStyle name="Comma 3 2 6 3 6" xfId="24333" xr:uid="{00000000-0005-0000-0000-0000445D0000}"/>
    <cellStyle name="Comma 3 2 6 4" xfId="24334" xr:uid="{00000000-0005-0000-0000-0000455D0000}"/>
    <cellStyle name="Comma 3 2 6 4 2" xfId="24335" xr:uid="{00000000-0005-0000-0000-0000465D0000}"/>
    <cellStyle name="Comma 3 2 6 4 2 2" xfId="24336" xr:uid="{00000000-0005-0000-0000-0000475D0000}"/>
    <cellStyle name="Comma 3 2 6 4 2 3" xfId="24337" xr:uid="{00000000-0005-0000-0000-0000485D0000}"/>
    <cellStyle name="Comma 3 2 6 4 3" xfId="24338" xr:uid="{00000000-0005-0000-0000-0000495D0000}"/>
    <cellStyle name="Comma 3 2 6 4 4" xfId="24339" xr:uid="{00000000-0005-0000-0000-00004A5D0000}"/>
    <cellStyle name="Comma 3 2 6 4 5" xfId="24340" xr:uid="{00000000-0005-0000-0000-00004B5D0000}"/>
    <cellStyle name="Comma 3 2 6 4 6" xfId="24341" xr:uid="{00000000-0005-0000-0000-00004C5D0000}"/>
    <cellStyle name="Comma 3 2 6 5" xfId="24342" xr:uid="{00000000-0005-0000-0000-00004D5D0000}"/>
    <cellStyle name="Comma 3 2 6 5 2" xfId="24343" xr:uid="{00000000-0005-0000-0000-00004E5D0000}"/>
    <cellStyle name="Comma 3 2 6 5 3" xfId="24344" xr:uid="{00000000-0005-0000-0000-00004F5D0000}"/>
    <cellStyle name="Comma 3 2 6 6" xfId="24345" xr:uid="{00000000-0005-0000-0000-0000505D0000}"/>
    <cellStyle name="Comma 3 2 6 7" xfId="24346" xr:uid="{00000000-0005-0000-0000-0000515D0000}"/>
    <cellStyle name="Comma 3 2 6 8" xfId="24347" xr:uid="{00000000-0005-0000-0000-0000525D0000}"/>
    <cellStyle name="Comma 3 2 6 9" xfId="24348" xr:uid="{00000000-0005-0000-0000-0000535D0000}"/>
    <cellStyle name="Comma 3 2 7" xfId="24349" xr:uid="{00000000-0005-0000-0000-0000545D0000}"/>
    <cellStyle name="Comma 3 2 7 2" xfId="24350" xr:uid="{00000000-0005-0000-0000-0000555D0000}"/>
    <cellStyle name="Comma 3 2 7 2 2" xfId="24351" xr:uid="{00000000-0005-0000-0000-0000565D0000}"/>
    <cellStyle name="Comma 3 2 7 2 2 2" xfId="24352" xr:uid="{00000000-0005-0000-0000-0000575D0000}"/>
    <cellStyle name="Comma 3 2 7 2 2 3" xfId="24353" xr:uid="{00000000-0005-0000-0000-0000585D0000}"/>
    <cellStyle name="Comma 3 2 7 2 3" xfId="24354" xr:uid="{00000000-0005-0000-0000-0000595D0000}"/>
    <cellStyle name="Comma 3 2 7 2 4" xfId="24355" xr:uid="{00000000-0005-0000-0000-00005A5D0000}"/>
    <cellStyle name="Comma 3 2 7 2 5" xfId="24356" xr:uid="{00000000-0005-0000-0000-00005B5D0000}"/>
    <cellStyle name="Comma 3 2 7 2 6" xfId="24357" xr:uid="{00000000-0005-0000-0000-00005C5D0000}"/>
    <cellStyle name="Comma 3 2 7 3" xfId="24358" xr:uid="{00000000-0005-0000-0000-00005D5D0000}"/>
    <cellStyle name="Comma 3 2 7 3 2" xfId="24359" xr:uid="{00000000-0005-0000-0000-00005E5D0000}"/>
    <cellStyle name="Comma 3 2 7 3 3" xfId="24360" xr:uid="{00000000-0005-0000-0000-00005F5D0000}"/>
    <cellStyle name="Comma 3 2 7 4" xfId="24361" xr:uid="{00000000-0005-0000-0000-0000605D0000}"/>
    <cellStyle name="Comma 3 2 7 5" xfId="24362" xr:uid="{00000000-0005-0000-0000-0000615D0000}"/>
    <cellStyle name="Comma 3 2 7 6" xfId="24363" xr:uid="{00000000-0005-0000-0000-0000625D0000}"/>
    <cellStyle name="Comma 3 2 7 7" xfId="24364" xr:uid="{00000000-0005-0000-0000-0000635D0000}"/>
    <cellStyle name="Comma 3 2 8" xfId="24365" xr:uid="{00000000-0005-0000-0000-0000645D0000}"/>
    <cellStyle name="Comma 3 2 8 2" xfId="24366" xr:uid="{00000000-0005-0000-0000-0000655D0000}"/>
    <cellStyle name="Comma 3 2 8 2 2" xfId="24367" xr:uid="{00000000-0005-0000-0000-0000665D0000}"/>
    <cellStyle name="Comma 3 2 8 2 3" xfId="24368" xr:uid="{00000000-0005-0000-0000-0000675D0000}"/>
    <cellStyle name="Comma 3 2 8 3" xfId="24369" xr:uid="{00000000-0005-0000-0000-0000685D0000}"/>
    <cellStyle name="Comma 3 2 8 4" xfId="24370" xr:uid="{00000000-0005-0000-0000-0000695D0000}"/>
    <cellStyle name="Comma 3 2 8 5" xfId="24371" xr:uid="{00000000-0005-0000-0000-00006A5D0000}"/>
    <cellStyle name="Comma 3 2 8 6" xfId="24372" xr:uid="{00000000-0005-0000-0000-00006B5D0000}"/>
    <cellStyle name="Comma 3 2 9" xfId="24373" xr:uid="{00000000-0005-0000-0000-00006C5D0000}"/>
    <cellStyle name="Comma 3 2 9 2" xfId="24374" xr:uid="{00000000-0005-0000-0000-00006D5D0000}"/>
    <cellStyle name="Comma 3 2 9 2 2" xfId="24375" xr:uid="{00000000-0005-0000-0000-00006E5D0000}"/>
    <cellStyle name="Comma 3 2 9 2 3" xfId="24376" xr:uid="{00000000-0005-0000-0000-00006F5D0000}"/>
    <cellStyle name="Comma 3 2 9 3" xfId="24377" xr:uid="{00000000-0005-0000-0000-0000705D0000}"/>
    <cellStyle name="Comma 3 2 9 4" xfId="24378" xr:uid="{00000000-0005-0000-0000-0000715D0000}"/>
    <cellStyle name="Comma 3 2 9 5" xfId="24379" xr:uid="{00000000-0005-0000-0000-0000725D0000}"/>
    <cellStyle name="Comma 3 2 9 6" xfId="24380" xr:uid="{00000000-0005-0000-0000-0000735D0000}"/>
    <cellStyle name="Comma 3 3" xfId="350" xr:uid="{00000000-0005-0000-0000-0000745D0000}"/>
    <cellStyle name="Comma 3 3 10" xfId="24381" xr:uid="{00000000-0005-0000-0000-0000755D0000}"/>
    <cellStyle name="Comma 3 3 10 2" xfId="24382" xr:uid="{00000000-0005-0000-0000-0000765D0000}"/>
    <cellStyle name="Comma 3 3 10 2 2" xfId="24383" xr:uid="{00000000-0005-0000-0000-0000775D0000}"/>
    <cellStyle name="Comma 3 3 10 2 3" xfId="24384" xr:uid="{00000000-0005-0000-0000-0000785D0000}"/>
    <cellStyle name="Comma 3 3 10 3" xfId="24385" xr:uid="{00000000-0005-0000-0000-0000795D0000}"/>
    <cellStyle name="Comma 3 3 10 4" xfId="24386" xr:uid="{00000000-0005-0000-0000-00007A5D0000}"/>
    <cellStyle name="Comma 3 3 10 5" xfId="24387" xr:uid="{00000000-0005-0000-0000-00007B5D0000}"/>
    <cellStyle name="Comma 3 3 10 6" xfId="24388" xr:uid="{00000000-0005-0000-0000-00007C5D0000}"/>
    <cellStyle name="Comma 3 3 11" xfId="24389" xr:uid="{00000000-0005-0000-0000-00007D5D0000}"/>
    <cellStyle name="Comma 3 3 11 2" xfId="24390" xr:uid="{00000000-0005-0000-0000-00007E5D0000}"/>
    <cellStyle name="Comma 3 3 11 2 2" xfId="24391" xr:uid="{00000000-0005-0000-0000-00007F5D0000}"/>
    <cellStyle name="Comma 3 3 11 2 3" xfId="24392" xr:uid="{00000000-0005-0000-0000-0000805D0000}"/>
    <cellStyle name="Comma 3 3 11 3" xfId="24393" xr:uid="{00000000-0005-0000-0000-0000815D0000}"/>
    <cellStyle name="Comma 3 3 11 4" xfId="24394" xr:uid="{00000000-0005-0000-0000-0000825D0000}"/>
    <cellStyle name="Comma 3 3 11 5" xfId="24395" xr:uid="{00000000-0005-0000-0000-0000835D0000}"/>
    <cellStyle name="Comma 3 3 11 6" xfId="24396" xr:uid="{00000000-0005-0000-0000-0000845D0000}"/>
    <cellStyle name="Comma 3 3 12" xfId="24397" xr:uid="{00000000-0005-0000-0000-0000855D0000}"/>
    <cellStyle name="Comma 3 3 12 2" xfId="24398" xr:uid="{00000000-0005-0000-0000-0000865D0000}"/>
    <cellStyle name="Comma 3 3 12 3" xfId="24399" xr:uid="{00000000-0005-0000-0000-0000875D0000}"/>
    <cellStyle name="Comma 3 3 13" xfId="24400" xr:uid="{00000000-0005-0000-0000-0000885D0000}"/>
    <cellStyle name="Comma 3 3 14" xfId="24401" xr:uid="{00000000-0005-0000-0000-0000895D0000}"/>
    <cellStyle name="Comma 3 3 15" xfId="24402" xr:uid="{00000000-0005-0000-0000-00008A5D0000}"/>
    <cellStyle name="Comma 3 3 16" xfId="24403" xr:uid="{00000000-0005-0000-0000-00008B5D0000}"/>
    <cellStyle name="Comma 3 3 2" xfId="351" xr:uid="{00000000-0005-0000-0000-00008C5D0000}"/>
    <cellStyle name="Comma 3 3 2 10" xfId="24404" xr:uid="{00000000-0005-0000-0000-00008D5D0000}"/>
    <cellStyle name="Comma 3 3 2 10 2" xfId="24405" xr:uid="{00000000-0005-0000-0000-00008E5D0000}"/>
    <cellStyle name="Comma 3 3 2 10 3" xfId="24406" xr:uid="{00000000-0005-0000-0000-00008F5D0000}"/>
    <cellStyle name="Comma 3 3 2 11" xfId="24407" xr:uid="{00000000-0005-0000-0000-0000905D0000}"/>
    <cellStyle name="Comma 3 3 2 12" xfId="24408" xr:uid="{00000000-0005-0000-0000-0000915D0000}"/>
    <cellStyle name="Comma 3 3 2 13" xfId="24409" xr:uid="{00000000-0005-0000-0000-0000925D0000}"/>
    <cellStyle name="Comma 3 3 2 14" xfId="24410" xr:uid="{00000000-0005-0000-0000-0000935D0000}"/>
    <cellStyle name="Comma 3 3 2 2" xfId="352" xr:uid="{00000000-0005-0000-0000-0000945D0000}"/>
    <cellStyle name="Comma 3 3 2 2 10" xfId="24411" xr:uid="{00000000-0005-0000-0000-0000955D0000}"/>
    <cellStyle name="Comma 3 3 2 2 11" xfId="24412" xr:uid="{00000000-0005-0000-0000-0000965D0000}"/>
    <cellStyle name="Comma 3 3 2 2 12" xfId="24413" xr:uid="{00000000-0005-0000-0000-0000975D0000}"/>
    <cellStyle name="Comma 3 3 2 2 13" xfId="24414" xr:uid="{00000000-0005-0000-0000-0000985D0000}"/>
    <cellStyle name="Comma 3 3 2 2 2" xfId="24415" xr:uid="{00000000-0005-0000-0000-0000995D0000}"/>
    <cellStyle name="Comma 3 3 2 2 2 10" xfId="24416" xr:uid="{00000000-0005-0000-0000-00009A5D0000}"/>
    <cellStyle name="Comma 3 3 2 2 2 2" xfId="24417" xr:uid="{00000000-0005-0000-0000-00009B5D0000}"/>
    <cellStyle name="Comma 3 3 2 2 2 2 2" xfId="24418" xr:uid="{00000000-0005-0000-0000-00009C5D0000}"/>
    <cellStyle name="Comma 3 3 2 2 2 2 2 2" xfId="24419" xr:uid="{00000000-0005-0000-0000-00009D5D0000}"/>
    <cellStyle name="Comma 3 3 2 2 2 2 2 2 2" xfId="24420" xr:uid="{00000000-0005-0000-0000-00009E5D0000}"/>
    <cellStyle name="Comma 3 3 2 2 2 2 2 2 3" xfId="24421" xr:uid="{00000000-0005-0000-0000-00009F5D0000}"/>
    <cellStyle name="Comma 3 3 2 2 2 2 2 3" xfId="24422" xr:uid="{00000000-0005-0000-0000-0000A05D0000}"/>
    <cellStyle name="Comma 3 3 2 2 2 2 2 4" xfId="24423" xr:uid="{00000000-0005-0000-0000-0000A15D0000}"/>
    <cellStyle name="Comma 3 3 2 2 2 2 2 5" xfId="24424" xr:uid="{00000000-0005-0000-0000-0000A25D0000}"/>
    <cellStyle name="Comma 3 3 2 2 2 2 2 6" xfId="24425" xr:uid="{00000000-0005-0000-0000-0000A35D0000}"/>
    <cellStyle name="Comma 3 3 2 2 2 2 3" xfId="24426" xr:uid="{00000000-0005-0000-0000-0000A45D0000}"/>
    <cellStyle name="Comma 3 3 2 2 2 2 3 2" xfId="24427" xr:uid="{00000000-0005-0000-0000-0000A55D0000}"/>
    <cellStyle name="Comma 3 3 2 2 2 2 3 2 2" xfId="24428" xr:uid="{00000000-0005-0000-0000-0000A65D0000}"/>
    <cellStyle name="Comma 3 3 2 2 2 2 3 2 3" xfId="24429" xr:uid="{00000000-0005-0000-0000-0000A75D0000}"/>
    <cellStyle name="Comma 3 3 2 2 2 2 3 3" xfId="24430" xr:uid="{00000000-0005-0000-0000-0000A85D0000}"/>
    <cellStyle name="Comma 3 3 2 2 2 2 3 4" xfId="24431" xr:uid="{00000000-0005-0000-0000-0000A95D0000}"/>
    <cellStyle name="Comma 3 3 2 2 2 2 3 5" xfId="24432" xr:uid="{00000000-0005-0000-0000-0000AA5D0000}"/>
    <cellStyle name="Comma 3 3 2 2 2 2 3 6" xfId="24433" xr:uid="{00000000-0005-0000-0000-0000AB5D0000}"/>
    <cellStyle name="Comma 3 3 2 2 2 2 4" xfId="24434" xr:uid="{00000000-0005-0000-0000-0000AC5D0000}"/>
    <cellStyle name="Comma 3 3 2 2 2 2 4 2" xfId="24435" xr:uid="{00000000-0005-0000-0000-0000AD5D0000}"/>
    <cellStyle name="Comma 3 3 2 2 2 2 4 3" xfId="24436" xr:uid="{00000000-0005-0000-0000-0000AE5D0000}"/>
    <cellStyle name="Comma 3 3 2 2 2 2 5" xfId="24437" xr:uid="{00000000-0005-0000-0000-0000AF5D0000}"/>
    <cellStyle name="Comma 3 3 2 2 2 2 6" xfId="24438" xr:uid="{00000000-0005-0000-0000-0000B05D0000}"/>
    <cellStyle name="Comma 3 3 2 2 2 2 7" xfId="24439" xr:uid="{00000000-0005-0000-0000-0000B15D0000}"/>
    <cellStyle name="Comma 3 3 2 2 2 2 8" xfId="24440" xr:uid="{00000000-0005-0000-0000-0000B25D0000}"/>
    <cellStyle name="Comma 3 3 2 2 2 3" xfId="24441" xr:uid="{00000000-0005-0000-0000-0000B35D0000}"/>
    <cellStyle name="Comma 3 3 2 2 2 3 2" xfId="24442" xr:uid="{00000000-0005-0000-0000-0000B45D0000}"/>
    <cellStyle name="Comma 3 3 2 2 2 3 2 2" xfId="24443" xr:uid="{00000000-0005-0000-0000-0000B55D0000}"/>
    <cellStyle name="Comma 3 3 2 2 2 3 2 2 2" xfId="24444" xr:uid="{00000000-0005-0000-0000-0000B65D0000}"/>
    <cellStyle name="Comma 3 3 2 2 2 3 2 2 3" xfId="24445" xr:uid="{00000000-0005-0000-0000-0000B75D0000}"/>
    <cellStyle name="Comma 3 3 2 2 2 3 2 3" xfId="24446" xr:uid="{00000000-0005-0000-0000-0000B85D0000}"/>
    <cellStyle name="Comma 3 3 2 2 2 3 2 4" xfId="24447" xr:uid="{00000000-0005-0000-0000-0000B95D0000}"/>
    <cellStyle name="Comma 3 3 2 2 2 3 2 5" xfId="24448" xr:uid="{00000000-0005-0000-0000-0000BA5D0000}"/>
    <cellStyle name="Comma 3 3 2 2 2 3 2 6" xfId="24449" xr:uid="{00000000-0005-0000-0000-0000BB5D0000}"/>
    <cellStyle name="Comma 3 3 2 2 2 3 3" xfId="24450" xr:uid="{00000000-0005-0000-0000-0000BC5D0000}"/>
    <cellStyle name="Comma 3 3 2 2 2 3 3 2" xfId="24451" xr:uid="{00000000-0005-0000-0000-0000BD5D0000}"/>
    <cellStyle name="Comma 3 3 2 2 2 3 3 3" xfId="24452" xr:uid="{00000000-0005-0000-0000-0000BE5D0000}"/>
    <cellStyle name="Comma 3 3 2 2 2 3 4" xfId="24453" xr:uid="{00000000-0005-0000-0000-0000BF5D0000}"/>
    <cellStyle name="Comma 3 3 2 2 2 3 5" xfId="24454" xr:uid="{00000000-0005-0000-0000-0000C05D0000}"/>
    <cellStyle name="Comma 3 3 2 2 2 3 6" xfId="24455" xr:uid="{00000000-0005-0000-0000-0000C15D0000}"/>
    <cellStyle name="Comma 3 3 2 2 2 3 7" xfId="24456" xr:uid="{00000000-0005-0000-0000-0000C25D0000}"/>
    <cellStyle name="Comma 3 3 2 2 2 4" xfId="24457" xr:uid="{00000000-0005-0000-0000-0000C35D0000}"/>
    <cellStyle name="Comma 3 3 2 2 2 4 2" xfId="24458" xr:uid="{00000000-0005-0000-0000-0000C45D0000}"/>
    <cellStyle name="Comma 3 3 2 2 2 4 2 2" xfId="24459" xr:uid="{00000000-0005-0000-0000-0000C55D0000}"/>
    <cellStyle name="Comma 3 3 2 2 2 4 2 3" xfId="24460" xr:uid="{00000000-0005-0000-0000-0000C65D0000}"/>
    <cellStyle name="Comma 3 3 2 2 2 4 3" xfId="24461" xr:uid="{00000000-0005-0000-0000-0000C75D0000}"/>
    <cellStyle name="Comma 3 3 2 2 2 4 4" xfId="24462" xr:uid="{00000000-0005-0000-0000-0000C85D0000}"/>
    <cellStyle name="Comma 3 3 2 2 2 4 5" xfId="24463" xr:uid="{00000000-0005-0000-0000-0000C95D0000}"/>
    <cellStyle name="Comma 3 3 2 2 2 4 6" xfId="24464" xr:uid="{00000000-0005-0000-0000-0000CA5D0000}"/>
    <cellStyle name="Comma 3 3 2 2 2 5" xfId="24465" xr:uid="{00000000-0005-0000-0000-0000CB5D0000}"/>
    <cellStyle name="Comma 3 3 2 2 2 5 2" xfId="24466" xr:uid="{00000000-0005-0000-0000-0000CC5D0000}"/>
    <cellStyle name="Comma 3 3 2 2 2 5 2 2" xfId="24467" xr:uid="{00000000-0005-0000-0000-0000CD5D0000}"/>
    <cellStyle name="Comma 3 3 2 2 2 5 2 3" xfId="24468" xr:uid="{00000000-0005-0000-0000-0000CE5D0000}"/>
    <cellStyle name="Comma 3 3 2 2 2 5 3" xfId="24469" xr:uid="{00000000-0005-0000-0000-0000CF5D0000}"/>
    <cellStyle name="Comma 3 3 2 2 2 5 4" xfId="24470" xr:uid="{00000000-0005-0000-0000-0000D05D0000}"/>
    <cellStyle name="Comma 3 3 2 2 2 5 5" xfId="24471" xr:uid="{00000000-0005-0000-0000-0000D15D0000}"/>
    <cellStyle name="Comma 3 3 2 2 2 5 6" xfId="24472" xr:uid="{00000000-0005-0000-0000-0000D25D0000}"/>
    <cellStyle name="Comma 3 3 2 2 2 6" xfId="24473" xr:uid="{00000000-0005-0000-0000-0000D35D0000}"/>
    <cellStyle name="Comma 3 3 2 2 2 6 2" xfId="24474" xr:uid="{00000000-0005-0000-0000-0000D45D0000}"/>
    <cellStyle name="Comma 3 3 2 2 2 6 3" xfId="24475" xr:uid="{00000000-0005-0000-0000-0000D55D0000}"/>
    <cellStyle name="Comma 3 3 2 2 2 7" xfId="24476" xr:uid="{00000000-0005-0000-0000-0000D65D0000}"/>
    <cellStyle name="Comma 3 3 2 2 2 8" xfId="24477" xr:uid="{00000000-0005-0000-0000-0000D75D0000}"/>
    <cellStyle name="Comma 3 3 2 2 2 9" xfId="24478" xr:uid="{00000000-0005-0000-0000-0000D85D0000}"/>
    <cellStyle name="Comma 3 3 2 2 3" xfId="24479" xr:uid="{00000000-0005-0000-0000-0000D95D0000}"/>
    <cellStyle name="Comma 3 3 2 2 3 2" xfId="24480" xr:uid="{00000000-0005-0000-0000-0000DA5D0000}"/>
    <cellStyle name="Comma 3 3 2 2 3 2 2" xfId="24481" xr:uid="{00000000-0005-0000-0000-0000DB5D0000}"/>
    <cellStyle name="Comma 3 3 2 2 3 2 2 2" xfId="24482" xr:uid="{00000000-0005-0000-0000-0000DC5D0000}"/>
    <cellStyle name="Comma 3 3 2 2 3 2 2 2 2" xfId="24483" xr:uid="{00000000-0005-0000-0000-0000DD5D0000}"/>
    <cellStyle name="Comma 3 3 2 2 3 2 2 2 3" xfId="24484" xr:uid="{00000000-0005-0000-0000-0000DE5D0000}"/>
    <cellStyle name="Comma 3 3 2 2 3 2 2 3" xfId="24485" xr:uid="{00000000-0005-0000-0000-0000DF5D0000}"/>
    <cellStyle name="Comma 3 3 2 2 3 2 2 4" xfId="24486" xr:uid="{00000000-0005-0000-0000-0000E05D0000}"/>
    <cellStyle name="Comma 3 3 2 2 3 2 2 5" xfId="24487" xr:uid="{00000000-0005-0000-0000-0000E15D0000}"/>
    <cellStyle name="Comma 3 3 2 2 3 2 2 6" xfId="24488" xr:uid="{00000000-0005-0000-0000-0000E25D0000}"/>
    <cellStyle name="Comma 3 3 2 2 3 2 3" xfId="24489" xr:uid="{00000000-0005-0000-0000-0000E35D0000}"/>
    <cellStyle name="Comma 3 3 2 2 3 2 3 2" xfId="24490" xr:uid="{00000000-0005-0000-0000-0000E45D0000}"/>
    <cellStyle name="Comma 3 3 2 2 3 2 3 3" xfId="24491" xr:uid="{00000000-0005-0000-0000-0000E55D0000}"/>
    <cellStyle name="Comma 3 3 2 2 3 2 4" xfId="24492" xr:uid="{00000000-0005-0000-0000-0000E65D0000}"/>
    <cellStyle name="Comma 3 3 2 2 3 2 5" xfId="24493" xr:uid="{00000000-0005-0000-0000-0000E75D0000}"/>
    <cellStyle name="Comma 3 3 2 2 3 2 6" xfId="24494" xr:uid="{00000000-0005-0000-0000-0000E85D0000}"/>
    <cellStyle name="Comma 3 3 2 2 3 2 7" xfId="24495" xr:uid="{00000000-0005-0000-0000-0000E95D0000}"/>
    <cellStyle name="Comma 3 3 2 2 3 3" xfId="24496" xr:uid="{00000000-0005-0000-0000-0000EA5D0000}"/>
    <cellStyle name="Comma 3 3 2 2 3 3 2" xfId="24497" xr:uid="{00000000-0005-0000-0000-0000EB5D0000}"/>
    <cellStyle name="Comma 3 3 2 2 3 3 2 2" xfId="24498" xr:uid="{00000000-0005-0000-0000-0000EC5D0000}"/>
    <cellStyle name="Comma 3 3 2 2 3 3 2 3" xfId="24499" xr:uid="{00000000-0005-0000-0000-0000ED5D0000}"/>
    <cellStyle name="Comma 3 3 2 2 3 3 3" xfId="24500" xr:uid="{00000000-0005-0000-0000-0000EE5D0000}"/>
    <cellStyle name="Comma 3 3 2 2 3 3 4" xfId="24501" xr:uid="{00000000-0005-0000-0000-0000EF5D0000}"/>
    <cellStyle name="Comma 3 3 2 2 3 3 5" xfId="24502" xr:uid="{00000000-0005-0000-0000-0000F05D0000}"/>
    <cellStyle name="Comma 3 3 2 2 3 3 6" xfId="24503" xr:uid="{00000000-0005-0000-0000-0000F15D0000}"/>
    <cellStyle name="Comma 3 3 2 2 3 4" xfId="24504" xr:uid="{00000000-0005-0000-0000-0000F25D0000}"/>
    <cellStyle name="Comma 3 3 2 2 3 4 2" xfId="24505" xr:uid="{00000000-0005-0000-0000-0000F35D0000}"/>
    <cellStyle name="Comma 3 3 2 2 3 4 2 2" xfId="24506" xr:uid="{00000000-0005-0000-0000-0000F45D0000}"/>
    <cellStyle name="Comma 3 3 2 2 3 4 2 3" xfId="24507" xr:uid="{00000000-0005-0000-0000-0000F55D0000}"/>
    <cellStyle name="Comma 3 3 2 2 3 4 3" xfId="24508" xr:uid="{00000000-0005-0000-0000-0000F65D0000}"/>
    <cellStyle name="Comma 3 3 2 2 3 4 4" xfId="24509" xr:uid="{00000000-0005-0000-0000-0000F75D0000}"/>
    <cellStyle name="Comma 3 3 2 2 3 4 5" xfId="24510" xr:uid="{00000000-0005-0000-0000-0000F85D0000}"/>
    <cellStyle name="Comma 3 3 2 2 3 4 6" xfId="24511" xr:uid="{00000000-0005-0000-0000-0000F95D0000}"/>
    <cellStyle name="Comma 3 3 2 2 3 5" xfId="24512" xr:uid="{00000000-0005-0000-0000-0000FA5D0000}"/>
    <cellStyle name="Comma 3 3 2 2 3 5 2" xfId="24513" xr:uid="{00000000-0005-0000-0000-0000FB5D0000}"/>
    <cellStyle name="Comma 3 3 2 2 3 5 3" xfId="24514" xr:uid="{00000000-0005-0000-0000-0000FC5D0000}"/>
    <cellStyle name="Comma 3 3 2 2 3 6" xfId="24515" xr:uid="{00000000-0005-0000-0000-0000FD5D0000}"/>
    <cellStyle name="Comma 3 3 2 2 3 7" xfId="24516" xr:uid="{00000000-0005-0000-0000-0000FE5D0000}"/>
    <cellStyle name="Comma 3 3 2 2 3 8" xfId="24517" xr:uid="{00000000-0005-0000-0000-0000FF5D0000}"/>
    <cellStyle name="Comma 3 3 2 2 3 9" xfId="24518" xr:uid="{00000000-0005-0000-0000-0000005E0000}"/>
    <cellStyle name="Comma 3 3 2 2 4" xfId="24519" xr:uid="{00000000-0005-0000-0000-0000015E0000}"/>
    <cellStyle name="Comma 3 3 2 2 4 2" xfId="24520" xr:uid="{00000000-0005-0000-0000-0000025E0000}"/>
    <cellStyle name="Comma 3 3 2 2 4 2 2" xfId="24521" xr:uid="{00000000-0005-0000-0000-0000035E0000}"/>
    <cellStyle name="Comma 3 3 2 2 4 2 2 2" xfId="24522" xr:uid="{00000000-0005-0000-0000-0000045E0000}"/>
    <cellStyle name="Comma 3 3 2 2 4 2 2 3" xfId="24523" xr:uid="{00000000-0005-0000-0000-0000055E0000}"/>
    <cellStyle name="Comma 3 3 2 2 4 2 3" xfId="24524" xr:uid="{00000000-0005-0000-0000-0000065E0000}"/>
    <cellStyle name="Comma 3 3 2 2 4 2 4" xfId="24525" xr:uid="{00000000-0005-0000-0000-0000075E0000}"/>
    <cellStyle name="Comma 3 3 2 2 4 2 5" xfId="24526" xr:uid="{00000000-0005-0000-0000-0000085E0000}"/>
    <cellStyle name="Comma 3 3 2 2 4 2 6" xfId="24527" xr:uid="{00000000-0005-0000-0000-0000095E0000}"/>
    <cellStyle name="Comma 3 3 2 2 4 3" xfId="24528" xr:uid="{00000000-0005-0000-0000-00000A5E0000}"/>
    <cellStyle name="Comma 3 3 2 2 4 3 2" xfId="24529" xr:uid="{00000000-0005-0000-0000-00000B5E0000}"/>
    <cellStyle name="Comma 3 3 2 2 4 3 3" xfId="24530" xr:uid="{00000000-0005-0000-0000-00000C5E0000}"/>
    <cellStyle name="Comma 3 3 2 2 4 4" xfId="24531" xr:uid="{00000000-0005-0000-0000-00000D5E0000}"/>
    <cellStyle name="Comma 3 3 2 2 4 5" xfId="24532" xr:uid="{00000000-0005-0000-0000-00000E5E0000}"/>
    <cellStyle name="Comma 3 3 2 2 4 6" xfId="24533" xr:uid="{00000000-0005-0000-0000-00000F5E0000}"/>
    <cellStyle name="Comma 3 3 2 2 4 7" xfId="24534" xr:uid="{00000000-0005-0000-0000-0000105E0000}"/>
    <cellStyle name="Comma 3 3 2 2 5" xfId="24535" xr:uid="{00000000-0005-0000-0000-0000115E0000}"/>
    <cellStyle name="Comma 3 3 2 2 5 2" xfId="24536" xr:uid="{00000000-0005-0000-0000-0000125E0000}"/>
    <cellStyle name="Comma 3 3 2 2 5 2 2" xfId="24537" xr:uid="{00000000-0005-0000-0000-0000135E0000}"/>
    <cellStyle name="Comma 3 3 2 2 5 2 3" xfId="24538" xr:uid="{00000000-0005-0000-0000-0000145E0000}"/>
    <cellStyle name="Comma 3 3 2 2 5 3" xfId="24539" xr:uid="{00000000-0005-0000-0000-0000155E0000}"/>
    <cellStyle name="Comma 3 3 2 2 5 4" xfId="24540" xr:uid="{00000000-0005-0000-0000-0000165E0000}"/>
    <cellStyle name="Comma 3 3 2 2 5 5" xfId="24541" xr:uid="{00000000-0005-0000-0000-0000175E0000}"/>
    <cellStyle name="Comma 3 3 2 2 5 6" xfId="24542" xr:uid="{00000000-0005-0000-0000-0000185E0000}"/>
    <cellStyle name="Comma 3 3 2 2 6" xfId="24543" xr:uid="{00000000-0005-0000-0000-0000195E0000}"/>
    <cellStyle name="Comma 3 3 2 2 6 2" xfId="24544" xr:uid="{00000000-0005-0000-0000-00001A5E0000}"/>
    <cellStyle name="Comma 3 3 2 2 6 2 2" xfId="24545" xr:uid="{00000000-0005-0000-0000-00001B5E0000}"/>
    <cellStyle name="Comma 3 3 2 2 6 2 3" xfId="24546" xr:uid="{00000000-0005-0000-0000-00001C5E0000}"/>
    <cellStyle name="Comma 3 3 2 2 6 3" xfId="24547" xr:uid="{00000000-0005-0000-0000-00001D5E0000}"/>
    <cellStyle name="Comma 3 3 2 2 6 4" xfId="24548" xr:uid="{00000000-0005-0000-0000-00001E5E0000}"/>
    <cellStyle name="Comma 3 3 2 2 6 5" xfId="24549" xr:uid="{00000000-0005-0000-0000-00001F5E0000}"/>
    <cellStyle name="Comma 3 3 2 2 6 6" xfId="24550" xr:uid="{00000000-0005-0000-0000-0000205E0000}"/>
    <cellStyle name="Comma 3 3 2 2 7" xfId="24551" xr:uid="{00000000-0005-0000-0000-0000215E0000}"/>
    <cellStyle name="Comma 3 3 2 2 7 2" xfId="24552" xr:uid="{00000000-0005-0000-0000-0000225E0000}"/>
    <cellStyle name="Comma 3 3 2 2 7 2 2" xfId="24553" xr:uid="{00000000-0005-0000-0000-0000235E0000}"/>
    <cellStyle name="Comma 3 3 2 2 7 2 3" xfId="24554" xr:uid="{00000000-0005-0000-0000-0000245E0000}"/>
    <cellStyle name="Comma 3 3 2 2 7 3" xfId="24555" xr:uid="{00000000-0005-0000-0000-0000255E0000}"/>
    <cellStyle name="Comma 3 3 2 2 7 4" xfId="24556" xr:uid="{00000000-0005-0000-0000-0000265E0000}"/>
    <cellStyle name="Comma 3 3 2 2 7 5" xfId="24557" xr:uid="{00000000-0005-0000-0000-0000275E0000}"/>
    <cellStyle name="Comma 3 3 2 2 7 6" xfId="24558" xr:uid="{00000000-0005-0000-0000-0000285E0000}"/>
    <cellStyle name="Comma 3 3 2 2 8" xfId="24559" xr:uid="{00000000-0005-0000-0000-0000295E0000}"/>
    <cellStyle name="Comma 3 3 2 2 8 2" xfId="24560" xr:uid="{00000000-0005-0000-0000-00002A5E0000}"/>
    <cellStyle name="Comma 3 3 2 2 8 2 2" xfId="24561" xr:uid="{00000000-0005-0000-0000-00002B5E0000}"/>
    <cellStyle name="Comma 3 3 2 2 8 2 3" xfId="24562" xr:uid="{00000000-0005-0000-0000-00002C5E0000}"/>
    <cellStyle name="Comma 3 3 2 2 8 3" xfId="24563" xr:uid="{00000000-0005-0000-0000-00002D5E0000}"/>
    <cellStyle name="Comma 3 3 2 2 8 4" xfId="24564" xr:uid="{00000000-0005-0000-0000-00002E5E0000}"/>
    <cellStyle name="Comma 3 3 2 2 8 5" xfId="24565" xr:uid="{00000000-0005-0000-0000-00002F5E0000}"/>
    <cellStyle name="Comma 3 3 2 2 8 6" xfId="24566" xr:uid="{00000000-0005-0000-0000-0000305E0000}"/>
    <cellStyle name="Comma 3 3 2 2 9" xfId="24567" xr:uid="{00000000-0005-0000-0000-0000315E0000}"/>
    <cellStyle name="Comma 3 3 2 2 9 2" xfId="24568" xr:uid="{00000000-0005-0000-0000-0000325E0000}"/>
    <cellStyle name="Comma 3 3 2 2 9 3" xfId="24569" xr:uid="{00000000-0005-0000-0000-0000335E0000}"/>
    <cellStyle name="Comma 3 3 2 3" xfId="24570" xr:uid="{00000000-0005-0000-0000-0000345E0000}"/>
    <cellStyle name="Comma 3 3 2 3 10" xfId="24571" xr:uid="{00000000-0005-0000-0000-0000355E0000}"/>
    <cellStyle name="Comma 3 3 2 3 2" xfId="24572" xr:uid="{00000000-0005-0000-0000-0000365E0000}"/>
    <cellStyle name="Comma 3 3 2 3 2 2" xfId="24573" xr:uid="{00000000-0005-0000-0000-0000375E0000}"/>
    <cellStyle name="Comma 3 3 2 3 2 2 2" xfId="24574" xr:uid="{00000000-0005-0000-0000-0000385E0000}"/>
    <cellStyle name="Comma 3 3 2 3 2 2 2 2" xfId="24575" xr:uid="{00000000-0005-0000-0000-0000395E0000}"/>
    <cellStyle name="Comma 3 3 2 3 2 2 2 3" xfId="24576" xr:uid="{00000000-0005-0000-0000-00003A5E0000}"/>
    <cellStyle name="Comma 3 3 2 3 2 2 3" xfId="24577" xr:uid="{00000000-0005-0000-0000-00003B5E0000}"/>
    <cellStyle name="Comma 3 3 2 3 2 2 4" xfId="24578" xr:uid="{00000000-0005-0000-0000-00003C5E0000}"/>
    <cellStyle name="Comma 3 3 2 3 2 2 5" xfId="24579" xr:uid="{00000000-0005-0000-0000-00003D5E0000}"/>
    <cellStyle name="Comma 3 3 2 3 2 2 6" xfId="24580" xr:uid="{00000000-0005-0000-0000-00003E5E0000}"/>
    <cellStyle name="Comma 3 3 2 3 2 3" xfId="24581" xr:uid="{00000000-0005-0000-0000-00003F5E0000}"/>
    <cellStyle name="Comma 3 3 2 3 2 3 2" xfId="24582" xr:uid="{00000000-0005-0000-0000-0000405E0000}"/>
    <cellStyle name="Comma 3 3 2 3 2 3 2 2" xfId="24583" xr:uid="{00000000-0005-0000-0000-0000415E0000}"/>
    <cellStyle name="Comma 3 3 2 3 2 3 2 3" xfId="24584" xr:uid="{00000000-0005-0000-0000-0000425E0000}"/>
    <cellStyle name="Comma 3 3 2 3 2 3 3" xfId="24585" xr:uid="{00000000-0005-0000-0000-0000435E0000}"/>
    <cellStyle name="Comma 3 3 2 3 2 3 4" xfId="24586" xr:uid="{00000000-0005-0000-0000-0000445E0000}"/>
    <cellStyle name="Comma 3 3 2 3 2 3 5" xfId="24587" xr:uid="{00000000-0005-0000-0000-0000455E0000}"/>
    <cellStyle name="Comma 3 3 2 3 2 3 6" xfId="24588" xr:uid="{00000000-0005-0000-0000-0000465E0000}"/>
    <cellStyle name="Comma 3 3 2 3 2 4" xfId="24589" xr:uid="{00000000-0005-0000-0000-0000475E0000}"/>
    <cellStyle name="Comma 3 3 2 3 2 4 2" xfId="24590" xr:uid="{00000000-0005-0000-0000-0000485E0000}"/>
    <cellStyle name="Comma 3 3 2 3 2 4 3" xfId="24591" xr:uid="{00000000-0005-0000-0000-0000495E0000}"/>
    <cellStyle name="Comma 3 3 2 3 2 5" xfId="24592" xr:uid="{00000000-0005-0000-0000-00004A5E0000}"/>
    <cellStyle name="Comma 3 3 2 3 2 6" xfId="24593" xr:uid="{00000000-0005-0000-0000-00004B5E0000}"/>
    <cellStyle name="Comma 3 3 2 3 2 7" xfId="24594" xr:uid="{00000000-0005-0000-0000-00004C5E0000}"/>
    <cellStyle name="Comma 3 3 2 3 2 8" xfId="24595" xr:uid="{00000000-0005-0000-0000-00004D5E0000}"/>
    <cellStyle name="Comma 3 3 2 3 3" xfId="24596" xr:uid="{00000000-0005-0000-0000-00004E5E0000}"/>
    <cellStyle name="Comma 3 3 2 3 3 2" xfId="24597" xr:uid="{00000000-0005-0000-0000-00004F5E0000}"/>
    <cellStyle name="Comma 3 3 2 3 3 2 2" xfId="24598" xr:uid="{00000000-0005-0000-0000-0000505E0000}"/>
    <cellStyle name="Comma 3 3 2 3 3 2 2 2" xfId="24599" xr:uid="{00000000-0005-0000-0000-0000515E0000}"/>
    <cellStyle name="Comma 3 3 2 3 3 2 2 3" xfId="24600" xr:uid="{00000000-0005-0000-0000-0000525E0000}"/>
    <cellStyle name="Comma 3 3 2 3 3 2 3" xfId="24601" xr:uid="{00000000-0005-0000-0000-0000535E0000}"/>
    <cellStyle name="Comma 3 3 2 3 3 2 4" xfId="24602" xr:uid="{00000000-0005-0000-0000-0000545E0000}"/>
    <cellStyle name="Comma 3 3 2 3 3 2 5" xfId="24603" xr:uid="{00000000-0005-0000-0000-0000555E0000}"/>
    <cellStyle name="Comma 3 3 2 3 3 2 6" xfId="24604" xr:uid="{00000000-0005-0000-0000-0000565E0000}"/>
    <cellStyle name="Comma 3 3 2 3 3 3" xfId="24605" xr:uid="{00000000-0005-0000-0000-0000575E0000}"/>
    <cellStyle name="Comma 3 3 2 3 3 3 2" xfId="24606" xr:uid="{00000000-0005-0000-0000-0000585E0000}"/>
    <cellStyle name="Comma 3 3 2 3 3 3 3" xfId="24607" xr:uid="{00000000-0005-0000-0000-0000595E0000}"/>
    <cellStyle name="Comma 3 3 2 3 3 4" xfId="24608" xr:uid="{00000000-0005-0000-0000-00005A5E0000}"/>
    <cellStyle name="Comma 3 3 2 3 3 5" xfId="24609" xr:uid="{00000000-0005-0000-0000-00005B5E0000}"/>
    <cellStyle name="Comma 3 3 2 3 3 6" xfId="24610" xr:uid="{00000000-0005-0000-0000-00005C5E0000}"/>
    <cellStyle name="Comma 3 3 2 3 3 7" xfId="24611" xr:uid="{00000000-0005-0000-0000-00005D5E0000}"/>
    <cellStyle name="Comma 3 3 2 3 4" xfId="24612" xr:uid="{00000000-0005-0000-0000-00005E5E0000}"/>
    <cellStyle name="Comma 3 3 2 3 4 2" xfId="24613" xr:uid="{00000000-0005-0000-0000-00005F5E0000}"/>
    <cellStyle name="Comma 3 3 2 3 4 2 2" xfId="24614" xr:uid="{00000000-0005-0000-0000-0000605E0000}"/>
    <cellStyle name="Comma 3 3 2 3 4 2 3" xfId="24615" xr:uid="{00000000-0005-0000-0000-0000615E0000}"/>
    <cellStyle name="Comma 3 3 2 3 4 3" xfId="24616" xr:uid="{00000000-0005-0000-0000-0000625E0000}"/>
    <cellStyle name="Comma 3 3 2 3 4 4" xfId="24617" xr:uid="{00000000-0005-0000-0000-0000635E0000}"/>
    <cellStyle name="Comma 3 3 2 3 4 5" xfId="24618" xr:uid="{00000000-0005-0000-0000-0000645E0000}"/>
    <cellStyle name="Comma 3 3 2 3 4 6" xfId="24619" xr:uid="{00000000-0005-0000-0000-0000655E0000}"/>
    <cellStyle name="Comma 3 3 2 3 5" xfId="24620" xr:uid="{00000000-0005-0000-0000-0000665E0000}"/>
    <cellStyle name="Comma 3 3 2 3 5 2" xfId="24621" xr:uid="{00000000-0005-0000-0000-0000675E0000}"/>
    <cellStyle name="Comma 3 3 2 3 5 2 2" xfId="24622" xr:uid="{00000000-0005-0000-0000-0000685E0000}"/>
    <cellStyle name="Comma 3 3 2 3 5 2 3" xfId="24623" xr:uid="{00000000-0005-0000-0000-0000695E0000}"/>
    <cellStyle name="Comma 3 3 2 3 5 3" xfId="24624" xr:uid="{00000000-0005-0000-0000-00006A5E0000}"/>
    <cellStyle name="Comma 3 3 2 3 5 4" xfId="24625" xr:uid="{00000000-0005-0000-0000-00006B5E0000}"/>
    <cellStyle name="Comma 3 3 2 3 5 5" xfId="24626" xr:uid="{00000000-0005-0000-0000-00006C5E0000}"/>
    <cellStyle name="Comma 3 3 2 3 5 6" xfId="24627" xr:uid="{00000000-0005-0000-0000-00006D5E0000}"/>
    <cellStyle name="Comma 3 3 2 3 6" xfId="24628" xr:uid="{00000000-0005-0000-0000-00006E5E0000}"/>
    <cellStyle name="Comma 3 3 2 3 6 2" xfId="24629" xr:uid="{00000000-0005-0000-0000-00006F5E0000}"/>
    <cellStyle name="Comma 3 3 2 3 6 3" xfId="24630" xr:uid="{00000000-0005-0000-0000-0000705E0000}"/>
    <cellStyle name="Comma 3 3 2 3 7" xfId="24631" xr:uid="{00000000-0005-0000-0000-0000715E0000}"/>
    <cellStyle name="Comma 3 3 2 3 8" xfId="24632" xr:uid="{00000000-0005-0000-0000-0000725E0000}"/>
    <cellStyle name="Comma 3 3 2 3 9" xfId="24633" xr:uid="{00000000-0005-0000-0000-0000735E0000}"/>
    <cellStyle name="Comma 3 3 2 4" xfId="24634" xr:uid="{00000000-0005-0000-0000-0000745E0000}"/>
    <cellStyle name="Comma 3 3 2 4 2" xfId="24635" xr:uid="{00000000-0005-0000-0000-0000755E0000}"/>
    <cellStyle name="Comma 3 3 2 4 2 2" xfId="24636" xr:uid="{00000000-0005-0000-0000-0000765E0000}"/>
    <cellStyle name="Comma 3 3 2 4 2 2 2" xfId="24637" xr:uid="{00000000-0005-0000-0000-0000775E0000}"/>
    <cellStyle name="Comma 3 3 2 4 2 2 2 2" xfId="24638" xr:uid="{00000000-0005-0000-0000-0000785E0000}"/>
    <cellStyle name="Comma 3 3 2 4 2 2 2 3" xfId="24639" xr:uid="{00000000-0005-0000-0000-0000795E0000}"/>
    <cellStyle name="Comma 3 3 2 4 2 2 3" xfId="24640" xr:uid="{00000000-0005-0000-0000-00007A5E0000}"/>
    <cellStyle name="Comma 3 3 2 4 2 2 4" xfId="24641" xr:uid="{00000000-0005-0000-0000-00007B5E0000}"/>
    <cellStyle name="Comma 3 3 2 4 2 2 5" xfId="24642" xr:uid="{00000000-0005-0000-0000-00007C5E0000}"/>
    <cellStyle name="Comma 3 3 2 4 2 2 6" xfId="24643" xr:uid="{00000000-0005-0000-0000-00007D5E0000}"/>
    <cellStyle name="Comma 3 3 2 4 2 3" xfId="24644" xr:uid="{00000000-0005-0000-0000-00007E5E0000}"/>
    <cellStyle name="Comma 3 3 2 4 2 3 2" xfId="24645" xr:uid="{00000000-0005-0000-0000-00007F5E0000}"/>
    <cellStyle name="Comma 3 3 2 4 2 3 3" xfId="24646" xr:uid="{00000000-0005-0000-0000-0000805E0000}"/>
    <cellStyle name="Comma 3 3 2 4 2 4" xfId="24647" xr:uid="{00000000-0005-0000-0000-0000815E0000}"/>
    <cellStyle name="Comma 3 3 2 4 2 5" xfId="24648" xr:uid="{00000000-0005-0000-0000-0000825E0000}"/>
    <cellStyle name="Comma 3 3 2 4 2 6" xfId="24649" xr:uid="{00000000-0005-0000-0000-0000835E0000}"/>
    <cellStyle name="Comma 3 3 2 4 2 7" xfId="24650" xr:uid="{00000000-0005-0000-0000-0000845E0000}"/>
    <cellStyle name="Comma 3 3 2 4 3" xfId="24651" xr:uid="{00000000-0005-0000-0000-0000855E0000}"/>
    <cellStyle name="Comma 3 3 2 4 3 2" xfId="24652" xr:uid="{00000000-0005-0000-0000-0000865E0000}"/>
    <cellStyle name="Comma 3 3 2 4 3 2 2" xfId="24653" xr:uid="{00000000-0005-0000-0000-0000875E0000}"/>
    <cellStyle name="Comma 3 3 2 4 3 2 3" xfId="24654" xr:uid="{00000000-0005-0000-0000-0000885E0000}"/>
    <cellStyle name="Comma 3 3 2 4 3 3" xfId="24655" xr:uid="{00000000-0005-0000-0000-0000895E0000}"/>
    <cellStyle name="Comma 3 3 2 4 3 4" xfId="24656" xr:uid="{00000000-0005-0000-0000-00008A5E0000}"/>
    <cellStyle name="Comma 3 3 2 4 3 5" xfId="24657" xr:uid="{00000000-0005-0000-0000-00008B5E0000}"/>
    <cellStyle name="Comma 3 3 2 4 3 6" xfId="24658" xr:uid="{00000000-0005-0000-0000-00008C5E0000}"/>
    <cellStyle name="Comma 3 3 2 4 4" xfId="24659" xr:uid="{00000000-0005-0000-0000-00008D5E0000}"/>
    <cellStyle name="Comma 3 3 2 4 4 2" xfId="24660" xr:uid="{00000000-0005-0000-0000-00008E5E0000}"/>
    <cellStyle name="Comma 3 3 2 4 4 2 2" xfId="24661" xr:uid="{00000000-0005-0000-0000-00008F5E0000}"/>
    <cellStyle name="Comma 3 3 2 4 4 2 3" xfId="24662" xr:uid="{00000000-0005-0000-0000-0000905E0000}"/>
    <cellStyle name="Comma 3 3 2 4 4 3" xfId="24663" xr:uid="{00000000-0005-0000-0000-0000915E0000}"/>
    <cellStyle name="Comma 3 3 2 4 4 4" xfId="24664" xr:uid="{00000000-0005-0000-0000-0000925E0000}"/>
    <cellStyle name="Comma 3 3 2 4 4 5" xfId="24665" xr:uid="{00000000-0005-0000-0000-0000935E0000}"/>
    <cellStyle name="Comma 3 3 2 4 4 6" xfId="24666" xr:uid="{00000000-0005-0000-0000-0000945E0000}"/>
    <cellStyle name="Comma 3 3 2 4 5" xfId="24667" xr:uid="{00000000-0005-0000-0000-0000955E0000}"/>
    <cellStyle name="Comma 3 3 2 4 5 2" xfId="24668" xr:uid="{00000000-0005-0000-0000-0000965E0000}"/>
    <cellStyle name="Comma 3 3 2 4 5 3" xfId="24669" xr:uid="{00000000-0005-0000-0000-0000975E0000}"/>
    <cellStyle name="Comma 3 3 2 4 6" xfId="24670" xr:uid="{00000000-0005-0000-0000-0000985E0000}"/>
    <cellStyle name="Comma 3 3 2 4 7" xfId="24671" xr:uid="{00000000-0005-0000-0000-0000995E0000}"/>
    <cellStyle name="Comma 3 3 2 4 8" xfId="24672" xr:uid="{00000000-0005-0000-0000-00009A5E0000}"/>
    <cellStyle name="Comma 3 3 2 4 9" xfId="24673" xr:uid="{00000000-0005-0000-0000-00009B5E0000}"/>
    <cellStyle name="Comma 3 3 2 5" xfId="24674" xr:uid="{00000000-0005-0000-0000-00009C5E0000}"/>
    <cellStyle name="Comma 3 3 2 5 2" xfId="24675" xr:uid="{00000000-0005-0000-0000-00009D5E0000}"/>
    <cellStyle name="Comma 3 3 2 5 2 2" xfId="24676" xr:uid="{00000000-0005-0000-0000-00009E5E0000}"/>
    <cellStyle name="Comma 3 3 2 5 2 2 2" xfId="24677" xr:uid="{00000000-0005-0000-0000-00009F5E0000}"/>
    <cellStyle name="Comma 3 3 2 5 2 2 3" xfId="24678" xr:uid="{00000000-0005-0000-0000-0000A05E0000}"/>
    <cellStyle name="Comma 3 3 2 5 2 3" xfId="24679" xr:uid="{00000000-0005-0000-0000-0000A15E0000}"/>
    <cellStyle name="Comma 3 3 2 5 2 4" xfId="24680" xr:uid="{00000000-0005-0000-0000-0000A25E0000}"/>
    <cellStyle name="Comma 3 3 2 5 2 5" xfId="24681" xr:uid="{00000000-0005-0000-0000-0000A35E0000}"/>
    <cellStyle name="Comma 3 3 2 5 2 6" xfId="24682" xr:uid="{00000000-0005-0000-0000-0000A45E0000}"/>
    <cellStyle name="Comma 3 3 2 5 3" xfId="24683" xr:uid="{00000000-0005-0000-0000-0000A55E0000}"/>
    <cellStyle name="Comma 3 3 2 5 3 2" xfId="24684" xr:uid="{00000000-0005-0000-0000-0000A65E0000}"/>
    <cellStyle name="Comma 3 3 2 5 3 3" xfId="24685" xr:uid="{00000000-0005-0000-0000-0000A75E0000}"/>
    <cellStyle name="Comma 3 3 2 5 4" xfId="24686" xr:uid="{00000000-0005-0000-0000-0000A85E0000}"/>
    <cellStyle name="Comma 3 3 2 5 5" xfId="24687" xr:uid="{00000000-0005-0000-0000-0000A95E0000}"/>
    <cellStyle name="Comma 3 3 2 5 6" xfId="24688" xr:uid="{00000000-0005-0000-0000-0000AA5E0000}"/>
    <cellStyle name="Comma 3 3 2 5 7" xfId="24689" xr:uid="{00000000-0005-0000-0000-0000AB5E0000}"/>
    <cellStyle name="Comma 3 3 2 6" xfId="24690" xr:uid="{00000000-0005-0000-0000-0000AC5E0000}"/>
    <cellStyle name="Comma 3 3 2 6 2" xfId="24691" xr:uid="{00000000-0005-0000-0000-0000AD5E0000}"/>
    <cellStyle name="Comma 3 3 2 6 2 2" xfId="24692" xr:uid="{00000000-0005-0000-0000-0000AE5E0000}"/>
    <cellStyle name="Comma 3 3 2 6 2 3" xfId="24693" xr:uid="{00000000-0005-0000-0000-0000AF5E0000}"/>
    <cellStyle name="Comma 3 3 2 6 3" xfId="24694" xr:uid="{00000000-0005-0000-0000-0000B05E0000}"/>
    <cellStyle name="Comma 3 3 2 6 4" xfId="24695" xr:uid="{00000000-0005-0000-0000-0000B15E0000}"/>
    <cellStyle name="Comma 3 3 2 6 5" xfId="24696" xr:uid="{00000000-0005-0000-0000-0000B25E0000}"/>
    <cellStyle name="Comma 3 3 2 6 6" xfId="24697" xr:uid="{00000000-0005-0000-0000-0000B35E0000}"/>
    <cellStyle name="Comma 3 3 2 7" xfId="24698" xr:uid="{00000000-0005-0000-0000-0000B45E0000}"/>
    <cellStyle name="Comma 3 3 2 7 2" xfId="24699" xr:uid="{00000000-0005-0000-0000-0000B55E0000}"/>
    <cellStyle name="Comma 3 3 2 7 2 2" xfId="24700" xr:uid="{00000000-0005-0000-0000-0000B65E0000}"/>
    <cellStyle name="Comma 3 3 2 7 2 3" xfId="24701" xr:uid="{00000000-0005-0000-0000-0000B75E0000}"/>
    <cellStyle name="Comma 3 3 2 7 3" xfId="24702" xr:uid="{00000000-0005-0000-0000-0000B85E0000}"/>
    <cellStyle name="Comma 3 3 2 7 4" xfId="24703" xr:uid="{00000000-0005-0000-0000-0000B95E0000}"/>
    <cellStyle name="Comma 3 3 2 7 5" xfId="24704" xr:uid="{00000000-0005-0000-0000-0000BA5E0000}"/>
    <cellStyle name="Comma 3 3 2 7 6" xfId="24705" xr:uid="{00000000-0005-0000-0000-0000BB5E0000}"/>
    <cellStyle name="Comma 3 3 2 8" xfId="24706" xr:uid="{00000000-0005-0000-0000-0000BC5E0000}"/>
    <cellStyle name="Comma 3 3 2 8 2" xfId="24707" xr:uid="{00000000-0005-0000-0000-0000BD5E0000}"/>
    <cellStyle name="Comma 3 3 2 8 2 2" xfId="24708" xr:uid="{00000000-0005-0000-0000-0000BE5E0000}"/>
    <cellStyle name="Comma 3 3 2 8 2 3" xfId="24709" xr:uid="{00000000-0005-0000-0000-0000BF5E0000}"/>
    <cellStyle name="Comma 3 3 2 8 3" xfId="24710" xr:uid="{00000000-0005-0000-0000-0000C05E0000}"/>
    <cellStyle name="Comma 3 3 2 8 4" xfId="24711" xr:uid="{00000000-0005-0000-0000-0000C15E0000}"/>
    <cellStyle name="Comma 3 3 2 8 5" xfId="24712" xr:uid="{00000000-0005-0000-0000-0000C25E0000}"/>
    <cellStyle name="Comma 3 3 2 8 6" xfId="24713" xr:uid="{00000000-0005-0000-0000-0000C35E0000}"/>
    <cellStyle name="Comma 3 3 2 9" xfId="24714" xr:uid="{00000000-0005-0000-0000-0000C45E0000}"/>
    <cellStyle name="Comma 3 3 2 9 2" xfId="24715" xr:uid="{00000000-0005-0000-0000-0000C55E0000}"/>
    <cellStyle name="Comma 3 3 2 9 2 2" xfId="24716" xr:uid="{00000000-0005-0000-0000-0000C65E0000}"/>
    <cellStyle name="Comma 3 3 2 9 2 3" xfId="24717" xr:uid="{00000000-0005-0000-0000-0000C75E0000}"/>
    <cellStyle name="Comma 3 3 2 9 3" xfId="24718" xr:uid="{00000000-0005-0000-0000-0000C85E0000}"/>
    <cellStyle name="Comma 3 3 2 9 4" xfId="24719" xr:uid="{00000000-0005-0000-0000-0000C95E0000}"/>
    <cellStyle name="Comma 3 3 2 9 5" xfId="24720" xr:uid="{00000000-0005-0000-0000-0000CA5E0000}"/>
    <cellStyle name="Comma 3 3 2 9 6" xfId="24721" xr:uid="{00000000-0005-0000-0000-0000CB5E0000}"/>
    <cellStyle name="Comma 3 3 3" xfId="353" xr:uid="{00000000-0005-0000-0000-0000CC5E0000}"/>
    <cellStyle name="Comma 3 3 3 10" xfId="24722" xr:uid="{00000000-0005-0000-0000-0000CD5E0000}"/>
    <cellStyle name="Comma 3 3 3 10 2" xfId="24723" xr:uid="{00000000-0005-0000-0000-0000CE5E0000}"/>
    <cellStyle name="Comma 3 3 3 10 3" xfId="24724" xr:uid="{00000000-0005-0000-0000-0000CF5E0000}"/>
    <cellStyle name="Comma 3 3 3 11" xfId="24725" xr:uid="{00000000-0005-0000-0000-0000D05E0000}"/>
    <cellStyle name="Comma 3 3 3 12" xfId="24726" xr:uid="{00000000-0005-0000-0000-0000D15E0000}"/>
    <cellStyle name="Comma 3 3 3 13" xfId="24727" xr:uid="{00000000-0005-0000-0000-0000D25E0000}"/>
    <cellStyle name="Comma 3 3 3 14" xfId="24728" xr:uid="{00000000-0005-0000-0000-0000D35E0000}"/>
    <cellStyle name="Comma 3 3 3 2" xfId="24729" xr:uid="{00000000-0005-0000-0000-0000D45E0000}"/>
    <cellStyle name="Comma 3 3 3 2 10" xfId="24730" xr:uid="{00000000-0005-0000-0000-0000D55E0000}"/>
    <cellStyle name="Comma 3 3 3 2 11" xfId="24731" xr:uid="{00000000-0005-0000-0000-0000D65E0000}"/>
    <cellStyle name="Comma 3 3 3 2 12" xfId="24732" xr:uid="{00000000-0005-0000-0000-0000D75E0000}"/>
    <cellStyle name="Comma 3 3 3 2 13" xfId="24733" xr:uid="{00000000-0005-0000-0000-0000D85E0000}"/>
    <cellStyle name="Comma 3 3 3 2 2" xfId="24734" xr:uid="{00000000-0005-0000-0000-0000D95E0000}"/>
    <cellStyle name="Comma 3 3 3 2 2 10" xfId="24735" xr:uid="{00000000-0005-0000-0000-0000DA5E0000}"/>
    <cellStyle name="Comma 3 3 3 2 2 2" xfId="24736" xr:uid="{00000000-0005-0000-0000-0000DB5E0000}"/>
    <cellStyle name="Comma 3 3 3 2 2 2 2" xfId="24737" xr:uid="{00000000-0005-0000-0000-0000DC5E0000}"/>
    <cellStyle name="Comma 3 3 3 2 2 2 2 2" xfId="24738" xr:uid="{00000000-0005-0000-0000-0000DD5E0000}"/>
    <cellStyle name="Comma 3 3 3 2 2 2 2 2 2" xfId="24739" xr:uid="{00000000-0005-0000-0000-0000DE5E0000}"/>
    <cellStyle name="Comma 3 3 3 2 2 2 2 2 3" xfId="24740" xr:uid="{00000000-0005-0000-0000-0000DF5E0000}"/>
    <cellStyle name="Comma 3 3 3 2 2 2 2 3" xfId="24741" xr:uid="{00000000-0005-0000-0000-0000E05E0000}"/>
    <cellStyle name="Comma 3 3 3 2 2 2 2 4" xfId="24742" xr:uid="{00000000-0005-0000-0000-0000E15E0000}"/>
    <cellStyle name="Comma 3 3 3 2 2 2 2 5" xfId="24743" xr:uid="{00000000-0005-0000-0000-0000E25E0000}"/>
    <cellStyle name="Comma 3 3 3 2 2 2 2 6" xfId="24744" xr:uid="{00000000-0005-0000-0000-0000E35E0000}"/>
    <cellStyle name="Comma 3 3 3 2 2 2 3" xfId="24745" xr:uid="{00000000-0005-0000-0000-0000E45E0000}"/>
    <cellStyle name="Comma 3 3 3 2 2 2 3 2" xfId="24746" xr:uid="{00000000-0005-0000-0000-0000E55E0000}"/>
    <cellStyle name="Comma 3 3 3 2 2 2 3 2 2" xfId="24747" xr:uid="{00000000-0005-0000-0000-0000E65E0000}"/>
    <cellStyle name="Comma 3 3 3 2 2 2 3 2 3" xfId="24748" xr:uid="{00000000-0005-0000-0000-0000E75E0000}"/>
    <cellStyle name="Comma 3 3 3 2 2 2 3 3" xfId="24749" xr:uid="{00000000-0005-0000-0000-0000E85E0000}"/>
    <cellStyle name="Comma 3 3 3 2 2 2 3 4" xfId="24750" xr:uid="{00000000-0005-0000-0000-0000E95E0000}"/>
    <cellStyle name="Comma 3 3 3 2 2 2 3 5" xfId="24751" xr:uid="{00000000-0005-0000-0000-0000EA5E0000}"/>
    <cellStyle name="Comma 3 3 3 2 2 2 3 6" xfId="24752" xr:uid="{00000000-0005-0000-0000-0000EB5E0000}"/>
    <cellStyle name="Comma 3 3 3 2 2 2 4" xfId="24753" xr:uid="{00000000-0005-0000-0000-0000EC5E0000}"/>
    <cellStyle name="Comma 3 3 3 2 2 2 4 2" xfId="24754" xr:uid="{00000000-0005-0000-0000-0000ED5E0000}"/>
    <cellStyle name="Comma 3 3 3 2 2 2 4 3" xfId="24755" xr:uid="{00000000-0005-0000-0000-0000EE5E0000}"/>
    <cellStyle name="Comma 3 3 3 2 2 2 5" xfId="24756" xr:uid="{00000000-0005-0000-0000-0000EF5E0000}"/>
    <cellStyle name="Comma 3 3 3 2 2 2 6" xfId="24757" xr:uid="{00000000-0005-0000-0000-0000F05E0000}"/>
    <cellStyle name="Comma 3 3 3 2 2 2 7" xfId="24758" xr:uid="{00000000-0005-0000-0000-0000F15E0000}"/>
    <cellStyle name="Comma 3 3 3 2 2 2 8" xfId="24759" xr:uid="{00000000-0005-0000-0000-0000F25E0000}"/>
    <cellStyle name="Comma 3 3 3 2 2 3" xfId="24760" xr:uid="{00000000-0005-0000-0000-0000F35E0000}"/>
    <cellStyle name="Comma 3 3 3 2 2 3 2" xfId="24761" xr:uid="{00000000-0005-0000-0000-0000F45E0000}"/>
    <cellStyle name="Comma 3 3 3 2 2 3 2 2" xfId="24762" xr:uid="{00000000-0005-0000-0000-0000F55E0000}"/>
    <cellStyle name="Comma 3 3 3 2 2 3 2 2 2" xfId="24763" xr:uid="{00000000-0005-0000-0000-0000F65E0000}"/>
    <cellStyle name="Comma 3 3 3 2 2 3 2 2 3" xfId="24764" xr:uid="{00000000-0005-0000-0000-0000F75E0000}"/>
    <cellStyle name="Comma 3 3 3 2 2 3 2 3" xfId="24765" xr:uid="{00000000-0005-0000-0000-0000F85E0000}"/>
    <cellStyle name="Comma 3 3 3 2 2 3 2 4" xfId="24766" xr:uid="{00000000-0005-0000-0000-0000F95E0000}"/>
    <cellStyle name="Comma 3 3 3 2 2 3 2 5" xfId="24767" xr:uid="{00000000-0005-0000-0000-0000FA5E0000}"/>
    <cellStyle name="Comma 3 3 3 2 2 3 2 6" xfId="24768" xr:uid="{00000000-0005-0000-0000-0000FB5E0000}"/>
    <cellStyle name="Comma 3 3 3 2 2 3 3" xfId="24769" xr:uid="{00000000-0005-0000-0000-0000FC5E0000}"/>
    <cellStyle name="Comma 3 3 3 2 2 3 3 2" xfId="24770" xr:uid="{00000000-0005-0000-0000-0000FD5E0000}"/>
    <cellStyle name="Comma 3 3 3 2 2 3 3 3" xfId="24771" xr:uid="{00000000-0005-0000-0000-0000FE5E0000}"/>
    <cellStyle name="Comma 3 3 3 2 2 3 4" xfId="24772" xr:uid="{00000000-0005-0000-0000-0000FF5E0000}"/>
    <cellStyle name="Comma 3 3 3 2 2 3 5" xfId="24773" xr:uid="{00000000-0005-0000-0000-0000005F0000}"/>
    <cellStyle name="Comma 3 3 3 2 2 3 6" xfId="24774" xr:uid="{00000000-0005-0000-0000-0000015F0000}"/>
    <cellStyle name="Comma 3 3 3 2 2 3 7" xfId="24775" xr:uid="{00000000-0005-0000-0000-0000025F0000}"/>
    <cellStyle name="Comma 3 3 3 2 2 4" xfId="24776" xr:uid="{00000000-0005-0000-0000-0000035F0000}"/>
    <cellStyle name="Comma 3 3 3 2 2 4 2" xfId="24777" xr:uid="{00000000-0005-0000-0000-0000045F0000}"/>
    <cellStyle name="Comma 3 3 3 2 2 4 2 2" xfId="24778" xr:uid="{00000000-0005-0000-0000-0000055F0000}"/>
    <cellStyle name="Comma 3 3 3 2 2 4 2 3" xfId="24779" xr:uid="{00000000-0005-0000-0000-0000065F0000}"/>
    <cellStyle name="Comma 3 3 3 2 2 4 3" xfId="24780" xr:uid="{00000000-0005-0000-0000-0000075F0000}"/>
    <cellStyle name="Comma 3 3 3 2 2 4 4" xfId="24781" xr:uid="{00000000-0005-0000-0000-0000085F0000}"/>
    <cellStyle name="Comma 3 3 3 2 2 4 5" xfId="24782" xr:uid="{00000000-0005-0000-0000-0000095F0000}"/>
    <cellStyle name="Comma 3 3 3 2 2 4 6" xfId="24783" xr:uid="{00000000-0005-0000-0000-00000A5F0000}"/>
    <cellStyle name="Comma 3 3 3 2 2 5" xfId="24784" xr:uid="{00000000-0005-0000-0000-00000B5F0000}"/>
    <cellStyle name="Comma 3 3 3 2 2 5 2" xfId="24785" xr:uid="{00000000-0005-0000-0000-00000C5F0000}"/>
    <cellStyle name="Comma 3 3 3 2 2 5 2 2" xfId="24786" xr:uid="{00000000-0005-0000-0000-00000D5F0000}"/>
    <cellStyle name="Comma 3 3 3 2 2 5 2 3" xfId="24787" xr:uid="{00000000-0005-0000-0000-00000E5F0000}"/>
    <cellStyle name="Comma 3 3 3 2 2 5 3" xfId="24788" xr:uid="{00000000-0005-0000-0000-00000F5F0000}"/>
    <cellStyle name="Comma 3 3 3 2 2 5 4" xfId="24789" xr:uid="{00000000-0005-0000-0000-0000105F0000}"/>
    <cellStyle name="Comma 3 3 3 2 2 5 5" xfId="24790" xr:uid="{00000000-0005-0000-0000-0000115F0000}"/>
    <cellStyle name="Comma 3 3 3 2 2 5 6" xfId="24791" xr:uid="{00000000-0005-0000-0000-0000125F0000}"/>
    <cellStyle name="Comma 3 3 3 2 2 6" xfId="24792" xr:uid="{00000000-0005-0000-0000-0000135F0000}"/>
    <cellStyle name="Comma 3 3 3 2 2 6 2" xfId="24793" xr:uid="{00000000-0005-0000-0000-0000145F0000}"/>
    <cellStyle name="Comma 3 3 3 2 2 6 3" xfId="24794" xr:uid="{00000000-0005-0000-0000-0000155F0000}"/>
    <cellStyle name="Comma 3 3 3 2 2 7" xfId="24795" xr:uid="{00000000-0005-0000-0000-0000165F0000}"/>
    <cellStyle name="Comma 3 3 3 2 2 8" xfId="24796" xr:uid="{00000000-0005-0000-0000-0000175F0000}"/>
    <cellStyle name="Comma 3 3 3 2 2 9" xfId="24797" xr:uid="{00000000-0005-0000-0000-0000185F0000}"/>
    <cellStyle name="Comma 3 3 3 2 3" xfId="24798" xr:uid="{00000000-0005-0000-0000-0000195F0000}"/>
    <cellStyle name="Comma 3 3 3 2 3 2" xfId="24799" xr:uid="{00000000-0005-0000-0000-00001A5F0000}"/>
    <cellStyle name="Comma 3 3 3 2 3 2 2" xfId="24800" xr:uid="{00000000-0005-0000-0000-00001B5F0000}"/>
    <cellStyle name="Comma 3 3 3 2 3 2 2 2" xfId="24801" xr:uid="{00000000-0005-0000-0000-00001C5F0000}"/>
    <cellStyle name="Comma 3 3 3 2 3 2 2 2 2" xfId="24802" xr:uid="{00000000-0005-0000-0000-00001D5F0000}"/>
    <cellStyle name="Comma 3 3 3 2 3 2 2 2 3" xfId="24803" xr:uid="{00000000-0005-0000-0000-00001E5F0000}"/>
    <cellStyle name="Comma 3 3 3 2 3 2 2 3" xfId="24804" xr:uid="{00000000-0005-0000-0000-00001F5F0000}"/>
    <cellStyle name="Comma 3 3 3 2 3 2 2 4" xfId="24805" xr:uid="{00000000-0005-0000-0000-0000205F0000}"/>
    <cellStyle name="Comma 3 3 3 2 3 2 2 5" xfId="24806" xr:uid="{00000000-0005-0000-0000-0000215F0000}"/>
    <cellStyle name="Comma 3 3 3 2 3 2 2 6" xfId="24807" xr:uid="{00000000-0005-0000-0000-0000225F0000}"/>
    <cellStyle name="Comma 3 3 3 2 3 2 3" xfId="24808" xr:uid="{00000000-0005-0000-0000-0000235F0000}"/>
    <cellStyle name="Comma 3 3 3 2 3 2 3 2" xfId="24809" xr:uid="{00000000-0005-0000-0000-0000245F0000}"/>
    <cellStyle name="Comma 3 3 3 2 3 2 3 3" xfId="24810" xr:uid="{00000000-0005-0000-0000-0000255F0000}"/>
    <cellStyle name="Comma 3 3 3 2 3 2 4" xfId="24811" xr:uid="{00000000-0005-0000-0000-0000265F0000}"/>
    <cellStyle name="Comma 3 3 3 2 3 2 5" xfId="24812" xr:uid="{00000000-0005-0000-0000-0000275F0000}"/>
    <cellStyle name="Comma 3 3 3 2 3 2 6" xfId="24813" xr:uid="{00000000-0005-0000-0000-0000285F0000}"/>
    <cellStyle name="Comma 3 3 3 2 3 2 7" xfId="24814" xr:uid="{00000000-0005-0000-0000-0000295F0000}"/>
    <cellStyle name="Comma 3 3 3 2 3 3" xfId="24815" xr:uid="{00000000-0005-0000-0000-00002A5F0000}"/>
    <cellStyle name="Comma 3 3 3 2 3 3 2" xfId="24816" xr:uid="{00000000-0005-0000-0000-00002B5F0000}"/>
    <cellStyle name="Comma 3 3 3 2 3 3 2 2" xfId="24817" xr:uid="{00000000-0005-0000-0000-00002C5F0000}"/>
    <cellStyle name="Comma 3 3 3 2 3 3 2 3" xfId="24818" xr:uid="{00000000-0005-0000-0000-00002D5F0000}"/>
    <cellStyle name="Comma 3 3 3 2 3 3 3" xfId="24819" xr:uid="{00000000-0005-0000-0000-00002E5F0000}"/>
    <cellStyle name="Comma 3 3 3 2 3 3 4" xfId="24820" xr:uid="{00000000-0005-0000-0000-00002F5F0000}"/>
    <cellStyle name="Comma 3 3 3 2 3 3 5" xfId="24821" xr:uid="{00000000-0005-0000-0000-0000305F0000}"/>
    <cellStyle name="Comma 3 3 3 2 3 3 6" xfId="24822" xr:uid="{00000000-0005-0000-0000-0000315F0000}"/>
    <cellStyle name="Comma 3 3 3 2 3 4" xfId="24823" xr:uid="{00000000-0005-0000-0000-0000325F0000}"/>
    <cellStyle name="Comma 3 3 3 2 3 4 2" xfId="24824" xr:uid="{00000000-0005-0000-0000-0000335F0000}"/>
    <cellStyle name="Comma 3 3 3 2 3 4 2 2" xfId="24825" xr:uid="{00000000-0005-0000-0000-0000345F0000}"/>
    <cellStyle name="Comma 3 3 3 2 3 4 2 3" xfId="24826" xr:uid="{00000000-0005-0000-0000-0000355F0000}"/>
    <cellStyle name="Comma 3 3 3 2 3 4 3" xfId="24827" xr:uid="{00000000-0005-0000-0000-0000365F0000}"/>
    <cellStyle name="Comma 3 3 3 2 3 4 4" xfId="24828" xr:uid="{00000000-0005-0000-0000-0000375F0000}"/>
    <cellStyle name="Comma 3 3 3 2 3 4 5" xfId="24829" xr:uid="{00000000-0005-0000-0000-0000385F0000}"/>
    <cellStyle name="Comma 3 3 3 2 3 4 6" xfId="24830" xr:uid="{00000000-0005-0000-0000-0000395F0000}"/>
    <cellStyle name="Comma 3 3 3 2 3 5" xfId="24831" xr:uid="{00000000-0005-0000-0000-00003A5F0000}"/>
    <cellStyle name="Comma 3 3 3 2 3 5 2" xfId="24832" xr:uid="{00000000-0005-0000-0000-00003B5F0000}"/>
    <cellStyle name="Comma 3 3 3 2 3 5 3" xfId="24833" xr:uid="{00000000-0005-0000-0000-00003C5F0000}"/>
    <cellStyle name="Comma 3 3 3 2 3 6" xfId="24834" xr:uid="{00000000-0005-0000-0000-00003D5F0000}"/>
    <cellStyle name="Comma 3 3 3 2 3 7" xfId="24835" xr:uid="{00000000-0005-0000-0000-00003E5F0000}"/>
    <cellStyle name="Comma 3 3 3 2 3 8" xfId="24836" xr:uid="{00000000-0005-0000-0000-00003F5F0000}"/>
    <cellStyle name="Comma 3 3 3 2 3 9" xfId="24837" xr:uid="{00000000-0005-0000-0000-0000405F0000}"/>
    <cellStyle name="Comma 3 3 3 2 4" xfId="24838" xr:uid="{00000000-0005-0000-0000-0000415F0000}"/>
    <cellStyle name="Comma 3 3 3 2 4 2" xfId="24839" xr:uid="{00000000-0005-0000-0000-0000425F0000}"/>
    <cellStyle name="Comma 3 3 3 2 4 2 2" xfId="24840" xr:uid="{00000000-0005-0000-0000-0000435F0000}"/>
    <cellStyle name="Comma 3 3 3 2 4 2 2 2" xfId="24841" xr:uid="{00000000-0005-0000-0000-0000445F0000}"/>
    <cellStyle name="Comma 3 3 3 2 4 2 2 3" xfId="24842" xr:uid="{00000000-0005-0000-0000-0000455F0000}"/>
    <cellStyle name="Comma 3 3 3 2 4 2 3" xfId="24843" xr:uid="{00000000-0005-0000-0000-0000465F0000}"/>
    <cellStyle name="Comma 3 3 3 2 4 2 4" xfId="24844" xr:uid="{00000000-0005-0000-0000-0000475F0000}"/>
    <cellStyle name="Comma 3 3 3 2 4 2 5" xfId="24845" xr:uid="{00000000-0005-0000-0000-0000485F0000}"/>
    <cellStyle name="Comma 3 3 3 2 4 2 6" xfId="24846" xr:uid="{00000000-0005-0000-0000-0000495F0000}"/>
    <cellStyle name="Comma 3 3 3 2 4 3" xfId="24847" xr:uid="{00000000-0005-0000-0000-00004A5F0000}"/>
    <cellStyle name="Comma 3 3 3 2 4 3 2" xfId="24848" xr:uid="{00000000-0005-0000-0000-00004B5F0000}"/>
    <cellStyle name="Comma 3 3 3 2 4 3 3" xfId="24849" xr:uid="{00000000-0005-0000-0000-00004C5F0000}"/>
    <cellStyle name="Comma 3 3 3 2 4 4" xfId="24850" xr:uid="{00000000-0005-0000-0000-00004D5F0000}"/>
    <cellStyle name="Comma 3 3 3 2 4 5" xfId="24851" xr:uid="{00000000-0005-0000-0000-00004E5F0000}"/>
    <cellStyle name="Comma 3 3 3 2 4 6" xfId="24852" xr:uid="{00000000-0005-0000-0000-00004F5F0000}"/>
    <cellStyle name="Comma 3 3 3 2 4 7" xfId="24853" xr:uid="{00000000-0005-0000-0000-0000505F0000}"/>
    <cellStyle name="Comma 3 3 3 2 5" xfId="24854" xr:uid="{00000000-0005-0000-0000-0000515F0000}"/>
    <cellStyle name="Comma 3 3 3 2 5 2" xfId="24855" xr:uid="{00000000-0005-0000-0000-0000525F0000}"/>
    <cellStyle name="Comma 3 3 3 2 5 2 2" xfId="24856" xr:uid="{00000000-0005-0000-0000-0000535F0000}"/>
    <cellStyle name="Comma 3 3 3 2 5 2 3" xfId="24857" xr:uid="{00000000-0005-0000-0000-0000545F0000}"/>
    <cellStyle name="Comma 3 3 3 2 5 3" xfId="24858" xr:uid="{00000000-0005-0000-0000-0000555F0000}"/>
    <cellStyle name="Comma 3 3 3 2 5 4" xfId="24859" xr:uid="{00000000-0005-0000-0000-0000565F0000}"/>
    <cellStyle name="Comma 3 3 3 2 5 5" xfId="24860" xr:uid="{00000000-0005-0000-0000-0000575F0000}"/>
    <cellStyle name="Comma 3 3 3 2 5 6" xfId="24861" xr:uid="{00000000-0005-0000-0000-0000585F0000}"/>
    <cellStyle name="Comma 3 3 3 2 6" xfId="24862" xr:uid="{00000000-0005-0000-0000-0000595F0000}"/>
    <cellStyle name="Comma 3 3 3 2 6 2" xfId="24863" xr:uid="{00000000-0005-0000-0000-00005A5F0000}"/>
    <cellStyle name="Comma 3 3 3 2 6 2 2" xfId="24864" xr:uid="{00000000-0005-0000-0000-00005B5F0000}"/>
    <cellStyle name="Comma 3 3 3 2 6 2 3" xfId="24865" xr:uid="{00000000-0005-0000-0000-00005C5F0000}"/>
    <cellStyle name="Comma 3 3 3 2 6 3" xfId="24866" xr:uid="{00000000-0005-0000-0000-00005D5F0000}"/>
    <cellStyle name="Comma 3 3 3 2 6 4" xfId="24867" xr:uid="{00000000-0005-0000-0000-00005E5F0000}"/>
    <cellStyle name="Comma 3 3 3 2 6 5" xfId="24868" xr:uid="{00000000-0005-0000-0000-00005F5F0000}"/>
    <cellStyle name="Comma 3 3 3 2 6 6" xfId="24869" xr:uid="{00000000-0005-0000-0000-0000605F0000}"/>
    <cellStyle name="Comma 3 3 3 2 7" xfId="24870" xr:uid="{00000000-0005-0000-0000-0000615F0000}"/>
    <cellStyle name="Comma 3 3 3 2 7 2" xfId="24871" xr:uid="{00000000-0005-0000-0000-0000625F0000}"/>
    <cellStyle name="Comma 3 3 3 2 7 2 2" xfId="24872" xr:uid="{00000000-0005-0000-0000-0000635F0000}"/>
    <cellStyle name="Comma 3 3 3 2 7 2 3" xfId="24873" xr:uid="{00000000-0005-0000-0000-0000645F0000}"/>
    <cellStyle name="Comma 3 3 3 2 7 3" xfId="24874" xr:uid="{00000000-0005-0000-0000-0000655F0000}"/>
    <cellStyle name="Comma 3 3 3 2 7 4" xfId="24875" xr:uid="{00000000-0005-0000-0000-0000665F0000}"/>
    <cellStyle name="Comma 3 3 3 2 7 5" xfId="24876" xr:uid="{00000000-0005-0000-0000-0000675F0000}"/>
    <cellStyle name="Comma 3 3 3 2 7 6" xfId="24877" xr:uid="{00000000-0005-0000-0000-0000685F0000}"/>
    <cellStyle name="Comma 3 3 3 2 8" xfId="24878" xr:uid="{00000000-0005-0000-0000-0000695F0000}"/>
    <cellStyle name="Comma 3 3 3 2 8 2" xfId="24879" xr:uid="{00000000-0005-0000-0000-00006A5F0000}"/>
    <cellStyle name="Comma 3 3 3 2 8 2 2" xfId="24880" xr:uid="{00000000-0005-0000-0000-00006B5F0000}"/>
    <cellStyle name="Comma 3 3 3 2 8 2 3" xfId="24881" xr:uid="{00000000-0005-0000-0000-00006C5F0000}"/>
    <cellStyle name="Comma 3 3 3 2 8 3" xfId="24882" xr:uid="{00000000-0005-0000-0000-00006D5F0000}"/>
    <cellStyle name="Comma 3 3 3 2 8 4" xfId="24883" xr:uid="{00000000-0005-0000-0000-00006E5F0000}"/>
    <cellStyle name="Comma 3 3 3 2 8 5" xfId="24884" xr:uid="{00000000-0005-0000-0000-00006F5F0000}"/>
    <cellStyle name="Comma 3 3 3 2 8 6" xfId="24885" xr:uid="{00000000-0005-0000-0000-0000705F0000}"/>
    <cellStyle name="Comma 3 3 3 2 9" xfId="24886" xr:uid="{00000000-0005-0000-0000-0000715F0000}"/>
    <cellStyle name="Comma 3 3 3 2 9 2" xfId="24887" xr:uid="{00000000-0005-0000-0000-0000725F0000}"/>
    <cellStyle name="Comma 3 3 3 2 9 3" xfId="24888" xr:uid="{00000000-0005-0000-0000-0000735F0000}"/>
    <cellStyle name="Comma 3 3 3 3" xfId="24889" xr:uid="{00000000-0005-0000-0000-0000745F0000}"/>
    <cellStyle name="Comma 3 3 3 3 10" xfId="24890" xr:uid="{00000000-0005-0000-0000-0000755F0000}"/>
    <cellStyle name="Comma 3 3 3 3 2" xfId="24891" xr:uid="{00000000-0005-0000-0000-0000765F0000}"/>
    <cellStyle name="Comma 3 3 3 3 2 2" xfId="24892" xr:uid="{00000000-0005-0000-0000-0000775F0000}"/>
    <cellStyle name="Comma 3 3 3 3 2 2 2" xfId="24893" xr:uid="{00000000-0005-0000-0000-0000785F0000}"/>
    <cellStyle name="Comma 3 3 3 3 2 2 2 2" xfId="24894" xr:uid="{00000000-0005-0000-0000-0000795F0000}"/>
    <cellStyle name="Comma 3 3 3 3 2 2 2 3" xfId="24895" xr:uid="{00000000-0005-0000-0000-00007A5F0000}"/>
    <cellStyle name="Comma 3 3 3 3 2 2 3" xfId="24896" xr:uid="{00000000-0005-0000-0000-00007B5F0000}"/>
    <cellStyle name="Comma 3 3 3 3 2 2 4" xfId="24897" xr:uid="{00000000-0005-0000-0000-00007C5F0000}"/>
    <cellStyle name="Comma 3 3 3 3 2 2 5" xfId="24898" xr:uid="{00000000-0005-0000-0000-00007D5F0000}"/>
    <cellStyle name="Comma 3 3 3 3 2 2 6" xfId="24899" xr:uid="{00000000-0005-0000-0000-00007E5F0000}"/>
    <cellStyle name="Comma 3 3 3 3 2 3" xfId="24900" xr:uid="{00000000-0005-0000-0000-00007F5F0000}"/>
    <cellStyle name="Comma 3 3 3 3 2 3 2" xfId="24901" xr:uid="{00000000-0005-0000-0000-0000805F0000}"/>
    <cellStyle name="Comma 3 3 3 3 2 3 2 2" xfId="24902" xr:uid="{00000000-0005-0000-0000-0000815F0000}"/>
    <cellStyle name="Comma 3 3 3 3 2 3 2 3" xfId="24903" xr:uid="{00000000-0005-0000-0000-0000825F0000}"/>
    <cellStyle name="Comma 3 3 3 3 2 3 3" xfId="24904" xr:uid="{00000000-0005-0000-0000-0000835F0000}"/>
    <cellStyle name="Comma 3 3 3 3 2 3 4" xfId="24905" xr:uid="{00000000-0005-0000-0000-0000845F0000}"/>
    <cellStyle name="Comma 3 3 3 3 2 3 5" xfId="24906" xr:uid="{00000000-0005-0000-0000-0000855F0000}"/>
    <cellStyle name="Comma 3 3 3 3 2 3 6" xfId="24907" xr:uid="{00000000-0005-0000-0000-0000865F0000}"/>
    <cellStyle name="Comma 3 3 3 3 2 4" xfId="24908" xr:uid="{00000000-0005-0000-0000-0000875F0000}"/>
    <cellStyle name="Comma 3 3 3 3 2 4 2" xfId="24909" xr:uid="{00000000-0005-0000-0000-0000885F0000}"/>
    <cellStyle name="Comma 3 3 3 3 2 4 3" xfId="24910" xr:uid="{00000000-0005-0000-0000-0000895F0000}"/>
    <cellStyle name="Comma 3 3 3 3 2 5" xfId="24911" xr:uid="{00000000-0005-0000-0000-00008A5F0000}"/>
    <cellStyle name="Comma 3 3 3 3 2 6" xfId="24912" xr:uid="{00000000-0005-0000-0000-00008B5F0000}"/>
    <cellStyle name="Comma 3 3 3 3 2 7" xfId="24913" xr:uid="{00000000-0005-0000-0000-00008C5F0000}"/>
    <cellStyle name="Comma 3 3 3 3 2 8" xfId="24914" xr:uid="{00000000-0005-0000-0000-00008D5F0000}"/>
    <cellStyle name="Comma 3 3 3 3 3" xfId="24915" xr:uid="{00000000-0005-0000-0000-00008E5F0000}"/>
    <cellStyle name="Comma 3 3 3 3 3 2" xfId="24916" xr:uid="{00000000-0005-0000-0000-00008F5F0000}"/>
    <cellStyle name="Comma 3 3 3 3 3 2 2" xfId="24917" xr:uid="{00000000-0005-0000-0000-0000905F0000}"/>
    <cellStyle name="Comma 3 3 3 3 3 2 2 2" xfId="24918" xr:uid="{00000000-0005-0000-0000-0000915F0000}"/>
    <cellStyle name="Comma 3 3 3 3 3 2 2 3" xfId="24919" xr:uid="{00000000-0005-0000-0000-0000925F0000}"/>
    <cellStyle name="Comma 3 3 3 3 3 2 3" xfId="24920" xr:uid="{00000000-0005-0000-0000-0000935F0000}"/>
    <cellStyle name="Comma 3 3 3 3 3 2 4" xfId="24921" xr:uid="{00000000-0005-0000-0000-0000945F0000}"/>
    <cellStyle name="Comma 3 3 3 3 3 2 5" xfId="24922" xr:uid="{00000000-0005-0000-0000-0000955F0000}"/>
    <cellStyle name="Comma 3 3 3 3 3 2 6" xfId="24923" xr:uid="{00000000-0005-0000-0000-0000965F0000}"/>
    <cellStyle name="Comma 3 3 3 3 3 3" xfId="24924" xr:uid="{00000000-0005-0000-0000-0000975F0000}"/>
    <cellStyle name="Comma 3 3 3 3 3 3 2" xfId="24925" xr:uid="{00000000-0005-0000-0000-0000985F0000}"/>
    <cellStyle name="Comma 3 3 3 3 3 3 3" xfId="24926" xr:uid="{00000000-0005-0000-0000-0000995F0000}"/>
    <cellStyle name="Comma 3 3 3 3 3 4" xfId="24927" xr:uid="{00000000-0005-0000-0000-00009A5F0000}"/>
    <cellStyle name="Comma 3 3 3 3 3 5" xfId="24928" xr:uid="{00000000-0005-0000-0000-00009B5F0000}"/>
    <cellStyle name="Comma 3 3 3 3 3 6" xfId="24929" xr:uid="{00000000-0005-0000-0000-00009C5F0000}"/>
    <cellStyle name="Comma 3 3 3 3 3 7" xfId="24930" xr:uid="{00000000-0005-0000-0000-00009D5F0000}"/>
    <cellStyle name="Comma 3 3 3 3 4" xfId="24931" xr:uid="{00000000-0005-0000-0000-00009E5F0000}"/>
    <cellStyle name="Comma 3 3 3 3 4 2" xfId="24932" xr:uid="{00000000-0005-0000-0000-00009F5F0000}"/>
    <cellStyle name="Comma 3 3 3 3 4 2 2" xfId="24933" xr:uid="{00000000-0005-0000-0000-0000A05F0000}"/>
    <cellStyle name="Comma 3 3 3 3 4 2 3" xfId="24934" xr:uid="{00000000-0005-0000-0000-0000A15F0000}"/>
    <cellStyle name="Comma 3 3 3 3 4 3" xfId="24935" xr:uid="{00000000-0005-0000-0000-0000A25F0000}"/>
    <cellStyle name="Comma 3 3 3 3 4 4" xfId="24936" xr:uid="{00000000-0005-0000-0000-0000A35F0000}"/>
    <cellStyle name="Comma 3 3 3 3 4 5" xfId="24937" xr:uid="{00000000-0005-0000-0000-0000A45F0000}"/>
    <cellStyle name="Comma 3 3 3 3 4 6" xfId="24938" xr:uid="{00000000-0005-0000-0000-0000A55F0000}"/>
    <cellStyle name="Comma 3 3 3 3 5" xfId="24939" xr:uid="{00000000-0005-0000-0000-0000A65F0000}"/>
    <cellStyle name="Comma 3 3 3 3 5 2" xfId="24940" xr:uid="{00000000-0005-0000-0000-0000A75F0000}"/>
    <cellStyle name="Comma 3 3 3 3 5 2 2" xfId="24941" xr:uid="{00000000-0005-0000-0000-0000A85F0000}"/>
    <cellStyle name="Comma 3 3 3 3 5 2 3" xfId="24942" xr:uid="{00000000-0005-0000-0000-0000A95F0000}"/>
    <cellStyle name="Comma 3 3 3 3 5 3" xfId="24943" xr:uid="{00000000-0005-0000-0000-0000AA5F0000}"/>
    <cellStyle name="Comma 3 3 3 3 5 4" xfId="24944" xr:uid="{00000000-0005-0000-0000-0000AB5F0000}"/>
    <cellStyle name="Comma 3 3 3 3 5 5" xfId="24945" xr:uid="{00000000-0005-0000-0000-0000AC5F0000}"/>
    <cellStyle name="Comma 3 3 3 3 5 6" xfId="24946" xr:uid="{00000000-0005-0000-0000-0000AD5F0000}"/>
    <cellStyle name="Comma 3 3 3 3 6" xfId="24947" xr:uid="{00000000-0005-0000-0000-0000AE5F0000}"/>
    <cellStyle name="Comma 3 3 3 3 6 2" xfId="24948" xr:uid="{00000000-0005-0000-0000-0000AF5F0000}"/>
    <cellStyle name="Comma 3 3 3 3 6 3" xfId="24949" xr:uid="{00000000-0005-0000-0000-0000B05F0000}"/>
    <cellStyle name="Comma 3 3 3 3 7" xfId="24950" xr:uid="{00000000-0005-0000-0000-0000B15F0000}"/>
    <cellStyle name="Comma 3 3 3 3 8" xfId="24951" xr:uid="{00000000-0005-0000-0000-0000B25F0000}"/>
    <cellStyle name="Comma 3 3 3 3 9" xfId="24952" xr:uid="{00000000-0005-0000-0000-0000B35F0000}"/>
    <cellStyle name="Comma 3 3 3 4" xfId="24953" xr:uid="{00000000-0005-0000-0000-0000B45F0000}"/>
    <cellStyle name="Comma 3 3 3 4 2" xfId="24954" xr:uid="{00000000-0005-0000-0000-0000B55F0000}"/>
    <cellStyle name="Comma 3 3 3 4 2 2" xfId="24955" xr:uid="{00000000-0005-0000-0000-0000B65F0000}"/>
    <cellStyle name="Comma 3 3 3 4 2 2 2" xfId="24956" xr:uid="{00000000-0005-0000-0000-0000B75F0000}"/>
    <cellStyle name="Comma 3 3 3 4 2 2 2 2" xfId="24957" xr:uid="{00000000-0005-0000-0000-0000B85F0000}"/>
    <cellStyle name="Comma 3 3 3 4 2 2 2 3" xfId="24958" xr:uid="{00000000-0005-0000-0000-0000B95F0000}"/>
    <cellStyle name="Comma 3 3 3 4 2 2 3" xfId="24959" xr:uid="{00000000-0005-0000-0000-0000BA5F0000}"/>
    <cellStyle name="Comma 3 3 3 4 2 2 4" xfId="24960" xr:uid="{00000000-0005-0000-0000-0000BB5F0000}"/>
    <cellStyle name="Comma 3 3 3 4 2 2 5" xfId="24961" xr:uid="{00000000-0005-0000-0000-0000BC5F0000}"/>
    <cellStyle name="Comma 3 3 3 4 2 2 6" xfId="24962" xr:uid="{00000000-0005-0000-0000-0000BD5F0000}"/>
    <cellStyle name="Comma 3 3 3 4 2 3" xfId="24963" xr:uid="{00000000-0005-0000-0000-0000BE5F0000}"/>
    <cellStyle name="Comma 3 3 3 4 2 3 2" xfId="24964" xr:uid="{00000000-0005-0000-0000-0000BF5F0000}"/>
    <cellStyle name="Comma 3 3 3 4 2 3 3" xfId="24965" xr:uid="{00000000-0005-0000-0000-0000C05F0000}"/>
    <cellStyle name="Comma 3 3 3 4 2 4" xfId="24966" xr:uid="{00000000-0005-0000-0000-0000C15F0000}"/>
    <cellStyle name="Comma 3 3 3 4 2 5" xfId="24967" xr:uid="{00000000-0005-0000-0000-0000C25F0000}"/>
    <cellStyle name="Comma 3 3 3 4 2 6" xfId="24968" xr:uid="{00000000-0005-0000-0000-0000C35F0000}"/>
    <cellStyle name="Comma 3 3 3 4 2 7" xfId="24969" xr:uid="{00000000-0005-0000-0000-0000C45F0000}"/>
    <cellStyle name="Comma 3 3 3 4 3" xfId="24970" xr:uid="{00000000-0005-0000-0000-0000C55F0000}"/>
    <cellStyle name="Comma 3 3 3 4 3 2" xfId="24971" xr:uid="{00000000-0005-0000-0000-0000C65F0000}"/>
    <cellStyle name="Comma 3 3 3 4 3 2 2" xfId="24972" xr:uid="{00000000-0005-0000-0000-0000C75F0000}"/>
    <cellStyle name="Comma 3 3 3 4 3 2 3" xfId="24973" xr:uid="{00000000-0005-0000-0000-0000C85F0000}"/>
    <cellStyle name="Comma 3 3 3 4 3 3" xfId="24974" xr:uid="{00000000-0005-0000-0000-0000C95F0000}"/>
    <cellStyle name="Comma 3 3 3 4 3 4" xfId="24975" xr:uid="{00000000-0005-0000-0000-0000CA5F0000}"/>
    <cellStyle name="Comma 3 3 3 4 3 5" xfId="24976" xr:uid="{00000000-0005-0000-0000-0000CB5F0000}"/>
    <cellStyle name="Comma 3 3 3 4 3 6" xfId="24977" xr:uid="{00000000-0005-0000-0000-0000CC5F0000}"/>
    <cellStyle name="Comma 3 3 3 4 4" xfId="24978" xr:uid="{00000000-0005-0000-0000-0000CD5F0000}"/>
    <cellStyle name="Comma 3 3 3 4 4 2" xfId="24979" xr:uid="{00000000-0005-0000-0000-0000CE5F0000}"/>
    <cellStyle name="Comma 3 3 3 4 4 2 2" xfId="24980" xr:uid="{00000000-0005-0000-0000-0000CF5F0000}"/>
    <cellStyle name="Comma 3 3 3 4 4 2 3" xfId="24981" xr:uid="{00000000-0005-0000-0000-0000D05F0000}"/>
    <cellStyle name="Comma 3 3 3 4 4 3" xfId="24982" xr:uid="{00000000-0005-0000-0000-0000D15F0000}"/>
    <cellStyle name="Comma 3 3 3 4 4 4" xfId="24983" xr:uid="{00000000-0005-0000-0000-0000D25F0000}"/>
    <cellStyle name="Comma 3 3 3 4 4 5" xfId="24984" xr:uid="{00000000-0005-0000-0000-0000D35F0000}"/>
    <cellStyle name="Comma 3 3 3 4 4 6" xfId="24985" xr:uid="{00000000-0005-0000-0000-0000D45F0000}"/>
    <cellStyle name="Comma 3 3 3 4 5" xfId="24986" xr:uid="{00000000-0005-0000-0000-0000D55F0000}"/>
    <cellStyle name="Comma 3 3 3 4 5 2" xfId="24987" xr:uid="{00000000-0005-0000-0000-0000D65F0000}"/>
    <cellStyle name="Comma 3 3 3 4 5 3" xfId="24988" xr:uid="{00000000-0005-0000-0000-0000D75F0000}"/>
    <cellStyle name="Comma 3 3 3 4 6" xfId="24989" xr:uid="{00000000-0005-0000-0000-0000D85F0000}"/>
    <cellStyle name="Comma 3 3 3 4 7" xfId="24990" xr:uid="{00000000-0005-0000-0000-0000D95F0000}"/>
    <cellStyle name="Comma 3 3 3 4 8" xfId="24991" xr:uid="{00000000-0005-0000-0000-0000DA5F0000}"/>
    <cellStyle name="Comma 3 3 3 4 9" xfId="24992" xr:uid="{00000000-0005-0000-0000-0000DB5F0000}"/>
    <cellStyle name="Comma 3 3 3 5" xfId="24993" xr:uid="{00000000-0005-0000-0000-0000DC5F0000}"/>
    <cellStyle name="Comma 3 3 3 5 2" xfId="24994" xr:uid="{00000000-0005-0000-0000-0000DD5F0000}"/>
    <cellStyle name="Comma 3 3 3 5 2 2" xfId="24995" xr:uid="{00000000-0005-0000-0000-0000DE5F0000}"/>
    <cellStyle name="Comma 3 3 3 5 2 2 2" xfId="24996" xr:uid="{00000000-0005-0000-0000-0000DF5F0000}"/>
    <cellStyle name="Comma 3 3 3 5 2 2 3" xfId="24997" xr:uid="{00000000-0005-0000-0000-0000E05F0000}"/>
    <cellStyle name="Comma 3 3 3 5 2 3" xfId="24998" xr:uid="{00000000-0005-0000-0000-0000E15F0000}"/>
    <cellStyle name="Comma 3 3 3 5 2 4" xfId="24999" xr:uid="{00000000-0005-0000-0000-0000E25F0000}"/>
    <cellStyle name="Comma 3 3 3 5 2 5" xfId="25000" xr:uid="{00000000-0005-0000-0000-0000E35F0000}"/>
    <cellStyle name="Comma 3 3 3 5 2 6" xfId="25001" xr:uid="{00000000-0005-0000-0000-0000E45F0000}"/>
    <cellStyle name="Comma 3 3 3 5 3" xfId="25002" xr:uid="{00000000-0005-0000-0000-0000E55F0000}"/>
    <cellStyle name="Comma 3 3 3 5 3 2" xfId="25003" xr:uid="{00000000-0005-0000-0000-0000E65F0000}"/>
    <cellStyle name="Comma 3 3 3 5 3 3" xfId="25004" xr:uid="{00000000-0005-0000-0000-0000E75F0000}"/>
    <cellStyle name="Comma 3 3 3 5 4" xfId="25005" xr:uid="{00000000-0005-0000-0000-0000E85F0000}"/>
    <cellStyle name="Comma 3 3 3 5 5" xfId="25006" xr:uid="{00000000-0005-0000-0000-0000E95F0000}"/>
    <cellStyle name="Comma 3 3 3 5 6" xfId="25007" xr:uid="{00000000-0005-0000-0000-0000EA5F0000}"/>
    <cellStyle name="Comma 3 3 3 5 7" xfId="25008" xr:uid="{00000000-0005-0000-0000-0000EB5F0000}"/>
    <cellStyle name="Comma 3 3 3 6" xfId="25009" xr:uid="{00000000-0005-0000-0000-0000EC5F0000}"/>
    <cellStyle name="Comma 3 3 3 6 2" xfId="25010" xr:uid="{00000000-0005-0000-0000-0000ED5F0000}"/>
    <cellStyle name="Comma 3 3 3 6 2 2" xfId="25011" xr:uid="{00000000-0005-0000-0000-0000EE5F0000}"/>
    <cellStyle name="Comma 3 3 3 6 2 3" xfId="25012" xr:uid="{00000000-0005-0000-0000-0000EF5F0000}"/>
    <cellStyle name="Comma 3 3 3 6 3" xfId="25013" xr:uid="{00000000-0005-0000-0000-0000F05F0000}"/>
    <cellStyle name="Comma 3 3 3 6 4" xfId="25014" xr:uid="{00000000-0005-0000-0000-0000F15F0000}"/>
    <cellStyle name="Comma 3 3 3 6 5" xfId="25015" xr:uid="{00000000-0005-0000-0000-0000F25F0000}"/>
    <cellStyle name="Comma 3 3 3 6 6" xfId="25016" xr:uid="{00000000-0005-0000-0000-0000F35F0000}"/>
    <cellStyle name="Comma 3 3 3 7" xfId="25017" xr:uid="{00000000-0005-0000-0000-0000F45F0000}"/>
    <cellStyle name="Comma 3 3 3 7 2" xfId="25018" xr:uid="{00000000-0005-0000-0000-0000F55F0000}"/>
    <cellStyle name="Comma 3 3 3 7 2 2" xfId="25019" xr:uid="{00000000-0005-0000-0000-0000F65F0000}"/>
    <cellStyle name="Comma 3 3 3 7 2 3" xfId="25020" xr:uid="{00000000-0005-0000-0000-0000F75F0000}"/>
    <cellStyle name="Comma 3 3 3 7 3" xfId="25021" xr:uid="{00000000-0005-0000-0000-0000F85F0000}"/>
    <cellStyle name="Comma 3 3 3 7 4" xfId="25022" xr:uid="{00000000-0005-0000-0000-0000F95F0000}"/>
    <cellStyle name="Comma 3 3 3 7 5" xfId="25023" xr:uid="{00000000-0005-0000-0000-0000FA5F0000}"/>
    <cellStyle name="Comma 3 3 3 7 6" xfId="25024" xr:uid="{00000000-0005-0000-0000-0000FB5F0000}"/>
    <cellStyle name="Comma 3 3 3 8" xfId="25025" xr:uid="{00000000-0005-0000-0000-0000FC5F0000}"/>
    <cellStyle name="Comma 3 3 3 8 2" xfId="25026" xr:uid="{00000000-0005-0000-0000-0000FD5F0000}"/>
    <cellStyle name="Comma 3 3 3 8 2 2" xfId="25027" xr:uid="{00000000-0005-0000-0000-0000FE5F0000}"/>
    <cellStyle name="Comma 3 3 3 8 2 3" xfId="25028" xr:uid="{00000000-0005-0000-0000-0000FF5F0000}"/>
    <cellStyle name="Comma 3 3 3 8 3" xfId="25029" xr:uid="{00000000-0005-0000-0000-000000600000}"/>
    <cellStyle name="Comma 3 3 3 8 4" xfId="25030" xr:uid="{00000000-0005-0000-0000-000001600000}"/>
    <cellStyle name="Comma 3 3 3 8 5" xfId="25031" xr:uid="{00000000-0005-0000-0000-000002600000}"/>
    <cellStyle name="Comma 3 3 3 8 6" xfId="25032" xr:uid="{00000000-0005-0000-0000-000003600000}"/>
    <cellStyle name="Comma 3 3 3 9" xfId="25033" xr:uid="{00000000-0005-0000-0000-000004600000}"/>
    <cellStyle name="Comma 3 3 3 9 2" xfId="25034" xr:uid="{00000000-0005-0000-0000-000005600000}"/>
    <cellStyle name="Comma 3 3 3 9 2 2" xfId="25035" xr:uid="{00000000-0005-0000-0000-000006600000}"/>
    <cellStyle name="Comma 3 3 3 9 2 3" xfId="25036" xr:uid="{00000000-0005-0000-0000-000007600000}"/>
    <cellStyle name="Comma 3 3 3 9 3" xfId="25037" xr:uid="{00000000-0005-0000-0000-000008600000}"/>
    <cellStyle name="Comma 3 3 3 9 4" xfId="25038" xr:uid="{00000000-0005-0000-0000-000009600000}"/>
    <cellStyle name="Comma 3 3 3 9 5" xfId="25039" xr:uid="{00000000-0005-0000-0000-00000A600000}"/>
    <cellStyle name="Comma 3 3 3 9 6" xfId="25040" xr:uid="{00000000-0005-0000-0000-00000B600000}"/>
    <cellStyle name="Comma 3 3 4" xfId="25041" xr:uid="{00000000-0005-0000-0000-00000C600000}"/>
    <cellStyle name="Comma 3 3 4 10" xfId="25042" xr:uid="{00000000-0005-0000-0000-00000D600000}"/>
    <cellStyle name="Comma 3 3 4 11" xfId="25043" xr:uid="{00000000-0005-0000-0000-00000E600000}"/>
    <cellStyle name="Comma 3 3 4 12" xfId="25044" xr:uid="{00000000-0005-0000-0000-00000F600000}"/>
    <cellStyle name="Comma 3 3 4 13" xfId="25045" xr:uid="{00000000-0005-0000-0000-000010600000}"/>
    <cellStyle name="Comma 3 3 4 2" xfId="25046" xr:uid="{00000000-0005-0000-0000-000011600000}"/>
    <cellStyle name="Comma 3 3 4 2 10" xfId="25047" xr:uid="{00000000-0005-0000-0000-000012600000}"/>
    <cellStyle name="Comma 3 3 4 2 2" xfId="25048" xr:uid="{00000000-0005-0000-0000-000013600000}"/>
    <cellStyle name="Comma 3 3 4 2 2 2" xfId="25049" xr:uid="{00000000-0005-0000-0000-000014600000}"/>
    <cellStyle name="Comma 3 3 4 2 2 2 2" xfId="25050" xr:uid="{00000000-0005-0000-0000-000015600000}"/>
    <cellStyle name="Comma 3 3 4 2 2 2 2 2" xfId="25051" xr:uid="{00000000-0005-0000-0000-000016600000}"/>
    <cellStyle name="Comma 3 3 4 2 2 2 2 3" xfId="25052" xr:uid="{00000000-0005-0000-0000-000017600000}"/>
    <cellStyle name="Comma 3 3 4 2 2 2 3" xfId="25053" xr:uid="{00000000-0005-0000-0000-000018600000}"/>
    <cellStyle name="Comma 3 3 4 2 2 2 4" xfId="25054" xr:uid="{00000000-0005-0000-0000-000019600000}"/>
    <cellStyle name="Comma 3 3 4 2 2 2 5" xfId="25055" xr:uid="{00000000-0005-0000-0000-00001A600000}"/>
    <cellStyle name="Comma 3 3 4 2 2 2 6" xfId="25056" xr:uid="{00000000-0005-0000-0000-00001B600000}"/>
    <cellStyle name="Comma 3 3 4 2 2 3" xfId="25057" xr:uid="{00000000-0005-0000-0000-00001C600000}"/>
    <cellStyle name="Comma 3 3 4 2 2 3 2" xfId="25058" xr:uid="{00000000-0005-0000-0000-00001D600000}"/>
    <cellStyle name="Comma 3 3 4 2 2 3 2 2" xfId="25059" xr:uid="{00000000-0005-0000-0000-00001E600000}"/>
    <cellStyle name="Comma 3 3 4 2 2 3 2 3" xfId="25060" xr:uid="{00000000-0005-0000-0000-00001F600000}"/>
    <cellStyle name="Comma 3 3 4 2 2 3 3" xfId="25061" xr:uid="{00000000-0005-0000-0000-000020600000}"/>
    <cellStyle name="Comma 3 3 4 2 2 3 4" xfId="25062" xr:uid="{00000000-0005-0000-0000-000021600000}"/>
    <cellStyle name="Comma 3 3 4 2 2 3 5" xfId="25063" xr:uid="{00000000-0005-0000-0000-000022600000}"/>
    <cellStyle name="Comma 3 3 4 2 2 3 6" xfId="25064" xr:uid="{00000000-0005-0000-0000-000023600000}"/>
    <cellStyle name="Comma 3 3 4 2 2 4" xfId="25065" xr:uid="{00000000-0005-0000-0000-000024600000}"/>
    <cellStyle name="Comma 3 3 4 2 2 4 2" xfId="25066" xr:uid="{00000000-0005-0000-0000-000025600000}"/>
    <cellStyle name="Comma 3 3 4 2 2 4 3" xfId="25067" xr:uid="{00000000-0005-0000-0000-000026600000}"/>
    <cellStyle name="Comma 3 3 4 2 2 5" xfId="25068" xr:uid="{00000000-0005-0000-0000-000027600000}"/>
    <cellStyle name="Comma 3 3 4 2 2 6" xfId="25069" xr:uid="{00000000-0005-0000-0000-000028600000}"/>
    <cellStyle name="Comma 3 3 4 2 2 7" xfId="25070" xr:uid="{00000000-0005-0000-0000-000029600000}"/>
    <cellStyle name="Comma 3 3 4 2 2 8" xfId="25071" xr:uid="{00000000-0005-0000-0000-00002A600000}"/>
    <cellStyle name="Comma 3 3 4 2 3" xfId="25072" xr:uid="{00000000-0005-0000-0000-00002B600000}"/>
    <cellStyle name="Comma 3 3 4 2 3 2" xfId="25073" xr:uid="{00000000-0005-0000-0000-00002C600000}"/>
    <cellStyle name="Comma 3 3 4 2 3 2 2" xfId="25074" xr:uid="{00000000-0005-0000-0000-00002D600000}"/>
    <cellStyle name="Comma 3 3 4 2 3 2 2 2" xfId="25075" xr:uid="{00000000-0005-0000-0000-00002E600000}"/>
    <cellStyle name="Comma 3 3 4 2 3 2 2 3" xfId="25076" xr:uid="{00000000-0005-0000-0000-00002F600000}"/>
    <cellStyle name="Comma 3 3 4 2 3 2 3" xfId="25077" xr:uid="{00000000-0005-0000-0000-000030600000}"/>
    <cellStyle name="Comma 3 3 4 2 3 2 4" xfId="25078" xr:uid="{00000000-0005-0000-0000-000031600000}"/>
    <cellStyle name="Comma 3 3 4 2 3 2 5" xfId="25079" xr:uid="{00000000-0005-0000-0000-000032600000}"/>
    <cellStyle name="Comma 3 3 4 2 3 2 6" xfId="25080" xr:uid="{00000000-0005-0000-0000-000033600000}"/>
    <cellStyle name="Comma 3 3 4 2 3 3" xfId="25081" xr:uid="{00000000-0005-0000-0000-000034600000}"/>
    <cellStyle name="Comma 3 3 4 2 3 3 2" xfId="25082" xr:uid="{00000000-0005-0000-0000-000035600000}"/>
    <cellStyle name="Comma 3 3 4 2 3 3 3" xfId="25083" xr:uid="{00000000-0005-0000-0000-000036600000}"/>
    <cellStyle name="Comma 3 3 4 2 3 4" xfId="25084" xr:uid="{00000000-0005-0000-0000-000037600000}"/>
    <cellStyle name="Comma 3 3 4 2 3 5" xfId="25085" xr:uid="{00000000-0005-0000-0000-000038600000}"/>
    <cellStyle name="Comma 3 3 4 2 3 6" xfId="25086" xr:uid="{00000000-0005-0000-0000-000039600000}"/>
    <cellStyle name="Comma 3 3 4 2 3 7" xfId="25087" xr:uid="{00000000-0005-0000-0000-00003A600000}"/>
    <cellStyle name="Comma 3 3 4 2 4" xfId="25088" xr:uid="{00000000-0005-0000-0000-00003B600000}"/>
    <cellStyle name="Comma 3 3 4 2 4 2" xfId="25089" xr:uid="{00000000-0005-0000-0000-00003C600000}"/>
    <cellStyle name="Comma 3 3 4 2 4 2 2" xfId="25090" xr:uid="{00000000-0005-0000-0000-00003D600000}"/>
    <cellStyle name="Comma 3 3 4 2 4 2 3" xfId="25091" xr:uid="{00000000-0005-0000-0000-00003E600000}"/>
    <cellStyle name="Comma 3 3 4 2 4 3" xfId="25092" xr:uid="{00000000-0005-0000-0000-00003F600000}"/>
    <cellStyle name="Comma 3 3 4 2 4 4" xfId="25093" xr:uid="{00000000-0005-0000-0000-000040600000}"/>
    <cellStyle name="Comma 3 3 4 2 4 5" xfId="25094" xr:uid="{00000000-0005-0000-0000-000041600000}"/>
    <cellStyle name="Comma 3 3 4 2 4 6" xfId="25095" xr:uid="{00000000-0005-0000-0000-000042600000}"/>
    <cellStyle name="Comma 3 3 4 2 5" xfId="25096" xr:uid="{00000000-0005-0000-0000-000043600000}"/>
    <cellStyle name="Comma 3 3 4 2 5 2" xfId="25097" xr:uid="{00000000-0005-0000-0000-000044600000}"/>
    <cellStyle name="Comma 3 3 4 2 5 2 2" xfId="25098" xr:uid="{00000000-0005-0000-0000-000045600000}"/>
    <cellStyle name="Comma 3 3 4 2 5 2 3" xfId="25099" xr:uid="{00000000-0005-0000-0000-000046600000}"/>
    <cellStyle name="Comma 3 3 4 2 5 3" xfId="25100" xr:uid="{00000000-0005-0000-0000-000047600000}"/>
    <cellStyle name="Comma 3 3 4 2 5 4" xfId="25101" xr:uid="{00000000-0005-0000-0000-000048600000}"/>
    <cellStyle name="Comma 3 3 4 2 5 5" xfId="25102" xr:uid="{00000000-0005-0000-0000-000049600000}"/>
    <cellStyle name="Comma 3 3 4 2 5 6" xfId="25103" xr:uid="{00000000-0005-0000-0000-00004A600000}"/>
    <cellStyle name="Comma 3 3 4 2 6" xfId="25104" xr:uid="{00000000-0005-0000-0000-00004B600000}"/>
    <cellStyle name="Comma 3 3 4 2 6 2" xfId="25105" xr:uid="{00000000-0005-0000-0000-00004C600000}"/>
    <cellStyle name="Comma 3 3 4 2 6 3" xfId="25106" xr:uid="{00000000-0005-0000-0000-00004D600000}"/>
    <cellStyle name="Comma 3 3 4 2 7" xfId="25107" xr:uid="{00000000-0005-0000-0000-00004E600000}"/>
    <cellStyle name="Comma 3 3 4 2 8" xfId="25108" xr:uid="{00000000-0005-0000-0000-00004F600000}"/>
    <cellStyle name="Comma 3 3 4 2 9" xfId="25109" xr:uid="{00000000-0005-0000-0000-000050600000}"/>
    <cellStyle name="Comma 3 3 4 3" xfId="25110" xr:uid="{00000000-0005-0000-0000-000051600000}"/>
    <cellStyle name="Comma 3 3 4 3 2" xfId="25111" xr:uid="{00000000-0005-0000-0000-000052600000}"/>
    <cellStyle name="Comma 3 3 4 3 2 2" xfId="25112" xr:uid="{00000000-0005-0000-0000-000053600000}"/>
    <cellStyle name="Comma 3 3 4 3 2 2 2" xfId="25113" xr:uid="{00000000-0005-0000-0000-000054600000}"/>
    <cellStyle name="Comma 3 3 4 3 2 2 2 2" xfId="25114" xr:uid="{00000000-0005-0000-0000-000055600000}"/>
    <cellStyle name="Comma 3 3 4 3 2 2 2 3" xfId="25115" xr:uid="{00000000-0005-0000-0000-000056600000}"/>
    <cellStyle name="Comma 3 3 4 3 2 2 3" xfId="25116" xr:uid="{00000000-0005-0000-0000-000057600000}"/>
    <cellStyle name="Comma 3 3 4 3 2 2 4" xfId="25117" xr:uid="{00000000-0005-0000-0000-000058600000}"/>
    <cellStyle name="Comma 3 3 4 3 2 2 5" xfId="25118" xr:uid="{00000000-0005-0000-0000-000059600000}"/>
    <cellStyle name="Comma 3 3 4 3 2 2 6" xfId="25119" xr:uid="{00000000-0005-0000-0000-00005A600000}"/>
    <cellStyle name="Comma 3 3 4 3 2 3" xfId="25120" xr:uid="{00000000-0005-0000-0000-00005B600000}"/>
    <cellStyle name="Comma 3 3 4 3 2 3 2" xfId="25121" xr:uid="{00000000-0005-0000-0000-00005C600000}"/>
    <cellStyle name="Comma 3 3 4 3 2 3 3" xfId="25122" xr:uid="{00000000-0005-0000-0000-00005D600000}"/>
    <cellStyle name="Comma 3 3 4 3 2 4" xfId="25123" xr:uid="{00000000-0005-0000-0000-00005E600000}"/>
    <cellStyle name="Comma 3 3 4 3 2 5" xfId="25124" xr:uid="{00000000-0005-0000-0000-00005F600000}"/>
    <cellStyle name="Comma 3 3 4 3 2 6" xfId="25125" xr:uid="{00000000-0005-0000-0000-000060600000}"/>
    <cellStyle name="Comma 3 3 4 3 2 7" xfId="25126" xr:uid="{00000000-0005-0000-0000-000061600000}"/>
    <cellStyle name="Comma 3 3 4 3 3" xfId="25127" xr:uid="{00000000-0005-0000-0000-000062600000}"/>
    <cellStyle name="Comma 3 3 4 3 3 2" xfId="25128" xr:uid="{00000000-0005-0000-0000-000063600000}"/>
    <cellStyle name="Comma 3 3 4 3 3 2 2" xfId="25129" xr:uid="{00000000-0005-0000-0000-000064600000}"/>
    <cellStyle name="Comma 3 3 4 3 3 2 3" xfId="25130" xr:uid="{00000000-0005-0000-0000-000065600000}"/>
    <cellStyle name="Comma 3 3 4 3 3 3" xfId="25131" xr:uid="{00000000-0005-0000-0000-000066600000}"/>
    <cellStyle name="Comma 3 3 4 3 3 4" xfId="25132" xr:uid="{00000000-0005-0000-0000-000067600000}"/>
    <cellStyle name="Comma 3 3 4 3 3 5" xfId="25133" xr:uid="{00000000-0005-0000-0000-000068600000}"/>
    <cellStyle name="Comma 3 3 4 3 3 6" xfId="25134" xr:uid="{00000000-0005-0000-0000-000069600000}"/>
    <cellStyle name="Comma 3 3 4 3 4" xfId="25135" xr:uid="{00000000-0005-0000-0000-00006A600000}"/>
    <cellStyle name="Comma 3 3 4 3 4 2" xfId="25136" xr:uid="{00000000-0005-0000-0000-00006B600000}"/>
    <cellStyle name="Comma 3 3 4 3 4 2 2" xfId="25137" xr:uid="{00000000-0005-0000-0000-00006C600000}"/>
    <cellStyle name="Comma 3 3 4 3 4 2 3" xfId="25138" xr:uid="{00000000-0005-0000-0000-00006D600000}"/>
    <cellStyle name="Comma 3 3 4 3 4 3" xfId="25139" xr:uid="{00000000-0005-0000-0000-00006E600000}"/>
    <cellStyle name="Comma 3 3 4 3 4 4" xfId="25140" xr:uid="{00000000-0005-0000-0000-00006F600000}"/>
    <cellStyle name="Comma 3 3 4 3 4 5" xfId="25141" xr:uid="{00000000-0005-0000-0000-000070600000}"/>
    <cellStyle name="Comma 3 3 4 3 4 6" xfId="25142" xr:uid="{00000000-0005-0000-0000-000071600000}"/>
    <cellStyle name="Comma 3 3 4 3 5" xfId="25143" xr:uid="{00000000-0005-0000-0000-000072600000}"/>
    <cellStyle name="Comma 3 3 4 3 5 2" xfId="25144" xr:uid="{00000000-0005-0000-0000-000073600000}"/>
    <cellStyle name="Comma 3 3 4 3 5 3" xfId="25145" xr:uid="{00000000-0005-0000-0000-000074600000}"/>
    <cellStyle name="Comma 3 3 4 3 6" xfId="25146" xr:uid="{00000000-0005-0000-0000-000075600000}"/>
    <cellStyle name="Comma 3 3 4 3 7" xfId="25147" xr:uid="{00000000-0005-0000-0000-000076600000}"/>
    <cellStyle name="Comma 3 3 4 3 8" xfId="25148" xr:uid="{00000000-0005-0000-0000-000077600000}"/>
    <cellStyle name="Comma 3 3 4 3 9" xfId="25149" xr:uid="{00000000-0005-0000-0000-000078600000}"/>
    <cellStyle name="Comma 3 3 4 4" xfId="25150" xr:uid="{00000000-0005-0000-0000-000079600000}"/>
    <cellStyle name="Comma 3 3 4 4 2" xfId="25151" xr:uid="{00000000-0005-0000-0000-00007A600000}"/>
    <cellStyle name="Comma 3 3 4 4 2 2" xfId="25152" xr:uid="{00000000-0005-0000-0000-00007B600000}"/>
    <cellStyle name="Comma 3 3 4 4 2 2 2" xfId="25153" xr:uid="{00000000-0005-0000-0000-00007C600000}"/>
    <cellStyle name="Comma 3 3 4 4 2 2 3" xfId="25154" xr:uid="{00000000-0005-0000-0000-00007D600000}"/>
    <cellStyle name="Comma 3 3 4 4 2 3" xfId="25155" xr:uid="{00000000-0005-0000-0000-00007E600000}"/>
    <cellStyle name="Comma 3 3 4 4 2 4" xfId="25156" xr:uid="{00000000-0005-0000-0000-00007F600000}"/>
    <cellStyle name="Comma 3 3 4 4 2 5" xfId="25157" xr:uid="{00000000-0005-0000-0000-000080600000}"/>
    <cellStyle name="Comma 3 3 4 4 2 6" xfId="25158" xr:uid="{00000000-0005-0000-0000-000081600000}"/>
    <cellStyle name="Comma 3 3 4 4 3" xfId="25159" xr:uid="{00000000-0005-0000-0000-000082600000}"/>
    <cellStyle name="Comma 3 3 4 4 3 2" xfId="25160" xr:uid="{00000000-0005-0000-0000-000083600000}"/>
    <cellStyle name="Comma 3 3 4 4 3 3" xfId="25161" xr:uid="{00000000-0005-0000-0000-000084600000}"/>
    <cellStyle name="Comma 3 3 4 4 4" xfId="25162" xr:uid="{00000000-0005-0000-0000-000085600000}"/>
    <cellStyle name="Comma 3 3 4 4 5" xfId="25163" xr:uid="{00000000-0005-0000-0000-000086600000}"/>
    <cellStyle name="Comma 3 3 4 4 6" xfId="25164" xr:uid="{00000000-0005-0000-0000-000087600000}"/>
    <cellStyle name="Comma 3 3 4 4 7" xfId="25165" xr:uid="{00000000-0005-0000-0000-000088600000}"/>
    <cellStyle name="Comma 3 3 4 5" xfId="25166" xr:uid="{00000000-0005-0000-0000-000089600000}"/>
    <cellStyle name="Comma 3 3 4 5 2" xfId="25167" xr:uid="{00000000-0005-0000-0000-00008A600000}"/>
    <cellStyle name="Comma 3 3 4 5 2 2" xfId="25168" xr:uid="{00000000-0005-0000-0000-00008B600000}"/>
    <cellStyle name="Comma 3 3 4 5 2 3" xfId="25169" xr:uid="{00000000-0005-0000-0000-00008C600000}"/>
    <cellStyle name="Comma 3 3 4 5 3" xfId="25170" xr:uid="{00000000-0005-0000-0000-00008D600000}"/>
    <cellStyle name="Comma 3 3 4 5 4" xfId="25171" xr:uid="{00000000-0005-0000-0000-00008E600000}"/>
    <cellStyle name="Comma 3 3 4 5 5" xfId="25172" xr:uid="{00000000-0005-0000-0000-00008F600000}"/>
    <cellStyle name="Comma 3 3 4 5 6" xfId="25173" xr:uid="{00000000-0005-0000-0000-000090600000}"/>
    <cellStyle name="Comma 3 3 4 6" xfId="25174" xr:uid="{00000000-0005-0000-0000-000091600000}"/>
    <cellStyle name="Comma 3 3 4 6 2" xfId="25175" xr:uid="{00000000-0005-0000-0000-000092600000}"/>
    <cellStyle name="Comma 3 3 4 6 2 2" xfId="25176" xr:uid="{00000000-0005-0000-0000-000093600000}"/>
    <cellStyle name="Comma 3 3 4 6 2 3" xfId="25177" xr:uid="{00000000-0005-0000-0000-000094600000}"/>
    <cellStyle name="Comma 3 3 4 6 3" xfId="25178" xr:uid="{00000000-0005-0000-0000-000095600000}"/>
    <cellStyle name="Comma 3 3 4 6 4" xfId="25179" xr:uid="{00000000-0005-0000-0000-000096600000}"/>
    <cellStyle name="Comma 3 3 4 6 5" xfId="25180" xr:uid="{00000000-0005-0000-0000-000097600000}"/>
    <cellStyle name="Comma 3 3 4 6 6" xfId="25181" xr:uid="{00000000-0005-0000-0000-000098600000}"/>
    <cellStyle name="Comma 3 3 4 7" xfId="25182" xr:uid="{00000000-0005-0000-0000-000099600000}"/>
    <cellStyle name="Comma 3 3 4 7 2" xfId="25183" xr:uid="{00000000-0005-0000-0000-00009A600000}"/>
    <cellStyle name="Comma 3 3 4 7 2 2" xfId="25184" xr:uid="{00000000-0005-0000-0000-00009B600000}"/>
    <cellStyle name="Comma 3 3 4 7 2 3" xfId="25185" xr:uid="{00000000-0005-0000-0000-00009C600000}"/>
    <cellStyle name="Comma 3 3 4 7 3" xfId="25186" xr:uid="{00000000-0005-0000-0000-00009D600000}"/>
    <cellStyle name="Comma 3 3 4 7 4" xfId="25187" xr:uid="{00000000-0005-0000-0000-00009E600000}"/>
    <cellStyle name="Comma 3 3 4 7 5" xfId="25188" xr:uid="{00000000-0005-0000-0000-00009F600000}"/>
    <cellStyle name="Comma 3 3 4 7 6" xfId="25189" xr:uid="{00000000-0005-0000-0000-0000A0600000}"/>
    <cellStyle name="Comma 3 3 4 8" xfId="25190" xr:uid="{00000000-0005-0000-0000-0000A1600000}"/>
    <cellStyle name="Comma 3 3 4 8 2" xfId="25191" xr:uid="{00000000-0005-0000-0000-0000A2600000}"/>
    <cellStyle name="Comma 3 3 4 8 2 2" xfId="25192" xr:uid="{00000000-0005-0000-0000-0000A3600000}"/>
    <cellStyle name="Comma 3 3 4 8 2 3" xfId="25193" xr:uid="{00000000-0005-0000-0000-0000A4600000}"/>
    <cellStyle name="Comma 3 3 4 8 3" xfId="25194" xr:uid="{00000000-0005-0000-0000-0000A5600000}"/>
    <cellStyle name="Comma 3 3 4 8 4" xfId="25195" xr:uid="{00000000-0005-0000-0000-0000A6600000}"/>
    <cellStyle name="Comma 3 3 4 8 5" xfId="25196" xr:uid="{00000000-0005-0000-0000-0000A7600000}"/>
    <cellStyle name="Comma 3 3 4 8 6" xfId="25197" xr:uid="{00000000-0005-0000-0000-0000A8600000}"/>
    <cellStyle name="Comma 3 3 4 9" xfId="25198" xr:uid="{00000000-0005-0000-0000-0000A9600000}"/>
    <cellStyle name="Comma 3 3 4 9 2" xfId="25199" xr:uid="{00000000-0005-0000-0000-0000AA600000}"/>
    <cellStyle name="Comma 3 3 4 9 3" xfId="25200" xr:uid="{00000000-0005-0000-0000-0000AB600000}"/>
    <cellStyle name="Comma 3 3 5" xfId="25201" xr:uid="{00000000-0005-0000-0000-0000AC600000}"/>
    <cellStyle name="Comma 3 3 5 10" xfId="25202" xr:uid="{00000000-0005-0000-0000-0000AD600000}"/>
    <cellStyle name="Comma 3 3 5 2" xfId="25203" xr:uid="{00000000-0005-0000-0000-0000AE600000}"/>
    <cellStyle name="Comma 3 3 5 2 2" xfId="25204" xr:uid="{00000000-0005-0000-0000-0000AF600000}"/>
    <cellStyle name="Comma 3 3 5 2 2 2" xfId="25205" xr:uid="{00000000-0005-0000-0000-0000B0600000}"/>
    <cellStyle name="Comma 3 3 5 2 2 2 2" xfId="25206" xr:uid="{00000000-0005-0000-0000-0000B1600000}"/>
    <cellStyle name="Comma 3 3 5 2 2 2 3" xfId="25207" xr:uid="{00000000-0005-0000-0000-0000B2600000}"/>
    <cellStyle name="Comma 3 3 5 2 2 3" xfId="25208" xr:uid="{00000000-0005-0000-0000-0000B3600000}"/>
    <cellStyle name="Comma 3 3 5 2 2 4" xfId="25209" xr:uid="{00000000-0005-0000-0000-0000B4600000}"/>
    <cellStyle name="Comma 3 3 5 2 2 5" xfId="25210" xr:uid="{00000000-0005-0000-0000-0000B5600000}"/>
    <cellStyle name="Comma 3 3 5 2 2 6" xfId="25211" xr:uid="{00000000-0005-0000-0000-0000B6600000}"/>
    <cellStyle name="Comma 3 3 5 2 3" xfId="25212" xr:uid="{00000000-0005-0000-0000-0000B7600000}"/>
    <cellStyle name="Comma 3 3 5 2 3 2" xfId="25213" xr:uid="{00000000-0005-0000-0000-0000B8600000}"/>
    <cellStyle name="Comma 3 3 5 2 3 2 2" xfId="25214" xr:uid="{00000000-0005-0000-0000-0000B9600000}"/>
    <cellStyle name="Comma 3 3 5 2 3 2 3" xfId="25215" xr:uid="{00000000-0005-0000-0000-0000BA600000}"/>
    <cellStyle name="Comma 3 3 5 2 3 3" xfId="25216" xr:uid="{00000000-0005-0000-0000-0000BB600000}"/>
    <cellStyle name="Comma 3 3 5 2 3 4" xfId="25217" xr:uid="{00000000-0005-0000-0000-0000BC600000}"/>
    <cellStyle name="Comma 3 3 5 2 3 5" xfId="25218" xr:uid="{00000000-0005-0000-0000-0000BD600000}"/>
    <cellStyle name="Comma 3 3 5 2 3 6" xfId="25219" xr:uid="{00000000-0005-0000-0000-0000BE600000}"/>
    <cellStyle name="Comma 3 3 5 2 4" xfId="25220" xr:uid="{00000000-0005-0000-0000-0000BF600000}"/>
    <cellStyle name="Comma 3 3 5 2 4 2" xfId="25221" xr:uid="{00000000-0005-0000-0000-0000C0600000}"/>
    <cellStyle name="Comma 3 3 5 2 4 3" xfId="25222" xr:uid="{00000000-0005-0000-0000-0000C1600000}"/>
    <cellStyle name="Comma 3 3 5 2 5" xfId="25223" xr:uid="{00000000-0005-0000-0000-0000C2600000}"/>
    <cellStyle name="Comma 3 3 5 2 6" xfId="25224" xr:uid="{00000000-0005-0000-0000-0000C3600000}"/>
    <cellStyle name="Comma 3 3 5 2 7" xfId="25225" xr:uid="{00000000-0005-0000-0000-0000C4600000}"/>
    <cellStyle name="Comma 3 3 5 2 8" xfId="25226" xr:uid="{00000000-0005-0000-0000-0000C5600000}"/>
    <cellStyle name="Comma 3 3 5 3" xfId="25227" xr:uid="{00000000-0005-0000-0000-0000C6600000}"/>
    <cellStyle name="Comma 3 3 5 3 2" xfId="25228" xr:uid="{00000000-0005-0000-0000-0000C7600000}"/>
    <cellStyle name="Comma 3 3 5 3 2 2" xfId="25229" xr:uid="{00000000-0005-0000-0000-0000C8600000}"/>
    <cellStyle name="Comma 3 3 5 3 2 2 2" xfId="25230" xr:uid="{00000000-0005-0000-0000-0000C9600000}"/>
    <cellStyle name="Comma 3 3 5 3 2 2 3" xfId="25231" xr:uid="{00000000-0005-0000-0000-0000CA600000}"/>
    <cellStyle name="Comma 3 3 5 3 2 3" xfId="25232" xr:uid="{00000000-0005-0000-0000-0000CB600000}"/>
    <cellStyle name="Comma 3 3 5 3 2 4" xfId="25233" xr:uid="{00000000-0005-0000-0000-0000CC600000}"/>
    <cellStyle name="Comma 3 3 5 3 2 5" xfId="25234" xr:uid="{00000000-0005-0000-0000-0000CD600000}"/>
    <cellStyle name="Comma 3 3 5 3 2 6" xfId="25235" xr:uid="{00000000-0005-0000-0000-0000CE600000}"/>
    <cellStyle name="Comma 3 3 5 3 3" xfId="25236" xr:uid="{00000000-0005-0000-0000-0000CF600000}"/>
    <cellStyle name="Comma 3 3 5 3 3 2" xfId="25237" xr:uid="{00000000-0005-0000-0000-0000D0600000}"/>
    <cellStyle name="Comma 3 3 5 3 3 3" xfId="25238" xr:uid="{00000000-0005-0000-0000-0000D1600000}"/>
    <cellStyle name="Comma 3 3 5 3 4" xfId="25239" xr:uid="{00000000-0005-0000-0000-0000D2600000}"/>
    <cellStyle name="Comma 3 3 5 3 5" xfId="25240" xr:uid="{00000000-0005-0000-0000-0000D3600000}"/>
    <cellStyle name="Comma 3 3 5 3 6" xfId="25241" xr:uid="{00000000-0005-0000-0000-0000D4600000}"/>
    <cellStyle name="Comma 3 3 5 3 7" xfId="25242" xr:uid="{00000000-0005-0000-0000-0000D5600000}"/>
    <cellStyle name="Comma 3 3 5 4" xfId="25243" xr:uid="{00000000-0005-0000-0000-0000D6600000}"/>
    <cellStyle name="Comma 3 3 5 4 2" xfId="25244" xr:uid="{00000000-0005-0000-0000-0000D7600000}"/>
    <cellStyle name="Comma 3 3 5 4 2 2" xfId="25245" xr:uid="{00000000-0005-0000-0000-0000D8600000}"/>
    <cellStyle name="Comma 3 3 5 4 2 3" xfId="25246" xr:uid="{00000000-0005-0000-0000-0000D9600000}"/>
    <cellStyle name="Comma 3 3 5 4 3" xfId="25247" xr:uid="{00000000-0005-0000-0000-0000DA600000}"/>
    <cellStyle name="Comma 3 3 5 4 4" xfId="25248" xr:uid="{00000000-0005-0000-0000-0000DB600000}"/>
    <cellStyle name="Comma 3 3 5 4 5" xfId="25249" xr:uid="{00000000-0005-0000-0000-0000DC600000}"/>
    <cellStyle name="Comma 3 3 5 4 6" xfId="25250" xr:uid="{00000000-0005-0000-0000-0000DD600000}"/>
    <cellStyle name="Comma 3 3 5 5" xfId="25251" xr:uid="{00000000-0005-0000-0000-0000DE600000}"/>
    <cellStyle name="Comma 3 3 5 5 2" xfId="25252" xr:uid="{00000000-0005-0000-0000-0000DF600000}"/>
    <cellStyle name="Comma 3 3 5 5 2 2" xfId="25253" xr:uid="{00000000-0005-0000-0000-0000E0600000}"/>
    <cellStyle name="Comma 3 3 5 5 2 3" xfId="25254" xr:uid="{00000000-0005-0000-0000-0000E1600000}"/>
    <cellStyle name="Comma 3 3 5 5 3" xfId="25255" xr:uid="{00000000-0005-0000-0000-0000E2600000}"/>
    <cellStyle name="Comma 3 3 5 5 4" xfId="25256" xr:uid="{00000000-0005-0000-0000-0000E3600000}"/>
    <cellStyle name="Comma 3 3 5 5 5" xfId="25257" xr:uid="{00000000-0005-0000-0000-0000E4600000}"/>
    <cellStyle name="Comma 3 3 5 5 6" xfId="25258" xr:uid="{00000000-0005-0000-0000-0000E5600000}"/>
    <cellStyle name="Comma 3 3 5 6" xfId="25259" xr:uid="{00000000-0005-0000-0000-0000E6600000}"/>
    <cellStyle name="Comma 3 3 5 6 2" xfId="25260" xr:uid="{00000000-0005-0000-0000-0000E7600000}"/>
    <cellStyle name="Comma 3 3 5 6 3" xfId="25261" xr:uid="{00000000-0005-0000-0000-0000E8600000}"/>
    <cellStyle name="Comma 3 3 5 7" xfId="25262" xr:uid="{00000000-0005-0000-0000-0000E9600000}"/>
    <cellStyle name="Comma 3 3 5 8" xfId="25263" xr:uid="{00000000-0005-0000-0000-0000EA600000}"/>
    <cellStyle name="Comma 3 3 5 9" xfId="25264" xr:uid="{00000000-0005-0000-0000-0000EB600000}"/>
    <cellStyle name="Comma 3 3 6" xfId="25265" xr:uid="{00000000-0005-0000-0000-0000EC600000}"/>
    <cellStyle name="Comma 3 3 6 2" xfId="25266" xr:uid="{00000000-0005-0000-0000-0000ED600000}"/>
    <cellStyle name="Comma 3 3 6 2 2" xfId="25267" xr:uid="{00000000-0005-0000-0000-0000EE600000}"/>
    <cellStyle name="Comma 3 3 6 2 2 2" xfId="25268" xr:uid="{00000000-0005-0000-0000-0000EF600000}"/>
    <cellStyle name="Comma 3 3 6 2 2 2 2" xfId="25269" xr:uid="{00000000-0005-0000-0000-0000F0600000}"/>
    <cellStyle name="Comma 3 3 6 2 2 2 3" xfId="25270" xr:uid="{00000000-0005-0000-0000-0000F1600000}"/>
    <cellStyle name="Comma 3 3 6 2 2 3" xfId="25271" xr:uid="{00000000-0005-0000-0000-0000F2600000}"/>
    <cellStyle name="Comma 3 3 6 2 2 4" xfId="25272" xr:uid="{00000000-0005-0000-0000-0000F3600000}"/>
    <cellStyle name="Comma 3 3 6 2 2 5" xfId="25273" xr:uid="{00000000-0005-0000-0000-0000F4600000}"/>
    <cellStyle name="Comma 3 3 6 2 2 6" xfId="25274" xr:uid="{00000000-0005-0000-0000-0000F5600000}"/>
    <cellStyle name="Comma 3 3 6 2 3" xfId="25275" xr:uid="{00000000-0005-0000-0000-0000F6600000}"/>
    <cellStyle name="Comma 3 3 6 2 3 2" xfId="25276" xr:uid="{00000000-0005-0000-0000-0000F7600000}"/>
    <cellStyle name="Comma 3 3 6 2 3 3" xfId="25277" xr:uid="{00000000-0005-0000-0000-0000F8600000}"/>
    <cellStyle name="Comma 3 3 6 2 4" xfId="25278" xr:uid="{00000000-0005-0000-0000-0000F9600000}"/>
    <cellStyle name="Comma 3 3 6 2 5" xfId="25279" xr:uid="{00000000-0005-0000-0000-0000FA600000}"/>
    <cellStyle name="Comma 3 3 6 2 6" xfId="25280" xr:uid="{00000000-0005-0000-0000-0000FB600000}"/>
    <cellStyle name="Comma 3 3 6 2 7" xfId="25281" xr:uid="{00000000-0005-0000-0000-0000FC600000}"/>
    <cellStyle name="Comma 3 3 6 3" xfId="25282" xr:uid="{00000000-0005-0000-0000-0000FD600000}"/>
    <cellStyle name="Comma 3 3 6 3 2" xfId="25283" xr:uid="{00000000-0005-0000-0000-0000FE600000}"/>
    <cellStyle name="Comma 3 3 6 3 2 2" xfId="25284" xr:uid="{00000000-0005-0000-0000-0000FF600000}"/>
    <cellStyle name="Comma 3 3 6 3 2 3" xfId="25285" xr:uid="{00000000-0005-0000-0000-000000610000}"/>
    <cellStyle name="Comma 3 3 6 3 3" xfId="25286" xr:uid="{00000000-0005-0000-0000-000001610000}"/>
    <cellStyle name="Comma 3 3 6 3 4" xfId="25287" xr:uid="{00000000-0005-0000-0000-000002610000}"/>
    <cellStyle name="Comma 3 3 6 3 5" xfId="25288" xr:uid="{00000000-0005-0000-0000-000003610000}"/>
    <cellStyle name="Comma 3 3 6 3 6" xfId="25289" xr:uid="{00000000-0005-0000-0000-000004610000}"/>
    <cellStyle name="Comma 3 3 6 4" xfId="25290" xr:uid="{00000000-0005-0000-0000-000005610000}"/>
    <cellStyle name="Comma 3 3 6 4 2" xfId="25291" xr:uid="{00000000-0005-0000-0000-000006610000}"/>
    <cellStyle name="Comma 3 3 6 4 2 2" xfId="25292" xr:uid="{00000000-0005-0000-0000-000007610000}"/>
    <cellStyle name="Comma 3 3 6 4 2 3" xfId="25293" xr:uid="{00000000-0005-0000-0000-000008610000}"/>
    <cellStyle name="Comma 3 3 6 4 3" xfId="25294" xr:uid="{00000000-0005-0000-0000-000009610000}"/>
    <cellStyle name="Comma 3 3 6 4 4" xfId="25295" xr:uid="{00000000-0005-0000-0000-00000A610000}"/>
    <cellStyle name="Comma 3 3 6 4 5" xfId="25296" xr:uid="{00000000-0005-0000-0000-00000B610000}"/>
    <cellStyle name="Comma 3 3 6 4 6" xfId="25297" xr:uid="{00000000-0005-0000-0000-00000C610000}"/>
    <cellStyle name="Comma 3 3 6 5" xfId="25298" xr:uid="{00000000-0005-0000-0000-00000D610000}"/>
    <cellStyle name="Comma 3 3 6 5 2" xfId="25299" xr:uid="{00000000-0005-0000-0000-00000E610000}"/>
    <cellStyle name="Comma 3 3 6 5 3" xfId="25300" xr:uid="{00000000-0005-0000-0000-00000F610000}"/>
    <cellStyle name="Comma 3 3 6 6" xfId="25301" xr:uid="{00000000-0005-0000-0000-000010610000}"/>
    <cellStyle name="Comma 3 3 6 7" xfId="25302" xr:uid="{00000000-0005-0000-0000-000011610000}"/>
    <cellStyle name="Comma 3 3 6 8" xfId="25303" xr:uid="{00000000-0005-0000-0000-000012610000}"/>
    <cellStyle name="Comma 3 3 6 9" xfId="25304" xr:uid="{00000000-0005-0000-0000-000013610000}"/>
    <cellStyle name="Comma 3 3 7" xfId="25305" xr:uid="{00000000-0005-0000-0000-000014610000}"/>
    <cellStyle name="Comma 3 3 7 2" xfId="25306" xr:uid="{00000000-0005-0000-0000-000015610000}"/>
    <cellStyle name="Comma 3 3 7 2 2" xfId="25307" xr:uid="{00000000-0005-0000-0000-000016610000}"/>
    <cellStyle name="Comma 3 3 7 2 2 2" xfId="25308" xr:uid="{00000000-0005-0000-0000-000017610000}"/>
    <cellStyle name="Comma 3 3 7 2 2 3" xfId="25309" xr:uid="{00000000-0005-0000-0000-000018610000}"/>
    <cellStyle name="Comma 3 3 7 2 3" xfId="25310" xr:uid="{00000000-0005-0000-0000-000019610000}"/>
    <cellStyle name="Comma 3 3 7 2 4" xfId="25311" xr:uid="{00000000-0005-0000-0000-00001A610000}"/>
    <cellStyle name="Comma 3 3 7 2 5" xfId="25312" xr:uid="{00000000-0005-0000-0000-00001B610000}"/>
    <cellStyle name="Comma 3 3 7 2 6" xfId="25313" xr:uid="{00000000-0005-0000-0000-00001C610000}"/>
    <cellStyle name="Comma 3 3 7 3" xfId="25314" xr:uid="{00000000-0005-0000-0000-00001D610000}"/>
    <cellStyle name="Comma 3 3 7 3 2" xfId="25315" xr:uid="{00000000-0005-0000-0000-00001E610000}"/>
    <cellStyle name="Comma 3 3 7 3 3" xfId="25316" xr:uid="{00000000-0005-0000-0000-00001F610000}"/>
    <cellStyle name="Comma 3 3 7 4" xfId="25317" xr:uid="{00000000-0005-0000-0000-000020610000}"/>
    <cellStyle name="Comma 3 3 7 5" xfId="25318" xr:uid="{00000000-0005-0000-0000-000021610000}"/>
    <cellStyle name="Comma 3 3 7 6" xfId="25319" xr:uid="{00000000-0005-0000-0000-000022610000}"/>
    <cellStyle name="Comma 3 3 7 7" xfId="25320" xr:uid="{00000000-0005-0000-0000-000023610000}"/>
    <cellStyle name="Comma 3 3 8" xfId="25321" xr:uid="{00000000-0005-0000-0000-000024610000}"/>
    <cellStyle name="Comma 3 3 8 2" xfId="25322" xr:uid="{00000000-0005-0000-0000-000025610000}"/>
    <cellStyle name="Comma 3 3 8 2 2" xfId="25323" xr:uid="{00000000-0005-0000-0000-000026610000}"/>
    <cellStyle name="Comma 3 3 8 2 3" xfId="25324" xr:uid="{00000000-0005-0000-0000-000027610000}"/>
    <cellStyle name="Comma 3 3 8 3" xfId="25325" xr:uid="{00000000-0005-0000-0000-000028610000}"/>
    <cellStyle name="Comma 3 3 8 4" xfId="25326" xr:uid="{00000000-0005-0000-0000-000029610000}"/>
    <cellStyle name="Comma 3 3 8 5" xfId="25327" xr:uid="{00000000-0005-0000-0000-00002A610000}"/>
    <cellStyle name="Comma 3 3 8 6" xfId="25328" xr:uid="{00000000-0005-0000-0000-00002B610000}"/>
    <cellStyle name="Comma 3 3 9" xfId="25329" xr:uid="{00000000-0005-0000-0000-00002C610000}"/>
    <cellStyle name="Comma 3 3 9 2" xfId="25330" xr:uid="{00000000-0005-0000-0000-00002D610000}"/>
    <cellStyle name="Comma 3 3 9 2 2" xfId="25331" xr:uid="{00000000-0005-0000-0000-00002E610000}"/>
    <cellStyle name="Comma 3 3 9 2 3" xfId="25332" xr:uid="{00000000-0005-0000-0000-00002F610000}"/>
    <cellStyle name="Comma 3 3 9 3" xfId="25333" xr:uid="{00000000-0005-0000-0000-000030610000}"/>
    <cellStyle name="Comma 3 3 9 4" xfId="25334" xr:uid="{00000000-0005-0000-0000-000031610000}"/>
    <cellStyle name="Comma 3 3 9 5" xfId="25335" xr:uid="{00000000-0005-0000-0000-000032610000}"/>
    <cellStyle name="Comma 3 3 9 6" xfId="25336" xr:uid="{00000000-0005-0000-0000-000033610000}"/>
    <cellStyle name="Comma 3 4" xfId="354" xr:uid="{00000000-0005-0000-0000-000034610000}"/>
    <cellStyle name="Comma 3 4 10" xfId="25337" xr:uid="{00000000-0005-0000-0000-000035610000}"/>
    <cellStyle name="Comma 3 4 10 2" xfId="25338" xr:uid="{00000000-0005-0000-0000-000036610000}"/>
    <cellStyle name="Comma 3 4 10 3" xfId="25339" xr:uid="{00000000-0005-0000-0000-000037610000}"/>
    <cellStyle name="Comma 3 4 11" xfId="25340" xr:uid="{00000000-0005-0000-0000-000038610000}"/>
    <cellStyle name="Comma 3 4 12" xfId="25341" xr:uid="{00000000-0005-0000-0000-000039610000}"/>
    <cellStyle name="Comma 3 4 13" xfId="25342" xr:uid="{00000000-0005-0000-0000-00003A610000}"/>
    <cellStyle name="Comma 3 4 14" xfId="25343" xr:uid="{00000000-0005-0000-0000-00003B610000}"/>
    <cellStyle name="Comma 3 4 2" xfId="355" xr:uid="{00000000-0005-0000-0000-00003C610000}"/>
    <cellStyle name="Comma 3 4 2 10" xfId="25344" xr:uid="{00000000-0005-0000-0000-00003D610000}"/>
    <cellStyle name="Comma 3 4 2 11" xfId="25345" xr:uid="{00000000-0005-0000-0000-00003E610000}"/>
    <cellStyle name="Comma 3 4 2 12" xfId="25346" xr:uid="{00000000-0005-0000-0000-00003F610000}"/>
    <cellStyle name="Comma 3 4 2 13" xfId="25347" xr:uid="{00000000-0005-0000-0000-000040610000}"/>
    <cellStyle name="Comma 3 4 2 2" xfId="25348" xr:uid="{00000000-0005-0000-0000-000041610000}"/>
    <cellStyle name="Comma 3 4 2 2 10" xfId="25349" xr:uid="{00000000-0005-0000-0000-000042610000}"/>
    <cellStyle name="Comma 3 4 2 2 2" xfId="25350" xr:uid="{00000000-0005-0000-0000-000043610000}"/>
    <cellStyle name="Comma 3 4 2 2 2 2" xfId="25351" xr:uid="{00000000-0005-0000-0000-000044610000}"/>
    <cellStyle name="Comma 3 4 2 2 2 2 2" xfId="25352" xr:uid="{00000000-0005-0000-0000-000045610000}"/>
    <cellStyle name="Comma 3 4 2 2 2 2 2 2" xfId="25353" xr:uid="{00000000-0005-0000-0000-000046610000}"/>
    <cellStyle name="Comma 3 4 2 2 2 2 2 3" xfId="25354" xr:uid="{00000000-0005-0000-0000-000047610000}"/>
    <cellStyle name="Comma 3 4 2 2 2 2 3" xfId="25355" xr:uid="{00000000-0005-0000-0000-000048610000}"/>
    <cellStyle name="Comma 3 4 2 2 2 2 4" xfId="25356" xr:uid="{00000000-0005-0000-0000-000049610000}"/>
    <cellStyle name="Comma 3 4 2 2 2 2 5" xfId="25357" xr:uid="{00000000-0005-0000-0000-00004A610000}"/>
    <cellStyle name="Comma 3 4 2 2 2 2 6" xfId="25358" xr:uid="{00000000-0005-0000-0000-00004B610000}"/>
    <cellStyle name="Comma 3 4 2 2 2 3" xfId="25359" xr:uid="{00000000-0005-0000-0000-00004C610000}"/>
    <cellStyle name="Comma 3 4 2 2 2 3 2" xfId="25360" xr:uid="{00000000-0005-0000-0000-00004D610000}"/>
    <cellStyle name="Comma 3 4 2 2 2 3 2 2" xfId="25361" xr:uid="{00000000-0005-0000-0000-00004E610000}"/>
    <cellStyle name="Comma 3 4 2 2 2 3 2 3" xfId="25362" xr:uid="{00000000-0005-0000-0000-00004F610000}"/>
    <cellStyle name="Comma 3 4 2 2 2 3 3" xfId="25363" xr:uid="{00000000-0005-0000-0000-000050610000}"/>
    <cellStyle name="Comma 3 4 2 2 2 3 4" xfId="25364" xr:uid="{00000000-0005-0000-0000-000051610000}"/>
    <cellStyle name="Comma 3 4 2 2 2 3 5" xfId="25365" xr:uid="{00000000-0005-0000-0000-000052610000}"/>
    <cellStyle name="Comma 3 4 2 2 2 3 6" xfId="25366" xr:uid="{00000000-0005-0000-0000-000053610000}"/>
    <cellStyle name="Comma 3 4 2 2 2 4" xfId="25367" xr:uid="{00000000-0005-0000-0000-000054610000}"/>
    <cellStyle name="Comma 3 4 2 2 2 4 2" xfId="25368" xr:uid="{00000000-0005-0000-0000-000055610000}"/>
    <cellStyle name="Comma 3 4 2 2 2 4 3" xfId="25369" xr:uid="{00000000-0005-0000-0000-000056610000}"/>
    <cellStyle name="Comma 3 4 2 2 2 5" xfId="25370" xr:uid="{00000000-0005-0000-0000-000057610000}"/>
    <cellStyle name="Comma 3 4 2 2 2 6" xfId="25371" xr:uid="{00000000-0005-0000-0000-000058610000}"/>
    <cellStyle name="Comma 3 4 2 2 2 7" xfId="25372" xr:uid="{00000000-0005-0000-0000-000059610000}"/>
    <cellStyle name="Comma 3 4 2 2 2 8" xfId="25373" xr:uid="{00000000-0005-0000-0000-00005A610000}"/>
    <cellStyle name="Comma 3 4 2 2 3" xfId="25374" xr:uid="{00000000-0005-0000-0000-00005B610000}"/>
    <cellStyle name="Comma 3 4 2 2 3 2" xfId="25375" xr:uid="{00000000-0005-0000-0000-00005C610000}"/>
    <cellStyle name="Comma 3 4 2 2 3 2 2" xfId="25376" xr:uid="{00000000-0005-0000-0000-00005D610000}"/>
    <cellStyle name="Comma 3 4 2 2 3 2 2 2" xfId="25377" xr:uid="{00000000-0005-0000-0000-00005E610000}"/>
    <cellStyle name="Comma 3 4 2 2 3 2 2 3" xfId="25378" xr:uid="{00000000-0005-0000-0000-00005F610000}"/>
    <cellStyle name="Comma 3 4 2 2 3 2 3" xfId="25379" xr:uid="{00000000-0005-0000-0000-000060610000}"/>
    <cellStyle name="Comma 3 4 2 2 3 2 4" xfId="25380" xr:uid="{00000000-0005-0000-0000-000061610000}"/>
    <cellStyle name="Comma 3 4 2 2 3 2 5" xfId="25381" xr:uid="{00000000-0005-0000-0000-000062610000}"/>
    <cellStyle name="Comma 3 4 2 2 3 2 6" xfId="25382" xr:uid="{00000000-0005-0000-0000-000063610000}"/>
    <cellStyle name="Comma 3 4 2 2 3 3" xfId="25383" xr:uid="{00000000-0005-0000-0000-000064610000}"/>
    <cellStyle name="Comma 3 4 2 2 3 3 2" xfId="25384" xr:uid="{00000000-0005-0000-0000-000065610000}"/>
    <cellStyle name="Comma 3 4 2 2 3 3 3" xfId="25385" xr:uid="{00000000-0005-0000-0000-000066610000}"/>
    <cellStyle name="Comma 3 4 2 2 3 4" xfId="25386" xr:uid="{00000000-0005-0000-0000-000067610000}"/>
    <cellStyle name="Comma 3 4 2 2 3 5" xfId="25387" xr:uid="{00000000-0005-0000-0000-000068610000}"/>
    <cellStyle name="Comma 3 4 2 2 3 6" xfId="25388" xr:uid="{00000000-0005-0000-0000-000069610000}"/>
    <cellStyle name="Comma 3 4 2 2 3 7" xfId="25389" xr:uid="{00000000-0005-0000-0000-00006A610000}"/>
    <cellStyle name="Comma 3 4 2 2 4" xfId="25390" xr:uid="{00000000-0005-0000-0000-00006B610000}"/>
    <cellStyle name="Comma 3 4 2 2 4 2" xfId="25391" xr:uid="{00000000-0005-0000-0000-00006C610000}"/>
    <cellStyle name="Comma 3 4 2 2 4 2 2" xfId="25392" xr:uid="{00000000-0005-0000-0000-00006D610000}"/>
    <cellStyle name="Comma 3 4 2 2 4 2 3" xfId="25393" xr:uid="{00000000-0005-0000-0000-00006E610000}"/>
    <cellStyle name="Comma 3 4 2 2 4 3" xfId="25394" xr:uid="{00000000-0005-0000-0000-00006F610000}"/>
    <cellStyle name="Comma 3 4 2 2 4 4" xfId="25395" xr:uid="{00000000-0005-0000-0000-000070610000}"/>
    <cellStyle name="Comma 3 4 2 2 4 5" xfId="25396" xr:uid="{00000000-0005-0000-0000-000071610000}"/>
    <cellStyle name="Comma 3 4 2 2 4 6" xfId="25397" xr:uid="{00000000-0005-0000-0000-000072610000}"/>
    <cellStyle name="Comma 3 4 2 2 5" xfId="25398" xr:uid="{00000000-0005-0000-0000-000073610000}"/>
    <cellStyle name="Comma 3 4 2 2 5 2" xfId="25399" xr:uid="{00000000-0005-0000-0000-000074610000}"/>
    <cellStyle name="Comma 3 4 2 2 5 2 2" xfId="25400" xr:uid="{00000000-0005-0000-0000-000075610000}"/>
    <cellStyle name="Comma 3 4 2 2 5 2 3" xfId="25401" xr:uid="{00000000-0005-0000-0000-000076610000}"/>
    <cellStyle name="Comma 3 4 2 2 5 3" xfId="25402" xr:uid="{00000000-0005-0000-0000-000077610000}"/>
    <cellStyle name="Comma 3 4 2 2 5 4" xfId="25403" xr:uid="{00000000-0005-0000-0000-000078610000}"/>
    <cellStyle name="Comma 3 4 2 2 5 5" xfId="25404" xr:uid="{00000000-0005-0000-0000-000079610000}"/>
    <cellStyle name="Comma 3 4 2 2 5 6" xfId="25405" xr:uid="{00000000-0005-0000-0000-00007A610000}"/>
    <cellStyle name="Comma 3 4 2 2 6" xfId="25406" xr:uid="{00000000-0005-0000-0000-00007B610000}"/>
    <cellStyle name="Comma 3 4 2 2 6 2" xfId="25407" xr:uid="{00000000-0005-0000-0000-00007C610000}"/>
    <cellStyle name="Comma 3 4 2 2 6 3" xfId="25408" xr:uid="{00000000-0005-0000-0000-00007D610000}"/>
    <cellStyle name="Comma 3 4 2 2 7" xfId="25409" xr:uid="{00000000-0005-0000-0000-00007E610000}"/>
    <cellStyle name="Comma 3 4 2 2 8" xfId="25410" xr:uid="{00000000-0005-0000-0000-00007F610000}"/>
    <cellStyle name="Comma 3 4 2 2 9" xfId="25411" xr:uid="{00000000-0005-0000-0000-000080610000}"/>
    <cellStyle name="Comma 3 4 2 3" xfId="25412" xr:uid="{00000000-0005-0000-0000-000081610000}"/>
    <cellStyle name="Comma 3 4 2 3 2" xfId="25413" xr:uid="{00000000-0005-0000-0000-000082610000}"/>
    <cellStyle name="Comma 3 4 2 3 2 2" xfId="25414" xr:uid="{00000000-0005-0000-0000-000083610000}"/>
    <cellStyle name="Comma 3 4 2 3 2 2 2" xfId="25415" xr:uid="{00000000-0005-0000-0000-000084610000}"/>
    <cellStyle name="Comma 3 4 2 3 2 2 2 2" xfId="25416" xr:uid="{00000000-0005-0000-0000-000085610000}"/>
    <cellStyle name="Comma 3 4 2 3 2 2 2 3" xfId="25417" xr:uid="{00000000-0005-0000-0000-000086610000}"/>
    <cellStyle name="Comma 3 4 2 3 2 2 3" xfId="25418" xr:uid="{00000000-0005-0000-0000-000087610000}"/>
    <cellStyle name="Comma 3 4 2 3 2 2 4" xfId="25419" xr:uid="{00000000-0005-0000-0000-000088610000}"/>
    <cellStyle name="Comma 3 4 2 3 2 2 5" xfId="25420" xr:uid="{00000000-0005-0000-0000-000089610000}"/>
    <cellStyle name="Comma 3 4 2 3 2 2 6" xfId="25421" xr:uid="{00000000-0005-0000-0000-00008A610000}"/>
    <cellStyle name="Comma 3 4 2 3 2 3" xfId="25422" xr:uid="{00000000-0005-0000-0000-00008B610000}"/>
    <cellStyle name="Comma 3 4 2 3 2 3 2" xfId="25423" xr:uid="{00000000-0005-0000-0000-00008C610000}"/>
    <cellStyle name="Comma 3 4 2 3 2 3 3" xfId="25424" xr:uid="{00000000-0005-0000-0000-00008D610000}"/>
    <cellStyle name="Comma 3 4 2 3 2 4" xfId="25425" xr:uid="{00000000-0005-0000-0000-00008E610000}"/>
    <cellStyle name="Comma 3 4 2 3 2 5" xfId="25426" xr:uid="{00000000-0005-0000-0000-00008F610000}"/>
    <cellStyle name="Comma 3 4 2 3 2 6" xfId="25427" xr:uid="{00000000-0005-0000-0000-000090610000}"/>
    <cellStyle name="Comma 3 4 2 3 2 7" xfId="25428" xr:uid="{00000000-0005-0000-0000-000091610000}"/>
    <cellStyle name="Comma 3 4 2 3 3" xfId="25429" xr:uid="{00000000-0005-0000-0000-000092610000}"/>
    <cellStyle name="Comma 3 4 2 3 3 2" xfId="25430" xr:uid="{00000000-0005-0000-0000-000093610000}"/>
    <cellStyle name="Comma 3 4 2 3 3 2 2" xfId="25431" xr:uid="{00000000-0005-0000-0000-000094610000}"/>
    <cellStyle name="Comma 3 4 2 3 3 2 3" xfId="25432" xr:uid="{00000000-0005-0000-0000-000095610000}"/>
    <cellStyle name="Comma 3 4 2 3 3 3" xfId="25433" xr:uid="{00000000-0005-0000-0000-000096610000}"/>
    <cellStyle name="Comma 3 4 2 3 3 4" xfId="25434" xr:uid="{00000000-0005-0000-0000-000097610000}"/>
    <cellStyle name="Comma 3 4 2 3 3 5" xfId="25435" xr:uid="{00000000-0005-0000-0000-000098610000}"/>
    <cellStyle name="Comma 3 4 2 3 3 6" xfId="25436" xr:uid="{00000000-0005-0000-0000-000099610000}"/>
    <cellStyle name="Comma 3 4 2 3 4" xfId="25437" xr:uid="{00000000-0005-0000-0000-00009A610000}"/>
    <cellStyle name="Comma 3 4 2 3 4 2" xfId="25438" xr:uid="{00000000-0005-0000-0000-00009B610000}"/>
    <cellStyle name="Comma 3 4 2 3 4 2 2" xfId="25439" xr:uid="{00000000-0005-0000-0000-00009C610000}"/>
    <cellStyle name="Comma 3 4 2 3 4 2 3" xfId="25440" xr:uid="{00000000-0005-0000-0000-00009D610000}"/>
    <cellStyle name="Comma 3 4 2 3 4 3" xfId="25441" xr:uid="{00000000-0005-0000-0000-00009E610000}"/>
    <cellStyle name="Comma 3 4 2 3 4 4" xfId="25442" xr:uid="{00000000-0005-0000-0000-00009F610000}"/>
    <cellStyle name="Comma 3 4 2 3 4 5" xfId="25443" xr:uid="{00000000-0005-0000-0000-0000A0610000}"/>
    <cellStyle name="Comma 3 4 2 3 4 6" xfId="25444" xr:uid="{00000000-0005-0000-0000-0000A1610000}"/>
    <cellStyle name="Comma 3 4 2 3 5" xfId="25445" xr:uid="{00000000-0005-0000-0000-0000A2610000}"/>
    <cellStyle name="Comma 3 4 2 3 5 2" xfId="25446" xr:uid="{00000000-0005-0000-0000-0000A3610000}"/>
    <cellStyle name="Comma 3 4 2 3 5 3" xfId="25447" xr:uid="{00000000-0005-0000-0000-0000A4610000}"/>
    <cellStyle name="Comma 3 4 2 3 6" xfId="25448" xr:uid="{00000000-0005-0000-0000-0000A5610000}"/>
    <cellStyle name="Comma 3 4 2 3 7" xfId="25449" xr:uid="{00000000-0005-0000-0000-0000A6610000}"/>
    <cellStyle name="Comma 3 4 2 3 8" xfId="25450" xr:uid="{00000000-0005-0000-0000-0000A7610000}"/>
    <cellStyle name="Comma 3 4 2 3 9" xfId="25451" xr:uid="{00000000-0005-0000-0000-0000A8610000}"/>
    <cellStyle name="Comma 3 4 2 4" xfId="25452" xr:uid="{00000000-0005-0000-0000-0000A9610000}"/>
    <cellStyle name="Comma 3 4 2 4 2" xfId="25453" xr:uid="{00000000-0005-0000-0000-0000AA610000}"/>
    <cellStyle name="Comma 3 4 2 4 2 2" xfId="25454" xr:uid="{00000000-0005-0000-0000-0000AB610000}"/>
    <cellStyle name="Comma 3 4 2 4 2 2 2" xfId="25455" xr:uid="{00000000-0005-0000-0000-0000AC610000}"/>
    <cellStyle name="Comma 3 4 2 4 2 2 3" xfId="25456" xr:uid="{00000000-0005-0000-0000-0000AD610000}"/>
    <cellStyle name="Comma 3 4 2 4 2 3" xfId="25457" xr:uid="{00000000-0005-0000-0000-0000AE610000}"/>
    <cellStyle name="Comma 3 4 2 4 2 4" xfId="25458" xr:uid="{00000000-0005-0000-0000-0000AF610000}"/>
    <cellStyle name="Comma 3 4 2 4 2 5" xfId="25459" xr:uid="{00000000-0005-0000-0000-0000B0610000}"/>
    <cellStyle name="Comma 3 4 2 4 2 6" xfId="25460" xr:uid="{00000000-0005-0000-0000-0000B1610000}"/>
    <cellStyle name="Comma 3 4 2 4 3" xfId="25461" xr:uid="{00000000-0005-0000-0000-0000B2610000}"/>
    <cellStyle name="Comma 3 4 2 4 3 2" xfId="25462" xr:uid="{00000000-0005-0000-0000-0000B3610000}"/>
    <cellStyle name="Comma 3 4 2 4 3 3" xfId="25463" xr:uid="{00000000-0005-0000-0000-0000B4610000}"/>
    <cellStyle name="Comma 3 4 2 4 4" xfId="25464" xr:uid="{00000000-0005-0000-0000-0000B5610000}"/>
    <cellStyle name="Comma 3 4 2 4 5" xfId="25465" xr:uid="{00000000-0005-0000-0000-0000B6610000}"/>
    <cellStyle name="Comma 3 4 2 4 6" xfId="25466" xr:uid="{00000000-0005-0000-0000-0000B7610000}"/>
    <cellStyle name="Comma 3 4 2 4 7" xfId="25467" xr:uid="{00000000-0005-0000-0000-0000B8610000}"/>
    <cellStyle name="Comma 3 4 2 5" xfId="25468" xr:uid="{00000000-0005-0000-0000-0000B9610000}"/>
    <cellStyle name="Comma 3 4 2 5 2" xfId="25469" xr:uid="{00000000-0005-0000-0000-0000BA610000}"/>
    <cellStyle name="Comma 3 4 2 5 2 2" xfId="25470" xr:uid="{00000000-0005-0000-0000-0000BB610000}"/>
    <cellStyle name="Comma 3 4 2 5 2 3" xfId="25471" xr:uid="{00000000-0005-0000-0000-0000BC610000}"/>
    <cellStyle name="Comma 3 4 2 5 3" xfId="25472" xr:uid="{00000000-0005-0000-0000-0000BD610000}"/>
    <cellStyle name="Comma 3 4 2 5 4" xfId="25473" xr:uid="{00000000-0005-0000-0000-0000BE610000}"/>
    <cellStyle name="Comma 3 4 2 5 5" xfId="25474" xr:uid="{00000000-0005-0000-0000-0000BF610000}"/>
    <cellStyle name="Comma 3 4 2 5 6" xfId="25475" xr:uid="{00000000-0005-0000-0000-0000C0610000}"/>
    <cellStyle name="Comma 3 4 2 6" xfId="25476" xr:uid="{00000000-0005-0000-0000-0000C1610000}"/>
    <cellStyle name="Comma 3 4 2 6 2" xfId="25477" xr:uid="{00000000-0005-0000-0000-0000C2610000}"/>
    <cellStyle name="Comma 3 4 2 6 2 2" xfId="25478" xr:uid="{00000000-0005-0000-0000-0000C3610000}"/>
    <cellStyle name="Comma 3 4 2 6 2 3" xfId="25479" xr:uid="{00000000-0005-0000-0000-0000C4610000}"/>
    <cellStyle name="Comma 3 4 2 6 3" xfId="25480" xr:uid="{00000000-0005-0000-0000-0000C5610000}"/>
    <cellStyle name="Comma 3 4 2 6 4" xfId="25481" xr:uid="{00000000-0005-0000-0000-0000C6610000}"/>
    <cellStyle name="Comma 3 4 2 6 5" xfId="25482" xr:uid="{00000000-0005-0000-0000-0000C7610000}"/>
    <cellStyle name="Comma 3 4 2 6 6" xfId="25483" xr:uid="{00000000-0005-0000-0000-0000C8610000}"/>
    <cellStyle name="Comma 3 4 2 7" xfId="25484" xr:uid="{00000000-0005-0000-0000-0000C9610000}"/>
    <cellStyle name="Comma 3 4 2 7 2" xfId="25485" xr:uid="{00000000-0005-0000-0000-0000CA610000}"/>
    <cellStyle name="Comma 3 4 2 7 2 2" xfId="25486" xr:uid="{00000000-0005-0000-0000-0000CB610000}"/>
    <cellStyle name="Comma 3 4 2 7 2 3" xfId="25487" xr:uid="{00000000-0005-0000-0000-0000CC610000}"/>
    <cellStyle name="Comma 3 4 2 7 3" xfId="25488" xr:uid="{00000000-0005-0000-0000-0000CD610000}"/>
    <cellStyle name="Comma 3 4 2 7 4" xfId="25489" xr:uid="{00000000-0005-0000-0000-0000CE610000}"/>
    <cellStyle name="Comma 3 4 2 7 5" xfId="25490" xr:uid="{00000000-0005-0000-0000-0000CF610000}"/>
    <cellStyle name="Comma 3 4 2 7 6" xfId="25491" xr:uid="{00000000-0005-0000-0000-0000D0610000}"/>
    <cellStyle name="Comma 3 4 2 8" xfId="25492" xr:uid="{00000000-0005-0000-0000-0000D1610000}"/>
    <cellStyle name="Comma 3 4 2 8 2" xfId="25493" xr:uid="{00000000-0005-0000-0000-0000D2610000}"/>
    <cellStyle name="Comma 3 4 2 8 2 2" xfId="25494" xr:uid="{00000000-0005-0000-0000-0000D3610000}"/>
    <cellStyle name="Comma 3 4 2 8 2 3" xfId="25495" xr:uid="{00000000-0005-0000-0000-0000D4610000}"/>
    <cellStyle name="Comma 3 4 2 8 3" xfId="25496" xr:uid="{00000000-0005-0000-0000-0000D5610000}"/>
    <cellStyle name="Comma 3 4 2 8 4" xfId="25497" xr:uid="{00000000-0005-0000-0000-0000D6610000}"/>
    <cellStyle name="Comma 3 4 2 8 5" xfId="25498" xr:uid="{00000000-0005-0000-0000-0000D7610000}"/>
    <cellStyle name="Comma 3 4 2 8 6" xfId="25499" xr:uid="{00000000-0005-0000-0000-0000D8610000}"/>
    <cellStyle name="Comma 3 4 2 9" xfId="25500" xr:uid="{00000000-0005-0000-0000-0000D9610000}"/>
    <cellStyle name="Comma 3 4 2 9 2" xfId="25501" xr:uid="{00000000-0005-0000-0000-0000DA610000}"/>
    <cellStyle name="Comma 3 4 2 9 3" xfId="25502" xr:uid="{00000000-0005-0000-0000-0000DB610000}"/>
    <cellStyle name="Comma 3 4 3" xfId="25503" xr:uid="{00000000-0005-0000-0000-0000DC610000}"/>
    <cellStyle name="Comma 3 4 3 10" xfId="25504" xr:uid="{00000000-0005-0000-0000-0000DD610000}"/>
    <cellStyle name="Comma 3 4 3 2" xfId="25505" xr:uid="{00000000-0005-0000-0000-0000DE610000}"/>
    <cellStyle name="Comma 3 4 3 2 2" xfId="25506" xr:uid="{00000000-0005-0000-0000-0000DF610000}"/>
    <cellStyle name="Comma 3 4 3 2 2 2" xfId="25507" xr:uid="{00000000-0005-0000-0000-0000E0610000}"/>
    <cellStyle name="Comma 3 4 3 2 2 2 2" xfId="25508" xr:uid="{00000000-0005-0000-0000-0000E1610000}"/>
    <cellStyle name="Comma 3 4 3 2 2 2 3" xfId="25509" xr:uid="{00000000-0005-0000-0000-0000E2610000}"/>
    <cellStyle name="Comma 3 4 3 2 2 3" xfId="25510" xr:uid="{00000000-0005-0000-0000-0000E3610000}"/>
    <cellStyle name="Comma 3 4 3 2 2 4" xfId="25511" xr:uid="{00000000-0005-0000-0000-0000E4610000}"/>
    <cellStyle name="Comma 3 4 3 2 2 5" xfId="25512" xr:uid="{00000000-0005-0000-0000-0000E5610000}"/>
    <cellStyle name="Comma 3 4 3 2 2 6" xfId="25513" xr:uid="{00000000-0005-0000-0000-0000E6610000}"/>
    <cellStyle name="Comma 3 4 3 2 3" xfId="25514" xr:uid="{00000000-0005-0000-0000-0000E7610000}"/>
    <cellStyle name="Comma 3 4 3 2 3 2" xfId="25515" xr:uid="{00000000-0005-0000-0000-0000E8610000}"/>
    <cellStyle name="Comma 3 4 3 2 3 2 2" xfId="25516" xr:uid="{00000000-0005-0000-0000-0000E9610000}"/>
    <cellStyle name="Comma 3 4 3 2 3 2 3" xfId="25517" xr:uid="{00000000-0005-0000-0000-0000EA610000}"/>
    <cellStyle name="Comma 3 4 3 2 3 3" xfId="25518" xr:uid="{00000000-0005-0000-0000-0000EB610000}"/>
    <cellStyle name="Comma 3 4 3 2 3 4" xfId="25519" xr:uid="{00000000-0005-0000-0000-0000EC610000}"/>
    <cellStyle name="Comma 3 4 3 2 3 5" xfId="25520" xr:uid="{00000000-0005-0000-0000-0000ED610000}"/>
    <cellStyle name="Comma 3 4 3 2 3 6" xfId="25521" xr:uid="{00000000-0005-0000-0000-0000EE610000}"/>
    <cellStyle name="Comma 3 4 3 2 4" xfId="25522" xr:uid="{00000000-0005-0000-0000-0000EF610000}"/>
    <cellStyle name="Comma 3 4 3 2 4 2" xfId="25523" xr:uid="{00000000-0005-0000-0000-0000F0610000}"/>
    <cellStyle name="Comma 3 4 3 2 4 3" xfId="25524" xr:uid="{00000000-0005-0000-0000-0000F1610000}"/>
    <cellStyle name="Comma 3 4 3 2 5" xfId="25525" xr:uid="{00000000-0005-0000-0000-0000F2610000}"/>
    <cellStyle name="Comma 3 4 3 2 6" xfId="25526" xr:uid="{00000000-0005-0000-0000-0000F3610000}"/>
    <cellStyle name="Comma 3 4 3 2 7" xfId="25527" xr:uid="{00000000-0005-0000-0000-0000F4610000}"/>
    <cellStyle name="Comma 3 4 3 2 8" xfId="25528" xr:uid="{00000000-0005-0000-0000-0000F5610000}"/>
    <cellStyle name="Comma 3 4 3 3" xfId="25529" xr:uid="{00000000-0005-0000-0000-0000F6610000}"/>
    <cellStyle name="Comma 3 4 3 3 2" xfId="25530" xr:uid="{00000000-0005-0000-0000-0000F7610000}"/>
    <cellStyle name="Comma 3 4 3 3 2 2" xfId="25531" xr:uid="{00000000-0005-0000-0000-0000F8610000}"/>
    <cellStyle name="Comma 3 4 3 3 2 2 2" xfId="25532" xr:uid="{00000000-0005-0000-0000-0000F9610000}"/>
    <cellStyle name="Comma 3 4 3 3 2 2 3" xfId="25533" xr:uid="{00000000-0005-0000-0000-0000FA610000}"/>
    <cellStyle name="Comma 3 4 3 3 2 3" xfId="25534" xr:uid="{00000000-0005-0000-0000-0000FB610000}"/>
    <cellStyle name="Comma 3 4 3 3 2 4" xfId="25535" xr:uid="{00000000-0005-0000-0000-0000FC610000}"/>
    <cellStyle name="Comma 3 4 3 3 2 5" xfId="25536" xr:uid="{00000000-0005-0000-0000-0000FD610000}"/>
    <cellStyle name="Comma 3 4 3 3 2 6" xfId="25537" xr:uid="{00000000-0005-0000-0000-0000FE610000}"/>
    <cellStyle name="Comma 3 4 3 3 3" xfId="25538" xr:uid="{00000000-0005-0000-0000-0000FF610000}"/>
    <cellStyle name="Comma 3 4 3 3 3 2" xfId="25539" xr:uid="{00000000-0005-0000-0000-000000620000}"/>
    <cellStyle name="Comma 3 4 3 3 3 3" xfId="25540" xr:uid="{00000000-0005-0000-0000-000001620000}"/>
    <cellStyle name="Comma 3 4 3 3 4" xfId="25541" xr:uid="{00000000-0005-0000-0000-000002620000}"/>
    <cellStyle name="Comma 3 4 3 3 5" xfId="25542" xr:uid="{00000000-0005-0000-0000-000003620000}"/>
    <cellStyle name="Comma 3 4 3 3 6" xfId="25543" xr:uid="{00000000-0005-0000-0000-000004620000}"/>
    <cellStyle name="Comma 3 4 3 3 7" xfId="25544" xr:uid="{00000000-0005-0000-0000-000005620000}"/>
    <cellStyle name="Comma 3 4 3 4" xfId="25545" xr:uid="{00000000-0005-0000-0000-000006620000}"/>
    <cellStyle name="Comma 3 4 3 4 2" xfId="25546" xr:uid="{00000000-0005-0000-0000-000007620000}"/>
    <cellStyle name="Comma 3 4 3 4 2 2" xfId="25547" xr:uid="{00000000-0005-0000-0000-000008620000}"/>
    <cellStyle name="Comma 3 4 3 4 2 3" xfId="25548" xr:uid="{00000000-0005-0000-0000-000009620000}"/>
    <cellStyle name="Comma 3 4 3 4 3" xfId="25549" xr:uid="{00000000-0005-0000-0000-00000A620000}"/>
    <cellStyle name="Comma 3 4 3 4 4" xfId="25550" xr:uid="{00000000-0005-0000-0000-00000B620000}"/>
    <cellStyle name="Comma 3 4 3 4 5" xfId="25551" xr:uid="{00000000-0005-0000-0000-00000C620000}"/>
    <cellStyle name="Comma 3 4 3 4 6" xfId="25552" xr:uid="{00000000-0005-0000-0000-00000D620000}"/>
    <cellStyle name="Comma 3 4 3 5" xfId="25553" xr:uid="{00000000-0005-0000-0000-00000E620000}"/>
    <cellStyle name="Comma 3 4 3 5 2" xfId="25554" xr:uid="{00000000-0005-0000-0000-00000F620000}"/>
    <cellStyle name="Comma 3 4 3 5 2 2" xfId="25555" xr:uid="{00000000-0005-0000-0000-000010620000}"/>
    <cellStyle name="Comma 3 4 3 5 2 3" xfId="25556" xr:uid="{00000000-0005-0000-0000-000011620000}"/>
    <cellStyle name="Comma 3 4 3 5 3" xfId="25557" xr:uid="{00000000-0005-0000-0000-000012620000}"/>
    <cellStyle name="Comma 3 4 3 5 4" xfId="25558" xr:uid="{00000000-0005-0000-0000-000013620000}"/>
    <cellStyle name="Comma 3 4 3 5 5" xfId="25559" xr:uid="{00000000-0005-0000-0000-000014620000}"/>
    <cellStyle name="Comma 3 4 3 5 6" xfId="25560" xr:uid="{00000000-0005-0000-0000-000015620000}"/>
    <cellStyle name="Comma 3 4 3 6" xfId="25561" xr:uid="{00000000-0005-0000-0000-000016620000}"/>
    <cellStyle name="Comma 3 4 3 6 2" xfId="25562" xr:uid="{00000000-0005-0000-0000-000017620000}"/>
    <cellStyle name="Comma 3 4 3 6 3" xfId="25563" xr:uid="{00000000-0005-0000-0000-000018620000}"/>
    <cellStyle name="Comma 3 4 3 7" xfId="25564" xr:uid="{00000000-0005-0000-0000-000019620000}"/>
    <cellStyle name="Comma 3 4 3 8" xfId="25565" xr:uid="{00000000-0005-0000-0000-00001A620000}"/>
    <cellStyle name="Comma 3 4 3 9" xfId="25566" xr:uid="{00000000-0005-0000-0000-00001B620000}"/>
    <cellStyle name="Comma 3 4 4" xfId="25567" xr:uid="{00000000-0005-0000-0000-00001C620000}"/>
    <cellStyle name="Comma 3 4 4 2" xfId="25568" xr:uid="{00000000-0005-0000-0000-00001D620000}"/>
    <cellStyle name="Comma 3 4 4 2 2" xfId="25569" xr:uid="{00000000-0005-0000-0000-00001E620000}"/>
    <cellStyle name="Comma 3 4 4 2 2 2" xfId="25570" xr:uid="{00000000-0005-0000-0000-00001F620000}"/>
    <cellStyle name="Comma 3 4 4 2 2 2 2" xfId="25571" xr:uid="{00000000-0005-0000-0000-000020620000}"/>
    <cellStyle name="Comma 3 4 4 2 2 2 3" xfId="25572" xr:uid="{00000000-0005-0000-0000-000021620000}"/>
    <cellStyle name="Comma 3 4 4 2 2 3" xfId="25573" xr:uid="{00000000-0005-0000-0000-000022620000}"/>
    <cellStyle name="Comma 3 4 4 2 2 4" xfId="25574" xr:uid="{00000000-0005-0000-0000-000023620000}"/>
    <cellStyle name="Comma 3 4 4 2 2 5" xfId="25575" xr:uid="{00000000-0005-0000-0000-000024620000}"/>
    <cellStyle name="Comma 3 4 4 2 2 6" xfId="25576" xr:uid="{00000000-0005-0000-0000-000025620000}"/>
    <cellStyle name="Comma 3 4 4 2 3" xfId="25577" xr:uid="{00000000-0005-0000-0000-000026620000}"/>
    <cellStyle name="Comma 3 4 4 2 3 2" xfId="25578" xr:uid="{00000000-0005-0000-0000-000027620000}"/>
    <cellStyle name="Comma 3 4 4 2 3 3" xfId="25579" xr:uid="{00000000-0005-0000-0000-000028620000}"/>
    <cellStyle name="Comma 3 4 4 2 4" xfId="25580" xr:uid="{00000000-0005-0000-0000-000029620000}"/>
    <cellStyle name="Comma 3 4 4 2 5" xfId="25581" xr:uid="{00000000-0005-0000-0000-00002A620000}"/>
    <cellStyle name="Comma 3 4 4 2 6" xfId="25582" xr:uid="{00000000-0005-0000-0000-00002B620000}"/>
    <cellStyle name="Comma 3 4 4 2 7" xfId="25583" xr:uid="{00000000-0005-0000-0000-00002C620000}"/>
    <cellStyle name="Comma 3 4 4 3" xfId="25584" xr:uid="{00000000-0005-0000-0000-00002D620000}"/>
    <cellStyle name="Comma 3 4 4 3 2" xfId="25585" xr:uid="{00000000-0005-0000-0000-00002E620000}"/>
    <cellStyle name="Comma 3 4 4 3 2 2" xfId="25586" xr:uid="{00000000-0005-0000-0000-00002F620000}"/>
    <cellStyle name="Comma 3 4 4 3 2 3" xfId="25587" xr:uid="{00000000-0005-0000-0000-000030620000}"/>
    <cellStyle name="Comma 3 4 4 3 3" xfId="25588" xr:uid="{00000000-0005-0000-0000-000031620000}"/>
    <cellStyle name="Comma 3 4 4 3 4" xfId="25589" xr:uid="{00000000-0005-0000-0000-000032620000}"/>
    <cellStyle name="Comma 3 4 4 3 5" xfId="25590" xr:uid="{00000000-0005-0000-0000-000033620000}"/>
    <cellStyle name="Comma 3 4 4 3 6" xfId="25591" xr:uid="{00000000-0005-0000-0000-000034620000}"/>
    <cellStyle name="Comma 3 4 4 4" xfId="25592" xr:uid="{00000000-0005-0000-0000-000035620000}"/>
    <cellStyle name="Comma 3 4 4 4 2" xfId="25593" xr:uid="{00000000-0005-0000-0000-000036620000}"/>
    <cellStyle name="Comma 3 4 4 4 2 2" xfId="25594" xr:uid="{00000000-0005-0000-0000-000037620000}"/>
    <cellStyle name="Comma 3 4 4 4 2 3" xfId="25595" xr:uid="{00000000-0005-0000-0000-000038620000}"/>
    <cellStyle name="Comma 3 4 4 4 3" xfId="25596" xr:uid="{00000000-0005-0000-0000-000039620000}"/>
    <cellStyle name="Comma 3 4 4 4 4" xfId="25597" xr:uid="{00000000-0005-0000-0000-00003A620000}"/>
    <cellStyle name="Comma 3 4 4 4 5" xfId="25598" xr:uid="{00000000-0005-0000-0000-00003B620000}"/>
    <cellStyle name="Comma 3 4 4 4 6" xfId="25599" xr:uid="{00000000-0005-0000-0000-00003C620000}"/>
    <cellStyle name="Comma 3 4 4 5" xfId="25600" xr:uid="{00000000-0005-0000-0000-00003D620000}"/>
    <cellStyle name="Comma 3 4 4 5 2" xfId="25601" xr:uid="{00000000-0005-0000-0000-00003E620000}"/>
    <cellStyle name="Comma 3 4 4 5 3" xfId="25602" xr:uid="{00000000-0005-0000-0000-00003F620000}"/>
    <cellStyle name="Comma 3 4 4 6" xfId="25603" xr:uid="{00000000-0005-0000-0000-000040620000}"/>
    <cellStyle name="Comma 3 4 4 7" xfId="25604" xr:uid="{00000000-0005-0000-0000-000041620000}"/>
    <cellStyle name="Comma 3 4 4 8" xfId="25605" xr:uid="{00000000-0005-0000-0000-000042620000}"/>
    <cellStyle name="Comma 3 4 4 9" xfId="25606" xr:uid="{00000000-0005-0000-0000-000043620000}"/>
    <cellStyle name="Comma 3 4 5" xfId="25607" xr:uid="{00000000-0005-0000-0000-000044620000}"/>
    <cellStyle name="Comma 3 4 5 2" xfId="25608" xr:uid="{00000000-0005-0000-0000-000045620000}"/>
    <cellStyle name="Comma 3 4 5 2 2" xfId="25609" xr:uid="{00000000-0005-0000-0000-000046620000}"/>
    <cellStyle name="Comma 3 4 5 2 2 2" xfId="25610" xr:uid="{00000000-0005-0000-0000-000047620000}"/>
    <cellStyle name="Comma 3 4 5 2 2 3" xfId="25611" xr:uid="{00000000-0005-0000-0000-000048620000}"/>
    <cellStyle name="Comma 3 4 5 2 3" xfId="25612" xr:uid="{00000000-0005-0000-0000-000049620000}"/>
    <cellStyle name="Comma 3 4 5 2 4" xfId="25613" xr:uid="{00000000-0005-0000-0000-00004A620000}"/>
    <cellStyle name="Comma 3 4 5 2 5" xfId="25614" xr:uid="{00000000-0005-0000-0000-00004B620000}"/>
    <cellStyle name="Comma 3 4 5 2 6" xfId="25615" xr:uid="{00000000-0005-0000-0000-00004C620000}"/>
    <cellStyle name="Comma 3 4 5 3" xfId="25616" xr:uid="{00000000-0005-0000-0000-00004D620000}"/>
    <cellStyle name="Comma 3 4 5 3 2" xfId="25617" xr:uid="{00000000-0005-0000-0000-00004E620000}"/>
    <cellStyle name="Comma 3 4 5 3 3" xfId="25618" xr:uid="{00000000-0005-0000-0000-00004F620000}"/>
    <cellStyle name="Comma 3 4 5 4" xfId="25619" xr:uid="{00000000-0005-0000-0000-000050620000}"/>
    <cellStyle name="Comma 3 4 5 5" xfId="25620" xr:uid="{00000000-0005-0000-0000-000051620000}"/>
    <cellStyle name="Comma 3 4 5 6" xfId="25621" xr:uid="{00000000-0005-0000-0000-000052620000}"/>
    <cellStyle name="Comma 3 4 5 7" xfId="25622" xr:uid="{00000000-0005-0000-0000-000053620000}"/>
    <cellStyle name="Comma 3 4 6" xfId="25623" xr:uid="{00000000-0005-0000-0000-000054620000}"/>
    <cellStyle name="Comma 3 4 6 2" xfId="25624" xr:uid="{00000000-0005-0000-0000-000055620000}"/>
    <cellStyle name="Comma 3 4 6 2 2" xfId="25625" xr:uid="{00000000-0005-0000-0000-000056620000}"/>
    <cellStyle name="Comma 3 4 6 2 3" xfId="25626" xr:uid="{00000000-0005-0000-0000-000057620000}"/>
    <cellStyle name="Comma 3 4 6 3" xfId="25627" xr:uid="{00000000-0005-0000-0000-000058620000}"/>
    <cellStyle name="Comma 3 4 6 4" xfId="25628" xr:uid="{00000000-0005-0000-0000-000059620000}"/>
    <cellStyle name="Comma 3 4 6 5" xfId="25629" xr:uid="{00000000-0005-0000-0000-00005A620000}"/>
    <cellStyle name="Comma 3 4 6 6" xfId="25630" xr:uid="{00000000-0005-0000-0000-00005B620000}"/>
    <cellStyle name="Comma 3 4 7" xfId="25631" xr:uid="{00000000-0005-0000-0000-00005C620000}"/>
    <cellStyle name="Comma 3 4 7 2" xfId="25632" xr:uid="{00000000-0005-0000-0000-00005D620000}"/>
    <cellStyle name="Comma 3 4 7 2 2" xfId="25633" xr:uid="{00000000-0005-0000-0000-00005E620000}"/>
    <cellStyle name="Comma 3 4 7 2 3" xfId="25634" xr:uid="{00000000-0005-0000-0000-00005F620000}"/>
    <cellStyle name="Comma 3 4 7 3" xfId="25635" xr:uid="{00000000-0005-0000-0000-000060620000}"/>
    <cellStyle name="Comma 3 4 7 4" xfId="25636" xr:uid="{00000000-0005-0000-0000-000061620000}"/>
    <cellStyle name="Comma 3 4 7 5" xfId="25637" xr:uid="{00000000-0005-0000-0000-000062620000}"/>
    <cellStyle name="Comma 3 4 7 6" xfId="25638" xr:uid="{00000000-0005-0000-0000-000063620000}"/>
    <cellStyle name="Comma 3 4 8" xfId="25639" xr:uid="{00000000-0005-0000-0000-000064620000}"/>
    <cellStyle name="Comma 3 4 8 2" xfId="25640" xr:uid="{00000000-0005-0000-0000-000065620000}"/>
    <cellStyle name="Comma 3 4 8 2 2" xfId="25641" xr:uid="{00000000-0005-0000-0000-000066620000}"/>
    <cellStyle name="Comma 3 4 8 2 3" xfId="25642" xr:uid="{00000000-0005-0000-0000-000067620000}"/>
    <cellStyle name="Comma 3 4 8 3" xfId="25643" xr:uid="{00000000-0005-0000-0000-000068620000}"/>
    <cellStyle name="Comma 3 4 8 4" xfId="25644" xr:uid="{00000000-0005-0000-0000-000069620000}"/>
    <cellStyle name="Comma 3 4 8 5" xfId="25645" xr:uid="{00000000-0005-0000-0000-00006A620000}"/>
    <cellStyle name="Comma 3 4 8 6" xfId="25646" xr:uid="{00000000-0005-0000-0000-00006B620000}"/>
    <cellStyle name="Comma 3 4 9" xfId="25647" xr:uid="{00000000-0005-0000-0000-00006C620000}"/>
    <cellStyle name="Comma 3 4 9 2" xfId="25648" xr:uid="{00000000-0005-0000-0000-00006D620000}"/>
    <cellStyle name="Comma 3 4 9 2 2" xfId="25649" xr:uid="{00000000-0005-0000-0000-00006E620000}"/>
    <cellStyle name="Comma 3 4 9 2 3" xfId="25650" xr:uid="{00000000-0005-0000-0000-00006F620000}"/>
    <cellStyle name="Comma 3 4 9 3" xfId="25651" xr:uid="{00000000-0005-0000-0000-000070620000}"/>
    <cellStyle name="Comma 3 4 9 4" xfId="25652" xr:uid="{00000000-0005-0000-0000-000071620000}"/>
    <cellStyle name="Comma 3 4 9 5" xfId="25653" xr:uid="{00000000-0005-0000-0000-000072620000}"/>
    <cellStyle name="Comma 3 4 9 6" xfId="25654" xr:uid="{00000000-0005-0000-0000-000073620000}"/>
    <cellStyle name="Comma 3 5" xfId="356" xr:uid="{00000000-0005-0000-0000-000074620000}"/>
    <cellStyle name="Comma 3 5 10" xfId="25655" xr:uid="{00000000-0005-0000-0000-000075620000}"/>
    <cellStyle name="Comma 3 5 10 2" xfId="25656" xr:uid="{00000000-0005-0000-0000-000076620000}"/>
    <cellStyle name="Comma 3 5 10 3" xfId="25657" xr:uid="{00000000-0005-0000-0000-000077620000}"/>
    <cellStyle name="Comma 3 5 11" xfId="25658" xr:uid="{00000000-0005-0000-0000-000078620000}"/>
    <cellStyle name="Comma 3 5 12" xfId="25659" xr:uid="{00000000-0005-0000-0000-000079620000}"/>
    <cellStyle name="Comma 3 5 13" xfId="25660" xr:uid="{00000000-0005-0000-0000-00007A620000}"/>
    <cellStyle name="Comma 3 5 14" xfId="25661" xr:uid="{00000000-0005-0000-0000-00007B620000}"/>
    <cellStyle name="Comma 3 5 2" xfId="25662" xr:uid="{00000000-0005-0000-0000-00007C620000}"/>
    <cellStyle name="Comma 3 5 2 10" xfId="25663" xr:uid="{00000000-0005-0000-0000-00007D620000}"/>
    <cellStyle name="Comma 3 5 2 11" xfId="25664" xr:uid="{00000000-0005-0000-0000-00007E620000}"/>
    <cellStyle name="Comma 3 5 2 12" xfId="25665" xr:uid="{00000000-0005-0000-0000-00007F620000}"/>
    <cellStyle name="Comma 3 5 2 13" xfId="25666" xr:uid="{00000000-0005-0000-0000-000080620000}"/>
    <cellStyle name="Comma 3 5 2 2" xfId="25667" xr:uid="{00000000-0005-0000-0000-000081620000}"/>
    <cellStyle name="Comma 3 5 2 2 10" xfId="25668" xr:uid="{00000000-0005-0000-0000-000082620000}"/>
    <cellStyle name="Comma 3 5 2 2 2" xfId="25669" xr:uid="{00000000-0005-0000-0000-000083620000}"/>
    <cellStyle name="Comma 3 5 2 2 2 2" xfId="25670" xr:uid="{00000000-0005-0000-0000-000084620000}"/>
    <cellStyle name="Comma 3 5 2 2 2 2 2" xfId="25671" xr:uid="{00000000-0005-0000-0000-000085620000}"/>
    <cellStyle name="Comma 3 5 2 2 2 2 2 2" xfId="25672" xr:uid="{00000000-0005-0000-0000-000086620000}"/>
    <cellStyle name="Comma 3 5 2 2 2 2 2 3" xfId="25673" xr:uid="{00000000-0005-0000-0000-000087620000}"/>
    <cellStyle name="Comma 3 5 2 2 2 2 3" xfId="25674" xr:uid="{00000000-0005-0000-0000-000088620000}"/>
    <cellStyle name="Comma 3 5 2 2 2 2 4" xfId="25675" xr:uid="{00000000-0005-0000-0000-000089620000}"/>
    <cellStyle name="Comma 3 5 2 2 2 2 5" xfId="25676" xr:uid="{00000000-0005-0000-0000-00008A620000}"/>
    <cellStyle name="Comma 3 5 2 2 2 2 6" xfId="25677" xr:uid="{00000000-0005-0000-0000-00008B620000}"/>
    <cellStyle name="Comma 3 5 2 2 2 3" xfId="25678" xr:uid="{00000000-0005-0000-0000-00008C620000}"/>
    <cellStyle name="Comma 3 5 2 2 2 3 2" xfId="25679" xr:uid="{00000000-0005-0000-0000-00008D620000}"/>
    <cellStyle name="Comma 3 5 2 2 2 3 2 2" xfId="25680" xr:uid="{00000000-0005-0000-0000-00008E620000}"/>
    <cellStyle name="Comma 3 5 2 2 2 3 2 3" xfId="25681" xr:uid="{00000000-0005-0000-0000-00008F620000}"/>
    <cellStyle name="Comma 3 5 2 2 2 3 3" xfId="25682" xr:uid="{00000000-0005-0000-0000-000090620000}"/>
    <cellStyle name="Comma 3 5 2 2 2 3 4" xfId="25683" xr:uid="{00000000-0005-0000-0000-000091620000}"/>
    <cellStyle name="Comma 3 5 2 2 2 3 5" xfId="25684" xr:uid="{00000000-0005-0000-0000-000092620000}"/>
    <cellStyle name="Comma 3 5 2 2 2 3 6" xfId="25685" xr:uid="{00000000-0005-0000-0000-000093620000}"/>
    <cellStyle name="Comma 3 5 2 2 2 4" xfId="25686" xr:uid="{00000000-0005-0000-0000-000094620000}"/>
    <cellStyle name="Comma 3 5 2 2 2 4 2" xfId="25687" xr:uid="{00000000-0005-0000-0000-000095620000}"/>
    <cellStyle name="Comma 3 5 2 2 2 4 3" xfId="25688" xr:uid="{00000000-0005-0000-0000-000096620000}"/>
    <cellStyle name="Comma 3 5 2 2 2 5" xfId="25689" xr:uid="{00000000-0005-0000-0000-000097620000}"/>
    <cellStyle name="Comma 3 5 2 2 2 6" xfId="25690" xr:uid="{00000000-0005-0000-0000-000098620000}"/>
    <cellStyle name="Comma 3 5 2 2 2 7" xfId="25691" xr:uid="{00000000-0005-0000-0000-000099620000}"/>
    <cellStyle name="Comma 3 5 2 2 2 8" xfId="25692" xr:uid="{00000000-0005-0000-0000-00009A620000}"/>
    <cellStyle name="Comma 3 5 2 2 3" xfId="25693" xr:uid="{00000000-0005-0000-0000-00009B620000}"/>
    <cellStyle name="Comma 3 5 2 2 3 2" xfId="25694" xr:uid="{00000000-0005-0000-0000-00009C620000}"/>
    <cellStyle name="Comma 3 5 2 2 3 2 2" xfId="25695" xr:uid="{00000000-0005-0000-0000-00009D620000}"/>
    <cellStyle name="Comma 3 5 2 2 3 2 2 2" xfId="25696" xr:uid="{00000000-0005-0000-0000-00009E620000}"/>
    <cellStyle name="Comma 3 5 2 2 3 2 2 3" xfId="25697" xr:uid="{00000000-0005-0000-0000-00009F620000}"/>
    <cellStyle name="Comma 3 5 2 2 3 2 3" xfId="25698" xr:uid="{00000000-0005-0000-0000-0000A0620000}"/>
    <cellStyle name="Comma 3 5 2 2 3 2 4" xfId="25699" xr:uid="{00000000-0005-0000-0000-0000A1620000}"/>
    <cellStyle name="Comma 3 5 2 2 3 2 5" xfId="25700" xr:uid="{00000000-0005-0000-0000-0000A2620000}"/>
    <cellStyle name="Comma 3 5 2 2 3 2 6" xfId="25701" xr:uid="{00000000-0005-0000-0000-0000A3620000}"/>
    <cellStyle name="Comma 3 5 2 2 3 3" xfId="25702" xr:uid="{00000000-0005-0000-0000-0000A4620000}"/>
    <cellStyle name="Comma 3 5 2 2 3 3 2" xfId="25703" xr:uid="{00000000-0005-0000-0000-0000A5620000}"/>
    <cellStyle name="Comma 3 5 2 2 3 3 3" xfId="25704" xr:uid="{00000000-0005-0000-0000-0000A6620000}"/>
    <cellStyle name="Comma 3 5 2 2 3 4" xfId="25705" xr:uid="{00000000-0005-0000-0000-0000A7620000}"/>
    <cellStyle name="Comma 3 5 2 2 3 5" xfId="25706" xr:uid="{00000000-0005-0000-0000-0000A8620000}"/>
    <cellStyle name="Comma 3 5 2 2 3 6" xfId="25707" xr:uid="{00000000-0005-0000-0000-0000A9620000}"/>
    <cellStyle name="Comma 3 5 2 2 3 7" xfId="25708" xr:uid="{00000000-0005-0000-0000-0000AA620000}"/>
    <cellStyle name="Comma 3 5 2 2 4" xfId="25709" xr:uid="{00000000-0005-0000-0000-0000AB620000}"/>
    <cellStyle name="Comma 3 5 2 2 4 2" xfId="25710" xr:uid="{00000000-0005-0000-0000-0000AC620000}"/>
    <cellStyle name="Comma 3 5 2 2 4 2 2" xfId="25711" xr:uid="{00000000-0005-0000-0000-0000AD620000}"/>
    <cellStyle name="Comma 3 5 2 2 4 2 3" xfId="25712" xr:uid="{00000000-0005-0000-0000-0000AE620000}"/>
    <cellStyle name="Comma 3 5 2 2 4 3" xfId="25713" xr:uid="{00000000-0005-0000-0000-0000AF620000}"/>
    <cellStyle name="Comma 3 5 2 2 4 4" xfId="25714" xr:uid="{00000000-0005-0000-0000-0000B0620000}"/>
    <cellStyle name="Comma 3 5 2 2 4 5" xfId="25715" xr:uid="{00000000-0005-0000-0000-0000B1620000}"/>
    <cellStyle name="Comma 3 5 2 2 4 6" xfId="25716" xr:uid="{00000000-0005-0000-0000-0000B2620000}"/>
    <cellStyle name="Comma 3 5 2 2 5" xfId="25717" xr:uid="{00000000-0005-0000-0000-0000B3620000}"/>
    <cellStyle name="Comma 3 5 2 2 5 2" xfId="25718" xr:uid="{00000000-0005-0000-0000-0000B4620000}"/>
    <cellStyle name="Comma 3 5 2 2 5 2 2" xfId="25719" xr:uid="{00000000-0005-0000-0000-0000B5620000}"/>
    <cellStyle name="Comma 3 5 2 2 5 2 3" xfId="25720" xr:uid="{00000000-0005-0000-0000-0000B6620000}"/>
    <cellStyle name="Comma 3 5 2 2 5 3" xfId="25721" xr:uid="{00000000-0005-0000-0000-0000B7620000}"/>
    <cellStyle name="Comma 3 5 2 2 5 4" xfId="25722" xr:uid="{00000000-0005-0000-0000-0000B8620000}"/>
    <cellStyle name="Comma 3 5 2 2 5 5" xfId="25723" xr:uid="{00000000-0005-0000-0000-0000B9620000}"/>
    <cellStyle name="Comma 3 5 2 2 5 6" xfId="25724" xr:uid="{00000000-0005-0000-0000-0000BA620000}"/>
    <cellStyle name="Comma 3 5 2 2 6" xfId="25725" xr:uid="{00000000-0005-0000-0000-0000BB620000}"/>
    <cellStyle name="Comma 3 5 2 2 6 2" xfId="25726" xr:uid="{00000000-0005-0000-0000-0000BC620000}"/>
    <cellStyle name="Comma 3 5 2 2 6 3" xfId="25727" xr:uid="{00000000-0005-0000-0000-0000BD620000}"/>
    <cellStyle name="Comma 3 5 2 2 7" xfId="25728" xr:uid="{00000000-0005-0000-0000-0000BE620000}"/>
    <cellStyle name="Comma 3 5 2 2 8" xfId="25729" xr:uid="{00000000-0005-0000-0000-0000BF620000}"/>
    <cellStyle name="Comma 3 5 2 2 9" xfId="25730" xr:uid="{00000000-0005-0000-0000-0000C0620000}"/>
    <cellStyle name="Comma 3 5 2 3" xfId="25731" xr:uid="{00000000-0005-0000-0000-0000C1620000}"/>
    <cellStyle name="Comma 3 5 2 3 2" xfId="25732" xr:uid="{00000000-0005-0000-0000-0000C2620000}"/>
    <cellStyle name="Comma 3 5 2 3 2 2" xfId="25733" xr:uid="{00000000-0005-0000-0000-0000C3620000}"/>
    <cellStyle name="Comma 3 5 2 3 2 2 2" xfId="25734" xr:uid="{00000000-0005-0000-0000-0000C4620000}"/>
    <cellStyle name="Comma 3 5 2 3 2 2 2 2" xfId="25735" xr:uid="{00000000-0005-0000-0000-0000C5620000}"/>
    <cellStyle name="Comma 3 5 2 3 2 2 2 3" xfId="25736" xr:uid="{00000000-0005-0000-0000-0000C6620000}"/>
    <cellStyle name="Comma 3 5 2 3 2 2 3" xfId="25737" xr:uid="{00000000-0005-0000-0000-0000C7620000}"/>
    <cellStyle name="Comma 3 5 2 3 2 2 4" xfId="25738" xr:uid="{00000000-0005-0000-0000-0000C8620000}"/>
    <cellStyle name="Comma 3 5 2 3 2 2 5" xfId="25739" xr:uid="{00000000-0005-0000-0000-0000C9620000}"/>
    <cellStyle name="Comma 3 5 2 3 2 2 6" xfId="25740" xr:uid="{00000000-0005-0000-0000-0000CA620000}"/>
    <cellStyle name="Comma 3 5 2 3 2 3" xfId="25741" xr:uid="{00000000-0005-0000-0000-0000CB620000}"/>
    <cellStyle name="Comma 3 5 2 3 2 3 2" xfId="25742" xr:uid="{00000000-0005-0000-0000-0000CC620000}"/>
    <cellStyle name="Comma 3 5 2 3 2 3 3" xfId="25743" xr:uid="{00000000-0005-0000-0000-0000CD620000}"/>
    <cellStyle name="Comma 3 5 2 3 2 4" xfId="25744" xr:uid="{00000000-0005-0000-0000-0000CE620000}"/>
    <cellStyle name="Comma 3 5 2 3 2 5" xfId="25745" xr:uid="{00000000-0005-0000-0000-0000CF620000}"/>
    <cellStyle name="Comma 3 5 2 3 2 6" xfId="25746" xr:uid="{00000000-0005-0000-0000-0000D0620000}"/>
    <cellStyle name="Comma 3 5 2 3 2 7" xfId="25747" xr:uid="{00000000-0005-0000-0000-0000D1620000}"/>
    <cellStyle name="Comma 3 5 2 3 3" xfId="25748" xr:uid="{00000000-0005-0000-0000-0000D2620000}"/>
    <cellStyle name="Comma 3 5 2 3 3 2" xfId="25749" xr:uid="{00000000-0005-0000-0000-0000D3620000}"/>
    <cellStyle name="Comma 3 5 2 3 3 2 2" xfId="25750" xr:uid="{00000000-0005-0000-0000-0000D4620000}"/>
    <cellStyle name="Comma 3 5 2 3 3 2 3" xfId="25751" xr:uid="{00000000-0005-0000-0000-0000D5620000}"/>
    <cellStyle name="Comma 3 5 2 3 3 3" xfId="25752" xr:uid="{00000000-0005-0000-0000-0000D6620000}"/>
    <cellStyle name="Comma 3 5 2 3 3 4" xfId="25753" xr:uid="{00000000-0005-0000-0000-0000D7620000}"/>
    <cellStyle name="Comma 3 5 2 3 3 5" xfId="25754" xr:uid="{00000000-0005-0000-0000-0000D8620000}"/>
    <cellStyle name="Comma 3 5 2 3 3 6" xfId="25755" xr:uid="{00000000-0005-0000-0000-0000D9620000}"/>
    <cellStyle name="Comma 3 5 2 3 4" xfId="25756" xr:uid="{00000000-0005-0000-0000-0000DA620000}"/>
    <cellStyle name="Comma 3 5 2 3 4 2" xfId="25757" xr:uid="{00000000-0005-0000-0000-0000DB620000}"/>
    <cellStyle name="Comma 3 5 2 3 4 2 2" xfId="25758" xr:uid="{00000000-0005-0000-0000-0000DC620000}"/>
    <cellStyle name="Comma 3 5 2 3 4 2 3" xfId="25759" xr:uid="{00000000-0005-0000-0000-0000DD620000}"/>
    <cellStyle name="Comma 3 5 2 3 4 3" xfId="25760" xr:uid="{00000000-0005-0000-0000-0000DE620000}"/>
    <cellStyle name="Comma 3 5 2 3 4 4" xfId="25761" xr:uid="{00000000-0005-0000-0000-0000DF620000}"/>
    <cellStyle name="Comma 3 5 2 3 4 5" xfId="25762" xr:uid="{00000000-0005-0000-0000-0000E0620000}"/>
    <cellStyle name="Comma 3 5 2 3 4 6" xfId="25763" xr:uid="{00000000-0005-0000-0000-0000E1620000}"/>
    <cellStyle name="Comma 3 5 2 3 5" xfId="25764" xr:uid="{00000000-0005-0000-0000-0000E2620000}"/>
    <cellStyle name="Comma 3 5 2 3 5 2" xfId="25765" xr:uid="{00000000-0005-0000-0000-0000E3620000}"/>
    <cellStyle name="Comma 3 5 2 3 5 3" xfId="25766" xr:uid="{00000000-0005-0000-0000-0000E4620000}"/>
    <cellStyle name="Comma 3 5 2 3 6" xfId="25767" xr:uid="{00000000-0005-0000-0000-0000E5620000}"/>
    <cellStyle name="Comma 3 5 2 3 7" xfId="25768" xr:uid="{00000000-0005-0000-0000-0000E6620000}"/>
    <cellStyle name="Comma 3 5 2 3 8" xfId="25769" xr:uid="{00000000-0005-0000-0000-0000E7620000}"/>
    <cellStyle name="Comma 3 5 2 3 9" xfId="25770" xr:uid="{00000000-0005-0000-0000-0000E8620000}"/>
    <cellStyle name="Comma 3 5 2 4" xfId="25771" xr:uid="{00000000-0005-0000-0000-0000E9620000}"/>
    <cellStyle name="Comma 3 5 2 4 2" xfId="25772" xr:uid="{00000000-0005-0000-0000-0000EA620000}"/>
    <cellStyle name="Comma 3 5 2 4 2 2" xfId="25773" xr:uid="{00000000-0005-0000-0000-0000EB620000}"/>
    <cellStyle name="Comma 3 5 2 4 2 2 2" xfId="25774" xr:uid="{00000000-0005-0000-0000-0000EC620000}"/>
    <cellStyle name="Comma 3 5 2 4 2 2 3" xfId="25775" xr:uid="{00000000-0005-0000-0000-0000ED620000}"/>
    <cellStyle name="Comma 3 5 2 4 2 3" xfId="25776" xr:uid="{00000000-0005-0000-0000-0000EE620000}"/>
    <cellStyle name="Comma 3 5 2 4 2 4" xfId="25777" xr:uid="{00000000-0005-0000-0000-0000EF620000}"/>
    <cellStyle name="Comma 3 5 2 4 2 5" xfId="25778" xr:uid="{00000000-0005-0000-0000-0000F0620000}"/>
    <cellStyle name="Comma 3 5 2 4 2 6" xfId="25779" xr:uid="{00000000-0005-0000-0000-0000F1620000}"/>
    <cellStyle name="Comma 3 5 2 4 3" xfId="25780" xr:uid="{00000000-0005-0000-0000-0000F2620000}"/>
    <cellStyle name="Comma 3 5 2 4 3 2" xfId="25781" xr:uid="{00000000-0005-0000-0000-0000F3620000}"/>
    <cellStyle name="Comma 3 5 2 4 3 3" xfId="25782" xr:uid="{00000000-0005-0000-0000-0000F4620000}"/>
    <cellStyle name="Comma 3 5 2 4 4" xfId="25783" xr:uid="{00000000-0005-0000-0000-0000F5620000}"/>
    <cellStyle name="Comma 3 5 2 4 5" xfId="25784" xr:uid="{00000000-0005-0000-0000-0000F6620000}"/>
    <cellStyle name="Comma 3 5 2 4 6" xfId="25785" xr:uid="{00000000-0005-0000-0000-0000F7620000}"/>
    <cellStyle name="Comma 3 5 2 4 7" xfId="25786" xr:uid="{00000000-0005-0000-0000-0000F8620000}"/>
    <cellStyle name="Comma 3 5 2 5" xfId="25787" xr:uid="{00000000-0005-0000-0000-0000F9620000}"/>
    <cellStyle name="Comma 3 5 2 5 2" xfId="25788" xr:uid="{00000000-0005-0000-0000-0000FA620000}"/>
    <cellStyle name="Comma 3 5 2 5 2 2" xfId="25789" xr:uid="{00000000-0005-0000-0000-0000FB620000}"/>
    <cellStyle name="Comma 3 5 2 5 2 3" xfId="25790" xr:uid="{00000000-0005-0000-0000-0000FC620000}"/>
    <cellStyle name="Comma 3 5 2 5 3" xfId="25791" xr:uid="{00000000-0005-0000-0000-0000FD620000}"/>
    <cellStyle name="Comma 3 5 2 5 4" xfId="25792" xr:uid="{00000000-0005-0000-0000-0000FE620000}"/>
    <cellStyle name="Comma 3 5 2 5 5" xfId="25793" xr:uid="{00000000-0005-0000-0000-0000FF620000}"/>
    <cellStyle name="Comma 3 5 2 5 6" xfId="25794" xr:uid="{00000000-0005-0000-0000-000000630000}"/>
    <cellStyle name="Comma 3 5 2 6" xfId="25795" xr:uid="{00000000-0005-0000-0000-000001630000}"/>
    <cellStyle name="Comma 3 5 2 6 2" xfId="25796" xr:uid="{00000000-0005-0000-0000-000002630000}"/>
    <cellStyle name="Comma 3 5 2 6 2 2" xfId="25797" xr:uid="{00000000-0005-0000-0000-000003630000}"/>
    <cellStyle name="Comma 3 5 2 6 2 3" xfId="25798" xr:uid="{00000000-0005-0000-0000-000004630000}"/>
    <cellStyle name="Comma 3 5 2 6 3" xfId="25799" xr:uid="{00000000-0005-0000-0000-000005630000}"/>
    <cellStyle name="Comma 3 5 2 6 4" xfId="25800" xr:uid="{00000000-0005-0000-0000-000006630000}"/>
    <cellStyle name="Comma 3 5 2 6 5" xfId="25801" xr:uid="{00000000-0005-0000-0000-000007630000}"/>
    <cellStyle name="Comma 3 5 2 6 6" xfId="25802" xr:uid="{00000000-0005-0000-0000-000008630000}"/>
    <cellStyle name="Comma 3 5 2 7" xfId="25803" xr:uid="{00000000-0005-0000-0000-000009630000}"/>
    <cellStyle name="Comma 3 5 2 7 2" xfId="25804" xr:uid="{00000000-0005-0000-0000-00000A630000}"/>
    <cellStyle name="Comma 3 5 2 7 2 2" xfId="25805" xr:uid="{00000000-0005-0000-0000-00000B630000}"/>
    <cellStyle name="Comma 3 5 2 7 2 3" xfId="25806" xr:uid="{00000000-0005-0000-0000-00000C630000}"/>
    <cellStyle name="Comma 3 5 2 7 3" xfId="25807" xr:uid="{00000000-0005-0000-0000-00000D630000}"/>
    <cellStyle name="Comma 3 5 2 7 4" xfId="25808" xr:uid="{00000000-0005-0000-0000-00000E630000}"/>
    <cellStyle name="Comma 3 5 2 7 5" xfId="25809" xr:uid="{00000000-0005-0000-0000-00000F630000}"/>
    <cellStyle name="Comma 3 5 2 7 6" xfId="25810" xr:uid="{00000000-0005-0000-0000-000010630000}"/>
    <cellStyle name="Comma 3 5 2 8" xfId="25811" xr:uid="{00000000-0005-0000-0000-000011630000}"/>
    <cellStyle name="Comma 3 5 2 8 2" xfId="25812" xr:uid="{00000000-0005-0000-0000-000012630000}"/>
    <cellStyle name="Comma 3 5 2 8 2 2" xfId="25813" xr:uid="{00000000-0005-0000-0000-000013630000}"/>
    <cellStyle name="Comma 3 5 2 8 2 3" xfId="25814" xr:uid="{00000000-0005-0000-0000-000014630000}"/>
    <cellStyle name="Comma 3 5 2 8 3" xfId="25815" xr:uid="{00000000-0005-0000-0000-000015630000}"/>
    <cellStyle name="Comma 3 5 2 8 4" xfId="25816" xr:uid="{00000000-0005-0000-0000-000016630000}"/>
    <cellStyle name="Comma 3 5 2 8 5" xfId="25817" xr:uid="{00000000-0005-0000-0000-000017630000}"/>
    <cellStyle name="Comma 3 5 2 8 6" xfId="25818" xr:uid="{00000000-0005-0000-0000-000018630000}"/>
    <cellStyle name="Comma 3 5 2 9" xfId="25819" xr:uid="{00000000-0005-0000-0000-000019630000}"/>
    <cellStyle name="Comma 3 5 2 9 2" xfId="25820" xr:uid="{00000000-0005-0000-0000-00001A630000}"/>
    <cellStyle name="Comma 3 5 2 9 3" xfId="25821" xr:uid="{00000000-0005-0000-0000-00001B630000}"/>
    <cellStyle name="Comma 3 5 3" xfId="25822" xr:uid="{00000000-0005-0000-0000-00001C630000}"/>
    <cellStyle name="Comma 3 5 3 10" xfId="25823" xr:uid="{00000000-0005-0000-0000-00001D630000}"/>
    <cellStyle name="Comma 3 5 3 2" xfId="25824" xr:uid="{00000000-0005-0000-0000-00001E630000}"/>
    <cellStyle name="Comma 3 5 3 2 2" xfId="25825" xr:uid="{00000000-0005-0000-0000-00001F630000}"/>
    <cellStyle name="Comma 3 5 3 2 2 2" xfId="25826" xr:uid="{00000000-0005-0000-0000-000020630000}"/>
    <cellStyle name="Comma 3 5 3 2 2 2 2" xfId="25827" xr:uid="{00000000-0005-0000-0000-000021630000}"/>
    <cellStyle name="Comma 3 5 3 2 2 2 3" xfId="25828" xr:uid="{00000000-0005-0000-0000-000022630000}"/>
    <cellStyle name="Comma 3 5 3 2 2 3" xfId="25829" xr:uid="{00000000-0005-0000-0000-000023630000}"/>
    <cellStyle name="Comma 3 5 3 2 2 4" xfId="25830" xr:uid="{00000000-0005-0000-0000-000024630000}"/>
    <cellStyle name="Comma 3 5 3 2 2 5" xfId="25831" xr:uid="{00000000-0005-0000-0000-000025630000}"/>
    <cellStyle name="Comma 3 5 3 2 2 6" xfId="25832" xr:uid="{00000000-0005-0000-0000-000026630000}"/>
    <cellStyle name="Comma 3 5 3 2 3" xfId="25833" xr:uid="{00000000-0005-0000-0000-000027630000}"/>
    <cellStyle name="Comma 3 5 3 2 3 2" xfId="25834" xr:uid="{00000000-0005-0000-0000-000028630000}"/>
    <cellStyle name="Comma 3 5 3 2 3 2 2" xfId="25835" xr:uid="{00000000-0005-0000-0000-000029630000}"/>
    <cellStyle name="Comma 3 5 3 2 3 2 3" xfId="25836" xr:uid="{00000000-0005-0000-0000-00002A630000}"/>
    <cellStyle name="Comma 3 5 3 2 3 3" xfId="25837" xr:uid="{00000000-0005-0000-0000-00002B630000}"/>
    <cellStyle name="Comma 3 5 3 2 3 4" xfId="25838" xr:uid="{00000000-0005-0000-0000-00002C630000}"/>
    <cellStyle name="Comma 3 5 3 2 3 5" xfId="25839" xr:uid="{00000000-0005-0000-0000-00002D630000}"/>
    <cellStyle name="Comma 3 5 3 2 3 6" xfId="25840" xr:uid="{00000000-0005-0000-0000-00002E630000}"/>
    <cellStyle name="Comma 3 5 3 2 4" xfId="25841" xr:uid="{00000000-0005-0000-0000-00002F630000}"/>
    <cellStyle name="Comma 3 5 3 2 4 2" xfId="25842" xr:uid="{00000000-0005-0000-0000-000030630000}"/>
    <cellStyle name="Comma 3 5 3 2 4 3" xfId="25843" xr:uid="{00000000-0005-0000-0000-000031630000}"/>
    <cellStyle name="Comma 3 5 3 2 5" xfId="25844" xr:uid="{00000000-0005-0000-0000-000032630000}"/>
    <cellStyle name="Comma 3 5 3 2 6" xfId="25845" xr:uid="{00000000-0005-0000-0000-000033630000}"/>
    <cellStyle name="Comma 3 5 3 2 7" xfId="25846" xr:uid="{00000000-0005-0000-0000-000034630000}"/>
    <cellStyle name="Comma 3 5 3 2 8" xfId="25847" xr:uid="{00000000-0005-0000-0000-000035630000}"/>
    <cellStyle name="Comma 3 5 3 3" xfId="25848" xr:uid="{00000000-0005-0000-0000-000036630000}"/>
    <cellStyle name="Comma 3 5 3 3 2" xfId="25849" xr:uid="{00000000-0005-0000-0000-000037630000}"/>
    <cellStyle name="Comma 3 5 3 3 2 2" xfId="25850" xr:uid="{00000000-0005-0000-0000-000038630000}"/>
    <cellStyle name="Comma 3 5 3 3 2 2 2" xfId="25851" xr:uid="{00000000-0005-0000-0000-000039630000}"/>
    <cellStyle name="Comma 3 5 3 3 2 2 3" xfId="25852" xr:uid="{00000000-0005-0000-0000-00003A630000}"/>
    <cellStyle name="Comma 3 5 3 3 2 3" xfId="25853" xr:uid="{00000000-0005-0000-0000-00003B630000}"/>
    <cellStyle name="Comma 3 5 3 3 2 4" xfId="25854" xr:uid="{00000000-0005-0000-0000-00003C630000}"/>
    <cellStyle name="Comma 3 5 3 3 2 5" xfId="25855" xr:uid="{00000000-0005-0000-0000-00003D630000}"/>
    <cellStyle name="Comma 3 5 3 3 2 6" xfId="25856" xr:uid="{00000000-0005-0000-0000-00003E630000}"/>
    <cellStyle name="Comma 3 5 3 3 3" xfId="25857" xr:uid="{00000000-0005-0000-0000-00003F630000}"/>
    <cellStyle name="Comma 3 5 3 3 3 2" xfId="25858" xr:uid="{00000000-0005-0000-0000-000040630000}"/>
    <cellStyle name="Comma 3 5 3 3 3 3" xfId="25859" xr:uid="{00000000-0005-0000-0000-000041630000}"/>
    <cellStyle name="Comma 3 5 3 3 4" xfId="25860" xr:uid="{00000000-0005-0000-0000-000042630000}"/>
    <cellStyle name="Comma 3 5 3 3 5" xfId="25861" xr:uid="{00000000-0005-0000-0000-000043630000}"/>
    <cellStyle name="Comma 3 5 3 3 6" xfId="25862" xr:uid="{00000000-0005-0000-0000-000044630000}"/>
    <cellStyle name="Comma 3 5 3 3 7" xfId="25863" xr:uid="{00000000-0005-0000-0000-000045630000}"/>
    <cellStyle name="Comma 3 5 3 4" xfId="25864" xr:uid="{00000000-0005-0000-0000-000046630000}"/>
    <cellStyle name="Comma 3 5 3 4 2" xfId="25865" xr:uid="{00000000-0005-0000-0000-000047630000}"/>
    <cellStyle name="Comma 3 5 3 4 2 2" xfId="25866" xr:uid="{00000000-0005-0000-0000-000048630000}"/>
    <cellStyle name="Comma 3 5 3 4 2 3" xfId="25867" xr:uid="{00000000-0005-0000-0000-000049630000}"/>
    <cellStyle name="Comma 3 5 3 4 3" xfId="25868" xr:uid="{00000000-0005-0000-0000-00004A630000}"/>
    <cellStyle name="Comma 3 5 3 4 4" xfId="25869" xr:uid="{00000000-0005-0000-0000-00004B630000}"/>
    <cellStyle name="Comma 3 5 3 4 5" xfId="25870" xr:uid="{00000000-0005-0000-0000-00004C630000}"/>
    <cellStyle name="Comma 3 5 3 4 6" xfId="25871" xr:uid="{00000000-0005-0000-0000-00004D630000}"/>
    <cellStyle name="Comma 3 5 3 5" xfId="25872" xr:uid="{00000000-0005-0000-0000-00004E630000}"/>
    <cellStyle name="Comma 3 5 3 5 2" xfId="25873" xr:uid="{00000000-0005-0000-0000-00004F630000}"/>
    <cellStyle name="Comma 3 5 3 5 2 2" xfId="25874" xr:uid="{00000000-0005-0000-0000-000050630000}"/>
    <cellStyle name="Comma 3 5 3 5 2 3" xfId="25875" xr:uid="{00000000-0005-0000-0000-000051630000}"/>
    <cellStyle name="Comma 3 5 3 5 3" xfId="25876" xr:uid="{00000000-0005-0000-0000-000052630000}"/>
    <cellStyle name="Comma 3 5 3 5 4" xfId="25877" xr:uid="{00000000-0005-0000-0000-000053630000}"/>
    <cellStyle name="Comma 3 5 3 5 5" xfId="25878" xr:uid="{00000000-0005-0000-0000-000054630000}"/>
    <cellStyle name="Comma 3 5 3 5 6" xfId="25879" xr:uid="{00000000-0005-0000-0000-000055630000}"/>
    <cellStyle name="Comma 3 5 3 6" xfId="25880" xr:uid="{00000000-0005-0000-0000-000056630000}"/>
    <cellStyle name="Comma 3 5 3 6 2" xfId="25881" xr:uid="{00000000-0005-0000-0000-000057630000}"/>
    <cellStyle name="Comma 3 5 3 6 3" xfId="25882" xr:uid="{00000000-0005-0000-0000-000058630000}"/>
    <cellStyle name="Comma 3 5 3 7" xfId="25883" xr:uid="{00000000-0005-0000-0000-000059630000}"/>
    <cellStyle name="Comma 3 5 3 8" xfId="25884" xr:uid="{00000000-0005-0000-0000-00005A630000}"/>
    <cellStyle name="Comma 3 5 3 9" xfId="25885" xr:uid="{00000000-0005-0000-0000-00005B630000}"/>
    <cellStyle name="Comma 3 5 4" xfId="25886" xr:uid="{00000000-0005-0000-0000-00005C630000}"/>
    <cellStyle name="Comma 3 5 4 2" xfId="25887" xr:uid="{00000000-0005-0000-0000-00005D630000}"/>
    <cellStyle name="Comma 3 5 4 2 2" xfId="25888" xr:uid="{00000000-0005-0000-0000-00005E630000}"/>
    <cellStyle name="Comma 3 5 4 2 2 2" xfId="25889" xr:uid="{00000000-0005-0000-0000-00005F630000}"/>
    <cellStyle name="Comma 3 5 4 2 2 2 2" xfId="25890" xr:uid="{00000000-0005-0000-0000-000060630000}"/>
    <cellStyle name="Comma 3 5 4 2 2 2 3" xfId="25891" xr:uid="{00000000-0005-0000-0000-000061630000}"/>
    <cellStyle name="Comma 3 5 4 2 2 3" xfId="25892" xr:uid="{00000000-0005-0000-0000-000062630000}"/>
    <cellStyle name="Comma 3 5 4 2 2 4" xfId="25893" xr:uid="{00000000-0005-0000-0000-000063630000}"/>
    <cellStyle name="Comma 3 5 4 2 2 5" xfId="25894" xr:uid="{00000000-0005-0000-0000-000064630000}"/>
    <cellStyle name="Comma 3 5 4 2 2 6" xfId="25895" xr:uid="{00000000-0005-0000-0000-000065630000}"/>
    <cellStyle name="Comma 3 5 4 2 3" xfId="25896" xr:uid="{00000000-0005-0000-0000-000066630000}"/>
    <cellStyle name="Comma 3 5 4 2 3 2" xfId="25897" xr:uid="{00000000-0005-0000-0000-000067630000}"/>
    <cellStyle name="Comma 3 5 4 2 3 3" xfId="25898" xr:uid="{00000000-0005-0000-0000-000068630000}"/>
    <cellStyle name="Comma 3 5 4 2 4" xfId="25899" xr:uid="{00000000-0005-0000-0000-000069630000}"/>
    <cellStyle name="Comma 3 5 4 2 5" xfId="25900" xr:uid="{00000000-0005-0000-0000-00006A630000}"/>
    <cellStyle name="Comma 3 5 4 2 6" xfId="25901" xr:uid="{00000000-0005-0000-0000-00006B630000}"/>
    <cellStyle name="Comma 3 5 4 2 7" xfId="25902" xr:uid="{00000000-0005-0000-0000-00006C630000}"/>
    <cellStyle name="Comma 3 5 4 3" xfId="25903" xr:uid="{00000000-0005-0000-0000-00006D630000}"/>
    <cellStyle name="Comma 3 5 4 3 2" xfId="25904" xr:uid="{00000000-0005-0000-0000-00006E630000}"/>
    <cellStyle name="Comma 3 5 4 3 2 2" xfId="25905" xr:uid="{00000000-0005-0000-0000-00006F630000}"/>
    <cellStyle name="Comma 3 5 4 3 2 3" xfId="25906" xr:uid="{00000000-0005-0000-0000-000070630000}"/>
    <cellStyle name="Comma 3 5 4 3 3" xfId="25907" xr:uid="{00000000-0005-0000-0000-000071630000}"/>
    <cellStyle name="Comma 3 5 4 3 4" xfId="25908" xr:uid="{00000000-0005-0000-0000-000072630000}"/>
    <cellStyle name="Comma 3 5 4 3 5" xfId="25909" xr:uid="{00000000-0005-0000-0000-000073630000}"/>
    <cellStyle name="Comma 3 5 4 3 6" xfId="25910" xr:uid="{00000000-0005-0000-0000-000074630000}"/>
    <cellStyle name="Comma 3 5 4 4" xfId="25911" xr:uid="{00000000-0005-0000-0000-000075630000}"/>
    <cellStyle name="Comma 3 5 4 4 2" xfId="25912" xr:uid="{00000000-0005-0000-0000-000076630000}"/>
    <cellStyle name="Comma 3 5 4 4 2 2" xfId="25913" xr:uid="{00000000-0005-0000-0000-000077630000}"/>
    <cellStyle name="Comma 3 5 4 4 2 3" xfId="25914" xr:uid="{00000000-0005-0000-0000-000078630000}"/>
    <cellStyle name="Comma 3 5 4 4 3" xfId="25915" xr:uid="{00000000-0005-0000-0000-000079630000}"/>
    <cellStyle name="Comma 3 5 4 4 4" xfId="25916" xr:uid="{00000000-0005-0000-0000-00007A630000}"/>
    <cellStyle name="Comma 3 5 4 4 5" xfId="25917" xr:uid="{00000000-0005-0000-0000-00007B630000}"/>
    <cellStyle name="Comma 3 5 4 4 6" xfId="25918" xr:uid="{00000000-0005-0000-0000-00007C630000}"/>
    <cellStyle name="Comma 3 5 4 5" xfId="25919" xr:uid="{00000000-0005-0000-0000-00007D630000}"/>
    <cellStyle name="Comma 3 5 4 5 2" xfId="25920" xr:uid="{00000000-0005-0000-0000-00007E630000}"/>
    <cellStyle name="Comma 3 5 4 5 3" xfId="25921" xr:uid="{00000000-0005-0000-0000-00007F630000}"/>
    <cellStyle name="Comma 3 5 4 6" xfId="25922" xr:uid="{00000000-0005-0000-0000-000080630000}"/>
    <cellStyle name="Comma 3 5 4 7" xfId="25923" xr:uid="{00000000-0005-0000-0000-000081630000}"/>
    <cellStyle name="Comma 3 5 4 8" xfId="25924" xr:uid="{00000000-0005-0000-0000-000082630000}"/>
    <cellStyle name="Comma 3 5 4 9" xfId="25925" xr:uid="{00000000-0005-0000-0000-000083630000}"/>
    <cellStyle name="Comma 3 5 5" xfId="25926" xr:uid="{00000000-0005-0000-0000-000084630000}"/>
    <cellStyle name="Comma 3 5 5 2" xfId="25927" xr:uid="{00000000-0005-0000-0000-000085630000}"/>
    <cellStyle name="Comma 3 5 5 2 2" xfId="25928" xr:uid="{00000000-0005-0000-0000-000086630000}"/>
    <cellStyle name="Comma 3 5 5 2 2 2" xfId="25929" xr:uid="{00000000-0005-0000-0000-000087630000}"/>
    <cellStyle name="Comma 3 5 5 2 2 3" xfId="25930" xr:uid="{00000000-0005-0000-0000-000088630000}"/>
    <cellStyle name="Comma 3 5 5 2 3" xfId="25931" xr:uid="{00000000-0005-0000-0000-000089630000}"/>
    <cellStyle name="Comma 3 5 5 2 4" xfId="25932" xr:uid="{00000000-0005-0000-0000-00008A630000}"/>
    <cellStyle name="Comma 3 5 5 2 5" xfId="25933" xr:uid="{00000000-0005-0000-0000-00008B630000}"/>
    <cellStyle name="Comma 3 5 5 2 6" xfId="25934" xr:uid="{00000000-0005-0000-0000-00008C630000}"/>
    <cellStyle name="Comma 3 5 5 3" xfId="25935" xr:uid="{00000000-0005-0000-0000-00008D630000}"/>
    <cellStyle name="Comma 3 5 5 3 2" xfId="25936" xr:uid="{00000000-0005-0000-0000-00008E630000}"/>
    <cellStyle name="Comma 3 5 5 3 3" xfId="25937" xr:uid="{00000000-0005-0000-0000-00008F630000}"/>
    <cellStyle name="Comma 3 5 5 4" xfId="25938" xr:uid="{00000000-0005-0000-0000-000090630000}"/>
    <cellStyle name="Comma 3 5 5 5" xfId="25939" xr:uid="{00000000-0005-0000-0000-000091630000}"/>
    <cellStyle name="Comma 3 5 5 6" xfId="25940" xr:uid="{00000000-0005-0000-0000-000092630000}"/>
    <cellStyle name="Comma 3 5 5 7" xfId="25941" xr:uid="{00000000-0005-0000-0000-000093630000}"/>
    <cellStyle name="Comma 3 5 6" xfId="25942" xr:uid="{00000000-0005-0000-0000-000094630000}"/>
    <cellStyle name="Comma 3 5 6 2" xfId="25943" xr:uid="{00000000-0005-0000-0000-000095630000}"/>
    <cellStyle name="Comma 3 5 6 2 2" xfId="25944" xr:uid="{00000000-0005-0000-0000-000096630000}"/>
    <cellStyle name="Comma 3 5 6 2 3" xfId="25945" xr:uid="{00000000-0005-0000-0000-000097630000}"/>
    <cellStyle name="Comma 3 5 6 3" xfId="25946" xr:uid="{00000000-0005-0000-0000-000098630000}"/>
    <cellStyle name="Comma 3 5 6 4" xfId="25947" xr:uid="{00000000-0005-0000-0000-000099630000}"/>
    <cellStyle name="Comma 3 5 6 5" xfId="25948" xr:uid="{00000000-0005-0000-0000-00009A630000}"/>
    <cellStyle name="Comma 3 5 6 6" xfId="25949" xr:uid="{00000000-0005-0000-0000-00009B630000}"/>
    <cellStyle name="Comma 3 5 7" xfId="25950" xr:uid="{00000000-0005-0000-0000-00009C630000}"/>
    <cellStyle name="Comma 3 5 7 2" xfId="25951" xr:uid="{00000000-0005-0000-0000-00009D630000}"/>
    <cellStyle name="Comma 3 5 7 2 2" xfId="25952" xr:uid="{00000000-0005-0000-0000-00009E630000}"/>
    <cellStyle name="Comma 3 5 7 2 3" xfId="25953" xr:uid="{00000000-0005-0000-0000-00009F630000}"/>
    <cellStyle name="Comma 3 5 7 3" xfId="25954" xr:uid="{00000000-0005-0000-0000-0000A0630000}"/>
    <cellStyle name="Comma 3 5 7 4" xfId="25955" xr:uid="{00000000-0005-0000-0000-0000A1630000}"/>
    <cellStyle name="Comma 3 5 7 5" xfId="25956" xr:uid="{00000000-0005-0000-0000-0000A2630000}"/>
    <cellStyle name="Comma 3 5 7 6" xfId="25957" xr:uid="{00000000-0005-0000-0000-0000A3630000}"/>
    <cellStyle name="Comma 3 5 8" xfId="25958" xr:uid="{00000000-0005-0000-0000-0000A4630000}"/>
    <cellStyle name="Comma 3 5 8 2" xfId="25959" xr:uid="{00000000-0005-0000-0000-0000A5630000}"/>
    <cellStyle name="Comma 3 5 8 2 2" xfId="25960" xr:uid="{00000000-0005-0000-0000-0000A6630000}"/>
    <cellStyle name="Comma 3 5 8 2 3" xfId="25961" xr:uid="{00000000-0005-0000-0000-0000A7630000}"/>
    <cellStyle name="Comma 3 5 8 3" xfId="25962" xr:uid="{00000000-0005-0000-0000-0000A8630000}"/>
    <cellStyle name="Comma 3 5 8 4" xfId="25963" xr:uid="{00000000-0005-0000-0000-0000A9630000}"/>
    <cellStyle name="Comma 3 5 8 5" xfId="25964" xr:uid="{00000000-0005-0000-0000-0000AA630000}"/>
    <cellStyle name="Comma 3 5 8 6" xfId="25965" xr:uid="{00000000-0005-0000-0000-0000AB630000}"/>
    <cellStyle name="Comma 3 5 9" xfId="25966" xr:uid="{00000000-0005-0000-0000-0000AC630000}"/>
    <cellStyle name="Comma 3 5 9 2" xfId="25967" xr:uid="{00000000-0005-0000-0000-0000AD630000}"/>
    <cellStyle name="Comma 3 5 9 2 2" xfId="25968" xr:uid="{00000000-0005-0000-0000-0000AE630000}"/>
    <cellStyle name="Comma 3 5 9 2 3" xfId="25969" xr:uid="{00000000-0005-0000-0000-0000AF630000}"/>
    <cellStyle name="Comma 3 5 9 3" xfId="25970" xr:uid="{00000000-0005-0000-0000-0000B0630000}"/>
    <cellStyle name="Comma 3 5 9 4" xfId="25971" xr:uid="{00000000-0005-0000-0000-0000B1630000}"/>
    <cellStyle name="Comma 3 5 9 5" xfId="25972" xr:uid="{00000000-0005-0000-0000-0000B2630000}"/>
    <cellStyle name="Comma 3 5 9 6" xfId="25973" xr:uid="{00000000-0005-0000-0000-0000B3630000}"/>
    <cellStyle name="Comma 3 6" xfId="357" xr:uid="{00000000-0005-0000-0000-0000B4630000}"/>
    <cellStyle name="Comma 3 6 10" xfId="25974" xr:uid="{00000000-0005-0000-0000-0000B5630000}"/>
    <cellStyle name="Comma 3 6 11" xfId="25975" xr:uid="{00000000-0005-0000-0000-0000B6630000}"/>
    <cellStyle name="Comma 3 6 12" xfId="25976" xr:uid="{00000000-0005-0000-0000-0000B7630000}"/>
    <cellStyle name="Comma 3 6 13" xfId="25977" xr:uid="{00000000-0005-0000-0000-0000B8630000}"/>
    <cellStyle name="Comma 3 6 2" xfId="25978" xr:uid="{00000000-0005-0000-0000-0000B9630000}"/>
    <cellStyle name="Comma 3 6 2 10" xfId="25979" xr:uid="{00000000-0005-0000-0000-0000BA630000}"/>
    <cellStyle name="Comma 3 6 2 2" xfId="25980" xr:uid="{00000000-0005-0000-0000-0000BB630000}"/>
    <cellStyle name="Comma 3 6 2 2 2" xfId="25981" xr:uid="{00000000-0005-0000-0000-0000BC630000}"/>
    <cellStyle name="Comma 3 6 2 2 2 2" xfId="25982" xr:uid="{00000000-0005-0000-0000-0000BD630000}"/>
    <cellStyle name="Comma 3 6 2 2 2 2 2" xfId="25983" xr:uid="{00000000-0005-0000-0000-0000BE630000}"/>
    <cellStyle name="Comma 3 6 2 2 2 2 3" xfId="25984" xr:uid="{00000000-0005-0000-0000-0000BF630000}"/>
    <cellStyle name="Comma 3 6 2 2 2 3" xfId="25985" xr:uid="{00000000-0005-0000-0000-0000C0630000}"/>
    <cellStyle name="Comma 3 6 2 2 2 4" xfId="25986" xr:uid="{00000000-0005-0000-0000-0000C1630000}"/>
    <cellStyle name="Comma 3 6 2 2 2 5" xfId="25987" xr:uid="{00000000-0005-0000-0000-0000C2630000}"/>
    <cellStyle name="Comma 3 6 2 2 2 6" xfId="25988" xr:uid="{00000000-0005-0000-0000-0000C3630000}"/>
    <cellStyle name="Comma 3 6 2 2 3" xfId="25989" xr:uid="{00000000-0005-0000-0000-0000C4630000}"/>
    <cellStyle name="Comma 3 6 2 2 3 2" xfId="25990" xr:uid="{00000000-0005-0000-0000-0000C5630000}"/>
    <cellStyle name="Comma 3 6 2 2 3 2 2" xfId="25991" xr:uid="{00000000-0005-0000-0000-0000C6630000}"/>
    <cellStyle name="Comma 3 6 2 2 3 2 3" xfId="25992" xr:uid="{00000000-0005-0000-0000-0000C7630000}"/>
    <cellStyle name="Comma 3 6 2 2 3 3" xfId="25993" xr:uid="{00000000-0005-0000-0000-0000C8630000}"/>
    <cellStyle name="Comma 3 6 2 2 3 4" xfId="25994" xr:uid="{00000000-0005-0000-0000-0000C9630000}"/>
    <cellStyle name="Comma 3 6 2 2 3 5" xfId="25995" xr:uid="{00000000-0005-0000-0000-0000CA630000}"/>
    <cellStyle name="Comma 3 6 2 2 3 6" xfId="25996" xr:uid="{00000000-0005-0000-0000-0000CB630000}"/>
    <cellStyle name="Comma 3 6 2 2 4" xfId="25997" xr:uid="{00000000-0005-0000-0000-0000CC630000}"/>
    <cellStyle name="Comma 3 6 2 2 4 2" xfId="25998" xr:uid="{00000000-0005-0000-0000-0000CD630000}"/>
    <cellStyle name="Comma 3 6 2 2 4 3" xfId="25999" xr:uid="{00000000-0005-0000-0000-0000CE630000}"/>
    <cellStyle name="Comma 3 6 2 2 5" xfId="26000" xr:uid="{00000000-0005-0000-0000-0000CF630000}"/>
    <cellStyle name="Comma 3 6 2 2 6" xfId="26001" xr:uid="{00000000-0005-0000-0000-0000D0630000}"/>
    <cellStyle name="Comma 3 6 2 2 7" xfId="26002" xr:uid="{00000000-0005-0000-0000-0000D1630000}"/>
    <cellStyle name="Comma 3 6 2 2 8" xfId="26003" xr:uid="{00000000-0005-0000-0000-0000D2630000}"/>
    <cellStyle name="Comma 3 6 2 3" xfId="26004" xr:uid="{00000000-0005-0000-0000-0000D3630000}"/>
    <cellStyle name="Comma 3 6 2 3 2" xfId="26005" xr:uid="{00000000-0005-0000-0000-0000D4630000}"/>
    <cellStyle name="Comma 3 6 2 3 2 2" xfId="26006" xr:uid="{00000000-0005-0000-0000-0000D5630000}"/>
    <cellStyle name="Comma 3 6 2 3 2 2 2" xfId="26007" xr:uid="{00000000-0005-0000-0000-0000D6630000}"/>
    <cellStyle name="Comma 3 6 2 3 2 2 3" xfId="26008" xr:uid="{00000000-0005-0000-0000-0000D7630000}"/>
    <cellStyle name="Comma 3 6 2 3 2 3" xfId="26009" xr:uid="{00000000-0005-0000-0000-0000D8630000}"/>
    <cellStyle name="Comma 3 6 2 3 2 4" xfId="26010" xr:uid="{00000000-0005-0000-0000-0000D9630000}"/>
    <cellStyle name="Comma 3 6 2 3 2 5" xfId="26011" xr:uid="{00000000-0005-0000-0000-0000DA630000}"/>
    <cellStyle name="Comma 3 6 2 3 2 6" xfId="26012" xr:uid="{00000000-0005-0000-0000-0000DB630000}"/>
    <cellStyle name="Comma 3 6 2 3 3" xfId="26013" xr:uid="{00000000-0005-0000-0000-0000DC630000}"/>
    <cellStyle name="Comma 3 6 2 3 3 2" xfId="26014" xr:uid="{00000000-0005-0000-0000-0000DD630000}"/>
    <cellStyle name="Comma 3 6 2 3 3 3" xfId="26015" xr:uid="{00000000-0005-0000-0000-0000DE630000}"/>
    <cellStyle name="Comma 3 6 2 3 4" xfId="26016" xr:uid="{00000000-0005-0000-0000-0000DF630000}"/>
    <cellStyle name="Comma 3 6 2 3 5" xfId="26017" xr:uid="{00000000-0005-0000-0000-0000E0630000}"/>
    <cellStyle name="Comma 3 6 2 3 6" xfId="26018" xr:uid="{00000000-0005-0000-0000-0000E1630000}"/>
    <cellStyle name="Comma 3 6 2 3 7" xfId="26019" xr:uid="{00000000-0005-0000-0000-0000E2630000}"/>
    <cellStyle name="Comma 3 6 2 4" xfId="26020" xr:uid="{00000000-0005-0000-0000-0000E3630000}"/>
    <cellStyle name="Comma 3 6 2 4 2" xfId="26021" xr:uid="{00000000-0005-0000-0000-0000E4630000}"/>
    <cellStyle name="Comma 3 6 2 4 2 2" xfId="26022" xr:uid="{00000000-0005-0000-0000-0000E5630000}"/>
    <cellStyle name="Comma 3 6 2 4 2 3" xfId="26023" xr:uid="{00000000-0005-0000-0000-0000E6630000}"/>
    <cellStyle name="Comma 3 6 2 4 3" xfId="26024" xr:uid="{00000000-0005-0000-0000-0000E7630000}"/>
    <cellStyle name="Comma 3 6 2 4 4" xfId="26025" xr:uid="{00000000-0005-0000-0000-0000E8630000}"/>
    <cellStyle name="Comma 3 6 2 4 5" xfId="26026" xr:uid="{00000000-0005-0000-0000-0000E9630000}"/>
    <cellStyle name="Comma 3 6 2 4 6" xfId="26027" xr:uid="{00000000-0005-0000-0000-0000EA630000}"/>
    <cellStyle name="Comma 3 6 2 5" xfId="26028" xr:uid="{00000000-0005-0000-0000-0000EB630000}"/>
    <cellStyle name="Comma 3 6 2 5 2" xfId="26029" xr:uid="{00000000-0005-0000-0000-0000EC630000}"/>
    <cellStyle name="Comma 3 6 2 5 2 2" xfId="26030" xr:uid="{00000000-0005-0000-0000-0000ED630000}"/>
    <cellStyle name="Comma 3 6 2 5 2 3" xfId="26031" xr:uid="{00000000-0005-0000-0000-0000EE630000}"/>
    <cellStyle name="Comma 3 6 2 5 3" xfId="26032" xr:uid="{00000000-0005-0000-0000-0000EF630000}"/>
    <cellStyle name="Comma 3 6 2 5 4" xfId="26033" xr:uid="{00000000-0005-0000-0000-0000F0630000}"/>
    <cellStyle name="Comma 3 6 2 5 5" xfId="26034" xr:uid="{00000000-0005-0000-0000-0000F1630000}"/>
    <cellStyle name="Comma 3 6 2 5 6" xfId="26035" xr:uid="{00000000-0005-0000-0000-0000F2630000}"/>
    <cellStyle name="Comma 3 6 2 6" xfId="26036" xr:uid="{00000000-0005-0000-0000-0000F3630000}"/>
    <cellStyle name="Comma 3 6 2 6 2" xfId="26037" xr:uid="{00000000-0005-0000-0000-0000F4630000}"/>
    <cellStyle name="Comma 3 6 2 6 3" xfId="26038" xr:uid="{00000000-0005-0000-0000-0000F5630000}"/>
    <cellStyle name="Comma 3 6 2 7" xfId="26039" xr:uid="{00000000-0005-0000-0000-0000F6630000}"/>
    <cellStyle name="Comma 3 6 2 8" xfId="26040" xr:uid="{00000000-0005-0000-0000-0000F7630000}"/>
    <cellStyle name="Comma 3 6 2 9" xfId="26041" xr:uid="{00000000-0005-0000-0000-0000F8630000}"/>
    <cellStyle name="Comma 3 6 3" xfId="26042" xr:uid="{00000000-0005-0000-0000-0000F9630000}"/>
    <cellStyle name="Comma 3 6 3 2" xfId="26043" xr:uid="{00000000-0005-0000-0000-0000FA630000}"/>
    <cellStyle name="Comma 3 6 3 2 2" xfId="26044" xr:uid="{00000000-0005-0000-0000-0000FB630000}"/>
    <cellStyle name="Comma 3 6 3 2 2 2" xfId="26045" xr:uid="{00000000-0005-0000-0000-0000FC630000}"/>
    <cellStyle name="Comma 3 6 3 2 2 2 2" xfId="26046" xr:uid="{00000000-0005-0000-0000-0000FD630000}"/>
    <cellStyle name="Comma 3 6 3 2 2 2 3" xfId="26047" xr:uid="{00000000-0005-0000-0000-0000FE630000}"/>
    <cellStyle name="Comma 3 6 3 2 2 3" xfId="26048" xr:uid="{00000000-0005-0000-0000-0000FF630000}"/>
    <cellStyle name="Comma 3 6 3 2 2 4" xfId="26049" xr:uid="{00000000-0005-0000-0000-000000640000}"/>
    <cellStyle name="Comma 3 6 3 2 2 5" xfId="26050" xr:uid="{00000000-0005-0000-0000-000001640000}"/>
    <cellStyle name="Comma 3 6 3 2 2 6" xfId="26051" xr:uid="{00000000-0005-0000-0000-000002640000}"/>
    <cellStyle name="Comma 3 6 3 2 3" xfId="26052" xr:uid="{00000000-0005-0000-0000-000003640000}"/>
    <cellStyle name="Comma 3 6 3 2 3 2" xfId="26053" xr:uid="{00000000-0005-0000-0000-000004640000}"/>
    <cellStyle name="Comma 3 6 3 2 3 3" xfId="26054" xr:uid="{00000000-0005-0000-0000-000005640000}"/>
    <cellStyle name="Comma 3 6 3 2 4" xfId="26055" xr:uid="{00000000-0005-0000-0000-000006640000}"/>
    <cellStyle name="Comma 3 6 3 2 5" xfId="26056" xr:uid="{00000000-0005-0000-0000-000007640000}"/>
    <cellStyle name="Comma 3 6 3 2 6" xfId="26057" xr:uid="{00000000-0005-0000-0000-000008640000}"/>
    <cellStyle name="Comma 3 6 3 2 7" xfId="26058" xr:uid="{00000000-0005-0000-0000-000009640000}"/>
    <cellStyle name="Comma 3 6 3 3" xfId="26059" xr:uid="{00000000-0005-0000-0000-00000A640000}"/>
    <cellStyle name="Comma 3 6 3 3 2" xfId="26060" xr:uid="{00000000-0005-0000-0000-00000B640000}"/>
    <cellStyle name="Comma 3 6 3 3 2 2" xfId="26061" xr:uid="{00000000-0005-0000-0000-00000C640000}"/>
    <cellStyle name="Comma 3 6 3 3 2 3" xfId="26062" xr:uid="{00000000-0005-0000-0000-00000D640000}"/>
    <cellStyle name="Comma 3 6 3 3 3" xfId="26063" xr:uid="{00000000-0005-0000-0000-00000E640000}"/>
    <cellStyle name="Comma 3 6 3 3 4" xfId="26064" xr:uid="{00000000-0005-0000-0000-00000F640000}"/>
    <cellStyle name="Comma 3 6 3 3 5" xfId="26065" xr:uid="{00000000-0005-0000-0000-000010640000}"/>
    <cellStyle name="Comma 3 6 3 3 6" xfId="26066" xr:uid="{00000000-0005-0000-0000-000011640000}"/>
    <cellStyle name="Comma 3 6 3 4" xfId="26067" xr:uid="{00000000-0005-0000-0000-000012640000}"/>
    <cellStyle name="Comma 3 6 3 4 2" xfId="26068" xr:uid="{00000000-0005-0000-0000-000013640000}"/>
    <cellStyle name="Comma 3 6 3 4 2 2" xfId="26069" xr:uid="{00000000-0005-0000-0000-000014640000}"/>
    <cellStyle name="Comma 3 6 3 4 2 3" xfId="26070" xr:uid="{00000000-0005-0000-0000-000015640000}"/>
    <cellStyle name="Comma 3 6 3 4 3" xfId="26071" xr:uid="{00000000-0005-0000-0000-000016640000}"/>
    <cellStyle name="Comma 3 6 3 4 4" xfId="26072" xr:uid="{00000000-0005-0000-0000-000017640000}"/>
    <cellStyle name="Comma 3 6 3 4 5" xfId="26073" xr:uid="{00000000-0005-0000-0000-000018640000}"/>
    <cellStyle name="Comma 3 6 3 4 6" xfId="26074" xr:uid="{00000000-0005-0000-0000-000019640000}"/>
    <cellStyle name="Comma 3 6 3 5" xfId="26075" xr:uid="{00000000-0005-0000-0000-00001A640000}"/>
    <cellStyle name="Comma 3 6 3 5 2" xfId="26076" xr:uid="{00000000-0005-0000-0000-00001B640000}"/>
    <cellStyle name="Comma 3 6 3 5 3" xfId="26077" xr:uid="{00000000-0005-0000-0000-00001C640000}"/>
    <cellStyle name="Comma 3 6 3 6" xfId="26078" xr:uid="{00000000-0005-0000-0000-00001D640000}"/>
    <cellStyle name="Comma 3 6 3 7" xfId="26079" xr:uid="{00000000-0005-0000-0000-00001E640000}"/>
    <cellStyle name="Comma 3 6 3 8" xfId="26080" xr:uid="{00000000-0005-0000-0000-00001F640000}"/>
    <cellStyle name="Comma 3 6 3 9" xfId="26081" xr:uid="{00000000-0005-0000-0000-000020640000}"/>
    <cellStyle name="Comma 3 6 4" xfId="26082" xr:uid="{00000000-0005-0000-0000-000021640000}"/>
    <cellStyle name="Comma 3 6 4 2" xfId="26083" xr:uid="{00000000-0005-0000-0000-000022640000}"/>
    <cellStyle name="Comma 3 6 4 2 2" xfId="26084" xr:uid="{00000000-0005-0000-0000-000023640000}"/>
    <cellStyle name="Comma 3 6 4 2 2 2" xfId="26085" xr:uid="{00000000-0005-0000-0000-000024640000}"/>
    <cellStyle name="Comma 3 6 4 2 2 3" xfId="26086" xr:uid="{00000000-0005-0000-0000-000025640000}"/>
    <cellStyle name="Comma 3 6 4 2 3" xfId="26087" xr:uid="{00000000-0005-0000-0000-000026640000}"/>
    <cellStyle name="Comma 3 6 4 2 4" xfId="26088" xr:uid="{00000000-0005-0000-0000-000027640000}"/>
    <cellStyle name="Comma 3 6 4 2 5" xfId="26089" xr:uid="{00000000-0005-0000-0000-000028640000}"/>
    <cellStyle name="Comma 3 6 4 2 6" xfId="26090" xr:uid="{00000000-0005-0000-0000-000029640000}"/>
    <cellStyle name="Comma 3 6 4 3" xfId="26091" xr:uid="{00000000-0005-0000-0000-00002A640000}"/>
    <cellStyle name="Comma 3 6 4 3 2" xfId="26092" xr:uid="{00000000-0005-0000-0000-00002B640000}"/>
    <cellStyle name="Comma 3 6 4 3 3" xfId="26093" xr:uid="{00000000-0005-0000-0000-00002C640000}"/>
    <cellStyle name="Comma 3 6 4 4" xfId="26094" xr:uid="{00000000-0005-0000-0000-00002D640000}"/>
    <cellStyle name="Comma 3 6 4 5" xfId="26095" xr:uid="{00000000-0005-0000-0000-00002E640000}"/>
    <cellStyle name="Comma 3 6 4 6" xfId="26096" xr:uid="{00000000-0005-0000-0000-00002F640000}"/>
    <cellStyle name="Comma 3 6 4 7" xfId="26097" xr:uid="{00000000-0005-0000-0000-000030640000}"/>
    <cellStyle name="Comma 3 6 5" xfId="26098" xr:uid="{00000000-0005-0000-0000-000031640000}"/>
    <cellStyle name="Comma 3 6 5 2" xfId="26099" xr:uid="{00000000-0005-0000-0000-000032640000}"/>
    <cellStyle name="Comma 3 6 5 2 2" xfId="26100" xr:uid="{00000000-0005-0000-0000-000033640000}"/>
    <cellStyle name="Comma 3 6 5 2 3" xfId="26101" xr:uid="{00000000-0005-0000-0000-000034640000}"/>
    <cellStyle name="Comma 3 6 5 3" xfId="26102" xr:uid="{00000000-0005-0000-0000-000035640000}"/>
    <cellStyle name="Comma 3 6 5 4" xfId="26103" xr:uid="{00000000-0005-0000-0000-000036640000}"/>
    <cellStyle name="Comma 3 6 5 5" xfId="26104" xr:uid="{00000000-0005-0000-0000-000037640000}"/>
    <cellStyle name="Comma 3 6 5 6" xfId="26105" xr:uid="{00000000-0005-0000-0000-000038640000}"/>
    <cellStyle name="Comma 3 6 6" xfId="26106" xr:uid="{00000000-0005-0000-0000-000039640000}"/>
    <cellStyle name="Comma 3 6 6 2" xfId="26107" xr:uid="{00000000-0005-0000-0000-00003A640000}"/>
    <cellStyle name="Comma 3 6 6 2 2" xfId="26108" xr:uid="{00000000-0005-0000-0000-00003B640000}"/>
    <cellStyle name="Comma 3 6 6 2 3" xfId="26109" xr:uid="{00000000-0005-0000-0000-00003C640000}"/>
    <cellStyle name="Comma 3 6 6 3" xfId="26110" xr:uid="{00000000-0005-0000-0000-00003D640000}"/>
    <cellStyle name="Comma 3 6 6 4" xfId="26111" xr:uid="{00000000-0005-0000-0000-00003E640000}"/>
    <cellStyle name="Comma 3 6 6 5" xfId="26112" xr:uid="{00000000-0005-0000-0000-00003F640000}"/>
    <cellStyle name="Comma 3 6 6 6" xfId="26113" xr:uid="{00000000-0005-0000-0000-000040640000}"/>
    <cellStyle name="Comma 3 6 7" xfId="26114" xr:uid="{00000000-0005-0000-0000-000041640000}"/>
    <cellStyle name="Comma 3 6 7 2" xfId="26115" xr:uid="{00000000-0005-0000-0000-000042640000}"/>
    <cellStyle name="Comma 3 6 7 2 2" xfId="26116" xr:uid="{00000000-0005-0000-0000-000043640000}"/>
    <cellStyle name="Comma 3 6 7 2 3" xfId="26117" xr:uid="{00000000-0005-0000-0000-000044640000}"/>
    <cellStyle name="Comma 3 6 7 3" xfId="26118" xr:uid="{00000000-0005-0000-0000-000045640000}"/>
    <cellStyle name="Comma 3 6 7 4" xfId="26119" xr:uid="{00000000-0005-0000-0000-000046640000}"/>
    <cellStyle name="Comma 3 6 7 5" xfId="26120" xr:uid="{00000000-0005-0000-0000-000047640000}"/>
    <cellStyle name="Comma 3 6 7 6" xfId="26121" xr:uid="{00000000-0005-0000-0000-000048640000}"/>
    <cellStyle name="Comma 3 6 8" xfId="26122" xr:uid="{00000000-0005-0000-0000-000049640000}"/>
    <cellStyle name="Comma 3 6 8 2" xfId="26123" xr:uid="{00000000-0005-0000-0000-00004A640000}"/>
    <cellStyle name="Comma 3 6 8 2 2" xfId="26124" xr:uid="{00000000-0005-0000-0000-00004B640000}"/>
    <cellStyle name="Comma 3 6 8 2 3" xfId="26125" xr:uid="{00000000-0005-0000-0000-00004C640000}"/>
    <cellStyle name="Comma 3 6 8 3" xfId="26126" xr:uid="{00000000-0005-0000-0000-00004D640000}"/>
    <cellStyle name="Comma 3 6 8 4" xfId="26127" xr:uid="{00000000-0005-0000-0000-00004E640000}"/>
    <cellStyle name="Comma 3 6 8 5" xfId="26128" xr:uid="{00000000-0005-0000-0000-00004F640000}"/>
    <cellStyle name="Comma 3 6 8 6" xfId="26129" xr:uid="{00000000-0005-0000-0000-000050640000}"/>
    <cellStyle name="Comma 3 6 9" xfId="26130" xr:uid="{00000000-0005-0000-0000-000051640000}"/>
    <cellStyle name="Comma 3 6 9 2" xfId="26131" xr:uid="{00000000-0005-0000-0000-000052640000}"/>
    <cellStyle name="Comma 3 6 9 3" xfId="26132" xr:uid="{00000000-0005-0000-0000-000053640000}"/>
    <cellStyle name="Comma 3 7" xfId="358" xr:uid="{00000000-0005-0000-0000-000054640000}"/>
    <cellStyle name="Comma 3 7 10" xfId="26133" xr:uid="{00000000-0005-0000-0000-000055640000}"/>
    <cellStyle name="Comma 3 7 11" xfId="26134" xr:uid="{00000000-0005-0000-0000-000056640000}"/>
    <cellStyle name="Comma 3 7 2" xfId="26135" xr:uid="{00000000-0005-0000-0000-000057640000}"/>
    <cellStyle name="Comma 3 7 2 2" xfId="26136" xr:uid="{00000000-0005-0000-0000-000058640000}"/>
    <cellStyle name="Comma 3 7 2 2 2" xfId="26137" xr:uid="{00000000-0005-0000-0000-000059640000}"/>
    <cellStyle name="Comma 3 7 2 2 2 2" xfId="26138" xr:uid="{00000000-0005-0000-0000-00005A640000}"/>
    <cellStyle name="Comma 3 7 2 2 2 3" xfId="26139" xr:uid="{00000000-0005-0000-0000-00005B640000}"/>
    <cellStyle name="Comma 3 7 2 2 3" xfId="26140" xr:uid="{00000000-0005-0000-0000-00005C640000}"/>
    <cellStyle name="Comma 3 7 2 2 4" xfId="26141" xr:uid="{00000000-0005-0000-0000-00005D640000}"/>
    <cellStyle name="Comma 3 7 2 2 5" xfId="26142" xr:uid="{00000000-0005-0000-0000-00005E640000}"/>
    <cellStyle name="Comma 3 7 2 2 6" xfId="26143" xr:uid="{00000000-0005-0000-0000-00005F640000}"/>
    <cellStyle name="Comma 3 7 2 3" xfId="26144" xr:uid="{00000000-0005-0000-0000-000060640000}"/>
    <cellStyle name="Comma 3 7 2 3 2" xfId="26145" xr:uid="{00000000-0005-0000-0000-000061640000}"/>
    <cellStyle name="Comma 3 7 2 3 2 2" xfId="26146" xr:uid="{00000000-0005-0000-0000-000062640000}"/>
    <cellStyle name="Comma 3 7 2 3 2 3" xfId="26147" xr:uid="{00000000-0005-0000-0000-000063640000}"/>
    <cellStyle name="Comma 3 7 2 3 3" xfId="26148" xr:uid="{00000000-0005-0000-0000-000064640000}"/>
    <cellStyle name="Comma 3 7 2 3 4" xfId="26149" xr:uid="{00000000-0005-0000-0000-000065640000}"/>
    <cellStyle name="Comma 3 7 2 3 5" xfId="26150" xr:uid="{00000000-0005-0000-0000-000066640000}"/>
    <cellStyle name="Comma 3 7 2 3 6" xfId="26151" xr:uid="{00000000-0005-0000-0000-000067640000}"/>
    <cellStyle name="Comma 3 7 2 4" xfId="26152" xr:uid="{00000000-0005-0000-0000-000068640000}"/>
    <cellStyle name="Comma 3 7 2 4 2" xfId="26153" xr:uid="{00000000-0005-0000-0000-000069640000}"/>
    <cellStyle name="Comma 3 7 2 4 3" xfId="26154" xr:uid="{00000000-0005-0000-0000-00006A640000}"/>
    <cellStyle name="Comma 3 7 2 5" xfId="26155" xr:uid="{00000000-0005-0000-0000-00006B640000}"/>
    <cellStyle name="Comma 3 7 2 6" xfId="26156" xr:uid="{00000000-0005-0000-0000-00006C640000}"/>
    <cellStyle name="Comma 3 7 2 7" xfId="26157" xr:uid="{00000000-0005-0000-0000-00006D640000}"/>
    <cellStyle name="Comma 3 7 2 8" xfId="26158" xr:uid="{00000000-0005-0000-0000-00006E640000}"/>
    <cellStyle name="Comma 3 7 3" xfId="26159" xr:uid="{00000000-0005-0000-0000-00006F640000}"/>
    <cellStyle name="Comma 3 7 3 2" xfId="26160" xr:uid="{00000000-0005-0000-0000-000070640000}"/>
    <cellStyle name="Comma 3 7 3 2 2" xfId="26161" xr:uid="{00000000-0005-0000-0000-000071640000}"/>
    <cellStyle name="Comma 3 7 3 2 2 2" xfId="26162" xr:uid="{00000000-0005-0000-0000-000072640000}"/>
    <cellStyle name="Comma 3 7 3 2 2 3" xfId="26163" xr:uid="{00000000-0005-0000-0000-000073640000}"/>
    <cellStyle name="Comma 3 7 3 2 3" xfId="26164" xr:uid="{00000000-0005-0000-0000-000074640000}"/>
    <cellStyle name="Comma 3 7 3 2 4" xfId="26165" xr:uid="{00000000-0005-0000-0000-000075640000}"/>
    <cellStyle name="Comma 3 7 3 2 5" xfId="26166" xr:uid="{00000000-0005-0000-0000-000076640000}"/>
    <cellStyle name="Comma 3 7 3 2 6" xfId="26167" xr:uid="{00000000-0005-0000-0000-000077640000}"/>
    <cellStyle name="Comma 3 7 3 3" xfId="26168" xr:uid="{00000000-0005-0000-0000-000078640000}"/>
    <cellStyle name="Comma 3 7 3 3 2" xfId="26169" xr:uid="{00000000-0005-0000-0000-000079640000}"/>
    <cellStyle name="Comma 3 7 3 3 3" xfId="26170" xr:uid="{00000000-0005-0000-0000-00007A640000}"/>
    <cellStyle name="Comma 3 7 3 4" xfId="26171" xr:uid="{00000000-0005-0000-0000-00007B640000}"/>
    <cellStyle name="Comma 3 7 3 5" xfId="26172" xr:uid="{00000000-0005-0000-0000-00007C640000}"/>
    <cellStyle name="Comma 3 7 3 6" xfId="26173" xr:uid="{00000000-0005-0000-0000-00007D640000}"/>
    <cellStyle name="Comma 3 7 3 7" xfId="26174" xr:uid="{00000000-0005-0000-0000-00007E640000}"/>
    <cellStyle name="Comma 3 7 4" xfId="26175" xr:uid="{00000000-0005-0000-0000-00007F640000}"/>
    <cellStyle name="Comma 3 7 4 2" xfId="26176" xr:uid="{00000000-0005-0000-0000-000080640000}"/>
    <cellStyle name="Comma 3 7 4 2 2" xfId="26177" xr:uid="{00000000-0005-0000-0000-000081640000}"/>
    <cellStyle name="Comma 3 7 4 2 3" xfId="26178" xr:uid="{00000000-0005-0000-0000-000082640000}"/>
    <cellStyle name="Comma 3 7 4 3" xfId="26179" xr:uid="{00000000-0005-0000-0000-000083640000}"/>
    <cellStyle name="Comma 3 7 4 4" xfId="26180" xr:uid="{00000000-0005-0000-0000-000084640000}"/>
    <cellStyle name="Comma 3 7 4 5" xfId="26181" xr:uid="{00000000-0005-0000-0000-000085640000}"/>
    <cellStyle name="Comma 3 7 4 6" xfId="26182" xr:uid="{00000000-0005-0000-0000-000086640000}"/>
    <cellStyle name="Comma 3 7 5" xfId="26183" xr:uid="{00000000-0005-0000-0000-000087640000}"/>
    <cellStyle name="Comma 3 7 5 2" xfId="26184" xr:uid="{00000000-0005-0000-0000-000088640000}"/>
    <cellStyle name="Comma 3 7 5 2 2" xfId="26185" xr:uid="{00000000-0005-0000-0000-000089640000}"/>
    <cellStyle name="Comma 3 7 5 2 3" xfId="26186" xr:uid="{00000000-0005-0000-0000-00008A640000}"/>
    <cellStyle name="Comma 3 7 5 3" xfId="26187" xr:uid="{00000000-0005-0000-0000-00008B640000}"/>
    <cellStyle name="Comma 3 7 5 4" xfId="26188" xr:uid="{00000000-0005-0000-0000-00008C640000}"/>
    <cellStyle name="Comma 3 7 5 5" xfId="26189" xr:uid="{00000000-0005-0000-0000-00008D640000}"/>
    <cellStyle name="Comma 3 7 5 6" xfId="26190" xr:uid="{00000000-0005-0000-0000-00008E640000}"/>
    <cellStyle name="Comma 3 7 6" xfId="26191" xr:uid="{00000000-0005-0000-0000-00008F640000}"/>
    <cellStyle name="Comma 3 7 6 2" xfId="26192" xr:uid="{00000000-0005-0000-0000-000090640000}"/>
    <cellStyle name="Comma 3 7 6 2 2" xfId="26193" xr:uid="{00000000-0005-0000-0000-000091640000}"/>
    <cellStyle name="Comma 3 7 6 2 3" xfId="26194" xr:uid="{00000000-0005-0000-0000-000092640000}"/>
    <cellStyle name="Comma 3 7 6 3" xfId="26195" xr:uid="{00000000-0005-0000-0000-000093640000}"/>
    <cellStyle name="Comma 3 7 6 4" xfId="26196" xr:uid="{00000000-0005-0000-0000-000094640000}"/>
    <cellStyle name="Comma 3 7 6 5" xfId="26197" xr:uid="{00000000-0005-0000-0000-000095640000}"/>
    <cellStyle name="Comma 3 7 6 6" xfId="26198" xr:uid="{00000000-0005-0000-0000-000096640000}"/>
    <cellStyle name="Comma 3 7 7" xfId="26199" xr:uid="{00000000-0005-0000-0000-000097640000}"/>
    <cellStyle name="Comma 3 7 7 2" xfId="26200" xr:uid="{00000000-0005-0000-0000-000098640000}"/>
    <cellStyle name="Comma 3 7 7 3" xfId="26201" xr:uid="{00000000-0005-0000-0000-000099640000}"/>
    <cellStyle name="Comma 3 7 8" xfId="26202" xr:uid="{00000000-0005-0000-0000-00009A640000}"/>
    <cellStyle name="Comma 3 7 9" xfId="26203" xr:uid="{00000000-0005-0000-0000-00009B640000}"/>
    <cellStyle name="Comma 3 8" xfId="26204" xr:uid="{00000000-0005-0000-0000-00009C640000}"/>
    <cellStyle name="Comma 3 8 10" xfId="26205" xr:uid="{00000000-0005-0000-0000-00009D640000}"/>
    <cellStyle name="Comma 3 8 2" xfId="26206" xr:uid="{00000000-0005-0000-0000-00009E640000}"/>
    <cellStyle name="Comma 3 8 2 2" xfId="26207" xr:uid="{00000000-0005-0000-0000-00009F640000}"/>
    <cellStyle name="Comma 3 8 2 2 2" xfId="26208" xr:uid="{00000000-0005-0000-0000-0000A0640000}"/>
    <cellStyle name="Comma 3 8 2 2 2 2" xfId="26209" xr:uid="{00000000-0005-0000-0000-0000A1640000}"/>
    <cellStyle name="Comma 3 8 2 2 2 3" xfId="26210" xr:uid="{00000000-0005-0000-0000-0000A2640000}"/>
    <cellStyle name="Comma 3 8 2 2 3" xfId="26211" xr:uid="{00000000-0005-0000-0000-0000A3640000}"/>
    <cellStyle name="Comma 3 8 2 2 4" xfId="26212" xr:uid="{00000000-0005-0000-0000-0000A4640000}"/>
    <cellStyle name="Comma 3 8 2 2 5" xfId="26213" xr:uid="{00000000-0005-0000-0000-0000A5640000}"/>
    <cellStyle name="Comma 3 8 2 2 6" xfId="26214" xr:uid="{00000000-0005-0000-0000-0000A6640000}"/>
    <cellStyle name="Comma 3 8 2 3" xfId="26215" xr:uid="{00000000-0005-0000-0000-0000A7640000}"/>
    <cellStyle name="Comma 3 8 2 3 2" xfId="26216" xr:uid="{00000000-0005-0000-0000-0000A8640000}"/>
    <cellStyle name="Comma 3 8 2 3 3" xfId="26217" xr:uid="{00000000-0005-0000-0000-0000A9640000}"/>
    <cellStyle name="Comma 3 8 2 4" xfId="26218" xr:uid="{00000000-0005-0000-0000-0000AA640000}"/>
    <cellStyle name="Comma 3 8 2 5" xfId="26219" xr:uid="{00000000-0005-0000-0000-0000AB640000}"/>
    <cellStyle name="Comma 3 8 2 6" xfId="26220" xr:uid="{00000000-0005-0000-0000-0000AC640000}"/>
    <cellStyle name="Comma 3 8 2 7" xfId="26221" xr:uid="{00000000-0005-0000-0000-0000AD640000}"/>
    <cellStyle name="Comma 3 8 3" xfId="26222" xr:uid="{00000000-0005-0000-0000-0000AE640000}"/>
    <cellStyle name="Comma 3 8 3 2" xfId="26223" xr:uid="{00000000-0005-0000-0000-0000AF640000}"/>
    <cellStyle name="Comma 3 8 3 2 2" xfId="26224" xr:uid="{00000000-0005-0000-0000-0000B0640000}"/>
    <cellStyle name="Comma 3 8 3 2 3" xfId="26225" xr:uid="{00000000-0005-0000-0000-0000B1640000}"/>
    <cellStyle name="Comma 3 8 3 3" xfId="26226" xr:uid="{00000000-0005-0000-0000-0000B2640000}"/>
    <cellStyle name="Comma 3 8 3 4" xfId="26227" xr:uid="{00000000-0005-0000-0000-0000B3640000}"/>
    <cellStyle name="Comma 3 8 3 5" xfId="26228" xr:uid="{00000000-0005-0000-0000-0000B4640000}"/>
    <cellStyle name="Comma 3 8 3 6" xfId="26229" xr:uid="{00000000-0005-0000-0000-0000B5640000}"/>
    <cellStyle name="Comma 3 8 4" xfId="26230" xr:uid="{00000000-0005-0000-0000-0000B6640000}"/>
    <cellStyle name="Comma 3 8 4 2" xfId="26231" xr:uid="{00000000-0005-0000-0000-0000B7640000}"/>
    <cellStyle name="Comma 3 8 4 2 2" xfId="26232" xr:uid="{00000000-0005-0000-0000-0000B8640000}"/>
    <cellStyle name="Comma 3 8 4 2 3" xfId="26233" xr:uid="{00000000-0005-0000-0000-0000B9640000}"/>
    <cellStyle name="Comma 3 8 4 3" xfId="26234" xr:uid="{00000000-0005-0000-0000-0000BA640000}"/>
    <cellStyle name="Comma 3 8 4 4" xfId="26235" xr:uid="{00000000-0005-0000-0000-0000BB640000}"/>
    <cellStyle name="Comma 3 8 4 5" xfId="26236" xr:uid="{00000000-0005-0000-0000-0000BC640000}"/>
    <cellStyle name="Comma 3 8 4 6" xfId="26237" xr:uid="{00000000-0005-0000-0000-0000BD640000}"/>
    <cellStyle name="Comma 3 8 5" xfId="26238" xr:uid="{00000000-0005-0000-0000-0000BE640000}"/>
    <cellStyle name="Comma 3 8 5 2" xfId="26239" xr:uid="{00000000-0005-0000-0000-0000BF640000}"/>
    <cellStyle name="Comma 3 8 5 2 2" xfId="26240" xr:uid="{00000000-0005-0000-0000-0000C0640000}"/>
    <cellStyle name="Comma 3 8 5 2 3" xfId="26241" xr:uid="{00000000-0005-0000-0000-0000C1640000}"/>
    <cellStyle name="Comma 3 8 5 3" xfId="26242" xr:uid="{00000000-0005-0000-0000-0000C2640000}"/>
    <cellStyle name="Comma 3 8 5 4" xfId="26243" xr:uid="{00000000-0005-0000-0000-0000C3640000}"/>
    <cellStyle name="Comma 3 8 5 5" xfId="26244" xr:uid="{00000000-0005-0000-0000-0000C4640000}"/>
    <cellStyle name="Comma 3 8 5 6" xfId="26245" xr:uid="{00000000-0005-0000-0000-0000C5640000}"/>
    <cellStyle name="Comma 3 8 6" xfId="26246" xr:uid="{00000000-0005-0000-0000-0000C6640000}"/>
    <cellStyle name="Comma 3 8 6 2" xfId="26247" xr:uid="{00000000-0005-0000-0000-0000C7640000}"/>
    <cellStyle name="Comma 3 8 6 3" xfId="26248" xr:uid="{00000000-0005-0000-0000-0000C8640000}"/>
    <cellStyle name="Comma 3 8 7" xfId="26249" xr:uid="{00000000-0005-0000-0000-0000C9640000}"/>
    <cellStyle name="Comma 3 8 8" xfId="26250" xr:uid="{00000000-0005-0000-0000-0000CA640000}"/>
    <cellStyle name="Comma 3 8 9" xfId="26251" xr:uid="{00000000-0005-0000-0000-0000CB640000}"/>
    <cellStyle name="Comma 3 9" xfId="26252" xr:uid="{00000000-0005-0000-0000-0000CC640000}"/>
    <cellStyle name="Comma 3 9 2" xfId="26253" xr:uid="{00000000-0005-0000-0000-0000CD640000}"/>
    <cellStyle name="Comma 3 9 2 2" xfId="26254" xr:uid="{00000000-0005-0000-0000-0000CE640000}"/>
    <cellStyle name="Comma 3 9 2 2 2" xfId="26255" xr:uid="{00000000-0005-0000-0000-0000CF640000}"/>
    <cellStyle name="Comma 3 9 2 2 3" xfId="26256" xr:uid="{00000000-0005-0000-0000-0000D0640000}"/>
    <cellStyle name="Comma 3 9 2 3" xfId="26257" xr:uid="{00000000-0005-0000-0000-0000D1640000}"/>
    <cellStyle name="Comma 3 9 2 4" xfId="26258" xr:uid="{00000000-0005-0000-0000-0000D2640000}"/>
    <cellStyle name="Comma 3 9 2 5" xfId="26259" xr:uid="{00000000-0005-0000-0000-0000D3640000}"/>
    <cellStyle name="Comma 3 9 2 6" xfId="26260" xr:uid="{00000000-0005-0000-0000-0000D4640000}"/>
    <cellStyle name="Comma 3 9 3" xfId="26261" xr:uid="{00000000-0005-0000-0000-0000D5640000}"/>
    <cellStyle name="Comma 3 9 3 2" xfId="26262" xr:uid="{00000000-0005-0000-0000-0000D6640000}"/>
    <cellStyle name="Comma 3 9 3 2 2" xfId="26263" xr:uid="{00000000-0005-0000-0000-0000D7640000}"/>
    <cellStyle name="Comma 3 9 3 2 3" xfId="26264" xr:uid="{00000000-0005-0000-0000-0000D8640000}"/>
    <cellStyle name="Comma 3 9 3 3" xfId="26265" xr:uid="{00000000-0005-0000-0000-0000D9640000}"/>
    <cellStyle name="Comma 3 9 3 4" xfId="26266" xr:uid="{00000000-0005-0000-0000-0000DA640000}"/>
    <cellStyle name="Comma 3 9 3 5" xfId="26267" xr:uid="{00000000-0005-0000-0000-0000DB640000}"/>
    <cellStyle name="Comma 3 9 3 6" xfId="26268" xr:uid="{00000000-0005-0000-0000-0000DC640000}"/>
    <cellStyle name="Comma 3 9 4" xfId="26269" xr:uid="{00000000-0005-0000-0000-0000DD640000}"/>
    <cellStyle name="Comma 3 9 4 2" xfId="26270" xr:uid="{00000000-0005-0000-0000-0000DE640000}"/>
    <cellStyle name="Comma 3 9 4 3" xfId="26271" xr:uid="{00000000-0005-0000-0000-0000DF640000}"/>
    <cellStyle name="Comma 3 9 5" xfId="26272" xr:uid="{00000000-0005-0000-0000-0000E0640000}"/>
    <cellStyle name="Comma 3 9 6" xfId="26273" xr:uid="{00000000-0005-0000-0000-0000E1640000}"/>
    <cellStyle name="Comma 3 9 7" xfId="26274" xr:uid="{00000000-0005-0000-0000-0000E2640000}"/>
    <cellStyle name="Comma 3 9 8" xfId="26275" xr:uid="{00000000-0005-0000-0000-0000E3640000}"/>
    <cellStyle name="Comma 4" xfId="90" xr:uid="{00000000-0005-0000-0000-0000E4640000}"/>
    <cellStyle name="Comma 4 2" xfId="91" xr:uid="{00000000-0005-0000-0000-0000E5640000}"/>
    <cellStyle name="Comma 4 2 2" xfId="26276" xr:uid="{00000000-0005-0000-0000-0000E6640000}"/>
    <cellStyle name="Comma 4 2 2 2" xfId="26277" xr:uid="{00000000-0005-0000-0000-0000E7640000}"/>
    <cellStyle name="Comma 4 2 2 3" xfId="26278" xr:uid="{00000000-0005-0000-0000-0000E8640000}"/>
    <cellStyle name="Comma 4 2 3" xfId="26279" xr:uid="{00000000-0005-0000-0000-0000E9640000}"/>
    <cellStyle name="Comma 4 2 4" xfId="26280" xr:uid="{00000000-0005-0000-0000-0000EA640000}"/>
    <cellStyle name="Comma 4 2 5" xfId="26281" xr:uid="{00000000-0005-0000-0000-0000EB640000}"/>
    <cellStyle name="Comma 4 2 6" xfId="26282" xr:uid="{00000000-0005-0000-0000-0000EC640000}"/>
    <cellStyle name="Comma 4 3" xfId="26283" xr:uid="{00000000-0005-0000-0000-0000ED640000}"/>
    <cellStyle name="Comma 4 4" xfId="26284" xr:uid="{00000000-0005-0000-0000-0000EE640000}"/>
    <cellStyle name="Comma 4 5" xfId="26285" xr:uid="{00000000-0005-0000-0000-0000EF640000}"/>
    <cellStyle name="Comma 5" xfId="92" xr:uid="{00000000-0005-0000-0000-0000F0640000}"/>
    <cellStyle name="Comma 5 2" xfId="26286" xr:uid="{00000000-0005-0000-0000-0000F1640000}"/>
    <cellStyle name="Comma 5 2 2" xfId="26287" xr:uid="{00000000-0005-0000-0000-0000F2640000}"/>
    <cellStyle name="Comma 5 2 2 2" xfId="26288" xr:uid="{00000000-0005-0000-0000-0000F3640000}"/>
    <cellStyle name="Comma 5 2 2 2 2" xfId="26289" xr:uid="{00000000-0005-0000-0000-0000F4640000}"/>
    <cellStyle name="Comma 5 2 2 2 3" xfId="26290" xr:uid="{00000000-0005-0000-0000-0000F5640000}"/>
    <cellStyle name="Comma 5 2 2 3" xfId="26291" xr:uid="{00000000-0005-0000-0000-0000F6640000}"/>
    <cellStyle name="Comma 5 2 2 4" xfId="26292" xr:uid="{00000000-0005-0000-0000-0000F7640000}"/>
    <cellStyle name="Comma 5 2 2 5" xfId="26293" xr:uid="{00000000-0005-0000-0000-0000F8640000}"/>
    <cellStyle name="Comma 5 2 2 6" xfId="26294" xr:uid="{00000000-0005-0000-0000-0000F9640000}"/>
    <cellStyle name="Comma 5 2 3" xfId="26295" xr:uid="{00000000-0005-0000-0000-0000FA640000}"/>
    <cellStyle name="Comma 5 2 3 2" xfId="26296" xr:uid="{00000000-0005-0000-0000-0000FB640000}"/>
    <cellStyle name="Comma 5 2 3 3" xfId="26297" xr:uid="{00000000-0005-0000-0000-0000FC640000}"/>
    <cellStyle name="Comma 5 2 4" xfId="26298" xr:uid="{00000000-0005-0000-0000-0000FD640000}"/>
    <cellStyle name="Comma 5 2 5" xfId="26299" xr:uid="{00000000-0005-0000-0000-0000FE640000}"/>
    <cellStyle name="Comma 5 2 6" xfId="26300" xr:uid="{00000000-0005-0000-0000-0000FF640000}"/>
    <cellStyle name="Comma 5 2 7" xfId="26301" xr:uid="{00000000-0005-0000-0000-000000650000}"/>
    <cellStyle name="Comma 5 3" xfId="26302" xr:uid="{00000000-0005-0000-0000-000001650000}"/>
    <cellStyle name="Comma 5 3 2" xfId="26303" xr:uid="{00000000-0005-0000-0000-000002650000}"/>
    <cellStyle name="Comma 5 3 2 2" xfId="26304" xr:uid="{00000000-0005-0000-0000-000003650000}"/>
    <cellStyle name="Comma 5 3 2 3" xfId="26305" xr:uid="{00000000-0005-0000-0000-000004650000}"/>
    <cellStyle name="Comma 5 3 3" xfId="26306" xr:uid="{00000000-0005-0000-0000-000005650000}"/>
    <cellStyle name="Comma 5 3 4" xfId="26307" xr:uid="{00000000-0005-0000-0000-000006650000}"/>
    <cellStyle name="Comma 5 3 5" xfId="26308" xr:uid="{00000000-0005-0000-0000-000007650000}"/>
    <cellStyle name="Comma 5 3 6" xfId="26309" xr:uid="{00000000-0005-0000-0000-000008650000}"/>
    <cellStyle name="Comma 5 4" xfId="26310" xr:uid="{00000000-0005-0000-0000-000009650000}"/>
    <cellStyle name="Comma 6" xfId="93" xr:uid="{00000000-0005-0000-0000-00000A650000}"/>
    <cellStyle name="Comma 6 2" xfId="359" xr:uid="{00000000-0005-0000-0000-00000B650000}"/>
    <cellStyle name="Comma 6 2 2" xfId="360" xr:uid="{00000000-0005-0000-0000-00000C650000}"/>
    <cellStyle name="Comma 6 3" xfId="361" xr:uid="{00000000-0005-0000-0000-00000D650000}"/>
    <cellStyle name="Comma 6 4" xfId="26311" xr:uid="{00000000-0005-0000-0000-00000E650000}"/>
    <cellStyle name="Comma 7" xfId="94" xr:uid="{00000000-0005-0000-0000-00000F650000}"/>
    <cellStyle name="Comma 7 2" xfId="362" xr:uid="{00000000-0005-0000-0000-000010650000}"/>
    <cellStyle name="Comma 7 2 2" xfId="363" xr:uid="{00000000-0005-0000-0000-000011650000}"/>
    <cellStyle name="Comma 7 3" xfId="364" xr:uid="{00000000-0005-0000-0000-000012650000}"/>
    <cellStyle name="Comma 8" xfId="95" xr:uid="{00000000-0005-0000-0000-000013650000}"/>
    <cellStyle name="Comma 8 2" xfId="26312" xr:uid="{00000000-0005-0000-0000-000014650000}"/>
    <cellStyle name="Comma 8 3" xfId="26313" xr:uid="{00000000-0005-0000-0000-000015650000}"/>
    <cellStyle name="Comma 9" xfId="96" xr:uid="{00000000-0005-0000-0000-000016650000}"/>
    <cellStyle name="Comma 9 2" xfId="26314" xr:uid="{00000000-0005-0000-0000-000017650000}"/>
    <cellStyle name="Comma 9 2 2" xfId="26315" xr:uid="{00000000-0005-0000-0000-000018650000}"/>
    <cellStyle name="Comma 9 2 2 2" xfId="26316" xr:uid="{00000000-0005-0000-0000-000019650000}"/>
    <cellStyle name="Comma 9 2 2 3" xfId="26317" xr:uid="{00000000-0005-0000-0000-00001A650000}"/>
    <cellStyle name="Comma 9 2 3" xfId="26318" xr:uid="{00000000-0005-0000-0000-00001B650000}"/>
    <cellStyle name="Comma 9 2 4" xfId="26319" xr:uid="{00000000-0005-0000-0000-00001C650000}"/>
    <cellStyle name="Comma 9 2 5" xfId="26320" xr:uid="{00000000-0005-0000-0000-00001D650000}"/>
    <cellStyle name="Comma 9 2 6" xfId="26321" xr:uid="{00000000-0005-0000-0000-00001E650000}"/>
    <cellStyle name="Comma 9 3" xfId="26322" xr:uid="{00000000-0005-0000-0000-00001F650000}"/>
    <cellStyle name="Comma(0)" xfId="26323" xr:uid="{00000000-0005-0000-0000-000020650000}"/>
    <cellStyle name="Comma(0) 2" xfId="26324" xr:uid="{00000000-0005-0000-0000-000021650000}"/>
    <cellStyle name="Comma(0) 3" xfId="26325" xr:uid="{00000000-0005-0000-0000-000022650000}"/>
    <cellStyle name="Comma(0) 4" xfId="26326" xr:uid="{00000000-0005-0000-0000-000023650000}"/>
    <cellStyle name="Comma(1)" xfId="26327" xr:uid="{00000000-0005-0000-0000-000024650000}"/>
    <cellStyle name="Comma(1) 2" xfId="26328" xr:uid="{00000000-0005-0000-0000-000025650000}"/>
    <cellStyle name="Comma(1) 3" xfId="26329" xr:uid="{00000000-0005-0000-0000-000026650000}"/>
    <cellStyle name="Comma0" xfId="26330" xr:uid="{00000000-0005-0000-0000-000027650000}"/>
    <cellStyle name="Comma0 2" xfId="26331" xr:uid="{00000000-0005-0000-0000-000028650000}"/>
    <cellStyle name="Comma0 3" xfId="26332" xr:uid="{00000000-0005-0000-0000-000029650000}"/>
    <cellStyle name="Comment" xfId="26333" xr:uid="{00000000-0005-0000-0000-00002A650000}"/>
    <cellStyle name="Corner heading" xfId="26334" xr:uid="{00000000-0005-0000-0000-00002B650000}"/>
    <cellStyle name="Currency" xfId="1" builtinId="4"/>
    <cellStyle name="Currency [0] 2" xfId="26335" xr:uid="{00000000-0005-0000-0000-00002D650000}"/>
    <cellStyle name="Currency [0] 2 2" xfId="26336" xr:uid="{00000000-0005-0000-0000-00002E650000}"/>
    <cellStyle name="Currency [0] 3" xfId="26337" xr:uid="{00000000-0005-0000-0000-00002F650000}"/>
    <cellStyle name="Currency [0] 4" xfId="26338" xr:uid="{00000000-0005-0000-0000-000030650000}"/>
    <cellStyle name="Currency [0] 4 2" xfId="26339" xr:uid="{00000000-0005-0000-0000-000031650000}"/>
    <cellStyle name="Currency [1]" xfId="26340" xr:uid="{00000000-0005-0000-0000-000032650000}"/>
    <cellStyle name="Currency [1] 2" xfId="26341" xr:uid="{00000000-0005-0000-0000-000033650000}"/>
    <cellStyle name="Currency [1] 3" xfId="26342" xr:uid="{00000000-0005-0000-0000-000034650000}"/>
    <cellStyle name="Currency [1] 4" xfId="26343" xr:uid="{00000000-0005-0000-0000-000035650000}"/>
    <cellStyle name="Currency 10" xfId="26344" xr:uid="{00000000-0005-0000-0000-000036650000}"/>
    <cellStyle name="Currency 11" xfId="26345" xr:uid="{00000000-0005-0000-0000-000037650000}"/>
    <cellStyle name="Currency 2" xfId="97" xr:uid="{00000000-0005-0000-0000-000038650000}"/>
    <cellStyle name="Currency 2 10" xfId="26346" xr:uid="{00000000-0005-0000-0000-000039650000}"/>
    <cellStyle name="Currency 2 10 2" xfId="26347" xr:uid="{00000000-0005-0000-0000-00003A650000}"/>
    <cellStyle name="Currency 2 10 2 2" xfId="26348" xr:uid="{00000000-0005-0000-0000-00003B650000}"/>
    <cellStyle name="Currency 2 10 2 3" xfId="26349" xr:uid="{00000000-0005-0000-0000-00003C650000}"/>
    <cellStyle name="Currency 2 10 3" xfId="26350" xr:uid="{00000000-0005-0000-0000-00003D650000}"/>
    <cellStyle name="Currency 2 10 4" xfId="26351" xr:uid="{00000000-0005-0000-0000-00003E650000}"/>
    <cellStyle name="Currency 2 10 5" xfId="26352" xr:uid="{00000000-0005-0000-0000-00003F650000}"/>
    <cellStyle name="Currency 2 10 6" xfId="26353" xr:uid="{00000000-0005-0000-0000-000040650000}"/>
    <cellStyle name="Currency 2 11" xfId="26354" xr:uid="{00000000-0005-0000-0000-000041650000}"/>
    <cellStyle name="Currency 2 11 2" xfId="26355" xr:uid="{00000000-0005-0000-0000-000042650000}"/>
    <cellStyle name="Currency 2 11 2 2" xfId="26356" xr:uid="{00000000-0005-0000-0000-000043650000}"/>
    <cellStyle name="Currency 2 11 2 3" xfId="26357" xr:uid="{00000000-0005-0000-0000-000044650000}"/>
    <cellStyle name="Currency 2 11 3" xfId="26358" xr:uid="{00000000-0005-0000-0000-000045650000}"/>
    <cellStyle name="Currency 2 11 4" xfId="26359" xr:uid="{00000000-0005-0000-0000-000046650000}"/>
    <cellStyle name="Currency 2 11 5" xfId="26360" xr:uid="{00000000-0005-0000-0000-000047650000}"/>
    <cellStyle name="Currency 2 11 6" xfId="26361" xr:uid="{00000000-0005-0000-0000-000048650000}"/>
    <cellStyle name="Currency 2 12" xfId="26362" xr:uid="{00000000-0005-0000-0000-000049650000}"/>
    <cellStyle name="Currency 2 12 2" xfId="26363" xr:uid="{00000000-0005-0000-0000-00004A650000}"/>
    <cellStyle name="Currency 2 12 2 2" xfId="26364" xr:uid="{00000000-0005-0000-0000-00004B650000}"/>
    <cellStyle name="Currency 2 12 2 3" xfId="26365" xr:uid="{00000000-0005-0000-0000-00004C650000}"/>
    <cellStyle name="Currency 2 12 3" xfId="26366" xr:uid="{00000000-0005-0000-0000-00004D650000}"/>
    <cellStyle name="Currency 2 12 4" xfId="26367" xr:uid="{00000000-0005-0000-0000-00004E650000}"/>
    <cellStyle name="Currency 2 12 5" xfId="26368" xr:uid="{00000000-0005-0000-0000-00004F650000}"/>
    <cellStyle name="Currency 2 12 6" xfId="26369" xr:uid="{00000000-0005-0000-0000-000050650000}"/>
    <cellStyle name="Currency 2 13" xfId="26370" xr:uid="{00000000-0005-0000-0000-000051650000}"/>
    <cellStyle name="Currency 2 13 2" xfId="26371" xr:uid="{00000000-0005-0000-0000-000052650000}"/>
    <cellStyle name="Currency 2 13 3" xfId="26372" xr:uid="{00000000-0005-0000-0000-000053650000}"/>
    <cellStyle name="Currency 2 14" xfId="26373" xr:uid="{00000000-0005-0000-0000-000054650000}"/>
    <cellStyle name="Currency 2 15" xfId="26374" xr:uid="{00000000-0005-0000-0000-000055650000}"/>
    <cellStyle name="Currency 2 16" xfId="26375" xr:uid="{00000000-0005-0000-0000-000056650000}"/>
    <cellStyle name="Currency 2 17" xfId="26376" xr:uid="{00000000-0005-0000-0000-000057650000}"/>
    <cellStyle name="Currency 2 2" xfId="98" xr:uid="{00000000-0005-0000-0000-000058650000}"/>
    <cellStyle name="Currency 2 2 10" xfId="26377" xr:uid="{00000000-0005-0000-0000-000059650000}"/>
    <cellStyle name="Currency 2 2 10 2" xfId="26378" xr:uid="{00000000-0005-0000-0000-00005A650000}"/>
    <cellStyle name="Currency 2 2 10 2 2" xfId="26379" xr:uid="{00000000-0005-0000-0000-00005B650000}"/>
    <cellStyle name="Currency 2 2 10 2 3" xfId="26380" xr:uid="{00000000-0005-0000-0000-00005C650000}"/>
    <cellStyle name="Currency 2 2 10 3" xfId="26381" xr:uid="{00000000-0005-0000-0000-00005D650000}"/>
    <cellStyle name="Currency 2 2 10 4" xfId="26382" xr:uid="{00000000-0005-0000-0000-00005E650000}"/>
    <cellStyle name="Currency 2 2 10 5" xfId="26383" xr:uid="{00000000-0005-0000-0000-00005F650000}"/>
    <cellStyle name="Currency 2 2 10 6" xfId="26384" xr:uid="{00000000-0005-0000-0000-000060650000}"/>
    <cellStyle name="Currency 2 2 11" xfId="26385" xr:uid="{00000000-0005-0000-0000-000061650000}"/>
    <cellStyle name="Currency 2 2 11 2" xfId="26386" xr:uid="{00000000-0005-0000-0000-000062650000}"/>
    <cellStyle name="Currency 2 2 11 2 2" xfId="26387" xr:uid="{00000000-0005-0000-0000-000063650000}"/>
    <cellStyle name="Currency 2 2 11 2 3" xfId="26388" xr:uid="{00000000-0005-0000-0000-000064650000}"/>
    <cellStyle name="Currency 2 2 11 3" xfId="26389" xr:uid="{00000000-0005-0000-0000-000065650000}"/>
    <cellStyle name="Currency 2 2 11 4" xfId="26390" xr:uid="{00000000-0005-0000-0000-000066650000}"/>
    <cellStyle name="Currency 2 2 11 5" xfId="26391" xr:uid="{00000000-0005-0000-0000-000067650000}"/>
    <cellStyle name="Currency 2 2 11 6" xfId="26392" xr:uid="{00000000-0005-0000-0000-000068650000}"/>
    <cellStyle name="Currency 2 2 12" xfId="26393" xr:uid="{00000000-0005-0000-0000-000069650000}"/>
    <cellStyle name="Currency 2 2 12 2" xfId="26394" xr:uid="{00000000-0005-0000-0000-00006A650000}"/>
    <cellStyle name="Currency 2 2 12 3" xfId="26395" xr:uid="{00000000-0005-0000-0000-00006B650000}"/>
    <cellStyle name="Currency 2 2 13" xfId="26396" xr:uid="{00000000-0005-0000-0000-00006C650000}"/>
    <cellStyle name="Currency 2 2 14" xfId="26397" xr:uid="{00000000-0005-0000-0000-00006D650000}"/>
    <cellStyle name="Currency 2 2 15" xfId="26398" xr:uid="{00000000-0005-0000-0000-00006E650000}"/>
    <cellStyle name="Currency 2 2 16" xfId="26399" xr:uid="{00000000-0005-0000-0000-00006F650000}"/>
    <cellStyle name="Currency 2 2 2" xfId="26400" xr:uid="{00000000-0005-0000-0000-000070650000}"/>
    <cellStyle name="Currency 2 2 2 10" xfId="26401" xr:uid="{00000000-0005-0000-0000-000071650000}"/>
    <cellStyle name="Currency 2 2 2 10 2" xfId="26402" xr:uid="{00000000-0005-0000-0000-000072650000}"/>
    <cellStyle name="Currency 2 2 2 10 3" xfId="26403" xr:uid="{00000000-0005-0000-0000-000073650000}"/>
    <cellStyle name="Currency 2 2 2 11" xfId="26404" xr:uid="{00000000-0005-0000-0000-000074650000}"/>
    <cellStyle name="Currency 2 2 2 12" xfId="26405" xr:uid="{00000000-0005-0000-0000-000075650000}"/>
    <cellStyle name="Currency 2 2 2 13" xfId="26406" xr:uid="{00000000-0005-0000-0000-000076650000}"/>
    <cellStyle name="Currency 2 2 2 14" xfId="26407" xr:uid="{00000000-0005-0000-0000-000077650000}"/>
    <cellStyle name="Currency 2 2 2 2" xfId="26408" xr:uid="{00000000-0005-0000-0000-000078650000}"/>
    <cellStyle name="Currency 2 2 2 2 10" xfId="26409" xr:uid="{00000000-0005-0000-0000-000079650000}"/>
    <cellStyle name="Currency 2 2 2 2 11" xfId="26410" xr:uid="{00000000-0005-0000-0000-00007A650000}"/>
    <cellStyle name="Currency 2 2 2 2 12" xfId="26411" xr:uid="{00000000-0005-0000-0000-00007B650000}"/>
    <cellStyle name="Currency 2 2 2 2 13" xfId="26412" xr:uid="{00000000-0005-0000-0000-00007C650000}"/>
    <cellStyle name="Currency 2 2 2 2 2" xfId="26413" xr:uid="{00000000-0005-0000-0000-00007D650000}"/>
    <cellStyle name="Currency 2 2 2 2 2 10" xfId="26414" xr:uid="{00000000-0005-0000-0000-00007E650000}"/>
    <cellStyle name="Currency 2 2 2 2 2 2" xfId="26415" xr:uid="{00000000-0005-0000-0000-00007F650000}"/>
    <cellStyle name="Currency 2 2 2 2 2 2 2" xfId="26416" xr:uid="{00000000-0005-0000-0000-000080650000}"/>
    <cellStyle name="Currency 2 2 2 2 2 2 2 2" xfId="26417" xr:uid="{00000000-0005-0000-0000-000081650000}"/>
    <cellStyle name="Currency 2 2 2 2 2 2 2 2 2" xfId="26418" xr:uid="{00000000-0005-0000-0000-000082650000}"/>
    <cellStyle name="Currency 2 2 2 2 2 2 2 2 3" xfId="26419" xr:uid="{00000000-0005-0000-0000-000083650000}"/>
    <cellStyle name="Currency 2 2 2 2 2 2 2 3" xfId="26420" xr:uid="{00000000-0005-0000-0000-000084650000}"/>
    <cellStyle name="Currency 2 2 2 2 2 2 2 4" xfId="26421" xr:uid="{00000000-0005-0000-0000-000085650000}"/>
    <cellStyle name="Currency 2 2 2 2 2 2 2 5" xfId="26422" xr:uid="{00000000-0005-0000-0000-000086650000}"/>
    <cellStyle name="Currency 2 2 2 2 2 2 2 6" xfId="26423" xr:uid="{00000000-0005-0000-0000-000087650000}"/>
    <cellStyle name="Currency 2 2 2 2 2 2 3" xfId="26424" xr:uid="{00000000-0005-0000-0000-000088650000}"/>
    <cellStyle name="Currency 2 2 2 2 2 2 3 2" xfId="26425" xr:uid="{00000000-0005-0000-0000-000089650000}"/>
    <cellStyle name="Currency 2 2 2 2 2 2 3 2 2" xfId="26426" xr:uid="{00000000-0005-0000-0000-00008A650000}"/>
    <cellStyle name="Currency 2 2 2 2 2 2 3 2 3" xfId="26427" xr:uid="{00000000-0005-0000-0000-00008B650000}"/>
    <cellStyle name="Currency 2 2 2 2 2 2 3 3" xfId="26428" xr:uid="{00000000-0005-0000-0000-00008C650000}"/>
    <cellStyle name="Currency 2 2 2 2 2 2 3 4" xfId="26429" xr:uid="{00000000-0005-0000-0000-00008D650000}"/>
    <cellStyle name="Currency 2 2 2 2 2 2 3 5" xfId="26430" xr:uid="{00000000-0005-0000-0000-00008E650000}"/>
    <cellStyle name="Currency 2 2 2 2 2 2 3 6" xfId="26431" xr:uid="{00000000-0005-0000-0000-00008F650000}"/>
    <cellStyle name="Currency 2 2 2 2 2 2 4" xfId="26432" xr:uid="{00000000-0005-0000-0000-000090650000}"/>
    <cellStyle name="Currency 2 2 2 2 2 2 4 2" xfId="26433" xr:uid="{00000000-0005-0000-0000-000091650000}"/>
    <cellStyle name="Currency 2 2 2 2 2 2 4 3" xfId="26434" xr:uid="{00000000-0005-0000-0000-000092650000}"/>
    <cellStyle name="Currency 2 2 2 2 2 2 5" xfId="26435" xr:uid="{00000000-0005-0000-0000-000093650000}"/>
    <cellStyle name="Currency 2 2 2 2 2 2 6" xfId="26436" xr:uid="{00000000-0005-0000-0000-000094650000}"/>
    <cellStyle name="Currency 2 2 2 2 2 2 7" xfId="26437" xr:uid="{00000000-0005-0000-0000-000095650000}"/>
    <cellStyle name="Currency 2 2 2 2 2 2 8" xfId="26438" xr:uid="{00000000-0005-0000-0000-000096650000}"/>
    <cellStyle name="Currency 2 2 2 2 2 3" xfId="26439" xr:uid="{00000000-0005-0000-0000-000097650000}"/>
    <cellStyle name="Currency 2 2 2 2 2 3 2" xfId="26440" xr:uid="{00000000-0005-0000-0000-000098650000}"/>
    <cellStyle name="Currency 2 2 2 2 2 3 2 2" xfId="26441" xr:uid="{00000000-0005-0000-0000-000099650000}"/>
    <cellStyle name="Currency 2 2 2 2 2 3 2 2 2" xfId="26442" xr:uid="{00000000-0005-0000-0000-00009A650000}"/>
    <cellStyle name="Currency 2 2 2 2 2 3 2 2 3" xfId="26443" xr:uid="{00000000-0005-0000-0000-00009B650000}"/>
    <cellStyle name="Currency 2 2 2 2 2 3 2 3" xfId="26444" xr:uid="{00000000-0005-0000-0000-00009C650000}"/>
    <cellStyle name="Currency 2 2 2 2 2 3 2 4" xfId="26445" xr:uid="{00000000-0005-0000-0000-00009D650000}"/>
    <cellStyle name="Currency 2 2 2 2 2 3 2 5" xfId="26446" xr:uid="{00000000-0005-0000-0000-00009E650000}"/>
    <cellStyle name="Currency 2 2 2 2 2 3 2 6" xfId="26447" xr:uid="{00000000-0005-0000-0000-00009F650000}"/>
    <cellStyle name="Currency 2 2 2 2 2 3 3" xfId="26448" xr:uid="{00000000-0005-0000-0000-0000A0650000}"/>
    <cellStyle name="Currency 2 2 2 2 2 3 3 2" xfId="26449" xr:uid="{00000000-0005-0000-0000-0000A1650000}"/>
    <cellStyle name="Currency 2 2 2 2 2 3 3 3" xfId="26450" xr:uid="{00000000-0005-0000-0000-0000A2650000}"/>
    <cellStyle name="Currency 2 2 2 2 2 3 4" xfId="26451" xr:uid="{00000000-0005-0000-0000-0000A3650000}"/>
    <cellStyle name="Currency 2 2 2 2 2 3 5" xfId="26452" xr:uid="{00000000-0005-0000-0000-0000A4650000}"/>
    <cellStyle name="Currency 2 2 2 2 2 3 6" xfId="26453" xr:uid="{00000000-0005-0000-0000-0000A5650000}"/>
    <cellStyle name="Currency 2 2 2 2 2 3 7" xfId="26454" xr:uid="{00000000-0005-0000-0000-0000A6650000}"/>
    <cellStyle name="Currency 2 2 2 2 2 4" xfId="26455" xr:uid="{00000000-0005-0000-0000-0000A7650000}"/>
    <cellStyle name="Currency 2 2 2 2 2 4 2" xfId="26456" xr:uid="{00000000-0005-0000-0000-0000A8650000}"/>
    <cellStyle name="Currency 2 2 2 2 2 4 2 2" xfId="26457" xr:uid="{00000000-0005-0000-0000-0000A9650000}"/>
    <cellStyle name="Currency 2 2 2 2 2 4 2 3" xfId="26458" xr:uid="{00000000-0005-0000-0000-0000AA650000}"/>
    <cellStyle name="Currency 2 2 2 2 2 4 3" xfId="26459" xr:uid="{00000000-0005-0000-0000-0000AB650000}"/>
    <cellStyle name="Currency 2 2 2 2 2 4 4" xfId="26460" xr:uid="{00000000-0005-0000-0000-0000AC650000}"/>
    <cellStyle name="Currency 2 2 2 2 2 4 5" xfId="26461" xr:uid="{00000000-0005-0000-0000-0000AD650000}"/>
    <cellStyle name="Currency 2 2 2 2 2 4 6" xfId="26462" xr:uid="{00000000-0005-0000-0000-0000AE650000}"/>
    <cellStyle name="Currency 2 2 2 2 2 5" xfId="26463" xr:uid="{00000000-0005-0000-0000-0000AF650000}"/>
    <cellStyle name="Currency 2 2 2 2 2 5 2" xfId="26464" xr:uid="{00000000-0005-0000-0000-0000B0650000}"/>
    <cellStyle name="Currency 2 2 2 2 2 5 2 2" xfId="26465" xr:uid="{00000000-0005-0000-0000-0000B1650000}"/>
    <cellStyle name="Currency 2 2 2 2 2 5 2 3" xfId="26466" xr:uid="{00000000-0005-0000-0000-0000B2650000}"/>
    <cellStyle name="Currency 2 2 2 2 2 5 3" xfId="26467" xr:uid="{00000000-0005-0000-0000-0000B3650000}"/>
    <cellStyle name="Currency 2 2 2 2 2 5 4" xfId="26468" xr:uid="{00000000-0005-0000-0000-0000B4650000}"/>
    <cellStyle name="Currency 2 2 2 2 2 5 5" xfId="26469" xr:uid="{00000000-0005-0000-0000-0000B5650000}"/>
    <cellStyle name="Currency 2 2 2 2 2 5 6" xfId="26470" xr:uid="{00000000-0005-0000-0000-0000B6650000}"/>
    <cellStyle name="Currency 2 2 2 2 2 6" xfId="26471" xr:uid="{00000000-0005-0000-0000-0000B7650000}"/>
    <cellStyle name="Currency 2 2 2 2 2 6 2" xfId="26472" xr:uid="{00000000-0005-0000-0000-0000B8650000}"/>
    <cellStyle name="Currency 2 2 2 2 2 6 3" xfId="26473" xr:uid="{00000000-0005-0000-0000-0000B9650000}"/>
    <cellStyle name="Currency 2 2 2 2 2 7" xfId="26474" xr:uid="{00000000-0005-0000-0000-0000BA650000}"/>
    <cellStyle name="Currency 2 2 2 2 2 8" xfId="26475" xr:uid="{00000000-0005-0000-0000-0000BB650000}"/>
    <cellStyle name="Currency 2 2 2 2 2 9" xfId="26476" xr:uid="{00000000-0005-0000-0000-0000BC650000}"/>
    <cellStyle name="Currency 2 2 2 2 3" xfId="26477" xr:uid="{00000000-0005-0000-0000-0000BD650000}"/>
    <cellStyle name="Currency 2 2 2 2 3 2" xfId="26478" xr:uid="{00000000-0005-0000-0000-0000BE650000}"/>
    <cellStyle name="Currency 2 2 2 2 3 2 2" xfId="26479" xr:uid="{00000000-0005-0000-0000-0000BF650000}"/>
    <cellStyle name="Currency 2 2 2 2 3 2 2 2" xfId="26480" xr:uid="{00000000-0005-0000-0000-0000C0650000}"/>
    <cellStyle name="Currency 2 2 2 2 3 2 2 2 2" xfId="26481" xr:uid="{00000000-0005-0000-0000-0000C1650000}"/>
    <cellStyle name="Currency 2 2 2 2 3 2 2 2 3" xfId="26482" xr:uid="{00000000-0005-0000-0000-0000C2650000}"/>
    <cellStyle name="Currency 2 2 2 2 3 2 2 3" xfId="26483" xr:uid="{00000000-0005-0000-0000-0000C3650000}"/>
    <cellStyle name="Currency 2 2 2 2 3 2 2 4" xfId="26484" xr:uid="{00000000-0005-0000-0000-0000C4650000}"/>
    <cellStyle name="Currency 2 2 2 2 3 2 2 5" xfId="26485" xr:uid="{00000000-0005-0000-0000-0000C5650000}"/>
    <cellStyle name="Currency 2 2 2 2 3 2 2 6" xfId="26486" xr:uid="{00000000-0005-0000-0000-0000C6650000}"/>
    <cellStyle name="Currency 2 2 2 2 3 2 3" xfId="26487" xr:uid="{00000000-0005-0000-0000-0000C7650000}"/>
    <cellStyle name="Currency 2 2 2 2 3 2 3 2" xfId="26488" xr:uid="{00000000-0005-0000-0000-0000C8650000}"/>
    <cellStyle name="Currency 2 2 2 2 3 2 3 3" xfId="26489" xr:uid="{00000000-0005-0000-0000-0000C9650000}"/>
    <cellStyle name="Currency 2 2 2 2 3 2 4" xfId="26490" xr:uid="{00000000-0005-0000-0000-0000CA650000}"/>
    <cellStyle name="Currency 2 2 2 2 3 2 5" xfId="26491" xr:uid="{00000000-0005-0000-0000-0000CB650000}"/>
    <cellStyle name="Currency 2 2 2 2 3 2 6" xfId="26492" xr:uid="{00000000-0005-0000-0000-0000CC650000}"/>
    <cellStyle name="Currency 2 2 2 2 3 2 7" xfId="26493" xr:uid="{00000000-0005-0000-0000-0000CD650000}"/>
    <cellStyle name="Currency 2 2 2 2 3 3" xfId="26494" xr:uid="{00000000-0005-0000-0000-0000CE650000}"/>
    <cellStyle name="Currency 2 2 2 2 3 3 2" xfId="26495" xr:uid="{00000000-0005-0000-0000-0000CF650000}"/>
    <cellStyle name="Currency 2 2 2 2 3 3 2 2" xfId="26496" xr:uid="{00000000-0005-0000-0000-0000D0650000}"/>
    <cellStyle name="Currency 2 2 2 2 3 3 2 3" xfId="26497" xr:uid="{00000000-0005-0000-0000-0000D1650000}"/>
    <cellStyle name="Currency 2 2 2 2 3 3 3" xfId="26498" xr:uid="{00000000-0005-0000-0000-0000D2650000}"/>
    <cellStyle name="Currency 2 2 2 2 3 3 4" xfId="26499" xr:uid="{00000000-0005-0000-0000-0000D3650000}"/>
    <cellStyle name="Currency 2 2 2 2 3 3 5" xfId="26500" xr:uid="{00000000-0005-0000-0000-0000D4650000}"/>
    <cellStyle name="Currency 2 2 2 2 3 3 6" xfId="26501" xr:uid="{00000000-0005-0000-0000-0000D5650000}"/>
    <cellStyle name="Currency 2 2 2 2 3 4" xfId="26502" xr:uid="{00000000-0005-0000-0000-0000D6650000}"/>
    <cellStyle name="Currency 2 2 2 2 3 4 2" xfId="26503" xr:uid="{00000000-0005-0000-0000-0000D7650000}"/>
    <cellStyle name="Currency 2 2 2 2 3 4 2 2" xfId="26504" xr:uid="{00000000-0005-0000-0000-0000D8650000}"/>
    <cellStyle name="Currency 2 2 2 2 3 4 2 3" xfId="26505" xr:uid="{00000000-0005-0000-0000-0000D9650000}"/>
    <cellStyle name="Currency 2 2 2 2 3 4 3" xfId="26506" xr:uid="{00000000-0005-0000-0000-0000DA650000}"/>
    <cellStyle name="Currency 2 2 2 2 3 4 4" xfId="26507" xr:uid="{00000000-0005-0000-0000-0000DB650000}"/>
    <cellStyle name="Currency 2 2 2 2 3 4 5" xfId="26508" xr:uid="{00000000-0005-0000-0000-0000DC650000}"/>
    <cellStyle name="Currency 2 2 2 2 3 4 6" xfId="26509" xr:uid="{00000000-0005-0000-0000-0000DD650000}"/>
    <cellStyle name="Currency 2 2 2 2 3 5" xfId="26510" xr:uid="{00000000-0005-0000-0000-0000DE650000}"/>
    <cellStyle name="Currency 2 2 2 2 3 5 2" xfId="26511" xr:uid="{00000000-0005-0000-0000-0000DF650000}"/>
    <cellStyle name="Currency 2 2 2 2 3 5 3" xfId="26512" xr:uid="{00000000-0005-0000-0000-0000E0650000}"/>
    <cellStyle name="Currency 2 2 2 2 3 6" xfId="26513" xr:uid="{00000000-0005-0000-0000-0000E1650000}"/>
    <cellStyle name="Currency 2 2 2 2 3 7" xfId="26514" xr:uid="{00000000-0005-0000-0000-0000E2650000}"/>
    <cellStyle name="Currency 2 2 2 2 3 8" xfId="26515" xr:uid="{00000000-0005-0000-0000-0000E3650000}"/>
    <cellStyle name="Currency 2 2 2 2 3 9" xfId="26516" xr:uid="{00000000-0005-0000-0000-0000E4650000}"/>
    <cellStyle name="Currency 2 2 2 2 4" xfId="26517" xr:uid="{00000000-0005-0000-0000-0000E5650000}"/>
    <cellStyle name="Currency 2 2 2 2 4 2" xfId="26518" xr:uid="{00000000-0005-0000-0000-0000E6650000}"/>
    <cellStyle name="Currency 2 2 2 2 4 2 2" xfId="26519" xr:uid="{00000000-0005-0000-0000-0000E7650000}"/>
    <cellStyle name="Currency 2 2 2 2 4 2 2 2" xfId="26520" xr:uid="{00000000-0005-0000-0000-0000E8650000}"/>
    <cellStyle name="Currency 2 2 2 2 4 2 2 3" xfId="26521" xr:uid="{00000000-0005-0000-0000-0000E9650000}"/>
    <cellStyle name="Currency 2 2 2 2 4 2 3" xfId="26522" xr:uid="{00000000-0005-0000-0000-0000EA650000}"/>
    <cellStyle name="Currency 2 2 2 2 4 2 4" xfId="26523" xr:uid="{00000000-0005-0000-0000-0000EB650000}"/>
    <cellStyle name="Currency 2 2 2 2 4 2 5" xfId="26524" xr:uid="{00000000-0005-0000-0000-0000EC650000}"/>
    <cellStyle name="Currency 2 2 2 2 4 2 6" xfId="26525" xr:uid="{00000000-0005-0000-0000-0000ED650000}"/>
    <cellStyle name="Currency 2 2 2 2 4 3" xfId="26526" xr:uid="{00000000-0005-0000-0000-0000EE650000}"/>
    <cellStyle name="Currency 2 2 2 2 4 3 2" xfId="26527" xr:uid="{00000000-0005-0000-0000-0000EF650000}"/>
    <cellStyle name="Currency 2 2 2 2 4 3 3" xfId="26528" xr:uid="{00000000-0005-0000-0000-0000F0650000}"/>
    <cellStyle name="Currency 2 2 2 2 4 4" xfId="26529" xr:uid="{00000000-0005-0000-0000-0000F1650000}"/>
    <cellStyle name="Currency 2 2 2 2 4 5" xfId="26530" xr:uid="{00000000-0005-0000-0000-0000F2650000}"/>
    <cellStyle name="Currency 2 2 2 2 4 6" xfId="26531" xr:uid="{00000000-0005-0000-0000-0000F3650000}"/>
    <cellStyle name="Currency 2 2 2 2 4 7" xfId="26532" xr:uid="{00000000-0005-0000-0000-0000F4650000}"/>
    <cellStyle name="Currency 2 2 2 2 5" xfId="26533" xr:uid="{00000000-0005-0000-0000-0000F5650000}"/>
    <cellStyle name="Currency 2 2 2 2 5 2" xfId="26534" xr:uid="{00000000-0005-0000-0000-0000F6650000}"/>
    <cellStyle name="Currency 2 2 2 2 5 2 2" xfId="26535" xr:uid="{00000000-0005-0000-0000-0000F7650000}"/>
    <cellStyle name="Currency 2 2 2 2 5 2 3" xfId="26536" xr:uid="{00000000-0005-0000-0000-0000F8650000}"/>
    <cellStyle name="Currency 2 2 2 2 5 3" xfId="26537" xr:uid="{00000000-0005-0000-0000-0000F9650000}"/>
    <cellStyle name="Currency 2 2 2 2 5 4" xfId="26538" xr:uid="{00000000-0005-0000-0000-0000FA650000}"/>
    <cellStyle name="Currency 2 2 2 2 5 5" xfId="26539" xr:uid="{00000000-0005-0000-0000-0000FB650000}"/>
    <cellStyle name="Currency 2 2 2 2 5 6" xfId="26540" xr:uid="{00000000-0005-0000-0000-0000FC650000}"/>
    <cellStyle name="Currency 2 2 2 2 6" xfId="26541" xr:uid="{00000000-0005-0000-0000-0000FD650000}"/>
    <cellStyle name="Currency 2 2 2 2 6 2" xfId="26542" xr:uid="{00000000-0005-0000-0000-0000FE650000}"/>
    <cellStyle name="Currency 2 2 2 2 6 2 2" xfId="26543" xr:uid="{00000000-0005-0000-0000-0000FF650000}"/>
    <cellStyle name="Currency 2 2 2 2 6 2 3" xfId="26544" xr:uid="{00000000-0005-0000-0000-000000660000}"/>
    <cellStyle name="Currency 2 2 2 2 6 3" xfId="26545" xr:uid="{00000000-0005-0000-0000-000001660000}"/>
    <cellStyle name="Currency 2 2 2 2 6 4" xfId="26546" xr:uid="{00000000-0005-0000-0000-000002660000}"/>
    <cellStyle name="Currency 2 2 2 2 6 5" xfId="26547" xr:uid="{00000000-0005-0000-0000-000003660000}"/>
    <cellStyle name="Currency 2 2 2 2 6 6" xfId="26548" xr:uid="{00000000-0005-0000-0000-000004660000}"/>
    <cellStyle name="Currency 2 2 2 2 7" xfId="26549" xr:uid="{00000000-0005-0000-0000-000005660000}"/>
    <cellStyle name="Currency 2 2 2 2 7 2" xfId="26550" xr:uid="{00000000-0005-0000-0000-000006660000}"/>
    <cellStyle name="Currency 2 2 2 2 7 2 2" xfId="26551" xr:uid="{00000000-0005-0000-0000-000007660000}"/>
    <cellStyle name="Currency 2 2 2 2 7 2 3" xfId="26552" xr:uid="{00000000-0005-0000-0000-000008660000}"/>
    <cellStyle name="Currency 2 2 2 2 7 3" xfId="26553" xr:uid="{00000000-0005-0000-0000-000009660000}"/>
    <cellStyle name="Currency 2 2 2 2 7 4" xfId="26554" xr:uid="{00000000-0005-0000-0000-00000A660000}"/>
    <cellStyle name="Currency 2 2 2 2 7 5" xfId="26555" xr:uid="{00000000-0005-0000-0000-00000B660000}"/>
    <cellStyle name="Currency 2 2 2 2 7 6" xfId="26556" xr:uid="{00000000-0005-0000-0000-00000C660000}"/>
    <cellStyle name="Currency 2 2 2 2 8" xfId="26557" xr:uid="{00000000-0005-0000-0000-00000D660000}"/>
    <cellStyle name="Currency 2 2 2 2 8 2" xfId="26558" xr:uid="{00000000-0005-0000-0000-00000E660000}"/>
    <cellStyle name="Currency 2 2 2 2 8 2 2" xfId="26559" xr:uid="{00000000-0005-0000-0000-00000F660000}"/>
    <cellStyle name="Currency 2 2 2 2 8 2 3" xfId="26560" xr:uid="{00000000-0005-0000-0000-000010660000}"/>
    <cellStyle name="Currency 2 2 2 2 8 3" xfId="26561" xr:uid="{00000000-0005-0000-0000-000011660000}"/>
    <cellStyle name="Currency 2 2 2 2 8 4" xfId="26562" xr:uid="{00000000-0005-0000-0000-000012660000}"/>
    <cellStyle name="Currency 2 2 2 2 8 5" xfId="26563" xr:uid="{00000000-0005-0000-0000-000013660000}"/>
    <cellStyle name="Currency 2 2 2 2 8 6" xfId="26564" xr:uid="{00000000-0005-0000-0000-000014660000}"/>
    <cellStyle name="Currency 2 2 2 2 9" xfId="26565" xr:uid="{00000000-0005-0000-0000-000015660000}"/>
    <cellStyle name="Currency 2 2 2 2 9 2" xfId="26566" xr:uid="{00000000-0005-0000-0000-000016660000}"/>
    <cellStyle name="Currency 2 2 2 2 9 3" xfId="26567" xr:uid="{00000000-0005-0000-0000-000017660000}"/>
    <cellStyle name="Currency 2 2 2 3" xfId="26568" xr:uid="{00000000-0005-0000-0000-000018660000}"/>
    <cellStyle name="Currency 2 2 2 3 10" xfId="26569" xr:uid="{00000000-0005-0000-0000-000019660000}"/>
    <cellStyle name="Currency 2 2 2 3 2" xfId="26570" xr:uid="{00000000-0005-0000-0000-00001A660000}"/>
    <cellStyle name="Currency 2 2 2 3 2 2" xfId="26571" xr:uid="{00000000-0005-0000-0000-00001B660000}"/>
    <cellStyle name="Currency 2 2 2 3 2 2 2" xfId="26572" xr:uid="{00000000-0005-0000-0000-00001C660000}"/>
    <cellStyle name="Currency 2 2 2 3 2 2 2 2" xfId="26573" xr:uid="{00000000-0005-0000-0000-00001D660000}"/>
    <cellStyle name="Currency 2 2 2 3 2 2 2 3" xfId="26574" xr:uid="{00000000-0005-0000-0000-00001E660000}"/>
    <cellStyle name="Currency 2 2 2 3 2 2 3" xfId="26575" xr:uid="{00000000-0005-0000-0000-00001F660000}"/>
    <cellStyle name="Currency 2 2 2 3 2 2 4" xfId="26576" xr:uid="{00000000-0005-0000-0000-000020660000}"/>
    <cellStyle name="Currency 2 2 2 3 2 2 5" xfId="26577" xr:uid="{00000000-0005-0000-0000-000021660000}"/>
    <cellStyle name="Currency 2 2 2 3 2 2 6" xfId="26578" xr:uid="{00000000-0005-0000-0000-000022660000}"/>
    <cellStyle name="Currency 2 2 2 3 2 3" xfId="26579" xr:uid="{00000000-0005-0000-0000-000023660000}"/>
    <cellStyle name="Currency 2 2 2 3 2 3 2" xfId="26580" xr:uid="{00000000-0005-0000-0000-000024660000}"/>
    <cellStyle name="Currency 2 2 2 3 2 3 2 2" xfId="26581" xr:uid="{00000000-0005-0000-0000-000025660000}"/>
    <cellStyle name="Currency 2 2 2 3 2 3 2 3" xfId="26582" xr:uid="{00000000-0005-0000-0000-000026660000}"/>
    <cellStyle name="Currency 2 2 2 3 2 3 3" xfId="26583" xr:uid="{00000000-0005-0000-0000-000027660000}"/>
    <cellStyle name="Currency 2 2 2 3 2 3 4" xfId="26584" xr:uid="{00000000-0005-0000-0000-000028660000}"/>
    <cellStyle name="Currency 2 2 2 3 2 3 5" xfId="26585" xr:uid="{00000000-0005-0000-0000-000029660000}"/>
    <cellStyle name="Currency 2 2 2 3 2 3 6" xfId="26586" xr:uid="{00000000-0005-0000-0000-00002A660000}"/>
    <cellStyle name="Currency 2 2 2 3 2 4" xfId="26587" xr:uid="{00000000-0005-0000-0000-00002B660000}"/>
    <cellStyle name="Currency 2 2 2 3 2 4 2" xfId="26588" xr:uid="{00000000-0005-0000-0000-00002C660000}"/>
    <cellStyle name="Currency 2 2 2 3 2 4 3" xfId="26589" xr:uid="{00000000-0005-0000-0000-00002D660000}"/>
    <cellStyle name="Currency 2 2 2 3 2 5" xfId="26590" xr:uid="{00000000-0005-0000-0000-00002E660000}"/>
    <cellStyle name="Currency 2 2 2 3 2 6" xfId="26591" xr:uid="{00000000-0005-0000-0000-00002F660000}"/>
    <cellStyle name="Currency 2 2 2 3 2 7" xfId="26592" xr:uid="{00000000-0005-0000-0000-000030660000}"/>
    <cellStyle name="Currency 2 2 2 3 2 8" xfId="26593" xr:uid="{00000000-0005-0000-0000-000031660000}"/>
    <cellStyle name="Currency 2 2 2 3 3" xfId="26594" xr:uid="{00000000-0005-0000-0000-000032660000}"/>
    <cellStyle name="Currency 2 2 2 3 3 2" xfId="26595" xr:uid="{00000000-0005-0000-0000-000033660000}"/>
    <cellStyle name="Currency 2 2 2 3 3 2 2" xfId="26596" xr:uid="{00000000-0005-0000-0000-000034660000}"/>
    <cellStyle name="Currency 2 2 2 3 3 2 2 2" xfId="26597" xr:uid="{00000000-0005-0000-0000-000035660000}"/>
    <cellStyle name="Currency 2 2 2 3 3 2 2 3" xfId="26598" xr:uid="{00000000-0005-0000-0000-000036660000}"/>
    <cellStyle name="Currency 2 2 2 3 3 2 3" xfId="26599" xr:uid="{00000000-0005-0000-0000-000037660000}"/>
    <cellStyle name="Currency 2 2 2 3 3 2 4" xfId="26600" xr:uid="{00000000-0005-0000-0000-000038660000}"/>
    <cellStyle name="Currency 2 2 2 3 3 2 5" xfId="26601" xr:uid="{00000000-0005-0000-0000-000039660000}"/>
    <cellStyle name="Currency 2 2 2 3 3 2 6" xfId="26602" xr:uid="{00000000-0005-0000-0000-00003A660000}"/>
    <cellStyle name="Currency 2 2 2 3 3 3" xfId="26603" xr:uid="{00000000-0005-0000-0000-00003B660000}"/>
    <cellStyle name="Currency 2 2 2 3 3 3 2" xfId="26604" xr:uid="{00000000-0005-0000-0000-00003C660000}"/>
    <cellStyle name="Currency 2 2 2 3 3 3 3" xfId="26605" xr:uid="{00000000-0005-0000-0000-00003D660000}"/>
    <cellStyle name="Currency 2 2 2 3 3 4" xfId="26606" xr:uid="{00000000-0005-0000-0000-00003E660000}"/>
    <cellStyle name="Currency 2 2 2 3 3 5" xfId="26607" xr:uid="{00000000-0005-0000-0000-00003F660000}"/>
    <cellStyle name="Currency 2 2 2 3 3 6" xfId="26608" xr:uid="{00000000-0005-0000-0000-000040660000}"/>
    <cellStyle name="Currency 2 2 2 3 3 7" xfId="26609" xr:uid="{00000000-0005-0000-0000-000041660000}"/>
    <cellStyle name="Currency 2 2 2 3 4" xfId="26610" xr:uid="{00000000-0005-0000-0000-000042660000}"/>
    <cellStyle name="Currency 2 2 2 3 4 2" xfId="26611" xr:uid="{00000000-0005-0000-0000-000043660000}"/>
    <cellStyle name="Currency 2 2 2 3 4 2 2" xfId="26612" xr:uid="{00000000-0005-0000-0000-000044660000}"/>
    <cellStyle name="Currency 2 2 2 3 4 2 3" xfId="26613" xr:uid="{00000000-0005-0000-0000-000045660000}"/>
    <cellStyle name="Currency 2 2 2 3 4 3" xfId="26614" xr:uid="{00000000-0005-0000-0000-000046660000}"/>
    <cellStyle name="Currency 2 2 2 3 4 4" xfId="26615" xr:uid="{00000000-0005-0000-0000-000047660000}"/>
    <cellStyle name="Currency 2 2 2 3 4 5" xfId="26616" xr:uid="{00000000-0005-0000-0000-000048660000}"/>
    <cellStyle name="Currency 2 2 2 3 4 6" xfId="26617" xr:uid="{00000000-0005-0000-0000-000049660000}"/>
    <cellStyle name="Currency 2 2 2 3 5" xfId="26618" xr:uid="{00000000-0005-0000-0000-00004A660000}"/>
    <cellStyle name="Currency 2 2 2 3 5 2" xfId="26619" xr:uid="{00000000-0005-0000-0000-00004B660000}"/>
    <cellStyle name="Currency 2 2 2 3 5 2 2" xfId="26620" xr:uid="{00000000-0005-0000-0000-00004C660000}"/>
    <cellStyle name="Currency 2 2 2 3 5 2 3" xfId="26621" xr:uid="{00000000-0005-0000-0000-00004D660000}"/>
    <cellStyle name="Currency 2 2 2 3 5 3" xfId="26622" xr:uid="{00000000-0005-0000-0000-00004E660000}"/>
    <cellStyle name="Currency 2 2 2 3 5 4" xfId="26623" xr:uid="{00000000-0005-0000-0000-00004F660000}"/>
    <cellStyle name="Currency 2 2 2 3 5 5" xfId="26624" xr:uid="{00000000-0005-0000-0000-000050660000}"/>
    <cellStyle name="Currency 2 2 2 3 5 6" xfId="26625" xr:uid="{00000000-0005-0000-0000-000051660000}"/>
    <cellStyle name="Currency 2 2 2 3 6" xfId="26626" xr:uid="{00000000-0005-0000-0000-000052660000}"/>
    <cellStyle name="Currency 2 2 2 3 6 2" xfId="26627" xr:uid="{00000000-0005-0000-0000-000053660000}"/>
    <cellStyle name="Currency 2 2 2 3 6 3" xfId="26628" xr:uid="{00000000-0005-0000-0000-000054660000}"/>
    <cellStyle name="Currency 2 2 2 3 7" xfId="26629" xr:uid="{00000000-0005-0000-0000-000055660000}"/>
    <cellStyle name="Currency 2 2 2 3 8" xfId="26630" xr:uid="{00000000-0005-0000-0000-000056660000}"/>
    <cellStyle name="Currency 2 2 2 3 9" xfId="26631" xr:uid="{00000000-0005-0000-0000-000057660000}"/>
    <cellStyle name="Currency 2 2 2 4" xfId="26632" xr:uid="{00000000-0005-0000-0000-000058660000}"/>
    <cellStyle name="Currency 2 2 2 4 2" xfId="26633" xr:uid="{00000000-0005-0000-0000-000059660000}"/>
    <cellStyle name="Currency 2 2 2 4 2 2" xfId="26634" xr:uid="{00000000-0005-0000-0000-00005A660000}"/>
    <cellStyle name="Currency 2 2 2 4 2 2 2" xfId="26635" xr:uid="{00000000-0005-0000-0000-00005B660000}"/>
    <cellStyle name="Currency 2 2 2 4 2 2 2 2" xfId="26636" xr:uid="{00000000-0005-0000-0000-00005C660000}"/>
    <cellStyle name="Currency 2 2 2 4 2 2 2 3" xfId="26637" xr:uid="{00000000-0005-0000-0000-00005D660000}"/>
    <cellStyle name="Currency 2 2 2 4 2 2 3" xfId="26638" xr:uid="{00000000-0005-0000-0000-00005E660000}"/>
    <cellStyle name="Currency 2 2 2 4 2 2 4" xfId="26639" xr:uid="{00000000-0005-0000-0000-00005F660000}"/>
    <cellStyle name="Currency 2 2 2 4 2 2 5" xfId="26640" xr:uid="{00000000-0005-0000-0000-000060660000}"/>
    <cellStyle name="Currency 2 2 2 4 2 2 6" xfId="26641" xr:uid="{00000000-0005-0000-0000-000061660000}"/>
    <cellStyle name="Currency 2 2 2 4 2 3" xfId="26642" xr:uid="{00000000-0005-0000-0000-000062660000}"/>
    <cellStyle name="Currency 2 2 2 4 2 3 2" xfId="26643" xr:uid="{00000000-0005-0000-0000-000063660000}"/>
    <cellStyle name="Currency 2 2 2 4 2 3 3" xfId="26644" xr:uid="{00000000-0005-0000-0000-000064660000}"/>
    <cellStyle name="Currency 2 2 2 4 2 4" xfId="26645" xr:uid="{00000000-0005-0000-0000-000065660000}"/>
    <cellStyle name="Currency 2 2 2 4 2 5" xfId="26646" xr:uid="{00000000-0005-0000-0000-000066660000}"/>
    <cellStyle name="Currency 2 2 2 4 2 6" xfId="26647" xr:uid="{00000000-0005-0000-0000-000067660000}"/>
    <cellStyle name="Currency 2 2 2 4 2 7" xfId="26648" xr:uid="{00000000-0005-0000-0000-000068660000}"/>
    <cellStyle name="Currency 2 2 2 4 3" xfId="26649" xr:uid="{00000000-0005-0000-0000-000069660000}"/>
    <cellStyle name="Currency 2 2 2 4 3 2" xfId="26650" xr:uid="{00000000-0005-0000-0000-00006A660000}"/>
    <cellStyle name="Currency 2 2 2 4 3 2 2" xfId="26651" xr:uid="{00000000-0005-0000-0000-00006B660000}"/>
    <cellStyle name="Currency 2 2 2 4 3 2 3" xfId="26652" xr:uid="{00000000-0005-0000-0000-00006C660000}"/>
    <cellStyle name="Currency 2 2 2 4 3 3" xfId="26653" xr:uid="{00000000-0005-0000-0000-00006D660000}"/>
    <cellStyle name="Currency 2 2 2 4 3 4" xfId="26654" xr:uid="{00000000-0005-0000-0000-00006E660000}"/>
    <cellStyle name="Currency 2 2 2 4 3 5" xfId="26655" xr:uid="{00000000-0005-0000-0000-00006F660000}"/>
    <cellStyle name="Currency 2 2 2 4 3 6" xfId="26656" xr:uid="{00000000-0005-0000-0000-000070660000}"/>
    <cellStyle name="Currency 2 2 2 4 4" xfId="26657" xr:uid="{00000000-0005-0000-0000-000071660000}"/>
    <cellStyle name="Currency 2 2 2 4 4 2" xfId="26658" xr:uid="{00000000-0005-0000-0000-000072660000}"/>
    <cellStyle name="Currency 2 2 2 4 4 2 2" xfId="26659" xr:uid="{00000000-0005-0000-0000-000073660000}"/>
    <cellStyle name="Currency 2 2 2 4 4 2 3" xfId="26660" xr:uid="{00000000-0005-0000-0000-000074660000}"/>
    <cellStyle name="Currency 2 2 2 4 4 3" xfId="26661" xr:uid="{00000000-0005-0000-0000-000075660000}"/>
    <cellStyle name="Currency 2 2 2 4 4 4" xfId="26662" xr:uid="{00000000-0005-0000-0000-000076660000}"/>
    <cellStyle name="Currency 2 2 2 4 4 5" xfId="26663" xr:uid="{00000000-0005-0000-0000-000077660000}"/>
    <cellStyle name="Currency 2 2 2 4 4 6" xfId="26664" xr:uid="{00000000-0005-0000-0000-000078660000}"/>
    <cellStyle name="Currency 2 2 2 4 5" xfId="26665" xr:uid="{00000000-0005-0000-0000-000079660000}"/>
    <cellStyle name="Currency 2 2 2 4 5 2" xfId="26666" xr:uid="{00000000-0005-0000-0000-00007A660000}"/>
    <cellStyle name="Currency 2 2 2 4 5 3" xfId="26667" xr:uid="{00000000-0005-0000-0000-00007B660000}"/>
    <cellStyle name="Currency 2 2 2 4 6" xfId="26668" xr:uid="{00000000-0005-0000-0000-00007C660000}"/>
    <cellStyle name="Currency 2 2 2 4 7" xfId="26669" xr:uid="{00000000-0005-0000-0000-00007D660000}"/>
    <cellStyle name="Currency 2 2 2 4 8" xfId="26670" xr:uid="{00000000-0005-0000-0000-00007E660000}"/>
    <cellStyle name="Currency 2 2 2 4 9" xfId="26671" xr:uid="{00000000-0005-0000-0000-00007F660000}"/>
    <cellStyle name="Currency 2 2 2 5" xfId="26672" xr:uid="{00000000-0005-0000-0000-000080660000}"/>
    <cellStyle name="Currency 2 2 2 5 2" xfId="26673" xr:uid="{00000000-0005-0000-0000-000081660000}"/>
    <cellStyle name="Currency 2 2 2 5 2 2" xfId="26674" xr:uid="{00000000-0005-0000-0000-000082660000}"/>
    <cellStyle name="Currency 2 2 2 5 2 2 2" xfId="26675" xr:uid="{00000000-0005-0000-0000-000083660000}"/>
    <cellStyle name="Currency 2 2 2 5 2 2 3" xfId="26676" xr:uid="{00000000-0005-0000-0000-000084660000}"/>
    <cellStyle name="Currency 2 2 2 5 2 3" xfId="26677" xr:uid="{00000000-0005-0000-0000-000085660000}"/>
    <cellStyle name="Currency 2 2 2 5 2 4" xfId="26678" xr:uid="{00000000-0005-0000-0000-000086660000}"/>
    <cellStyle name="Currency 2 2 2 5 2 5" xfId="26679" xr:uid="{00000000-0005-0000-0000-000087660000}"/>
    <cellStyle name="Currency 2 2 2 5 2 6" xfId="26680" xr:uid="{00000000-0005-0000-0000-000088660000}"/>
    <cellStyle name="Currency 2 2 2 5 3" xfId="26681" xr:uid="{00000000-0005-0000-0000-000089660000}"/>
    <cellStyle name="Currency 2 2 2 5 3 2" xfId="26682" xr:uid="{00000000-0005-0000-0000-00008A660000}"/>
    <cellStyle name="Currency 2 2 2 5 3 3" xfId="26683" xr:uid="{00000000-0005-0000-0000-00008B660000}"/>
    <cellStyle name="Currency 2 2 2 5 4" xfId="26684" xr:uid="{00000000-0005-0000-0000-00008C660000}"/>
    <cellStyle name="Currency 2 2 2 5 5" xfId="26685" xr:uid="{00000000-0005-0000-0000-00008D660000}"/>
    <cellStyle name="Currency 2 2 2 5 6" xfId="26686" xr:uid="{00000000-0005-0000-0000-00008E660000}"/>
    <cellStyle name="Currency 2 2 2 5 7" xfId="26687" xr:uid="{00000000-0005-0000-0000-00008F660000}"/>
    <cellStyle name="Currency 2 2 2 6" xfId="26688" xr:uid="{00000000-0005-0000-0000-000090660000}"/>
    <cellStyle name="Currency 2 2 2 6 2" xfId="26689" xr:uid="{00000000-0005-0000-0000-000091660000}"/>
    <cellStyle name="Currency 2 2 2 6 2 2" xfId="26690" xr:uid="{00000000-0005-0000-0000-000092660000}"/>
    <cellStyle name="Currency 2 2 2 6 2 3" xfId="26691" xr:uid="{00000000-0005-0000-0000-000093660000}"/>
    <cellStyle name="Currency 2 2 2 6 3" xfId="26692" xr:uid="{00000000-0005-0000-0000-000094660000}"/>
    <cellStyle name="Currency 2 2 2 6 4" xfId="26693" xr:uid="{00000000-0005-0000-0000-000095660000}"/>
    <cellStyle name="Currency 2 2 2 6 5" xfId="26694" xr:uid="{00000000-0005-0000-0000-000096660000}"/>
    <cellStyle name="Currency 2 2 2 6 6" xfId="26695" xr:uid="{00000000-0005-0000-0000-000097660000}"/>
    <cellStyle name="Currency 2 2 2 7" xfId="26696" xr:uid="{00000000-0005-0000-0000-000098660000}"/>
    <cellStyle name="Currency 2 2 2 7 2" xfId="26697" xr:uid="{00000000-0005-0000-0000-000099660000}"/>
    <cellStyle name="Currency 2 2 2 7 2 2" xfId="26698" xr:uid="{00000000-0005-0000-0000-00009A660000}"/>
    <cellStyle name="Currency 2 2 2 7 2 3" xfId="26699" xr:uid="{00000000-0005-0000-0000-00009B660000}"/>
    <cellStyle name="Currency 2 2 2 7 3" xfId="26700" xr:uid="{00000000-0005-0000-0000-00009C660000}"/>
    <cellStyle name="Currency 2 2 2 7 4" xfId="26701" xr:uid="{00000000-0005-0000-0000-00009D660000}"/>
    <cellStyle name="Currency 2 2 2 7 5" xfId="26702" xr:uid="{00000000-0005-0000-0000-00009E660000}"/>
    <cellStyle name="Currency 2 2 2 7 6" xfId="26703" xr:uid="{00000000-0005-0000-0000-00009F660000}"/>
    <cellStyle name="Currency 2 2 2 8" xfId="26704" xr:uid="{00000000-0005-0000-0000-0000A0660000}"/>
    <cellStyle name="Currency 2 2 2 8 2" xfId="26705" xr:uid="{00000000-0005-0000-0000-0000A1660000}"/>
    <cellStyle name="Currency 2 2 2 8 2 2" xfId="26706" xr:uid="{00000000-0005-0000-0000-0000A2660000}"/>
    <cellStyle name="Currency 2 2 2 8 2 3" xfId="26707" xr:uid="{00000000-0005-0000-0000-0000A3660000}"/>
    <cellStyle name="Currency 2 2 2 8 3" xfId="26708" xr:uid="{00000000-0005-0000-0000-0000A4660000}"/>
    <cellStyle name="Currency 2 2 2 8 4" xfId="26709" xr:uid="{00000000-0005-0000-0000-0000A5660000}"/>
    <cellStyle name="Currency 2 2 2 8 5" xfId="26710" xr:uid="{00000000-0005-0000-0000-0000A6660000}"/>
    <cellStyle name="Currency 2 2 2 8 6" xfId="26711" xr:uid="{00000000-0005-0000-0000-0000A7660000}"/>
    <cellStyle name="Currency 2 2 2 9" xfId="26712" xr:uid="{00000000-0005-0000-0000-0000A8660000}"/>
    <cellStyle name="Currency 2 2 2 9 2" xfId="26713" xr:uid="{00000000-0005-0000-0000-0000A9660000}"/>
    <cellStyle name="Currency 2 2 2 9 2 2" xfId="26714" xr:uid="{00000000-0005-0000-0000-0000AA660000}"/>
    <cellStyle name="Currency 2 2 2 9 2 3" xfId="26715" xr:uid="{00000000-0005-0000-0000-0000AB660000}"/>
    <cellStyle name="Currency 2 2 2 9 3" xfId="26716" xr:uid="{00000000-0005-0000-0000-0000AC660000}"/>
    <cellStyle name="Currency 2 2 2 9 4" xfId="26717" xr:uid="{00000000-0005-0000-0000-0000AD660000}"/>
    <cellStyle name="Currency 2 2 2 9 5" xfId="26718" xr:uid="{00000000-0005-0000-0000-0000AE660000}"/>
    <cellStyle name="Currency 2 2 2 9 6" xfId="26719" xr:uid="{00000000-0005-0000-0000-0000AF660000}"/>
    <cellStyle name="Currency 2 2 3" xfId="26720" xr:uid="{00000000-0005-0000-0000-0000B0660000}"/>
    <cellStyle name="Currency 2 2 3 10" xfId="26721" xr:uid="{00000000-0005-0000-0000-0000B1660000}"/>
    <cellStyle name="Currency 2 2 3 10 2" xfId="26722" xr:uid="{00000000-0005-0000-0000-0000B2660000}"/>
    <cellStyle name="Currency 2 2 3 10 3" xfId="26723" xr:uid="{00000000-0005-0000-0000-0000B3660000}"/>
    <cellStyle name="Currency 2 2 3 11" xfId="26724" xr:uid="{00000000-0005-0000-0000-0000B4660000}"/>
    <cellStyle name="Currency 2 2 3 12" xfId="26725" xr:uid="{00000000-0005-0000-0000-0000B5660000}"/>
    <cellStyle name="Currency 2 2 3 13" xfId="26726" xr:uid="{00000000-0005-0000-0000-0000B6660000}"/>
    <cellStyle name="Currency 2 2 3 14" xfId="26727" xr:uid="{00000000-0005-0000-0000-0000B7660000}"/>
    <cellStyle name="Currency 2 2 3 2" xfId="26728" xr:uid="{00000000-0005-0000-0000-0000B8660000}"/>
    <cellStyle name="Currency 2 2 3 2 10" xfId="26729" xr:uid="{00000000-0005-0000-0000-0000B9660000}"/>
    <cellStyle name="Currency 2 2 3 2 11" xfId="26730" xr:uid="{00000000-0005-0000-0000-0000BA660000}"/>
    <cellStyle name="Currency 2 2 3 2 12" xfId="26731" xr:uid="{00000000-0005-0000-0000-0000BB660000}"/>
    <cellStyle name="Currency 2 2 3 2 13" xfId="26732" xr:uid="{00000000-0005-0000-0000-0000BC660000}"/>
    <cellStyle name="Currency 2 2 3 2 2" xfId="26733" xr:uid="{00000000-0005-0000-0000-0000BD660000}"/>
    <cellStyle name="Currency 2 2 3 2 2 10" xfId="26734" xr:uid="{00000000-0005-0000-0000-0000BE660000}"/>
    <cellStyle name="Currency 2 2 3 2 2 2" xfId="26735" xr:uid="{00000000-0005-0000-0000-0000BF660000}"/>
    <cellStyle name="Currency 2 2 3 2 2 2 2" xfId="26736" xr:uid="{00000000-0005-0000-0000-0000C0660000}"/>
    <cellStyle name="Currency 2 2 3 2 2 2 2 2" xfId="26737" xr:uid="{00000000-0005-0000-0000-0000C1660000}"/>
    <cellStyle name="Currency 2 2 3 2 2 2 2 2 2" xfId="26738" xr:uid="{00000000-0005-0000-0000-0000C2660000}"/>
    <cellStyle name="Currency 2 2 3 2 2 2 2 2 3" xfId="26739" xr:uid="{00000000-0005-0000-0000-0000C3660000}"/>
    <cellStyle name="Currency 2 2 3 2 2 2 2 3" xfId="26740" xr:uid="{00000000-0005-0000-0000-0000C4660000}"/>
    <cellStyle name="Currency 2 2 3 2 2 2 2 4" xfId="26741" xr:uid="{00000000-0005-0000-0000-0000C5660000}"/>
    <cellStyle name="Currency 2 2 3 2 2 2 2 5" xfId="26742" xr:uid="{00000000-0005-0000-0000-0000C6660000}"/>
    <cellStyle name="Currency 2 2 3 2 2 2 2 6" xfId="26743" xr:uid="{00000000-0005-0000-0000-0000C7660000}"/>
    <cellStyle name="Currency 2 2 3 2 2 2 3" xfId="26744" xr:uid="{00000000-0005-0000-0000-0000C8660000}"/>
    <cellStyle name="Currency 2 2 3 2 2 2 3 2" xfId="26745" xr:uid="{00000000-0005-0000-0000-0000C9660000}"/>
    <cellStyle name="Currency 2 2 3 2 2 2 3 2 2" xfId="26746" xr:uid="{00000000-0005-0000-0000-0000CA660000}"/>
    <cellStyle name="Currency 2 2 3 2 2 2 3 2 3" xfId="26747" xr:uid="{00000000-0005-0000-0000-0000CB660000}"/>
    <cellStyle name="Currency 2 2 3 2 2 2 3 3" xfId="26748" xr:uid="{00000000-0005-0000-0000-0000CC660000}"/>
    <cellStyle name="Currency 2 2 3 2 2 2 3 4" xfId="26749" xr:uid="{00000000-0005-0000-0000-0000CD660000}"/>
    <cellStyle name="Currency 2 2 3 2 2 2 3 5" xfId="26750" xr:uid="{00000000-0005-0000-0000-0000CE660000}"/>
    <cellStyle name="Currency 2 2 3 2 2 2 3 6" xfId="26751" xr:uid="{00000000-0005-0000-0000-0000CF660000}"/>
    <cellStyle name="Currency 2 2 3 2 2 2 4" xfId="26752" xr:uid="{00000000-0005-0000-0000-0000D0660000}"/>
    <cellStyle name="Currency 2 2 3 2 2 2 4 2" xfId="26753" xr:uid="{00000000-0005-0000-0000-0000D1660000}"/>
    <cellStyle name="Currency 2 2 3 2 2 2 4 3" xfId="26754" xr:uid="{00000000-0005-0000-0000-0000D2660000}"/>
    <cellStyle name="Currency 2 2 3 2 2 2 5" xfId="26755" xr:uid="{00000000-0005-0000-0000-0000D3660000}"/>
    <cellStyle name="Currency 2 2 3 2 2 2 6" xfId="26756" xr:uid="{00000000-0005-0000-0000-0000D4660000}"/>
    <cellStyle name="Currency 2 2 3 2 2 2 7" xfId="26757" xr:uid="{00000000-0005-0000-0000-0000D5660000}"/>
    <cellStyle name="Currency 2 2 3 2 2 2 8" xfId="26758" xr:uid="{00000000-0005-0000-0000-0000D6660000}"/>
    <cellStyle name="Currency 2 2 3 2 2 3" xfId="26759" xr:uid="{00000000-0005-0000-0000-0000D7660000}"/>
    <cellStyle name="Currency 2 2 3 2 2 3 2" xfId="26760" xr:uid="{00000000-0005-0000-0000-0000D8660000}"/>
    <cellStyle name="Currency 2 2 3 2 2 3 2 2" xfId="26761" xr:uid="{00000000-0005-0000-0000-0000D9660000}"/>
    <cellStyle name="Currency 2 2 3 2 2 3 2 2 2" xfId="26762" xr:uid="{00000000-0005-0000-0000-0000DA660000}"/>
    <cellStyle name="Currency 2 2 3 2 2 3 2 2 3" xfId="26763" xr:uid="{00000000-0005-0000-0000-0000DB660000}"/>
    <cellStyle name="Currency 2 2 3 2 2 3 2 3" xfId="26764" xr:uid="{00000000-0005-0000-0000-0000DC660000}"/>
    <cellStyle name="Currency 2 2 3 2 2 3 2 4" xfId="26765" xr:uid="{00000000-0005-0000-0000-0000DD660000}"/>
    <cellStyle name="Currency 2 2 3 2 2 3 2 5" xfId="26766" xr:uid="{00000000-0005-0000-0000-0000DE660000}"/>
    <cellStyle name="Currency 2 2 3 2 2 3 2 6" xfId="26767" xr:uid="{00000000-0005-0000-0000-0000DF660000}"/>
    <cellStyle name="Currency 2 2 3 2 2 3 3" xfId="26768" xr:uid="{00000000-0005-0000-0000-0000E0660000}"/>
    <cellStyle name="Currency 2 2 3 2 2 3 3 2" xfId="26769" xr:uid="{00000000-0005-0000-0000-0000E1660000}"/>
    <cellStyle name="Currency 2 2 3 2 2 3 3 3" xfId="26770" xr:uid="{00000000-0005-0000-0000-0000E2660000}"/>
    <cellStyle name="Currency 2 2 3 2 2 3 4" xfId="26771" xr:uid="{00000000-0005-0000-0000-0000E3660000}"/>
    <cellStyle name="Currency 2 2 3 2 2 3 5" xfId="26772" xr:uid="{00000000-0005-0000-0000-0000E4660000}"/>
    <cellStyle name="Currency 2 2 3 2 2 3 6" xfId="26773" xr:uid="{00000000-0005-0000-0000-0000E5660000}"/>
    <cellStyle name="Currency 2 2 3 2 2 3 7" xfId="26774" xr:uid="{00000000-0005-0000-0000-0000E6660000}"/>
    <cellStyle name="Currency 2 2 3 2 2 4" xfId="26775" xr:uid="{00000000-0005-0000-0000-0000E7660000}"/>
    <cellStyle name="Currency 2 2 3 2 2 4 2" xfId="26776" xr:uid="{00000000-0005-0000-0000-0000E8660000}"/>
    <cellStyle name="Currency 2 2 3 2 2 4 2 2" xfId="26777" xr:uid="{00000000-0005-0000-0000-0000E9660000}"/>
    <cellStyle name="Currency 2 2 3 2 2 4 2 3" xfId="26778" xr:uid="{00000000-0005-0000-0000-0000EA660000}"/>
    <cellStyle name="Currency 2 2 3 2 2 4 3" xfId="26779" xr:uid="{00000000-0005-0000-0000-0000EB660000}"/>
    <cellStyle name="Currency 2 2 3 2 2 4 4" xfId="26780" xr:uid="{00000000-0005-0000-0000-0000EC660000}"/>
    <cellStyle name="Currency 2 2 3 2 2 4 5" xfId="26781" xr:uid="{00000000-0005-0000-0000-0000ED660000}"/>
    <cellStyle name="Currency 2 2 3 2 2 4 6" xfId="26782" xr:uid="{00000000-0005-0000-0000-0000EE660000}"/>
    <cellStyle name="Currency 2 2 3 2 2 5" xfId="26783" xr:uid="{00000000-0005-0000-0000-0000EF660000}"/>
    <cellStyle name="Currency 2 2 3 2 2 5 2" xfId="26784" xr:uid="{00000000-0005-0000-0000-0000F0660000}"/>
    <cellStyle name="Currency 2 2 3 2 2 5 2 2" xfId="26785" xr:uid="{00000000-0005-0000-0000-0000F1660000}"/>
    <cellStyle name="Currency 2 2 3 2 2 5 2 3" xfId="26786" xr:uid="{00000000-0005-0000-0000-0000F2660000}"/>
    <cellStyle name="Currency 2 2 3 2 2 5 3" xfId="26787" xr:uid="{00000000-0005-0000-0000-0000F3660000}"/>
    <cellStyle name="Currency 2 2 3 2 2 5 4" xfId="26788" xr:uid="{00000000-0005-0000-0000-0000F4660000}"/>
    <cellStyle name="Currency 2 2 3 2 2 5 5" xfId="26789" xr:uid="{00000000-0005-0000-0000-0000F5660000}"/>
    <cellStyle name="Currency 2 2 3 2 2 5 6" xfId="26790" xr:uid="{00000000-0005-0000-0000-0000F6660000}"/>
    <cellStyle name="Currency 2 2 3 2 2 6" xfId="26791" xr:uid="{00000000-0005-0000-0000-0000F7660000}"/>
    <cellStyle name="Currency 2 2 3 2 2 6 2" xfId="26792" xr:uid="{00000000-0005-0000-0000-0000F8660000}"/>
    <cellStyle name="Currency 2 2 3 2 2 6 3" xfId="26793" xr:uid="{00000000-0005-0000-0000-0000F9660000}"/>
    <cellStyle name="Currency 2 2 3 2 2 7" xfId="26794" xr:uid="{00000000-0005-0000-0000-0000FA660000}"/>
    <cellStyle name="Currency 2 2 3 2 2 8" xfId="26795" xr:uid="{00000000-0005-0000-0000-0000FB660000}"/>
    <cellStyle name="Currency 2 2 3 2 2 9" xfId="26796" xr:uid="{00000000-0005-0000-0000-0000FC660000}"/>
    <cellStyle name="Currency 2 2 3 2 3" xfId="26797" xr:uid="{00000000-0005-0000-0000-0000FD660000}"/>
    <cellStyle name="Currency 2 2 3 2 3 2" xfId="26798" xr:uid="{00000000-0005-0000-0000-0000FE660000}"/>
    <cellStyle name="Currency 2 2 3 2 3 2 2" xfId="26799" xr:uid="{00000000-0005-0000-0000-0000FF660000}"/>
    <cellStyle name="Currency 2 2 3 2 3 2 2 2" xfId="26800" xr:uid="{00000000-0005-0000-0000-000000670000}"/>
    <cellStyle name="Currency 2 2 3 2 3 2 2 2 2" xfId="26801" xr:uid="{00000000-0005-0000-0000-000001670000}"/>
    <cellStyle name="Currency 2 2 3 2 3 2 2 2 3" xfId="26802" xr:uid="{00000000-0005-0000-0000-000002670000}"/>
    <cellStyle name="Currency 2 2 3 2 3 2 2 3" xfId="26803" xr:uid="{00000000-0005-0000-0000-000003670000}"/>
    <cellStyle name="Currency 2 2 3 2 3 2 2 4" xfId="26804" xr:uid="{00000000-0005-0000-0000-000004670000}"/>
    <cellStyle name="Currency 2 2 3 2 3 2 2 5" xfId="26805" xr:uid="{00000000-0005-0000-0000-000005670000}"/>
    <cellStyle name="Currency 2 2 3 2 3 2 2 6" xfId="26806" xr:uid="{00000000-0005-0000-0000-000006670000}"/>
    <cellStyle name="Currency 2 2 3 2 3 2 3" xfId="26807" xr:uid="{00000000-0005-0000-0000-000007670000}"/>
    <cellStyle name="Currency 2 2 3 2 3 2 3 2" xfId="26808" xr:uid="{00000000-0005-0000-0000-000008670000}"/>
    <cellStyle name="Currency 2 2 3 2 3 2 3 3" xfId="26809" xr:uid="{00000000-0005-0000-0000-000009670000}"/>
    <cellStyle name="Currency 2 2 3 2 3 2 4" xfId="26810" xr:uid="{00000000-0005-0000-0000-00000A670000}"/>
    <cellStyle name="Currency 2 2 3 2 3 2 5" xfId="26811" xr:uid="{00000000-0005-0000-0000-00000B670000}"/>
    <cellStyle name="Currency 2 2 3 2 3 2 6" xfId="26812" xr:uid="{00000000-0005-0000-0000-00000C670000}"/>
    <cellStyle name="Currency 2 2 3 2 3 2 7" xfId="26813" xr:uid="{00000000-0005-0000-0000-00000D670000}"/>
    <cellStyle name="Currency 2 2 3 2 3 3" xfId="26814" xr:uid="{00000000-0005-0000-0000-00000E670000}"/>
    <cellStyle name="Currency 2 2 3 2 3 3 2" xfId="26815" xr:uid="{00000000-0005-0000-0000-00000F670000}"/>
    <cellStyle name="Currency 2 2 3 2 3 3 2 2" xfId="26816" xr:uid="{00000000-0005-0000-0000-000010670000}"/>
    <cellStyle name="Currency 2 2 3 2 3 3 2 3" xfId="26817" xr:uid="{00000000-0005-0000-0000-000011670000}"/>
    <cellStyle name="Currency 2 2 3 2 3 3 3" xfId="26818" xr:uid="{00000000-0005-0000-0000-000012670000}"/>
    <cellStyle name="Currency 2 2 3 2 3 3 4" xfId="26819" xr:uid="{00000000-0005-0000-0000-000013670000}"/>
    <cellStyle name="Currency 2 2 3 2 3 3 5" xfId="26820" xr:uid="{00000000-0005-0000-0000-000014670000}"/>
    <cellStyle name="Currency 2 2 3 2 3 3 6" xfId="26821" xr:uid="{00000000-0005-0000-0000-000015670000}"/>
    <cellStyle name="Currency 2 2 3 2 3 4" xfId="26822" xr:uid="{00000000-0005-0000-0000-000016670000}"/>
    <cellStyle name="Currency 2 2 3 2 3 4 2" xfId="26823" xr:uid="{00000000-0005-0000-0000-000017670000}"/>
    <cellStyle name="Currency 2 2 3 2 3 4 2 2" xfId="26824" xr:uid="{00000000-0005-0000-0000-000018670000}"/>
    <cellStyle name="Currency 2 2 3 2 3 4 2 3" xfId="26825" xr:uid="{00000000-0005-0000-0000-000019670000}"/>
    <cellStyle name="Currency 2 2 3 2 3 4 3" xfId="26826" xr:uid="{00000000-0005-0000-0000-00001A670000}"/>
    <cellStyle name="Currency 2 2 3 2 3 4 4" xfId="26827" xr:uid="{00000000-0005-0000-0000-00001B670000}"/>
    <cellStyle name="Currency 2 2 3 2 3 4 5" xfId="26828" xr:uid="{00000000-0005-0000-0000-00001C670000}"/>
    <cellStyle name="Currency 2 2 3 2 3 4 6" xfId="26829" xr:uid="{00000000-0005-0000-0000-00001D670000}"/>
    <cellStyle name="Currency 2 2 3 2 3 5" xfId="26830" xr:uid="{00000000-0005-0000-0000-00001E670000}"/>
    <cellStyle name="Currency 2 2 3 2 3 5 2" xfId="26831" xr:uid="{00000000-0005-0000-0000-00001F670000}"/>
    <cellStyle name="Currency 2 2 3 2 3 5 3" xfId="26832" xr:uid="{00000000-0005-0000-0000-000020670000}"/>
    <cellStyle name="Currency 2 2 3 2 3 6" xfId="26833" xr:uid="{00000000-0005-0000-0000-000021670000}"/>
    <cellStyle name="Currency 2 2 3 2 3 7" xfId="26834" xr:uid="{00000000-0005-0000-0000-000022670000}"/>
    <cellStyle name="Currency 2 2 3 2 3 8" xfId="26835" xr:uid="{00000000-0005-0000-0000-000023670000}"/>
    <cellStyle name="Currency 2 2 3 2 3 9" xfId="26836" xr:uid="{00000000-0005-0000-0000-000024670000}"/>
    <cellStyle name="Currency 2 2 3 2 4" xfId="26837" xr:uid="{00000000-0005-0000-0000-000025670000}"/>
    <cellStyle name="Currency 2 2 3 2 4 2" xfId="26838" xr:uid="{00000000-0005-0000-0000-000026670000}"/>
    <cellStyle name="Currency 2 2 3 2 4 2 2" xfId="26839" xr:uid="{00000000-0005-0000-0000-000027670000}"/>
    <cellStyle name="Currency 2 2 3 2 4 2 2 2" xfId="26840" xr:uid="{00000000-0005-0000-0000-000028670000}"/>
    <cellStyle name="Currency 2 2 3 2 4 2 2 3" xfId="26841" xr:uid="{00000000-0005-0000-0000-000029670000}"/>
    <cellStyle name="Currency 2 2 3 2 4 2 3" xfId="26842" xr:uid="{00000000-0005-0000-0000-00002A670000}"/>
    <cellStyle name="Currency 2 2 3 2 4 2 4" xfId="26843" xr:uid="{00000000-0005-0000-0000-00002B670000}"/>
    <cellStyle name="Currency 2 2 3 2 4 2 5" xfId="26844" xr:uid="{00000000-0005-0000-0000-00002C670000}"/>
    <cellStyle name="Currency 2 2 3 2 4 2 6" xfId="26845" xr:uid="{00000000-0005-0000-0000-00002D670000}"/>
    <cellStyle name="Currency 2 2 3 2 4 3" xfId="26846" xr:uid="{00000000-0005-0000-0000-00002E670000}"/>
    <cellStyle name="Currency 2 2 3 2 4 3 2" xfId="26847" xr:uid="{00000000-0005-0000-0000-00002F670000}"/>
    <cellStyle name="Currency 2 2 3 2 4 3 3" xfId="26848" xr:uid="{00000000-0005-0000-0000-000030670000}"/>
    <cellStyle name="Currency 2 2 3 2 4 4" xfId="26849" xr:uid="{00000000-0005-0000-0000-000031670000}"/>
    <cellStyle name="Currency 2 2 3 2 4 5" xfId="26850" xr:uid="{00000000-0005-0000-0000-000032670000}"/>
    <cellStyle name="Currency 2 2 3 2 4 6" xfId="26851" xr:uid="{00000000-0005-0000-0000-000033670000}"/>
    <cellStyle name="Currency 2 2 3 2 4 7" xfId="26852" xr:uid="{00000000-0005-0000-0000-000034670000}"/>
    <cellStyle name="Currency 2 2 3 2 5" xfId="26853" xr:uid="{00000000-0005-0000-0000-000035670000}"/>
    <cellStyle name="Currency 2 2 3 2 5 2" xfId="26854" xr:uid="{00000000-0005-0000-0000-000036670000}"/>
    <cellStyle name="Currency 2 2 3 2 5 2 2" xfId="26855" xr:uid="{00000000-0005-0000-0000-000037670000}"/>
    <cellStyle name="Currency 2 2 3 2 5 2 3" xfId="26856" xr:uid="{00000000-0005-0000-0000-000038670000}"/>
    <cellStyle name="Currency 2 2 3 2 5 3" xfId="26857" xr:uid="{00000000-0005-0000-0000-000039670000}"/>
    <cellStyle name="Currency 2 2 3 2 5 4" xfId="26858" xr:uid="{00000000-0005-0000-0000-00003A670000}"/>
    <cellStyle name="Currency 2 2 3 2 5 5" xfId="26859" xr:uid="{00000000-0005-0000-0000-00003B670000}"/>
    <cellStyle name="Currency 2 2 3 2 5 6" xfId="26860" xr:uid="{00000000-0005-0000-0000-00003C670000}"/>
    <cellStyle name="Currency 2 2 3 2 6" xfId="26861" xr:uid="{00000000-0005-0000-0000-00003D670000}"/>
    <cellStyle name="Currency 2 2 3 2 6 2" xfId="26862" xr:uid="{00000000-0005-0000-0000-00003E670000}"/>
    <cellStyle name="Currency 2 2 3 2 6 2 2" xfId="26863" xr:uid="{00000000-0005-0000-0000-00003F670000}"/>
    <cellStyle name="Currency 2 2 3 2 6 2 3" xfId="26864" xr:uid="{00000000-0005-0000-0000-000040670000}"/>
    <cellStyle name="Currency 2 2 3 2 6 3" xfId="26865" xr:uid="{00000000-0005-0000-0000-000041670000}"/>
    <cellStyle name="Currency 2 2 3 2 6 4" xfId="26866" xr:uid="{00000000-0005-0000-0000-000042670000}"/>
    <cellStyle name="Currency 2 2 3 2 6 5" xfId="26867" xr:uid="{00000000-0005-0000-0000-000043670000}"/>
    <cellStyle name="Currency 2 2 3 2 6 6" xfId="26868" xr:uid="{00000000-0005-0000-0000-000044670000}"/>
    <cellStyle name="Currency 2 2 3 2 7" xfId="26869" xr:uid="{00000000-0005-0000-0000-000045670000}"/>
    <cellStyle name="Currency 2 2 3 2 7 2" xfId="26870" xr:uid="{00000000-0005-0000-0000-000046670000}"/>
    <cellStyle name="Currency 2 2 3 2 7 2 2" xfId="26871" xr:uid="{00000000-0005-0000-0000-000047670000}"/>
    <cellStyle name="Currency 2 2 3 2 7 2 3" xfId="26872" xr:uid="{00000000-0005-0000-0000-000048670000}"/>
    <cellStyle name="Currency 2 2 3 2 7 3" xfId="26873" xr:uid="{00000000-0005-0000-0000-000049670000}"/>
    <cellStyle name="Currency 2 2 3 2 7 4" xfId="26874" xr:uid="{00000000-0005-0000-0000-00004A670000}"/>
    <cellStyle name="Currency 2 2 3 2 7 5" xfId="26875" xr:uid="{00000000-0005-0000-0000-00004B670000}"/>
    <cellStyle name="Currency 2 2 3 2 7 6" xfId="26876" xr:uid="{00000000-0005-0000-0000-00004C670000}"/>
    <cellStyle name="Currency 2 2 3 2 8" xfId="26877" xr:uid="{00000000-0005-0000-0000-00004D670000}"/>
    <cellStyle name="Currency 2 2 3 2 8 2" xfId="26878" xr:uid="{00000000-0005-0000-0000-00004E670000}"/>
    <cellStyle name="Currency 2 2 3 2 8 2 2" xfId="26879" xr:uid="{00000000-0005-0000-0000-00004F670000}"/>
    <cellStyle name="Currency 2 2 3 2 8 2 3" xfId="26880" xr:uid="{00000000-0005-0000-0000-000050670000}"/>
    <cellStyle name="Currency 2 2 3 2 8 3" xfId="26881" xr:uid="{00000000-0005-0000-0000-000051670000}"/>
    <cellStyle name="Currency 2 2 3 2 8 4" xfId="26882" xr:uid="{00000000-0005-0000-0000-000052670000}"/>
    <cellStyle name="Currency 2 2 3 2 8 5" xfId="26883" xr:uid="{00000000-0005-0000-0000-000053670000}"/>
    <cellStyle name="Currency 2 2 3 2 8 6" xfId="26884" xr:uid="{00000000-0005-0000-0000-000054670000}"/>
    <cellStyle name="Currency 2 2 3 2 9" xfId="26885" xr:uid="{00000000-0005-0000-0000-000055670000}"/>
    <cellStyle name="Currency 2 2 3 2 9 2" xfId="26886" xr:uid="{00000000-0005-0000-0000-000056670000}"/>
    <cellStyle name="Currency 2 2 3 2 9 3" xfId="26887" xr:uid="{00000000-0005-0000-0000-000057670000}"/>
    <cellStyle name="Currency 2 2 3 3" xfId="26888" xr:uid="{00000000-0005-0000-0000-000058670000}"/>
    <cellStyle name="Currency 2 2 3 3 10" xfId="26889" xr:uid="{00000000-0005-0000-0000-000059670000}"/>
    <cellStyle name="Currency 2 2 3 3 2" xfId="26890" xr:uid="{00000000-0005-0000-0000-00005A670000}"/>
    <cellStyle name="Currency 2 2 3 3 2 2" xfId="26891" xr:uid="{00000000-0005-0000-0000-00005B670000}"/>
    <cellStyle name="Currency 2 2 3 3 2 2 2" xfId="26892" xr:uid="{00000000-0005-0000-0000-00005C670000}"/>
    <cellStyle name="Currency 2 2 3 3 2 2 2 2" xfId="26893" xr:uid="{00000000-0005-0000-0000-00005D670000}"/>
    <cellStyle name="Currency 2 2 3 3 2 2 2 3" xfId="26894" xr:uid="{00000000-0005-0000-0000-00005E670000}"/>
    <cellStyle name="Currency 2 2 3 3 2 2 3" xfId="26895" xr:uid="{00000000-0005-0000-0000-00005F670000}"/>
    <cellStyle name="Currency 2 2 3 3 2 2 4" xfId="26896" xr:uid="{00000000-0005-0000-0000-000060670000}"/>
    <cellStyle name="Currency 2 2 3 3 2 2 5" xfId="26897" xr:uid="{00000000-0005-0000-0000-000061670000}"/>
    <cellStyle name="Currency 2 2 3 3 2 2 6" xfId="26898" xr:uid="{00000000-0005-0000-0000-000062670000}"/>
    <cellStyle name="Currency 2 2 3 3 2 3" xfId="26899" xr:uid="{00000000-0005-0000-0000-000063670000}"/>
    <cellStyle name="Currency 2 2 3 3 2 3 2" xfId="26900" xr:uid="{00000000-0005-0000-0000-000064670000}"/>
    <cellStyle name="Currency 2 2 3 3 2 3 2 2" xfId="26901" xr:uid="{00000000-0005-0000-0000-000065670000}"/>
    <cellStyle name="Currency 2 2 3 3 2 3 2 3" xfId="26902" xr:uid="{00000000-0005-0000-0000-000066670000}"/>
    <cellStyle name="Currency 2 2 3 3 2 3 3" xfId="26903" xr:uid="{00000000-0005-0000-0000-000067670000}"/>
    <cellStyle name="Currency 2 2 3 3 2 3 4" xfId="26904" xr:uid="{00000000-0005-0000-0000-000068670000}"/>
    <cellStyle name="Currency 2 2 3 3 2 3 5" xfId="26905" xr:uid="{00000000-0005-0000-0000-000069670000}"/>
    <cellStyle name="Currency 2 2 3 3 2 3 6" xfId="26906" xr:uid="{00000000-0005-0000-0000-00006A670000}"/>
    <cellStyle name="Currency 2 2 3 3 2 4" xfId="26907" xr:uid="{00000000-0005-0000-0000-00006B670000}"/>
    <cellStyle name="Currency 2 2 3 3 2 4 2" xfId="26908" xr:uid="{00000000-0005-0000-0000-00006C670000}"/>
    <cellStyle name="Currency 2 2 3 3 2 4 3" xfId="26909" xr:uid="{00000000-0005-0000-0000-00006D670000}"/>
    <cellStyle name="Currency 2 2 3 3 2 5" xfId="26910" xr:uid="{00000000-0005-0000-0000-00006E670000}"/>
    <cellStyle name="Currency 2 2 3 3 2 6" xfId="26911" xr:uid="{00000000-0005-0000-0000-00006F670000}"/>
    <cellStyle name="Currency 2 2 3 3 2 7" xfId="26912" xr:uid="{00000000-0005-0000-0000-000070670000}"/>
    <cellStyle name="Currency 2 2 3 3 2 8" xfId="26913" xr:uid="{00000000-0005-0000-0000-000071670000}"/>
    <cellStyle name="Currency 2 2 3 3 3" xfId="26914" xr:uid="{00000000-0005-0000-0000-000072670000}"/>
    <cellStyle name="Currency 2 2 3 3 3 2" xfId="26915" xr:uid="{00000000-0005-0000-0000-000073670000}"/>
    <cellStyle name="Currency 2 2 3 3 3 2 2" xfId="26916" xr:uid="{00000000-0005-0000-0000-000074670000}"/>
    <cellStyle name="Currency 2 2 3 3 3 2 2 2" xfId="26917" xr:uid="{00000000-0005-0000-0000-000075670000}"/>
    <cellStyle name="Currency 2 2 3 3 3 2 2 3" xfId="26918" xr:uid="{00000000-0005-0000-0000-000076670000}"/>
    <cellStyle name="Currency 2 2 3 3 3 2 3" xfId="26919" xr:uid="{00000000-0005-0000-0000-000077670000}"/>
    <cellStyle name="Currency 2 2 3 3 3 2 4" xfId="26920" xr:uid="{00000000-0005-0000-0000-000078670000}"/>
    <cellStyle name="Currency 2 2 3 3 3 2 5" xfId="26921" xr:uid="{00000000-0005-0000-0000-000079670000}"/>
    <cellStyle name="Currency 2 2 3 3 3 2 6" xfId="26922" xr:uid="{00000000-0005-0000-0000-00007A670000}"/>
    <cellStyle name="Currency 2 2 3 3 3 3" xfId="26923" xr:uid="{00000000-0005-0000-0000-00007B670000}"/>
    <cellStyle name="Currency 2 2 3 3 3 3 2" xfId="26924" xr:uid="{00000000-0005-0000-0000-00007C670000}"/>
    <cellStyle name="Currency 2 2 3 3 3 3 3" xfId="26925" xr:uid="{00000000-0005-0000-0000-00007D670000}"/>
    <cellStyle name="Currency 2 2 3 3 3 4" xfId="26926" xr:uid="{00000000-0005-0000-0000-00007E670000}"/>
    <cellStyle name="Currency 2 2 3 3 3 5" xfId="26927" xr:uid="{00000000-0005-0000-0000-00007F670000}"/>
    <cellStyle name="Currency 2 2 3 3 3 6" xfId="26928" xr:uid="{00000000-0005-0000-0000-000080670000}"/>
    <cellStyle name="Currency 2 2 3 3 3 7" xfId="26929" xr:uid="{00000000-0005-0000-0000-000081670000}"/>
    <cellStyle name="Currency 2 2 3 3 4" xfId="26930" xr:uid="{00000000-0005-0000-0000-000082670000}"/>
    <cellStyle name="Currency 2 2 3 3 4 2" xfId="26931" xr:uid="{00000000-0005-0000-0000-000083670000}"/>
    <cellStyle name="Currency 2 2 3 3 4 2 2" xfId="26932" xr:uid="{00000000-0005-0000-0000-000084670000}"/>
    <cellStyle name="Currency 2 2 3 3 4 2 3" xfId="26933" xr:uid="{00000000-0005-0000-0000-000085670000}"/>
    <cellStyle name="Currency 2 2 3 3 4 3" xfId="26934" xr:uid="{00000000-0005-0000-0000-000086670000}"/>
    <cellStyle name="Currency 2 2 3 3 4 4" xfId="26935" xr:uid="{00000000-0005-0000-0000-000087670000}"/>
    <cellStyle name="Currency 2 2 3 3 4 5" xfId="26936" xr:uid="{00000000-0005-0000-0000-000088670000}"/>
    <cellStyle name="Currency 2 2 3 3 4 6" xfId="26937" xr:uid="{00000000-0005-0000-0000-000089670000}"/>
    <cellStyle name="Currency 2 2 3 3 5" xfId="26938" xr:uid="{00000000-0005-0000-0000-00008A670000}"/>
    <cellStyle name="Currency 2 2 3 3 5 2" xfId="26939" xr:uid="{00000000-0005-0000-0000-00008B670000}"/>
    <cellStyle name="Currency 2 2 3 3 5 2 2" xfId="26940" xr:uid="{00000000-0005-0000-0000-00008C670000}"/>
    <cellStyle name="Currency 2 2 3 3 5 2 3" xfId="26941" xr:uid="{00000000-0005-0000-0000-00008D670000}"/>
    <cellStyle name="Currency 2 2 3 3 5 3" xfId="26942" xr:uid="{00000000-0005-0000-0000-00008E670000}"/>
    <cellStyle name="Currency 2 2 3 3 5 4" xfId="26943" xr:uid="{00000000-0005-0000-0000-00008F670000}"/>
    <cellStyle name="Currency 2 2 3 3 5 5" xfId="26944" xr:uid="{00000000-0005-0000-0000-000090670000}"/>
    <cellStyle name="Currency 2 2 3 3 5 6" xfId="26945" xr:uid="{00000000-0005-0000-0000-000091670000}"/>
    <cellStyle name="Currency 2 2 3 3 6" xfId="26946" xr:uid="{00000000-0005-0000-0000-000092670000}"/>
    <cellStyle name="Currency 2 2 3 3 6 2" xfId="26947" xr:uid="{00000000-0005-0000-0000-000093670000}"/>
    <cellStyle name="Currency 2 2 3 3 6 3" xfId="26948" xr:uid="{00000000-0005-0000-0000-000094670000}"/>
    <cellStyle name="Currency 2 2 3 3 7" xfId="26949" xr:uid="{00000000-0005-0000-0000-000095670000}"/>
    <cellStyle name="Currency 2 2 3 3 8" xfId="26950" xr:uid="{00000000-0005-0000-0000-000096670000}"/>
    <cellStyle name="Currency 2 2 3 3 9" xfId="26951" xr:uid="{00000000-0005-0000-0000-000097670000}"/>
    <cellStyle name="Currency 2 2 3 4" xfId="26952" xr:uid="{00000000-0005-0000-0000-000098670000}"/>
    <cellStyle name="Currency 2 2 3 4 2" xfId="26953" xr:uid="{00000000-0005-0000-0000-000099670000}"/>
    <cellStyle name="Currency 2 2 3 4 2 2" xfId="26954" xr:uid="{00000000-0005-0000-0000-00009A670000}"/>
    <cellStyle name="Currency 2 2 3 4 2 2 2" xfId="26955" xr:uid="{00000000-0005-0000-0000-00009B670000}"/>
    <cellStyle name="Currency 2 2 3 4 2 2 2 2" xfId="26956" xr:uid="{00000000-0005-0000-0000-00009C670000}"/>
    <cellStyle name="Currency 2 2 3 4 2 2 2 3" xfId="26957" xr:uid="{00000000-0005-0000-0000-00009D670000}"/>
    <cellStyle name="Currency 2 2 3 4 2 2 3" xfId="26958" xr:uid="{00000000-0005-0000-0000-00009E670000}"/>
    <cellStyle name="Currency 2 2 3 4 2 2 4" xfId="26959" xr:uid="{00000000-0005-0000-0000-00009F670000}"/>
    <cellStyle name="Currency 2 2 3 4 2 2 5" xfId="26960" xr:uid="{00000000-0005-0000-0000-0000A0670000}"/>
    <cellStyle name="Currency 2 2 3 4 2 2 6" xfId="26961" xr:uid="{00000000-0005-0000-0000-0000A1670000}"/>
    <cellStyle name="Currency 2 2 3 4 2 3" xfId="26962" xr:uid="{00000000-0005-0000-0000-0000A2670000}"/>
    <cellStyle name="Currency 2 2 3 4 2 3 2" xfId="26963" xr:uid="{00000000-0005-0000-0000-0000A3670000}"/>
    <cellStyle name="Currency 2 2 3 4 2 3 3" xfId="26964" xr:uid="{00000000-0005-0000-0000-0000A4670000}"/>
    <cellStyle name="Currency 2 2 3 4 2 4" xfId="26965" xr:uid="{00000000-0005-0000-0000-0000A5670000}"/>
    <cellStyle name="Currency 2 2 3 4 2 5" xfId="26966" xr:uid="{00000000-0005-0000-0000-0000A6670000}"/>
    <cellStyle name="Currency 2 2 3 4 2 6" xfId="26967" xr:uid="{00000000-0005-0000-0000-0000A7670000}"/>
    <cellStyle name="Currency 2 2 3 4 2 7" xfId="26968" xr:uid="{00000000-0005-0000-0000-0000A8670000}"/>
    <cellStyle name="Currency 2 2 3 4 3" xfId="26969" xr:uid="{00000000-0005-0000-0000-0000A9670000}"/>
    <cellStyle name="Currency 2 2 3 4 3 2" xfId="26970" xr:uid="{00000000-0005-0000-0000-0000AA670000}"/>
    <cellStyle name="Currency 2 2 3 4 3 2 2" xfId="26971" xr:uid="{00000000-0005-0000-0000-0000AB670000}"/>
    <cellStyle name="Currency 2 2 3 4 3 2 3" xfId="26972" xr:uid="{00000000-0005-0000-0000-0000AC670000}"/>
    <cellStyle name="Currency 2 2 3 4 3 3" xfId="26973" xr:uid="{00000000-0005-0000-0000-0000AD670000}"/>
    <cellStyle name="Currency 2 2 3 4 3 4" xfId="26974" xr:uid="{00000000-0005-0000-0000-0000AE670000}"/>
    <cellStyle name="Currency 2 2 3 4 3 5" xfId="26975" xr:uid="{00000000-0005-0000-0000-0000AF670000}"/>
    <cellStyle name="Currency 2 2 3 4 3 6" xfId="26976" xr:uid="{00000000-0005-0000-0000-0000B0670000}"/>
    <cellStyle name="Currency 2 2 3 4 4" xfId="26977" xr:uid="{00000000-0005-0000-0000-0000B1670000}"/>
    <cellStyle name="Currency 2 2 3 4 4 2" xfId="26978" xr:uid="{00000000-0005-0000-0000-0000B2670000}"/>
    <cellStyle name="Currency 2 2 3 4 4 2 2" xfId="26979" xr:uid="{00000000-0005-0000-0000-0000B3670000}"/>
    <cellStyle name="Currency 2 2 3 4 4 2 3" xfId="26980" xr:uid="{00000000-0005-0000-0000-0000B4670000}"/>
    <cellStyle name="Currency 2 2 3 4 4 3" xfId="26981" xr:uid="{00000000-0005-0000-0000-0000B5670000}"/>
    <cellStyle name="Currency 2 2 3 4 4 4" xfId="26982" xr:uid="{00000000-0005-0000-0000-0000B6670000}"/>
    <cellStyle name="Currency 2 2 3 4 4 5" xfId="26983" xr:uid="{00000000-0005-0000-0000-0000B7670000}"/>
    <cellStyle name="Currency 2 2 3 4 4 6" xfId="26984" xr:uid="{00000000-0005-0000-0000-0000B8670000}"/>
    <cellStyle name="Currency 2 2 3 4 5" xfId="26985" xr:uid="{00000000-0005-0000-0000-0000B9670000}"/>
    <cellStyle name="Currency 2 2 3 4 5 2" xfId="26986" xr:uid="{00000000-0005-0000-0000-0000BA670000}"/>
    <cellStyle name="Currency 2 2 3 4 5 3" xfId="26987" xr:uid="{00000000-0005-0000-0000-0000BB670000}"/>
    <cellStyle name="Currency 2 2 3 4 6" xfId="26988" xr:uid="{00000000-0005-0000-0000-0000BC670000}"/>
    <cellStyle name="Currency 2 2 3 4 7" xfId="26989" xr:uid="{00000000-0005-0000-0000-0000BD670000}"/>
    <cellStyle name="Currency 2 2 3 4 8" xfId="26990" xr:uid="{00000000-0005-0000-0000-0000BE670000}"/>
    <cellStyle name="Currency 2 2 3 4 9" xfId="26991" xr:uid="{00000000-0005-0000-0000-0000BF670000}"/>
    <cellStyle name="Currency 2 2 3 5" xfId="26992" xr:uid="{00000000-0005-0000-0000-0000C0670000}"/>
    <cellStyle name="Currency 2 2 3 5 2" xfId="26993" xr:uid="{00000000-0005-0000-0000-0000C1670000}"/>
    <cellStyle name="Currency 2 2 3 5 2 2" xfId="26994" xr:uid="{00000000-0005-0000-0000-0000C2670000}"/>
    <cellStyle name="Currency 2 2 3 5 2 2 2" xfId="26995" xr:uid="{00000000-0005-0000-0000-0000C3670000}"/>
    <cellStyle name="Currency 2 2 3 5 2 2 3" xfId="26996" xr:uid="{00000000-0005-0000-0000-0000C4670000}"/>
    <cellStyle name="Currency 2 2 3 5 2 3" xfId="26997" xr:uid="{00000000-0005-0000-0000-0000C5670000}"/>
    <cellStyle name="Currency 2 2 3 5 2 4" xfId="26998" xr:uid="{00000000-0005-0000-0000-0000C6670000}"/>
    <cellStyle name="Currency 2 2 3 5 2 5" xfId="26999" xr:uid="{00000000-0005-0000-0000-0000C7670000}"/>
    <cellStyle name="Currency 2 2 3 5 2 6" xfId="27000" xr:uid="{00000000-0005-0000-0000-0000C8670000}"/>
    <cellStyle name="Currency 2 2 3 5 3" xfId="27001" xr:uid="{00000000-0005-0000-0000-0000C9670000}"/>
    <cellStyle name="Currency 2 2 3 5 3 2" xfId="27002" xr:uid="{00000000-0005-0000-0000-0000CA670000}"/>
    <cellStyle name="Currency 2 2 3 5 3 3" xfId="27003" xr:uid="{00000000-0005-0000-0000-0000CB670000}"/>
    <cellStyle name="Currency 2 2 3 5 4" xfId="27004" xr:uid="{00000000-0005-0000-0000-0000CC670000}"/>
    <cellStyle name="Currency 2 2 3 5 5" xfId="27005" xr:uid="{00000000-0005-0000-0000-0000CD670000}"/>
    <cellStyle name="Currency 2 2 3 5 6" xfId="27006" xr:uid="{00000000-0005-0000-0000-0000CE670000}"/>
    <cellStyle name="Currency 2 2 3 5 7" xfId="27007" xr:uid="{00000000-0005-0000-0000-0000CF670000}"/>
    <cellStyle name="Currency 2 2 3 6" xfId="27008" xr:uid="{00000000-0005-0000-0000-0000D0670000}"/>
    <cellStyle name="Currency 2 2 3 6 2" xfId="27009" xr:uid="{00000000-0005-0000-0000-0000D1670000}"/>
    <cellStyle name="Currency 2 2 3 6 2 2" xfId="27010" xr:uid="{00000000-0005-0000-0000-0000D2670000}"/>
    <cellStyle name="Currency 2 2 3 6 2 3" xfId="27011" xr:uid="{00000000-0005-0000-0000-0000D3670000}"/>
    <cellStyle name="Currency 2 2 3 6 3" xfId="27012" xr:uid="{00000000-0005-0000-0000-0000D4670000}"/>
    <cellStyle name="Currency 2 2 3 6 4" xfId="27013" xr:uid="{00000000-0005-0000-0000-0000D5670000}"/>
    <cellStyle name="Currency 2 2 3 6 5" xfId="27014" xr:uid="{00000000-0005-0000-0000-0000D6670000}"/>
    <cellStyle name="Currency 2 2 3 6 6" xfId="27015" xr:uid="{00000000-0005-0000-0000-0000D7670000}"/>
    <cellStyle name="Currency 2 2 3 7" xfId="27016" xr:uid="{00000000-0005-0000-0000-0000D8670000}"/>
    <cellStyle name="Currency 2 2 3 7 2" xfId="27017" xr:uid="{00000000-0005-0000-0000-0000D9670000}"/>
    <cellStyle name="Currency 2 2 3 7 2 2" xfId="27018" xr:uid="{00000000-0005-0000-0000-0000DA670000}"/>
    <cellStyle name="Currency 2 2 3 7 2 3" xfId="27019" xr:uid="{00000000-0005-0000-0000-0000DB670000}"/>
    <cellStyle name="Currency 2 2 3 7 3" xfId="27020" xr:uid="{00000000-0005-0000-0000-0000DC670000}"/>
    <cellStyle name="Currency 2 2 3 7 4" xfId="27021" xr:uid="{00000000-0005-0000-0000-0000DD670000}"/>
    <cellStyle name="Currency 2 2 3 7 5" xfId="27022" xr:uid="{00000000-0005-0000-0000-0000DE670000}"/>
    <cellStyle name="Currency 2 2 3 7 6" xfId="27023" xr:uid="{00000000-0005-0000-0000-0000DF670000}"/>
    <cellStyle name="Currency 2 2 3 8" xfId="27024" xr:uid="{00000000-0005-0000-0000-0000E0670000}"/>
    <cellStyle name="Currency 2 2 3 8 2" xfId="27025" xr:uid="{00000000-0005-0000-0000-0000E1670000}"/>
    <cellStyle name="Currency 2 2 3 8 2 2" xfId="27026" xr:uid="{00000000-0005-0000-0000-0000E2670000}"/>
    <cellStyle name="Currency 2 2 3 8 2 3" xfId="27027" xr:uid="{00000000-0005-0000-0000-0000E3670000}"/>
    <cellStyle name="Currency 2 2 3 8 3" xfId="27028" xr:uid="{00000000-0005-0000-0000-0000E4670000}"/>
    <cellStyle name="Currency 2 2 3 8 4" xfId="27029" xr:uid="{00000000-0005-0000-0000-0000E5670000}"/>
    <cellStyle name="Currency 2 2 3 8 5" xfId="27030" xr:uid="{00000000-0005-0000-0000-0000E6670000}"/>
    <cellStyle name="Currency 2 2 3 8 6" xfId="27031" xr:uid="{00000000-0005-0000-0000-0000E7670000}"/>
    <cellStyle name="Currency 2 2 3 9" xfId="27032" xr:uid="{00000000-0005-0000-0000-0000E8670000}"/>
    <cellStyle name="Currency 2 2 3 9 2" xfId="27033" xr:uid="{00000000-0005-0000-0000-0000E9670000}"/>
    <cellStyle name="Currency 2 2 3 9 2 2" xfId="27034" xr:uid="{00000000-0005-0000-0000-0000EA670000}"/>
    <cellStyle name="Currency 2 2 3 9 2 3" xfId="27035" xr:uid="{00000000-0005-0000-0000-0000EB670000}"/>
    <cellStyle name="Currency 2 2 3 9 3" xfId="27036" xr:uid="{00000000-0005-0000-0000-0000EC670000}"/>
    <cellStyle name="Currency 2 2 3 9 4" xfId="27037" xr:uid="{00000000-0005-0000-0000-0000ED670000}"/>
    <cellStyle name="Currency 2 2 3 9 5" xfId="27038" xr:uid="{00000000-0005-0000-0000-0000EE670000}"/>
    <cellStyle name="Currency 2 2 3 9 6" xfId="27039" xr:uid="{00000000-0005-0000-0000-0000EF670000}"/>
    <cellStyle name="Currency 2 2 4" xfId="27040" xr:uid="{00000000-0005-0000-0000-0000F0670000}"/>
    <cellStyle name="Currency 2 2 4 10" xfId="27041" xr:uid="{00000000-0005-0000-0000-0000F1670000}"/>
    <cellStyle name="Currency 2 2 4 11" xfId="27042" xr:uid="{00000000-0005-0000-0000-0000F2670000}"/>
    <cellStyle name="Currency 2 2 4 12" xfId="27043" xr:uid="{00000000-0005-0000-0000-0000F3670000}"/>
    <cellStyle name="Currency 2 2 4 13" xfId="27044" xr:uid="{00000000-0005-0000-0000-0000F4670000}"/>
    <cellStyle name="Currency 2 2 4 2" xfId="27045" xr:uid="{00000000-0005-0000-0000-0000F5670000}"/>
    <cellStyle name="Currency 2 2 4 2 10" xfId="27046" xr:uid="{00000000-0005-0000-0000-0000F6670000}"/>
    <cellStyle name="Currency 2 2 4 2 2" xfId="27047" xr:uid="{00000000-0005-0000-0000-0000F7670000}"/>
    <cellStyle name="Currency 2 2 4 2 2 2" xfId="27048" xr:uid="{00000000-0005-0000-0000-0000F8670000}"/>
    <cellStyle name="Currency 2 2 4 2 2 2 2" xfId="27049" xr:uid="{00000000-0005-0000-0000-0000F9670000}"/>
    <cellStyle name="Currency 2 2 4 2 2 2 2 2" xfId="27050" xr:uid="{00000000-0005-0000-0000-0000FA670000}"/>
    <cellStyle name="Currency 2 2 4 2 2 2 2 3" xfId="27051" xr:uid="{00000000-0005-0000-0000-0000FB670000}"/>
    <cellStyle name="Currency 2 2 4 2 2 2 3" xfId="27052" xr:uid="{00000000-0005-0000-0000-0000FC670000}"/>
    <cellStyle name="Currency 2 2 4 2 2 2 4" xfId="27053" xr:uid="{00000000-0005-0000-0000-0000FD670000}"/>
    <cellStyle name="Currency 2 2 4 2 2 2 5" xfId="27054" xr:uid="{00000000-0005-0000-0000-0000FE670000}"/>
    <cellStyle name="Currency 2 2 4 2 2 2 6" xfId="27055" xr:uid="{00000000-0005-0000-0000-0000FF670000}"/>
    <cellStyle name="Currency 2 2 4 2 2 3" xfId="27056" xr:uid="{00000000-0005-0000-0000-000000680000}"/>
    <cellStyle name="Currency 2 2 4 2 2 3 2" xfId="27057" xr:uid="{00000000-0005-0000-0000-000001680000}"/>
    <cellStyle name="Currency 2 2 4 2 2 3 2 2" xfId="27058" xr:uid="{00000000-0005-0000-0000-000002680000}"/>
    <cellStyle name="Currency 2 2 4 2 2 3 2 3" xfId="27059" xr:uid="{00000000-0005-0000-0000-000003680000}"/>
    <cellStyle name="Currency 2 2 4 2 2 3 3" xfId="27060" xr:uid="{00000000-0005-0000-0000-000004680000}"/>
    <cellStyle name="Currency 2 2 4 2 2 3 4" xfId="27061" xr:uid="{00000000-0005-0000-0000-000005680000}"/>
    <cellStyle name="Currency 2 2 4 2 2 3 5" xfId="27062" xr:uid="{00000000-0005-0000-0000-000006680000}"/>
    <cellStyle name="Currency 2 2 4 2 2 3 6" xfId="27063" xr:uid="{00000000-0005-0000-0000-000007680000}"/>
    <cellStyle name="Currency 2 2 4 2 2 4" xfId="27064" xr:uid="{00000000-0005-0000-0000-000008680000}"/>
    <cellStyle name="Currency 2 2 4 2 2 4 2" xfId="27065" xr:uid="{00000000-0005-0000-0000-000009680000}"/>
    <cellStyle name="Currency 2 2 4 2 2 4 3" xfId="27066" xr:uid="{00000000-0005-0000-0000-00000A680000}"/>
    <cellStyle name="Currency 2 2 4 2 2 5" xfId="27067" xr:uid="{00000000-0005-0000-0000-00000B680000}"/>
    <cellStyle name="Currency 2 2 4 2 2 6" xfId="27068" xr:uid="{00000000-0005-0000-0000-00000C680000}"/>
    <cellStyle name="Currency 2 2 4 2 2 7" xfId="27069" xr:uid="{00000000-0005-0000-0000-00000D680000}"/>
    <cellStyle name="Currency 2 2 4 2 2 8" xfId="27070" xr:uid="{00000000-0005-0000-0000-00000E680000}"/>
    <cellStyle name="Currency 2 2 4 2 3" xfId="27071" xr:uid="{00000000-0005-0000-0000-00000F680000}"/>
    <cellStyle name="Currency 2 2 4 2 3 2" xfId="27072" xr:uid="{00000000-0005-0000-0000-000010680000}"/>
    <cellStyle name="Currency 2 2 4 2 3 2 2" xfId="27073" xr:uid="{00000000-0005-0000-0000-000011680000}"/>
    <cellStyle name="Currency 2 2 4 2 3 2 2 2" xfId="27074" xr:uid="{00000000-0005-0000-0000-000012680000}"/>
    <cellStyle name="Currency 2 2 4 2 3 2 2 3" xfId="27075" xr:uid="{00000000-0005-0000-0000-000013680000}"/>
    <cellStyle name="Currency 2 2 4 2 3 2 3" xfId="27076" xr:uid="{00000000-0005-0000-0000-000014680000}"/>
    <cellStyle name="Currency 2 2 4 2 3 2 4" xfId="27077" xr:uid="{00000000-0005-0000-0000-000015680000}"/>
    <cellStyle name="Currency 2 2 4 2 3 2 5" xfId="27078" xr:uid="{00000000-0005-0000-0000-000016680000}"/>
    <cellStyle name="Currency 2 2 4 2 3 2 6" xfId="27079" xr:uid="{00000000-0005-0000-0000-000017680000}"/>
    <cellStyle name="Currency 2 2 4 2 3 3" xfId="27080" xr:uid="{00000000-0005-0000-0000-000018680000}"/>
    <cellStyle name="Currency 2 2 4 2 3 3 2" xfId="27081" xr:uid="{00000000-0005-0000-0000-000019680000}"/>
    <cellStyle name="Currency 2 2 4 2 3 3 3" xfId="27082" xr:uid="{00000000-0005-0000-0000-00001A680000}"/>
    <cellStyle name="Currency 2 2 4 2 3 4" xfId="27083" xr:uid="{00000000-0005-0000-0000-00001B680000}"/>
    <cellStyle name="Currency 2 2 4 2 3 5" xfId="27084" xr:uid="{00000000-0005-0000-0000-00001C680000}"/>
    <cellStyle name="Currency 2 2 4 2 3 6" xfId="27085" xr:uid="{00000000-0005-0000-0000-00001D680000}"/>
    <cellStyle name="Currency 2 2 4 2 3 7" xfId="27086" xr:uid="{00000000-0005-0000-0000-00001E680000}"/>
    <cellStyle name="Currency 2 2 4 2 4" xfId="27087" xr:uid="{00000000-0005-0000-0000-00001F680000}"/>
    <cellStyle name="Currency 2 2 4 2 4 2" xfId="27088" xr:uid="{00000000-0005-0000-0000-000020680000}"/>
    <cellStyle name="Currency 2 2 4 2 4 2 2" xfId="27089" xr:uid="{00000000-0005-0000-0000-000021680000}"/>
    <cellStyle name="Currency 2 2 4 2 4 2 3" xfId="27090" xr:uid="{00000000-0005-0000-0000-000022680000}"/>
    <cellStyle name="Currency 2 2 4 2 4 3" xfId="27091" xr:uid="{00000000-0005-0000-0000-000023680000}"/>
    <cellStyle name="Currency 2 2 4 2 4 4" xfId="27092" xr:uid="{00000000-0005-0000-0000-000024680000}"/>
    <cellStyle name="Currency 2 2 4 2 4 5" xfId="27093" xr:uid="{00000000-0005-0000-0000-000025680000}"/>
    <cellStyle name="Currency 2 2 4 2 4 6" xfId="27094" xr:uid="{00000000-0005-0000-0000-000026680000}"/>
    <cellStyle name="Currency 2 2 4 2 5" xfId="27095" xr:uid="{00000000-0005-0000-0000-000027680000}"/>
    <cellStyle name="Currency 2 2 4 2 5 2" xfId="27096" xr:uid="{00000000-0005-0000-0000-000028680000}"/>
    <cellStyle name="Currency 2 2 4 2 5 2 2" xfId="27097" xr:uid="{00000000-0005-0000-0000-000029680000}"/>
    <cellStyle name="Currency 2 2 4 2 5 2 3" xfId="27098" xr:uid="{00000000-0005-0000-0000-00002A680000}"/>
    <cellStyle name="Currency 2 2 4 2 5 3" xfId="27099" xr:uid="{00000000-0005-0000-0000-00002B680000}"/>
    <cellStyle name="Currency 2 2 4 2 5 4" xfId="27100" xr:uid="{00000000-0005-0000-0000-00002C680000}"/>
    <cellStyle name="Currency 2 2 4 2 5 5" xfId="27101" xr:uid="{00000000-0005-0000-0000-00002D680000}"/>
    <cellStyle name="Currency 2 2 4 2 5 6" xfId="27102" xr:uid="{00000000-0005-0000-0000-00002E680000}"/>
    <cellStyle name="Currency 2 2 4 2 6" xfId="27103" xr:uid="{00000000-0005-0000-0000-00002F680000}"/>
    <cellStyle name="Currency 2 2 4 2 6 2" xfId="27104" xr:uid="{00000000-0005-0000-0000-000030680000}"/>
    <cellStyle name="Currency 2 2 4 2 6 3" xfId="27105" xr:uid="{00000000-0005-0000-0000-000031680000}"/>
    <cellStyle name="Currency 2 2 4 2 7" xfId="27106" xr:uid="{00000000-0005-0000-0000-000032680000}"/>
    <cellStyle name="Currency 2 2 4 2 8" xfId="27107" xr:uid="{00000000-0005-0000-0000-000033680000}"/>
    <cellStyle name="Currency 2 2 4 2 9" xfId="27108" xr:uid="{00000000-0005-0000-0000-000034680000}"/>
    <cellStyle name="Currency 2 2 4 3" xfId="27109" xr:uid="{00000000-0005-0000-0000-000035680000}"/>
    <cellStyle name="Currency 2 2 4 3 2" xfId="27110" xr:uid="{00000000-0005-0000-0000-000036680000}"/>
    <cellStyle name="Currency 2 2 4 3 2 2" xfId="27111" xr:uid="{00000000-0005-0000-0000-000037680000}"/>
    <cellStyle name="Currency 2 2 4 3 2 2 2" xfId="27112" xr:uid="{00000000-0005-0000-0000-000038680000}"/>
    <cellStyle name="Currency 2 2 4 3 2 2 2 2" xfId="27113" xr:uid="{00000000-0005-0000-0000-000039680000}"/>
    <cellStyle name="Currency 2 2 4 3 2 2 2 3" xfId="27114" xr:uid="{00000000-0005-0000-0000-00003A680000}"/>
    <cellStyle name="Currency 2 2 4 3 2 2 3" xfId="27115" xr:uid="{00000000-0005-0000-0000-00003B680000}"/>
    <cellStyle name="Currency 2 2 4 3 2 2 4" xfId="27116" xr:uid="{00000000-0005-0000-0000-00003C680000}"/>
    <cellStyle name="Currency 2 2 4 3 2 2 5" xfId="27117" xr:uid="{00000000-0005-0000-0000-00003D680000}"/>
    <cellStyle name="Currency 2 2 4 3 2 2 6" xfId="27118" xr:uid="{00000000-0005-0000-0000-00003E680000}"/>
    <cellStyle name="Currency 2 2 4 3 2 3" xfId="27119" xr:uid="{00000000-0005-0000-0000-00003F680000}"/>
    <cellStyle name="Currency 2 2 4 3 2 3 2" xfId="27120" xr:uid="{00000000-0005-0000-0000-000040680000}"/>
    <cellStyle name="Currency 2 2 4 3 2 3 3" xfId="27121" xr:uid="{00000000-0005-0000-0000-000041680000}"/>
    <cellStyle name="Currency 2 2 4 3 2 4" xfId="27122" xr:uid="{00000000-0005-0000-0000-000042680000}"/>
    <cellStyle name="Currency 2 2 4 3 2 5" xfId="27123" xr:uid="{00000000-0005-0000-0000-000043680000}"/>
    <cellStyle name="Currency 2 2 4 3 2 6" xfId="27124" xr:uid="{00000000-0005-0000-0000-000044680000}"/>
    <cellStyle name="Currency 2 2 4 3 2 7" xfId="27125" xr:uid="{00000000-0005-0000-0000-000045680000}"/>
    <cellStyle name="Currency 2 2 4 3 3" xfId="27126" xr:uid="{00000000-0005-0000-0000-000046680000}"/>
    <cellStyle name="Currency 2 2 4 3 3 2" xfId="27127" xr:uid="{00000000-0005-0000-0000-000047680000}"/>
    <cellStyle name="Currency 2 2 4 3 3 2 2" xfId="27128" xr:uid="{00000000-0005-0000-0000-000048680000}"/>
    <cellStyle name="Currency 2 2 4 3 3 2 3" xfId="27129" xr:uid="{00000000-0005-0000-0000-000049680000}"/>
    <cellStyle name="Currency 2 2 4 3 3 3" xfId="27130" xr:uid="{00000000-0005-0000-0000-00004A680000}"/>
    <cellStyle name="Currency 2 2 4 3 3 4" xfId="27131" xr:uid="{00000000-0005-0000-0000-00004B680000}"/>
    <cellStyle name="Currency 2 2 4 3 3 5" xfId="27132" xr:uid="{00000000-0005-0000-0000-00004C680000}"/>
    <cellStyle name="Currency 2 2 4 3 3 6" xfId="27133" xr:uid="{00000000-0005-0000-0000-00004D680000}"/>
    <cellStyle name="Currency 2 2 4 3 4" xfId="27134" xr:uid="{00000000-0005-0000-0000-00004E680000}"/>
    <cellStyle name="Currency 2 2 4 3 4 2" xfId="27135" xr:uid="{00000000-0005-0000-0000-00004F680000}"/>
    <cellStyle name="Currency 2 2 4 3 4 2 2" xfId="27136" xr:uid="{00000000-0005-0000-0000-000050680000}"/>
    <cellStyle name="Currency 2 2 4 3 4 2 3" xfId="27137" xr:uid="{00000000-0005-0000-0000-000051680000}"/>
    <cellStyle name="Currency 2 2 4 3 4 3" xfId="27138" xr:uid="{00000000-0005-0000-0000-000052680000}"/>
    <cellStyle name="Currency 2 2 4 3 4 4" xfId="27139" xr:uid="{00000000-0005-0000-0000-000053680000}"/>
    <cellStyle name="Currency 2 2 4 3 4 5" xfId="27140" xr:uid="{00000000-0005-0000-0000-000054680000}"/>
    <cellStyle name="Currency 2 2 4 3 4 6" xfId="27141" xr:uid="{00000000-0005-0000-0000-000055680000}"/>
    <cellStyle name="Currency 2 2 4 3 5" xfId="27142" xr:uid="{00000000-0005-0000-0000-000056680000}"/>
    <cellStyle name="Currency 2 2 4 3 5 2" xfId="27143" xr:uid="{00000000-0005-0000-0000-000057680000}"/>
    <cellStyle name="Currency 2 2 4 3 5 3" xfId="27144" xr:uid="{00000000-0005-0000-0000-000058680000}"/>
    <cellStyle name="Currency 2 2 4 3 6" xfId="27145" xr:uid="{00000000-0005-0000-0000-000059680000}"/>
    <cellStyle name="Currency 2 2 4 3 7" xfId="27146" xr:uid="{00000000-0005-0000-0000-00005A680000}"/>
    <cellStyle name="Currency 2 2 4 3 8" xfId="27147" xr:uid="{00000000-0005-0000-0000-00005B680000}"/>
    <cellStyle name="Currency 2 2 4 3 9" xfId="27148" xr:uid="{00000000-0005-0000-0000-00005C680000}"/>
    <cellStyle name="Currency 2 2 4 4" xfId="27149" xr:uid="{00000000-0005-0000-0000-00005D680000}"/>
    <cellStyle name="Currency 2 2 4 4 2" xfId="27150" xr:uid="{00000000-0005-0000-0000-00005E680000}"/>
    <cellStyle name="Currency 2 2 4 4 2 2" xfId="27151" xr:uid="{00000000-0005-0000-0000-00005F680000}"/>
    <cellStyle name="Currency 2 2 4 4 2 2 2" xfId="27152" xr:uid="{00000000-0005-0000-0000-000060680000}"/>
    <cellStyle name="Currency 2 2 4 4 2 2 3" xfId="27153" xr:uid="{00000000-0005-0000-0000-000061680000}"/>
    <cellStyle name="Currency 2 2 4 4 2 3" xfId="27154" xr:uid="{00000000-0005-0000-0000-000062680000}"/>
    <cellStyle name="Currency 2 2 4 4 2 4" xfId="27155" xr:uid="{00000000-0005-0000-0000-000063680000}"/>
    <cellStyle name="Currency 2 2 4 4 2 5" xfId="27156" xr:uid="{00000000-0005-0000-0000-000064680000}"/>
    <cellStyle name="Currency 2 2 4 4 2 6" xfId="27157" xr:uid="{00000000-0005-0000-0000-000065680000}"/>
    <cellStyle name="Currency 2 2 4 4 3" xfId="27158" xr:uid="{00000000-0005-0000-0000-000066680000}"/>
    <cellStyle name="Currency 2 2 4 4 3 2" xfId="27159" xr:uid="{00000000-0005-0000-0000-000067680000}"/>
    <cellStyle name="Currency 2 2 4 4 3 3" xfId="27160" xr:uid="{00000000-0005-0000-0000-000068680000}"/>
    <cellStyle name="Currency 2 2 4 4 4" xfId="27161" xr:uid="{00000000-0005-0000-0000-000069680000}"/>
    <cellStyle name="Currency 2 2 4 4 5" xfId="27162" xr:uid="{00000000-0005-0000-0000-00006A680000}"/>
    <cellStyle name="Currency 2 2 4 4 6" xfId="27163" xr:uid="{00000000-0005-0000-0000-00006B680000}"/>
    <cellStyle name="Currency 2 2 4 4 7" xfId="27164" xr:uid="{00000000-0005-0000-0000-00006C680000}"/>
    <cellStyle name="Currency 2 2 4 5" xfId="27165" xr:uid="{00000000-0005-0000-0000-00006D680000}"/>
    <cellStyle name="Currency 2 2 4 5 2" xfId="27166" xr:uid="{00000000-0005-0000-0000-00006E680000}"/>
    <cellStyle name="Currency 2 2 4 5 2 2" xfId="27167" xr:uid="{00000000-0005-0000-0000-00006F680000}"/>
    <cellStyle name="Currency 2 2 4 5 2 3" xfId="27168" xr:uid="{00000000-0005-0000-0000-000070680000}"/>
    <cellStyle name="Currency 2 2 4 5 3" xfId="27169" xr:uid="{00000000-0005-0000-0000-000071680000}"/>
    <cellStyle name="Currency 2 2 4 5 4" xfId="27170" xr:uid="{00000000-0005-0000-0000-000072680000}"/>
    <cellStyle name="Currency 2 2 4 5 5" xfId="27171" xr:uid="{00000000-0005-0000-0000-000073680000}"/>
    <cellStyle name="Currency 2 2 4 5 6" xfId="27172" xr:uid="{00000000-0005-0000-0000-000074680000}"/>
    <cellStyle name="Currency 2 2 4 6" xfId="27173" xr:uid="{00000000-0005-0000-0000-000075680000}"/>
    <cellStyle name="Currency 2 2 4 6 2" xfId="27174" xr:uid="{00000000-0005-0000-0000-000076680000}"/>
    <cellStyle name="Currency 2 2 4 6 2 2" xfId="27175" xr:uid="{00000000-0005-0000-0000-000077680000}"/>
    <cellStyle name="Currency 2 2 4 6 2 3" xfId="27176" xr:uid="{00000000-0005-0000-0000-000078680000}"/>
    <cellStyle name="Currency 2 2 4 6 3" xfId="27177" xr:uid="{00000000-0005-0000-0000-000079680000}"/>
    <cellStyle name="Currency 2 2 4 6 4" xfId="27178" xr:uid="{00000000-0005-0000-0000-00007A680000}"/>
    <cellStyle name="Currency 2 2 4 6 5" xfId="27179" xr:uid="{00000000-0005-0000-0000-00007B680000}"/>
    <cellStyle name="Currency 2 2 4 6 6" xfId="27180" xr:uid="{00000000-0005-0000-0000-00007C680000}"/>
    <cellStyle name="Currency 2 2 4 7" xfId="27181" xr:uid="{00000000-0005-0000-0000-00007D680000}"/>
    <cellStyle name="Currency 2 2 4 7 2" xfId="27182" xr:uid="{00000000-0005-0000-0000-00007E680000}"/>
    <cellStyle name="Currency 2 2 4 7 2 2" xfId="27183" xr:uid="{00000000-0005-0000-0000-00007F680000}"/>
    <cellStyle name="Currency 2 2 4 7 2 3" xfId="27184" xr:uid="{00000000-0005-0000-0000-000080680000}"/>
    <cellStyle name="Currency 2 2 4 7 3" xfId="27185" xr:uid="{00000000-0005-0000-0000-000081680000}"/>
    <cellStyle name="Currency 2 2 4 7 4" xfId="27186" xr:uid="{00000000-0005-0000-0000-000082680000}"/>
    <cellStyle name="Currency 2 2 4 7 5" xfId="27187" xr:uid="{00000000-0005-0000-0000-000083680000}"/>
    <cellStyle name="Currency 2 2 4 7 6" xfId="27188" xr:uid="{00000000-0005-0000-0000-000084680000}"/>
    <cellStyle name="Currency 2 2 4 8" xfId="27189" xr:uid="{00000000-0005-0000-0000-000085680000}"/>
    <cellStyle name="Currency 2 2 4 8 2" xfId="27190" xr:uid="{00000000-0005-0000-0000-000086680000}"/>
    <cellStyle name="Currency 2 2 4 8 2 2" xfId="27191" xr:uid="{00000000-0005-0000-0000-000087680000}"/>
    <cellStyle name="Currency 2 2 4 8 2 3" xfId="27192" xr:uid="{00000000-0005-0000-0000-000088680000}"/>
    <cellStyle name="Currency 2 2 4 8 3" xfId="27193" xr:uid="{00000000-0005-0000-0000-000089680000}"/>
    <cellStyle name="Currency 2 2 4 8 4" xfId="27194" xr:uid="{00000000-0005-0000-0000-00008A680000}"/>
    <cellStyle name="Currency 2 2 4 8 5" xfId="27195" xr:uid="{00000000-0005-0000-0000-00008B680000}"/>
    <cellStyle name="Currency 2 2 4 8 6" xfId="27196" xr:uid="{00000000-0005-0000-0000-00008C680000}"/>
    <cellStyle name="Currency 2 2 4 9" xfId="27197" xr:uid="{00000000-0005-0000-0000-00008D680000}"/>
    <cellStyle name="Currency 2 2 4 9 2" xfId="27198" xr:uid="{00000000-0005-0000-0000-00008E680000}"/>
    <cellStyle name="Currency 2 2 4 9 3" xfId="27199" xr:uid="{00000000-0005-0000-0000-00008F680000}"/>
    <cellStyle name="Currency 2 2 5" xfId="27200" xr:uid="{00000000-0005-0000-0000-000090680000}"/>
    <cellStyle name="Currency 2 2 5 10" xfId="27201" xr:uid="{00000000-0005-0000-0000-000091680000}"/>
    <cellStyle name="Currency 2 2 5 2" xfId="27202" xr:uid="{00000000-0005-0000-0000-000092680000}"/>
    <cellStyle name="Currency 2 2 5 2 2" xfId="27203" xr:uid="{00000000-0005-0000-0000-000093680000}"/>
    <cellStyle name="Currency 2 2 5 2 2 2" xfId="27204" xr:uid="{00000000-0005-0000-0000-000094680000}"/>
    <cellStyle name="Currency 2 2 5 2 2 2 2" xfId="27205" xr:uid="{00000000-0005-0000-0000-000095680000}"/>
    <cellStyle name="Currency 2 2 5 2 2 2 3" xfId="27206" xr:uid="{00000000-0005-0000-0000-000096680000}"/>
    <cellStyle name="Currency 2 2 5 2 2 3" xfId="27207" xr:uid="{00000000-0005-0000-0000-000097680000}"/>
    <cellStyle name="Currency 2 2 5 2 2 4" xfId="27208" xr:uid="{00000000-0005-0000-0000-000098680000}"/>
    <cellStyle name="Currency 2 2 5 2 2 5" xfId="27209" xr:uid="{00000000-0005-0000-0000-000099680000}"/>
    <cellStyle name="Currency 2 2 5 2 2 6" xfId="27210" xr:uid="{00000000-0005-0000-0000-00009A680000}"/>
    <cellStyle name="Currency 2 2 5 2 3" xfId="27211" xr:uid="{00000000-0005-0000-0000-00009B680000}"/>
    <cellStyle name="Currency 2 2 5 2 3 2" xfId="27212" xr:uid="{00000000-0005-0000-0000-00009C680000}"/>
    <cellStyle name="Currency 2 2 5 2 3 2 2" xfId="27213" xr:uid="{00000000-0005-0000-0000-00009D680000}"/>
    <cellStyle name="Currency 2 2 5 2 3 2 3" xfId="27214" xr:uid="{00000000-0005-0000-0000-00009E680000}"/>
    <cellStyle name="Currency 2 2 5 2 3 3" xfId="27215" xr:uid="{00000000-0005-0000-0000-00009F680000}"/>
    <cellStyle name="Currency 2 2 5 2 3 4" xfId="27216" xr:uid="{00000000-0005-0000-0000-0000A0680000}"/>
    <cellStyle name="Currency 2 2 5 2 3 5" xfId="27217" xr:uid="{00000000-0005-0000-0000-0000A1680000}"/>
    <cellStyle name="Currency 2 2 5 2 3 6" xfId="27218" xr:uid="{00000000-0005-0000-0000-0000A2680000}"/>
    <cellStyle name="Currency 2 2 5 2 4" xfId="27219" xr:uid="{00000000-0005-0000-0000-0000A3680000}"/>
    <cellStyle name="Currency 2 2 5 2 4 2" xfId="27220" xr:uid="{00000000-0005-0000-0000-0000A4680000}"/>
    <cellStyle name="Currency 2 2 5 2 4 3" xfId="27221" xr:uid="{00000000-0005-0000-0000-0000A5680000}"/>
    <cellStyle name="Currency 2 2 5 2 5" xfId="27222" xr:uid="{00000000-0005-0000-0000-0000A6680000}"/>
    <cellStyle name="Currency 2 2 5 2 6" xfId="27223" xr:uid="{00000000-0005-0000-0000-0000A7680000}"/>
    <cellStyle name="Currency 2 2 5 2 7" xfId="27224" xr:uid="{00000000-0005-0000-0000-0000A8680000}"/>
    <cellStyle name="Currency 2 2 5 2 8" xfId="27225" xr:uid="{00000000-0005-0000-0000-0000A9680000}"/>
    <cellStyle name="Currency 2 2 5 3" xfId="27226" xr:uid="{00000000-0005-0000-0000-0000AA680000}"/>
    <cellStyle name="Currency 2 2 5 3 2" xfId="27227" xr:uid="{00000000-0005-0000-0000-0000AB680000}"/>
    <cellStyle name="Currency 2 2 5 3 2 2" xfId="27228" xr:uid="{00000000-0005-0000-0000-0000AC680000}"/>
    <cellStyle name="Currency 2 2 5 3 2 2 2" xfId="27229" xr:uid="{00000000-0005-0000-0000-0000AD680000}"/>
    <cellStyle name="Currency 2 2 5 3 2 2 3" xfId="27230" xr:uid="{00000000-0005-0000-0000-0000AE680000}"/>
    <cellStyle name="Currency 2 2 5 3 2 3" xfId="27231" xr:uid="{00000000-0005-0000-0000-0000AF680000}"/>
    <cellStyle name="Currency 2 2 5 3 2 4" xfId="27232" xr:uid="{00000000-0005-0000-0000-0000B0680000}"/>
    <cellStyle name="Currency 2 2 5 3 2 5" xfId="27233" xr:uid="{00000000-0005-0000-0000-0000B1680000}"/>
    <cellStyle name="Currency 2 2 5 3 2 6" xfId="27234" xr:uid="{00000000-0005-0000-0000-0000B2680000}"/>
    <cellStyle name="Currency 2 2 5 3 3" xfId="27235" xr:uid="{00000000-0005-0000-0000-0000B3680000}"/>
    <cellStyle name="Currency 2 2 5 3 3 2" xfId="27236" xr:uid="{00000000-0005-0000-0000-0000B4680000}"/>
    <cellStyle name="Currency 2 2 5 3 3 3" xfId="27237" xr:uid="{00000000-0005-0000-0000-0000B5680000}"/>
    <cellStyle name="Currency 2 2 5 3 4" xfId="27238" xr:uid="{00000000-0005-0000-0000-0000B6680000}"/>
    <cellStyle name="Currency 2 2 5 3 5" xfId="27239" xr:uid="{00000000-0005-0000-0000-0000B7680000}"/>
    <cellStyle name="Currency 2 2 5 3 6" xfId="27240" xr:uid="{00000000-0005-0000-0000-0000B8680000}"/>
    <cellStyle name="Currency 2 2 5 3 7" xfId="27241" xr:uid="{00000000-0005-0000-0000-0000B9680000}"/>
    <cellStyle name="Currency 2 2 5 4" xfId="27242" xr:uid="{00000000-0005-0000-0000-0000BA680000}"/>
    <cellStyle name="Currency 2 2 5 4 2" xfId="27243" xr:uid="{00000000-0005-0000-0000-0000BB680000}"/>
    <cellStyle name="Currency 2 2 5 4 2 2" xfId="27244" xr:uid="{00000000-0005-0000-0000-0000BC680000}"/>
    <cellStyle name="Currency 2 2 5 4 2 3" xfId="27245" xr:uid="{00000000-0005-0000-0000-0000BD680000}"/>
    <cellStyle name="Currency 2 2 5 4 3" xfId="27246" xr:uid="{00000000-0005-0000-0000-0000BE680000}"/>
    <cellStyle name="Currency 2 2 5 4 4" xfId="27247" xr:uid="{00000000-0005-0000-0000-0000BF680000}"/>
    <cellStyle name="Currency 2 2 5 4 5" xfId="27248" xr:uid="{00000000-0005-0000-0000-0000C0680000}"/>
    <cellStyle name="Currency 2 2 5 4 6" xfId="27249" xr:uid="{00000000-0005-0000-0000-0000C1680000}"/>
    <cellStyle name="Currency 2 2 5 5" xfId="27250" xr:uid="{00000000-0005-0000-0000-0000C2680000}"/>
    <cellStyle name="Currency 2 2 5 5 2" xfId="27251" xr:uid="{00000000-0005-0000-0000-0000C3680000}"/>
    <cellStyle name="Currency 2 2 5 5 2 2" xfId="27252" xr:uid="{00000000-0005-0000-0000-0000C4680000}"/>
    <cellStyle name="Currency 2 2 5 5 2 3" xfId="27253" xr:uid="{00000000-0005-0000-0000-0000C5680000}"/>
    <cellStyle name="Currency 2 2 5 5 3" xfId="27254" xr:uid="{00000000-0005-0000-0000-0000C6680000}"/>
    <cellStyle name="Currency 2 2 5 5 4" xfId="27255" xr:uid="{00000000-0005-0000-0000-0000C7680000}"/>
    <cellStyle name="Currency 2 2 5 5 5" xfId="27256" xr:uid="{00000000-0005-0000-0000-0000C8680000}"/>
    <cellStyle name="Currency 2 2 5 5 6" xfId="27257" xr:uid="{00000000-0005-0000-0000-0000C9680000}"/>
    <cellStyle name="Currency 2 2 5 6" xfId="27258" xr:uid="{00000000-0005-0000-0000-0000CA680000}"/>
    <cellStyle name="Currency 2 2 5 6 2" xfId="27259" xr:uid="{00000000-0005-0000-0000-0000CB680000}"/>
    <cellStyle name="Currency 2 2 5 6 3" xfId="27260" xr:uid="{00000000-0005-0000-0000-0000CC680000}"/>
    <cellStyle name="Currency 2 2 5 7" xfId="27261" xr:uid="{00000000-0005-0000-0000-0000CD680000}"/>
    <cellStyle name="Currency 2 2 5 8" xfId="27262" xr:uid="{00000000-0005-0000-0000-0000CE680000}"/>
    <cellStyle name="Currency 2 2 5 9" xfId="27263" xr:uid="{00000000-0005-0000-0000-0000CF680000}"/>
    <cellStyle name="Currency 2 2 6" xfId="27264" xr:uid="{00000000-0005-0000-0000-0000D0680000}"/>
    <cellStyle name="Currency 2 2 6 2" xfId="27265" xr:uid="{00000000-0005-0000-0000-0000D1680000}"/>
    <cellStyle name="Currency 2 2 6 2 2" xfId="27266" xr:uid="{00000000-0005-0000-0000-0000D2680000}"/>
    <cellStyle name="Currency 2 2 6 2 2 2" xfId="27267" xr:uid="{00000000-0005-0000-0000-0000D3680000}"/>
    <cellStyle name="Currency 2 2 6 2 2 2 2" xfId="27268" xr:uid="{00000000-0005-0000-0000-0000D4680000}"/>
    <cellStyle name="Currency 2 2 6 2 2 2 3" xfId="27269" xr:uid="{00000000-0005-0000-0000-0000D5680000}"/>
    <cellStyle name="Currency 2 2 6 2 2 3" xfId="27270" xr:uid="{00000000-0005-0000-0000-0000D6680000}"/>
    <cellStyle name="Currency 2 2 6 2 2 4" xfId="27271" xr:uid="{00000000-0005-0000-0000-0000D7680000}"/>
    <cellStyle name="Currency 2 2 6 2 2 5" xfId="27272" xr:uid="{00000000-0005-0000-0000-0000D8680000}"/>
    <cellStyle name="Currency 2 2 6 2 2 6" xfId="27273" xr:uid="{00000000-0005-0000-0000-0000D9680000}"/>
    <cellStyle name="Currency 2 2 6 2 3" xfId="27274" xr:uid="{00000000-0005-0000-0000-0000DA680000}"/>
    <cellStyle name="Currency 2 2 6 2 3 2" xfId="27275" xr:uid="{00000000-0005-0000-0000-0000DB680000}"/>
    <cellStyle name="Currency 2 2 6 2 3 3" xfId="27276" xr:uid="{00000000-0005-0000-0000-0000DC680000}"/>
    <cellStyle name="Currency 2 2 6 2 4" xfId="27277" xr:uid="{00000000-0005-0000-0000-0000DD680000}"/>
    <cellStyle name="Currency 2 2 6 2 5" xfId="27278" xr:uid="{00000000-0005-0000-0000-0000DE680000}"/>
    <cellStyle name="Currency 2 2 6 2 6" xfId="27279" xr:uid="{00000000-0005-0000-0000-0000DF680000}"/>
    <cellStyle name="Currency 2 2 6 2 7" xfId="27280" xr:uid="{00000000-0005-0000-0000-0000E0680000}"/>
    <cellStyle name="Currency 2 2 6 3" xfId="27281" xr:uid="{00000000-0005-0000-0000-0000E1680000}"/>
    <cellStyle name="Currency 2 2 6 3 2" xfId="27282" xr:uid="{00000000-0005-0000-0000-0000E2680000}"/>
    <cellStyle name="Currency 2 2 6 3 2 2" xfId="27283" xr:uid="{00000000-0005-0000-0000-0000E3680000}"/>
    <cellStyle name="Currency 2 2 6 3 2 3" xfId="27284" xr:uid="{00000000-0005-0000-0000-0000E4680000}"/>
    <cellStyle name="Currency 2 2 6 3 3" xfId="27285" xr:uid="{00000000-0005-0000-0000-0000E5680000}"/>
    <cellStyle name="Currency 2 2 6 3 4" xfId="27286" xr:uid="{00000000-0005-0000-0000-0000E6680000}"/>
    <cellStyle name="Currency 2 2 6 3 5" xfId="27287" xr:uid="{00000000-0005-0000-0000-0000E7680000}"/>
    <cellStyle name="Currency 2 2 6 3 6" xfId="27288" xr:uid="{00000000-0005-0000-0000-0000E8680000}"/>
    <cellStyle name="Currency 2 2 6 4" xfId="27289" xr:uid="{00000000-0005-0000-0000-0000E9680000}"/>
    <cellStyle name="Currency 2 2 6 4 2" xfId="27290" xr:uid="{00000000-0005-0000-0000-0000EA680000}"/>
    <cellStyle name="Currency 2 2 6 4 2 2" xfId="27291" xr:uid="{00000000-0005-0000-0000-0000EB680000}"/>
    <cellStyle name="Currency 2 2 6 4 2 3" xfId="27292" xr:uid="{00000000-0005-0000-0000-0000EC680000}"/>
    <cellStyle name="Currency 2 2 6 4 3" xfId="27293" xr:uid="{00000000-0005-0000-0000-0000ED680000}"/>
    <cellStyle name="Currency 2 2 6 4 4" xfId="27294" xr:uid="{00000000-0005-0000-0000-0000EE680000}"/>
    <cellStyle name="Currency 2 2 6 4 5" xfId="27295" xr:uid="{00000000-0005-0000-0000-0000EF680000}"/>
    <cellStyle name="Currency 2 2 6 4 6" xfId="27296" xr:uid="{00000000-0005-0000-0000-0000F0680000}"/>
    <cellStyle name="Currency 2 2 6 5" xfId="27297" xr:uid="{00000000-0005-0000-0000-0000F1680000}"/>
    <cellStyle name="Currency 2 2 6 5 2" xfId="27298" xr:uid="{00000000-0005-0000-0000-0000F2680000}"/>
    <cellStyle name="Currency 2 2 6 5 3" xfId="27299" xr:uid="{00000000-0005-0000-0000-0000F3680000}"/>
    <cellStyle name="Currency 2 2 6 6" xfId="27300" xr:uid="{00000000-0005-0000-0000-0000F4680000}"/>
    <cellStyle name="Currency 2 2 6 7" xfId="27301" xr:uid="{00000000-0005-0000-0000-0000F5680000}"/>
    <cellStyle name="Currency 2 2 6 8" xfId="27302" xr:uid="{00000000-0005-0000-0000-0000F6680000}"/>
    <cellStyle name="Currency 2 2 6 9" xfId="27303" xr:uid="{00000000-0005-0000-0000-0000F7680000}"/>
    <cellStyle name="Currency 2 2 7" xfId="27304" xr:uid="{00000000-0005-0000-0000-0000F8680000}"/>
    <cellStyle name="Currency 2 2 7 2" xfId="27305" xr:uid="{00000000-0005-0000-0000-0000F9680000}"/>
    <cellStyle name="Currency 2 2 7 2 2" xfId="27306" xr:uid="{00000000-0005-0000-0000-0000FA680000}"/>
    <cellStyle name="Currency 2 2 7 2 2 2" xfId="27307" xr:uid="{00000000-0005-0000-0000-0000FB680000}"/>
    <cellStyle name="Currency 2 2 7 2 2 3" xfId="27308" xr:uid="{00000000-0005-0000-0000-0000FC680000}"/>
    <cellStyle name="Currency 2 2 7 2 3" xfId="27309" xr:uid="{00000000-0005-0000-0000-0000FD680000}"/>
    <cellStyle name="Currency 2 2 7 2 4" xfId="27310" xr:uid="{00000000-0005-0000-0000-0000FE680000}"/>
    <cellStyle name="Currency 2 2 7 2 5" xfId="27311" xr:uid="{00000000-0005-0000-0000-0000FF680000}"/>
    <cellStyle name="Currency 2 2 7 2 6" xfId="27312" xr:uid="{00000000-0005-0000-0000-000000690000}"/>
    <cellStyle name="Currency 2 2 7 3" xfId="27313" xr:uid="{00000000-0005-0000-0000-000001690000}"/>
    <cellStyle name="Currency 2 2 7 3 2" xfId="27314" xr:uid="{00000000-0005-0000-0000-000002690000}"/>
    <cellStyle name="Currency 2 2 7 3 3" xfId="27315" xr:uid="{00000000-0005-0000-0000-000003690000}"/>
    <cellStyle name="Currency 2 2 7 4" xfId="27316" xr:uid="{00000000-0005-0000-0000-000004690000}"/>
    <cellStyle name="Currency 2 2 7 5" xfId="27317" xr:uid="{00000000-0005-0000-0000-000005690000}"/>
    <cellStyle name="Currency 2 2 7 6" xfId="27318" xr:uid="{00000000-0005-0000-0000-000006690000}"/>
    <cellStyle name="Currency 2 2 7 7" xfId="27319" xr:uid="{00000000-0005-0000-0000-000007690000}"/>
    <cellStyle name="Currency 2 2 8" xfId="27320" xr:uid="{00000000-0005-0000-0000-000008690000}"/>
    <cellStyle name="Currency 2 2 8 2" xfId="27321" xr:uid="{00000000-0005-0000-0000-000009690000}"/>
    <cellStyle name="Currency 2 2 8 2 2" xfId="27322" xr:uid="{00000000-0005-0000-0000-00000A690000}"/>
    <cellStyle name="Currency 2 2 8 2 3" xfId="27323" xr:uid="{00000000-0005-0000-0000-00000B690000}"/>
    <cellStyle name="Currency 2 2 8 3" xfId="27324" xr:uid="{00000000-0005-0000-0000-00000C690000}"/>
    <cellStyle name="Currency 2 2 8 4" xfId="27325" xr:uid="{00000000-0005-0000-0000-00000D690000}"/>
    <cellStyle name="Currency 2 2 8 5" xfId="27326" xr:uid="{00000000-0005-0000-0000-00000E690000}"/>
    <cellStyle name="Currency 2 2 8 6" xfId="27327" xr:uid="{00000000-0005-0000-0000-00000F690000}"/>
    <cellStyle name="Currency 2 2 9" xfId="27328" xr:uid="{00000000-0005-0000-0000-000010690000}"/>
    <cellStyle name="Currency 2 2 9 2" xfId="27329" xr:uid="{00000000-0005-0000-0000-000011690000}"/>
    <cellStyle name="Currency 2 2 9 2 2" xfId="27330" xr:uid="{00000000-0005-0000-0000-000012690000}"/>
    <cellStyle name="Currency 2 2 9 2 3" xfId="27331" xr:uid="{00000000-0005-0000-0000-000013690000}"/>
    <cellStyle name="Currency 2 2 9 3" xfId="27332" xr:uid="{00000000-0005-0000-0000-000014690000}"/>
    <cellStyle name="Currency 2 2 9 4" xfId="27333" xr:uid="{00000000-0005-0000-0000-000015690000}"/>
    <cellStyle name="Currency 2 2 9 5" xfId="27334" xr:uid="{00000000-0005-0000-0000-000016690000}"/>
    <cellStyle name="Currency 2 2 9 6" xfId="27335" xr:uid="{00000000-0005-0000-0000-000017690000}"/>
    <cellStyle name="Currency 2 3" xfId="27336" xr:uid="{00000000-0005-0000-0000-000018690000}"/>
    <cellStyle name="Currency 2 3 10" xfId="27337" xr:uid="{00000000-0005-0000-0000-000019690000}"/>
    <cellStyle name="Currency 2 3 10 2" xfId="27338" xr:uid="{00000000-0005-0000-0000-00001A690000}"/>
    <cellStyle name="Currency 2 3 10 3" xfId="27339" xr:uid="{00000000-0005-0000-0000-00001B690000}"/>
    <cellStyle name="Currency 2 3 11" xfId="27340" xr:uid="{00000000-0005-0000-0000-00001C690000}"/>
    <cellStyle name="Currency 2 3 12" xfId="27341" xr:uid="{00000000-0005-0000-0000-00001D690000}"/>
    <cellStyle name="Currency 2 3 13" xfId="27342" xr:uid="{00000000-0005-0000-0000-00001E690000}"/>
    <cellStyle name="Currency 2 3 14" xfId="27343" xr:uid="{00000000-0005-0000-0000-00001F690000}"/>
    <cellStyle name="Currency 2 3 2" xfId="27344" xr:uid="{00000000-0005-0000-0000-000020690000}"/>
    <cellStyle name="Currency 2 3 2 10" xfId="27345" xr:uid="{00000000-0005-0000-0000-000021690000}"/>
    <cellStyle name="Currency 2 3 2 11" xfId="27346" xr:uid="{00000000-0005-0000-0000-000022690000}"/>
    <cellStyle name="Currency 2 3 2 12" xfId="27347" xr:uid="{00000000-0005-0000-0000-000023690000}"/>
    <cellStyle name="Currency 2 3 2 13" xfId="27348" xr:uid="{00000000-0005-0000-0000-000024690000}"/>
    <cellStyle name="Currency 2 3 2 2" xfId="27349" xr:uid="{00000000-0005-0000-0000-000025690000}"/>
    <cellStyle name="Currency 2 3 2 2 10" xfId="27350" xr:uid="{00000000-0005-0000-0000-000026690000}"/>
    <cellStyle name="Currency 2 3 2 2 2" xfId="27351" xr:uid="{00000000-0005-0000-0000-000027690000}"/>
    <cellStyle name="Currency 2 3 2 2 2 2" xfId="27352" xr:uid="{00000000-0005-0000-0000-000028690000}"/>
    <cellStyle name="Currency 2 3 2 2 2 2 2" xfId="27353" xr:uid="{00000000-0005-0000-0000-000029690000}"/>
    <cellStyle name="Currency 2 3 2 2 2 2 2 2" xfId="27354" xr:uid="{00000000-0005-0000-0000-00002A690000}"/>
    <cellStyle name="Currency 2 3 2 2 2 2 2 3" xfId="27355" xr:uid="{00000000-0005-0000-0000-00002B690000}"/>
    <cellStyle name="Currency 2 3 2 2 2 2 3" xfId="27356" xr:uid="{00000000-0005-0000-0000-00002C690000}"/>
    <cellStyle name="Currency 2 3 2 2 2 2 4" xfId="27357" xr:uid="{00000000-0005-0000-0000-00002D690000}"/>
    <cellStyle name="Currency 2 3 2 2 2 2 5" xfId="27358" xr:uid="{00000000-0005-0000-0000-00002E690000}"/>
    <cellStyle name="Currency 2 3 2 2 2 2 6" xfId="27359" xr:uid="{00000000-0005-0000-0000-00002F690000}"/>
    <cellStyle name="Currency 2 3 2 2 2 3" xfId="27360" xr:uid="{00000000-0005-0000-0000-000030690000}"/>
    <cellStyle name="Currency 2 3 2 2 2 3 2" xfId="27361" xr:uid="{00000000-0005-0000-0000-000031690000}"/>
    <cellStyle name="Currency 2 3 2 2 2 3 2 2" xfId="27362" xr:uid="{00000000-0005-0000-0000-000032690000}"/>
    <cellStyle name="Currency 2 3 2 2 2 3 2 3" xfId="27363" xr:uid="{00000000-0005-0000-0000-000033690000}"/>
    <cellStyle name="Currency 2 3 2 2 2 3 3" xfId="27364" xr:uid="{00000000-0005-0000-0000-000034690000}"/>
    <cellStyle name="Currency 2 3 2 2 2 3 4" xfId="27365" xr:uid="{00000000-0005-0000-0000-000035690000}"/>
    <cellStyle name="Currency 2 3 2 2 2 3 5" xfId="27366" xr:uid="{00000000-0005-0000-0000-000036690000}"/>
    <cellStyle name="Currency 2 3 2 2 2 3 6" xfId="27367" xr:uid="{00000000-0005-0000-0000-000037690000}"/>
    <cellStyle name="Currency 2 3 2 2 2 4" xfId="27368" xr:uid="{00000000-0005-0000-0000-000038690000}"/>
    <cellStyle name="Currency 2 3 2 2 2 4 2" xfId="27369" xr:uid="{00000000-0005-0000-0000-000039690000}"/>
    <cellStyle name="Currency 2 3 2 2 2 4 3" xfId="27370" xr:uid="{00000000-0005-0000-0000-00003A690000}"/>
    <cellStyle name="Currency 2 3 2 2 2 5" xfId="27371" xr:uid="{00000000-0005-0000-0000-00003B690000}"/>
    <cellStyle name="Currency 2 3 2 2 2 6" xfId="27372" xr:uid="{00000000-0005-0000-0000-00003C690000}"/>
    <cellStyle name="Currency 2 3 2 2 2 7" xfId="27373" xr:uid="{00000000-0005-0000-0000-00003D690000}"/>
    <cellStyle name="Currency 2 3 2 2 2 8" xfId="27374" xr:uid="{00000000-0005-0000-0000-00003E690000}"/>
    <cellStyle name="Currency 2 3 2 2 3" xfId="27375" xr:uid="{00000000-0005-0000-0000-00003F690000}"/>
    <cellStyle name="Currency 2 3 2 2 3 2" xfId="27376" xr:uid="{00000000-0005-0000-0000-000040690000}"/>
    <cellStyle name="Currency 2 3 2 2 3 2 2" xfId="27377" xr:uid="{00000000-0005-0000-0000-000041690000}"/>
    <cellStyle name="Currency 2 3 2 2 3 2 2 2" xfId="27378" xr:uid="{00000000-0005-0000-0000-000042690000}"/>
    <cellStyle name="Currency 2 3 2 2 3 2 2 3" xfId="27379" xr:uid="{00000000-0005-0000-0000-000043690000}"/>
    <cellStyle name="Currency 2 3 2 2 3 2 3" xfId="27380" xr:uid="{00000000-0005-0000-0000-000044690000}"/>
    <cellStyle name="Currency 2 3 2 2 3 2 4" xfId="27381" xr:uid="{00000000-0005-0000-0000-000045690000}"/>
    <cellStyle name="Currency 2 3 2 2 3 2 5" xfId="27382" xr:uid="{00000000-0005-0000-0000-000046690000}"/>
    <cellStyle name="Currency 2 3 2 2 3 2 6" xfId="27383" xr:uid="{00000000-0005-0000-0000-000047690000}"/>
    <cellStyle name="Currency 2 3 2 2 3 3" xfId="27384" xr:uid="{00000000-0005-0000-0000-000048690000}"/>
    <cellStyle name="Currency 2 3 2 2 3 3 2" xfId="27385" xr:uid="{00000000-0005-0000-0000-000049690000}"/>
    <cellStyle name="Currency 2 3 2 2 3 3 3" xfId="27386" xr:uid="{00000000-0005-0000-0000-00004A690000}"/>
    <cellStyle name="Currency 2 3 2 2 3 4" xfId="27387" xr:uid="{00000000-0005-0000-0000-00004B690000}"/>
    <cellStyle name="Currency 2 3 2 2 3 5" xfId="27388" xr:uid="{00000000-0005-0000-0000-00004C690000}"/>
    <cellStyle name="Currency 2 3 2 2 3 6" xfId="27389" xr:uid="{00000000-0005-0000-0000-00004D690000}"/>
    <cellStyle name="Currency 2 3 2 2 3 7" xfId="27390" xr:uid="{00000000-0005-0000-0000-00004E690000}"/>
    <cellStyle name="Currency 2 3 2 2 4" xfId="27391" xr:uid="{00000000-0005-0000-0000-00004F690000}"/>
    <cellStyle name="Currency 2 3 2 2 4 2" xfId="27392" xr:uid="{00000000-0005-0000-0000-000050690000}"/>
    <cellStyle name="Currency 2 3 2 2 4 2 2" xfId="27393" xr:uid="{00000000-0005-0000-0000-000051690000}"/>
    <cellStyle name="Currency 2 3 2 2 4 2 3" xfId="27394" xr:uid="{00000000-0005-0000-0000-000052690000}"/>
    <cellStyle name="Currency 2 3 2 2 4 3" xfId="27395" xr:uid="{00000000-0005-0000-0000-000053690000}"/>
    <cellStyle name="Currency 2 3 2 2 4 4" xfId="27396" xr:uid="{00000000-0005-0000-0000-000054690000}"/>
    <cellStyle name="Currency 2 3 2 2 4 5" xfId="27397" xr:uid="{00000000-0005-0000-0000-000055690000}"/>
    <cellStyle name="Currency 2 3 2 2 4 6" xfId="27398" xr:uid="{00000000-0005-0000-0000-000056690000}"/>
    <cellStyle name="Currency 2 3 2 2 5" xfId="27399" xr:uid="{00000000-0005-0000-0000-000057690000}"/>
    <cellStyle name="Currency 2 3 2 2 5 2" xfId="27400" xr:uid="{00000000-0005-0000-0000-000058690000}"/>
    <cellStyle name="Currency 2 3 2 2 5 2 2" xfId="27401" xr:uid="{00000000-0005-0000-0000-000059690000}"/>
    <cellStyle name="Currency 2 3 2 2 5 2 3" xfId="27402" xr:uid="{00000000-0005-0000-0000-00005A690000}"/>
    <cellStyle name="Currency 2 3 2 2 5 3" xfId="27403" xr:uid="{00000000-0005-0000-0000-00005B690000}"/>
    <cellStyle name="Currency 2 3 2 2 5 4" xfId="27404" xr:uid="{00000000-0005-0000-0000-00005C690000}"/>
    <cellStyle name="Currency 2 3 2 2 5 5" xfId="27405" xr:uid="{00000000-0005-0000-0000-00005D690000}"/>
    <cellStyle name="Currency 2 3 2 2 5 6" xfId="27406" xr:uid="{00000000-0005-0000-0000-00005E690000}"/>
    <cellStyle name="Currency 2 3 2 2 6" xfId="27407" xr:uid="{00000000-0005-0000-0000-00005F690000}"/>
    <cellStyle name="Currency 2 3 2 2 6 2" xfId="27408" xr:uid="{00000000-0005-0000-0000-000060690000}"/>
    <cellStyle name="Currency 2 3 2 2 6 3" xfId="27409" xr:uid="{00000000-0005-0000-0000-000061690000}"/>
    <cellStyle name="Currency 2 3 2 2 7" xfId="27410" xr:uid="{00000000-0005-0000-0000-000062690000}"/>
    <cellStyle name="Currency 2 3 2 2 8" xfId="27411" xr:uid="{00000000-0005-0000-0000-000063690000}"/>
    <cellStyle name="Currency 2 3 2 2 9" xfId="27412" xr:uid="{00000000-0005-0000-0000-000064690000}"/>
    <cellStyle name="Currency 2 3 2 3" xfId="27413" xr:uid="{00000000-0005-0000-0000-000065690000}"/>
    <cellStyle name="Currency 2 3 2 3 2" xfId="27414" xr:uid="{00000000-0005-0000-0000-000066690000}"/>
    <cellStyle name="Currency 2 3 2 3 2 2" xfId="27415" xr:uid="{00000000-0005-0000-0000-000067690000}"/>
    <cellStyle name="Currency 2 3 2 3 2 2 2" xfId="27416" xr:uid="{00000000-0005-0000-0000-000068690000}"/>
    <cellStyle name="Currency 2 3 2 3 2 2 2 2" xfId="27417" xr:uid="{00000000-0005-0000-0000-000069690000}"/>
    <cellStyle name="Currency 2 3 2 3 2 2 2 3" xfId="27418" xr:uid="{00000000-0005-0000-0000-00006A690000}"/>
    <cellStyle name="Currency 2 3 2 3 2 2 3" xfId="27419" xr:uid="{00000000-0005-0000-0000-00006B690000}"/>
    <cellStyle name="Currency 2 3 2 3 2 2 4" xfId="27420" xr:uid="{00000000-0005-0000-0000-00006C690000}"/>
    <cellStyle name="Currency 2 3 2 3 2 2 5" xfId="27421" xr:uid="{00000000-0005-0000-0000-00006D690000}"/>
    <cellStyle name="Currency 2 3 2 3 2 2 6" xfId="27422" xr:uid="{00000000-0005-0000-0000-00006E690000}"/>
    <cellStyle name="Currency 2 3 2 3 2 3" xfId="27423" xr:uid="{00000000-0005-0000-0000-00006F690000}"/>
    <cellStyle name="Currency 2 3 2 3 2 3 2" xfId="27424" xr:uid="{00000000-0005-0000-0000-000070690000}"/>
    <cellStyle name="Currency 2 3 2 3 2 3 3" xfId="27425" xr:uid="{00000000-0005-0000-0000-000071690000}"/>
    <cellStyle name="Currency 2 3 2 3 2 4" xfId="27426" xr:uid="{00000000-0005-0000-0000-000072690000}"/>
    <cellStyle name="Currency 2 3 2 3 2 5" xfId="27427" xr:uid="{00000000-0005-0000-0000-000073690000}"/>
    <cellStyle name="Currency 2 3 2 3 2 6" xfId="27428" xr:uid="{00000000-0005-0000-0000-000074690000}"/>
    <cellStyle name="Currency 2 3 2 3 2 7" xfId="27429" xr:uid="{00000000-0005-0000-0000-000075690000}"/>
    <cellStyle name="Currency 2 3 2 3 3" xfId="27430" xr:uid="{00000000-0005-0000-0000-000076690000}"/>
    <cellStyle name="Currency 2 3 2 3 3 2" xfId="27431" xr:uid="{00000000-0005-0000-0000-000077690000}"/>
    <cellStyle name="Currency 2 3 2 3 3 2 2" xfId="27432" xr:uid="{00000000-0005-0000-0000-000078690000}"/>
    <cellStyle name="Currency 2 3 2 3 3 2 3" xfId="27433" xr:uid="{00000000-0005-0000-0000-000079690000}"/>
    <cellStyle name="Currency 2 3 2 3 3 3" xfId="27434" xr:uid="{00000000-0005-0000-0000-00007A690000}"/>
    <cellStyle name="Currency 2 3 2 3 3 4" xfId="27435" xr:uid="{00000000-0005-0000-0000-00007B690000}"/>
    <cellStyle name="Currency 2 3 2 3 3 5" xfId="27436" xr:uid="{00000000-0005-0000-0000-00007C690000}"/>
    <cellStyle name="Currency 2 3 2 3 3 6" xfId="27437" xr:uid="{00000000-0005-0000-0000-00007D690000}"/>
    <cellStyle name="Currency 2 3 2 3 4" xfId="27438" xr:uid="{00000000-0005-0000-0000-00007E690000}"/>
    <cellStyle name="Currency 2 3 2 3 4 2" xfId="27439" xr:uid="{00000000-0005-0000-0000-00007F690000}"/>
    <cellStyle name="Currency 2 3 2 3 4 2 2" xfId="27440" xr:uid="{00000000-0005-0000-0000-000080690000}"/>
    <cellStyle name="Currency 2 3 2 3 4 2 3" xfId="27441" xr:uid="{00000000-0005-0000-0000-000081690000}"/>
    <cellStyle name="Currency 2 3 2 3 4 3" xfId="27442" xr:uid="{00000000-0005-0000-0000-000082690000}"/>
    <cellStyle name="Currency 2 3 2 3 4 4" xfId="27443" xr:uid="{00000000-0005-0000-0000-000083690000}"/>
    <cellStyle name="Currency 2 3 2 3 4 5" xfId="27444" xr:uid="{00000000-0005-0000-0000-000084690000}"/>
    <cellStyle name="Currency 2 3 2 3 4 6" xfId="27445" xr:uid="{00000000-0005-0000-0000-000085690000}"/>
    <cellStyle name="Currency 2 3 2 3 5" xfId="27446" xr:uid="{00000000-0005-0000-0000-000086690000}"/>
    <cellStyle name="Currency 2 3 2 3 5 2" xfId="27447" xr:uid="{00000000-0005-0000-0000-000087690000}"/>
    <cellStyle name="Currency 2 3 2 3 5 3" xfId="27448" xr:uid="{00000000-0005-0000-0000-000088690000}"/>
    <cellStyle name="Currency 2 3 2 3 6" xfId="27449" xr:uid="{00000000-0005-0000-0000-000089690000}"/>
    <cellStyle name="Currency 2 3 2 3 7" xfId="27450" xr:uid="{00000000-0005-0000-0000-00008A690000}"/>
    <cellStyle name="Currency 2 3 2 3 8" xfId="27451" xr:uid="{00000000-0005-0000-0000-00008B690000}"/>
    <cellStyle name="Currency 2 3 2 3 9" xfId="27452" xr:uid="{00000000-0005-0000-0000-00008C690000}"/>
    <cellStyle name="Currency 2 3 2 4" xfId="27453" xr:uid="{00000000-0005-0000-0000-00008D690000}"/>
    <cellStyle name="Currency 2 3 2 4 2" xfId="27454" xr:uid="{00000000-0005-0000-0000-00008E690000}"/>
    <cellStyle name="Currency 2 3 2 4 2 2" xfId="27455" xr:uid="{00000000-0005-0000-0000-00008F690000}"/>
    <cellStyle name="Currency 2 3 2 4 2 2 2" xfId="27456" xr:uid="{00000000-0005-0000-0000-000090690000}"/>
    <cellStyle name="Currency 2 3 2 4 2 2 3" xfId="27457" xr:uid="{00000000-0005-0000-0000-000091690000}"/>
    <cellStyle name="Currency 2 3 2 4 2 3" xfId="27458" xr:uid="{00000000-0005-0000-0000-000092690000}"/>
    <cellStyle name="Currency 2 3 2 4 2 4" xfId="27459" xr:uid="{00000000-0005-0000-0000-000093690000}"/>
    <cellStyle name="Currency 2 3 2 4 2 5" xfId="27460" xr:uid="{00000000-0005-0000-0000-000094690000}"/>
    <cellStyle name="Currency 2 3 2 4 2 6" xfId="27461" xr:uid="{00000000-0005-0000-0000-000095690000}"/>
    <cellStyle name="Currency 2 3 2 4 3" xfId="27462" xr:uid="{00000000-0005-0000-0000-000096690000}"/>
    <cellStyle name="Currency 2 3 2 4 3 2" xfId="27463" xr:uid="{00000000-0005-0000-0000-000097690000}"/>
    <cellStyle name="Currency 2 3 2 4 3 3" xfId="27464" xr:uid="{00000000-0005-0000-0000-000098690000}"/>
    <cellStyle name="Currency 2 3 2 4 4" xfId="27465" xr:uid="{00000000-0005-0000-0000-000099690000}"/>
    <cellStyle name="Currency 2 3 2 4 5" xfId="27466" xr:uid="{00000000-0005-0000-0000-00009A690000}"/>
    <cellStyle name="Currency 2 3 2 4 6" xfId="27467" xr:uid="{00000000-0005-0000-0000-00009B690000}"/>
    <cellStyle name="Currency 2 3 2 4 7" xfId="27468" xr:uid="{00000000-0005-0000-0000-00009C690000}"/>
    <cellStyle name="Currency 2 3 2 5" xfId="27469" xr:uid="{00000000-0005-0000-0000-00009D690000}"/>
    <cellStyle name="Currency 2 3 2 5 2" xfId="27470" xr:uid="{00000000-0005-0000-0000-00009E690000}"/>
    <cellStyle name="Currency 2 3 2 5 2 2" xfId="27471" xr:uid="{00000000-0005-0000-0000-00009F690000}"/>
    <cellStyle name="Currency 2 3 2 5 2 3" xfId="27472" xr:uid="{00000000-0005-0000-0000-0000A0690000}"/>
    <cellStyle name="Currency 2 3 2 5 3" xfId="27473" xr:uid="{00000000-0005-0000-0000-0000A1690000}"/>
    <cellStyle name="Currency 2 3 2 5 4" xfId="27474" xr:uid="{00000000-0005-0000-0000-0000A2690000}"/>
    <cellStyle name="Currency 2 3 2 5 5" xfId="27475" xr:uid="{00000000-0005-0000-0000-0000A3690000}"/>
    <cellStyle name="Currency 2 3 2 5 6" xfId="27476" xr:uid="{00000000-0005-0000-0000-0000A4690000}"/>
    <cellStyle name="Currency 2 3 2 6" xfId="27477" xr:uid="{00000000-0005-0000-0000-0000A5690000}"/>
    <cellStyle name="Currency 2 3 2 6 2" xfId="27478" xr:uid="{00000000-0005-0000-0000-0000A6690000}"/>
    <cellStyle name="Currency 2 3 2 6 2 2" xfId="27479" xr:uid="{00000000-0005-0000-0000-0000A7690000}"/>
    <cellStyle name="Currency 2 3 2 6 2 3" xfId="27480" xr:uid="{00000000-0005-0000-0000-0000A8690000}"/>
    <cellStyle name="Currency 2 3 2 6 3" xfId="27481" xr:uid="{00000000-0005-0000-0000-0000A9690000}"/>
    <cellStyle name="Currency 2 3 2 6 4" xfId="27482" xr:uid="{00000000-0005-0000-0000-0000AA690000}"/>
    <cellStyle name="Currency 2 3 2 6 5" xfId="27483" xr:uid="{00000000-0005-0000-0000-0000AB690000}"/>
    <cellStyle name="Currency 2 3 2 6 6" xfId="27484" xr:uid="{00000000-0005-0000-0000-0000AC690000}"/>
    <cellStyle name="Currency 2 3 2 7" xfId="27485" xr:uid="{00000000-0005-0000-0000-0000AD690000}"/>
    <cellStyle name="Currency 2 3 2 7 2" xfId="27486" xr:uid="{00000000-0005-0000-0000-0000AE690000}"/>
    <cellStyle name="Currency 2 3 2 7 2 2" xfId="27487" xr:uid="{00000000-0005-0000-0000-0000AF690000}"/>
    <cellStyle name="Currency 2 3 2 7 2 3" xfId="27488" xr:uid="{00000000-0005-0000-0000-0000B0690000}"/>
    <cellStyle name="Currency 2 3 2 7 3" xfId="27489" xr:uid="{00000000-0005-0000-0000-0000B1690000}"/>
    <cellStyle name="Currency 2 3 2 7 4" xfId="27490" xr:uid="{00000000-0005-0000-0000-0000B2690000}"/>
    <cellStyle name="Currency 2 3 2 7 5" xfId="27491" xr:uid="{00000000-0005-0000-0000-0000B3690000}"/>
    <cellStyle name="Currency 2 3 2 7 6" xfId="27492" xr:uid="{00000000-0005-0000-0000-0000B4690000}"/>
    <cellStyle name="Currency 2 3 2 8" xfId="27493" xr:uid="{00000000-0005-0000-0000-0000B5690000}"/>
    <cellStyle name="Currency 2 3 2 8 2" xfId="27494" xr:uid="{00000000-0005-0000-0000-0000B6690000}"/>
    <cellStyle name="Currency 2 3 2 8 2 2" xfId="27495" xr:uid="{00000000-0005-0000-0000-0000B7690000}"/>
    <cellStyle name="Currency 2 3 2 8 2 3" xfId="27496" xr:uid="{00000000-0005-0000-0000-0000B8690000}"/>
    <cellStyle name="Currency 2 3 2 8 3" xfId="27497" xr:uid="{00000000-0005-0000-0000-0000B9690000}"/>
    <cellStyle name="Currency 2 3 2 8 4" xfId="27498" xr:uid="{00000000-0005-0000-0000-0000BA690000}"/>
    <cellStyle name="Currency 2 3 2 8 5" xfId="27499" xr:uid="{00000000-0005-0000-0000-0000BB690000}"/>
    <cellStyle name="Currency 2 3 2 8 6" xfId="27500" xr:uid="{00000000-0005-0000-0000-0000BC690000}"/>
    <cellStyle name="Currency 2 3 2 9" xfId="27501" xr:uid="{00000000-0005-0000-0000-0000BD690000}"/>
    <cellStyle name="Currency 2 3 2 9 2" xfId="27502" xr:uid="{00000000-0005-0000-0000-0000BE690000}"/>
    <cellStyle name="Currency 2 3 2 9 3" xfId="27503" xr:uid="{00000000-0005-0000-0000-0000BF690000}"/>
    <cellStyle name="Currency 2 3 3" xfId="27504" xr:uid="{00000000-0005-0000-0000-0000C0690000}"/>
    <cellStyle name="Currency 2 3 3 10" xfId="27505" xr:uid="{00000000-0005-0000-0000-0000C1690000}"/>
    <cellStyle name="Currency 2 3 3 2" xfId="27506" xr:uid="{00000000-0005-0000-0000-0000C2690000}"/>
    <cellStyle name="Currency 2 3 3 2 2" xfId="27507" xr:uid="{00000000-0005-0000-0000-0000C3690000}"/>
    <cellStyle name="Currency 2 3 3 2 2 2" xfId="27508" xr:uid="{00000000-0005-0000-0000-0000C4690000}"/>
    <cellStyle name="Currency 2 3 3 2 2 2 2" xfId="27509" xr:uid="{00000000-0005-0000-0000-0000C5690000}"/>
    <cellStyle name="Currency 2 3 3 2 2 2 3" xfId="27510" xr:uid="{00000000-0005-0000-0000-0000C6690000}"/>
    <cellStyle name="Currency 2 3 3 2 2 3" xfId="27511" xr:uid="{00000000-0005-0000-0000-0000C7690000}"/>
    <cellStyle name="Currency 2 3 3 2 2 4" xfId="27512" xr:uid="{00000000-0005-0000-0000-0000C8690000}"/>
    <cellStyle name="Currency 2 3 3 2 2 5" xfId="27513" xr:uid="{00000000-0005-0000-0000-0000C9690000}"/>
    <cellStyle name="Currency 2 3 3 2 2 6" xfId="27514" xr:uid="{00000000-0005-0000-0000-0000CA690000}"/>
    <cellStyle name="Currency 2 3 3 2 3" xfId="27515" xr:uid="{00000000-0005-0000-0000-0000CB690000}"/>
    <cellStyle name="Currency 2 3 3 2 3 2" xfId="27516" xr:uid="{00000000-0005-0000-0000-0000CC690000}"/>
    <cellStyle name="Currency 2 3 3 2 3 2 2" xfId="27517" xr:uid="{00000000-0005-0000-0000-0000CD690000}"/>
    <cellStyle name="Currency 2 3 3 2 3 2 3" xfId="27518" xr:uid="{00000000-0005-0000-0000-0000CE690000}"/>
    <cellStyle name="Currency 2 3 3 2 3 3" xfId="27519" xr:uid="{00000000-0005-0000-0000-0000CF690000}"/>
    <cellStyle name="Currency 2 3 3 2 3 4" xfId="27520" xr:uid="{00000000-0005-0000-0000-0000D0690000}"/>
    <cellStyle name="Currency 2 3 3 2 3 5" xfId="27521" xr:uid="{00000000-0005-0000-0000-0000D1690000}"/>
    <cellStyle name="Currency 2 3 3 2 3 6" xfId="27522" xr:uid="{00000000-0005-0000-0000-0000D2690000}"/>
    <cellStyle name="Currency 2 3 3 2 4" xfId="27523" xr:uid="{00000000-0005-0000-0000-0000D3690000}"/>
    <cellStyle name="Currency 2 3 3 2 4 2" xfId="27524" xr:uid="{00000000-0005-0000-0000-0000D4690000}"/>
    <cellStyle name="Currency 2 3 3 2 4 3" xfId="27525" xr:uid="{00000000-0005-0000-0000-0000D5690000}"/>
    <cellStyle name="Currency 2 3 3 2 5" xfId="27526" xr:uid="{00000000-0005-0000-0000-0000D6690000}"/>
    <cellStyle name="Currency 2 3 3 2 6" xfId="27527" xr:uid="{00000000-0005-0000-0000-0000D7690000}"/>
    <cellStyle name="Currency 2 3 3 2 7" xfId="27528" xr:uid="{00000000-0005-0000-0000-0000D8690000}"/>
    <cellStyle name="Currency 2 3 3 2 8" xfId="27529" xr:uid="{00000000-0005-0000-0000-0000D9690000}"/>
    <cellStyle name="Currency 2 3 3 3" xfId="27530" xr:uid="{00000000-0005-0000-0000-0000DA690000}"/>
    <cellStyle name="Currency 2 3 3 3 2" xfId="27531" xr:uid="{00000000-0005-0000-0000-0000DB690000}"/>
    <cellStyle name="Currency 2 3 3 3 2 2" xfId="27532" xr:uid="{00000000-0005-0000-0000-0000DC690000}"/>
    <cellStyle name="Currency 2 3 3 3 2 2 2" xfId="27533" xr:uid="{00000000-0005-0000-0000-0000DD690000}"/>
    <cellStyle name="Currency 2 3 3 3 2 2 3" xfId="27534" xr:uid="{00000000-0005-0000-0000-0000DE690000}"/>
    <cellStyle name="Currency 2 3 3 3 2 3" xfId="27535" xr:uid="{00000000-0005-0000-0000-0000DF690000}"/>
    <cellStyle name="Currency 2 3 3 3 2 4" xfId="27536" xr:uid="{00000000-0005-0000-0000-0000E0690000}"/>
    <cellStyle name="Currency 2 3 3 3 2 5" xfId="27537" xr:uid="{00000000-0005-0000-0000-0000E1690000}"/>
    <cellStyle name="Currency 2 3 3 3 2 6" xfId="27538" xr:uid="{00000000-0005-0000-0000-0000E2690000}"/>
    <cellStyle name="Currency 2 3 3 3 3" xfId="27539" xr:uid="{00000000-0005-0000-0000-0000E3690000}"/>
    <cellStyle name="Currency 2 3 3 3 3 2" xfId="27540" xr:uid="{00000000-0005-0000-0000-0000E4690000}"/>
    <cellStyle name="Currency 2 3 3 3 3 3" xfId="27541" xr:uid="{00000000-0005-0000-0000-0000E5690000}"/>
    <cellStyle name="Currency 2 3 3 3 4" xfId="27542" xr:uid="{00000000-0005-0000-0000-0000E6690000}"/>
    <cellStyle name="Currency 2 3 3 3 5" xfId="27543" xr:uid="{00000000-0005-0000-0000-0000E7690000}"/>
    <cellStyle name="Currency 2 3 3 3 6" xfId="27544" xr:uid="{00000000-0005-0000-0000-0000E8690000}"/>
    <cellStyle name="Currency 2 3 3 3 7" xfId="27545" xr:uid="{00000000-0005-0000-0000-0000E9690000}"/>
    <cellStyle name="Currency 2 3 3 4" xfId="27546" xr:uid="{00000000-0005-0000-0000-0000EA690000}"/>
    <cellStyle name="Currency 2 3 3 4 2" xfId="27547" xr:uid="{00000000-0005-0000-0000-0000EB690000}"/>
    <cellStyle name="Currency 2 3 3 4 2 2" xfId="27548" xr:uid="{00000000-0005-0000-0000-0000EC690000}"/>
    <cellStyle name="Currency 2 3 3 4 2 3" xfId="27549" xr:uid="{00000000-0005-0000-0000-0000ED690000}"/>
    <cellStyle name="Currency 2 3 3 4 3" xfId="27550" xr:uid="{00000000-0005-0000-0000-0000EE690000}"/>
    <cellStyle name="Currency 2 3 3 4 4" xfId="27551" xr:uid="{00000000-0005-0000-0000-0000EF690000}"/>
    <cellStyle name="Currency 2 3 3 4 5" xfId="27552" xr:uid="{00000000-0005-0000-0000-0000F0690000}"/>
    <cellStyle name="Currency 2 3 3 4 6" xfId="27553" xr:uid="{00000000-0005-0000-0000-0000F1690000}"/>
    <cellStyle name="Currency 2 3 3 5" xfId="27554" xr:uid="{00000000-0005-0000-0000-0000F2690000}"/>
    <cellStyle name="Currency 2 3 3 5 2" xfId="27555" xr:uid="{00000000-0005-0000-0000-0000F3690000}"/>
    <cellStyle name="Currency 2 3 3 5 2 2" xfId="27556" xr:uid="{00000000-0005-0000-0000-0000F4690000}"/>
    <cellStyle name="Currency 2 3 3 5 2 3" xfId="27557" xr:uid="{00000000-0005-0000-0000-0000F5690000}"/>
    <cellStyle name="Currency 2 3 3 5 3" xfId="27558" xr:uid="{00000000-0005-0000-0000-0000F6690000}"/>
    <cellStyle name="Currency 2 3 3 5 4" xfId="27559" xr:uid="{00000000-0005-0000-0000-0000F7690000}"/>
    <cellStyle name="Currency 2 3 3 5 5" xfId="27560" xr:uid="{00000000-0005-0000-0000-0000F8690000}"/>
    <cellStyle name="Currency 2 3 3 5 6" xfId="27561" xr:uid="{00000000-0005-0000-0000-0000F9690000}"/>
    <cellStyle name="Currency 2 3 3 6" xfId="27562" xr:uid="{00000000-0005-0000-0000-0000FA690000}"/>
    <cellStyle name="Currency 2 3 3 6 2" xfId="27563" xr:uid="{00000000-0005-0000-0000-0000FB690000}"/>
    <cellStyle name="Currency 2 3 3 6 3" xfId="27564" xr:uid="{00000000-0005-0000-0000-0000FC690000}"/>
    <cellStyle name="Currency 2 3 3 7" xfId="27565" xr:uid="{00000000-0005-0000-0000-0000FD690000}"/>
    <cellStyle name="Currency 2 3 3 8" xfId="27566" xr:uid="{00000000-0005-0000-0000-0000FE690000}"/>
    <cellStyle name="Currency 2 3 3 9" xfId="27567" xr:uid="{00000000-0005-0000-0000-0000FF690000}"/>
    <cellStyle name="Currency 2 3 4" xfId="27568" xr:uid="{00000000-0005-0000-0000-0000006A0000}"/>
    <cellStyle name="Currency 2 3 4 2" xfId="27569" xr:uid="{00000000-0005-0000-0000-0000016A0000}"/>
    <cellStyle name="Currency 2 3 4 2 2" xfId="27570" xr:uid="{00000000-0005-0000-0000-0000026A0000}"/>
    <cellStyle name="Currency 2 3 4 2 2 2" xfId="27571" xr:uid="{00000000-0005-0000-0000-0000036A0000}"/>
    <cellStyle name="Currency 2 3 4 2 2 2 2" xfId="27572" xr:uid="{00000000-0005-0000-0000-0000046A0000}"/>
    <cellStyle name="Currency 2 3 4 2 2 2 3" xfId="27573" xr:uid="{00000000-0005-0000-0000-0000056A0000}"/>
    <cellStyle name="Currency 2 3 4 2 2 3" xfId="27574" xr:uid="{00000000-0005-0000-0000-0000066A0000}"/>
    <cellStyle name="Currency 2 3 4 2 2 4" xfId="27575" xr:uid="{00000000-0005-0000-0000-0000076A0000}"/>
    <cellStyle name="Currency 2 3 4 2 2 5" xfId="27576" xr:uid="{00000000-0005-0000-0000-0000086A0000}"/>
    <cellStyle name="Currency 2 3 4 2 2 6" xfId="27577" xr:uid="{00000000-0005-0000-0000-0000096A0000}"/>
    <cellStyle name="Currency 2 3 4 2 3" xfId="27578" xr:uid="{00000000-0005-0000-0000-00000A6A0000}"/>
    <cellStyle name="Currency 2 3 4 2 3 2" xfId="27579" xr:uid="{00000000-0005-0000-0000-00000B6A0000}"/>
    <cellStyle name="Currency 2 3 4 2 3 3" xfId="27580" xr:uid="{00000000-0005-0000-0000-00000C6A0000}"/>
    <cellStyle name="Currency 2 3 4 2 4" xfId="27581" xr:uid="{00000000-0005-0000-0000-00000D6A0000}"/>
    <cellStyle name="Currency 2 3 4 2 5" xfId="27582" xr:uid="{00000000-0005-0000-0000-00000E6A0000}"/>
    <cellStyle name="Currency 2 3 4 2 6" xfId="27583" xr:uid="{00000000-0005-0000-0000-00000F6A0000}"/>
    <cellStyle name="Currency 2 3 4 2 7" xfId="27584" xr:uid="{00000000-0005-0000-0000-0000106A0000}"/>
    <cellStyle name="Currency 2 3 4 3" xfId="27585" xr:uid="{00000000-0005-0000-0000-0000116A0000}"/>
    <cellStyle name="Currency 2 3 4 3 2" xfId="27586" xr:uid="{00000000-0005-0000-0000-0000126A0000}"/>
    <cellStyle name="Currency 2 3 4 3 2 2" xfId="27587" xr:uid="{00000000-0005-0000-0000-0000136A0000}"/>
    <cellStyle name="Currency 2 3 4 3 2 3" xfId="27588" xr:uid="{00000000-0005-0000-0000-0000146A0000}"/>
    <cellStyle name="Currency 2 3 4 3 3" xfId="27589" xr:uid="{00000000-0005-0000-0000-0000156A0000}"/>
    <cellStyle name="Currency 2 3 4 3 4" xfId="27590" xr:uid="{00000000-0005-0000-0000-0000166A0000}"/>
    <cellStyle name="Currency 2 3 4 3 5" xfId="27591" xr:uid="{00000000-0005-0000-0000-0000176A0000}"/>
    <cellStyle name="Currency 2 3 4 3 6" xfId="27592" xr:uid="{00000000-0005-0000-0000-0000186A0000}"/>
    <cellStyle name="Currency 2 3 4 4" xfId="27593" xr:uid="{00000000-0005-0000-0000-0000196A0000}"/>
    <cellStyle name="Currency 2 3 4 4 2" xfId="27594" xr:uid="{00000000-0005-0000-0000-00001A6A0000}"/>
    <cellStyle name="Currency 2 3 4 4 2 2" xfId="27595" xr:uid="{00000000-0005-0000-0000-00001B6A0000}"/>
    <cellStyle name="Currency 2 3 4 4 2 3" xfId="27596" xr:uid="{00000000-0005-0000-0000-00001C6A0000}"/>
    <cellStyle name="Currency 2 3 4 4 3" xfId="27597" xr:uid="{00000000-0005-0000-0000-00001D6A0000}"/>
    <cellStyle name="Currency 2 3 4 4 4" xfId="27598" xr:uid="{00000000-0005-0000-0000-00001E6A0000}"/>
    <cellStyle name="Currency 2 3 4 4 5" xfId="27599" xr:uid="{00000000-0005-0000-0000-00001F6A0000}"/>
    <cellStyle name="Currency 2 3 4 4 6" xfId="27600" xr:uid="{00000000-0005-0000-0000-0000206A0000}"/>
    <cellStyle name="Currency 2 3 4 5" xfId="27601" xr:uid="{00000000-0005-0000-0000-0000216A0000}"/>
    <cellStyle name="Currency 2 3 4 5 2" xfId="27602" xr:uid="{00000000-0005-0000-0000-0000226A0000}"/>
    <cellStyle name="Currency 2 3 4 5 3" xfId="27603" xr:uid="{00000000-0005-0000-0000-0000236A0000}"/>
    <cellStyle name="Currency 2 3 4 6" xfId="27604" xr:uid="{00000000-0005-0000-0000-0000246A0000}"/>
    <cellStyle name="Currency 2 3 4 7" xfId="27605" xr:uid="{00000000-0005-0000-0000-0000256A0000}"/>
    <cellStyle name="Currency 2 3 4 8" xfId="27606" xr:uid="{00000000-0005-0000-0000-0000266A0000}"/>
    <cellStyle name="Currency 2 3 4 9" xfId="27607" xr:uid="{00000000-0005-0000-0000-0000276A0000}"/>
    <cellStyle name="Currency 2 3 5" xfId="27608" xr:uid="{00000000-0005-0000-0000-0000286A0000}"/>
    <cellStyle name="Currency 2 3 5 2" xfId="27609" xr:uid="{00000000-0005-0000-0000-0000296A0000}"/>
    <cellStyle name="Currency 2 3 5 2 2" xfId="27610" xr:uid="{00000000-0005-0000-0000-00002A6A0000}"/>
    <cellStyle name="Currency 2 3 5 2 2 2" xfId="27611" xr:uid="{00000000-0005-0000-0000-00002B6A0000}"/>
    <cellStyle name="Currency 2 3 5 2 2 3" xfId="27612" xr:uid="{00000000-0005-0000-0000-00002C6A0000}"/>
    <cellStyle name="Currency 2 3 5 2 3" xfId="27613" xr:uid="{00000000-0005-0000-0000-00002D6A0000}"/>
    <cellStyle name="Currency 2 3 5 2 4" xfId="27614" xr:uid="{00000000-0005-0000-0000-00002E6A0000}"/>
    <cellStyle name="Currency 2 3 5 2 5" xfId="27615" xr:uid="{00000000-0005-0000-0000-00002F6A0000}"/>
    <cellStyle name="Currency 2 3 5 2 6" xfId="27616" xr:uid="{00000000-0005-0000-0000-0000306A0000}"/>
    <cellStyle name="Currency 2 3 5 3" xfId="27617" xr:uid="{00000000-0005-0000-0000-0000316A0000}"/>
    <cellStyle name="Currency 2 3 5 3 2" xfId="27618" xr:uid="{00000000-0005-0000-0000-0000326A0000}"/>
    <cellStyle name="Currency 2 3 5 3 3" xfId="27619" xr:uid="{00000000-0005-0000-0000-0000336A0000}"/>
    <cellStyle name="Currency 2 3 5 4" xfId="27620" xr:uid="{00000000-0005-0000-0000-0000346A0000}"/>
    <cellStyle name="Currency 2 3 5 5" xfId="27621" xr:uid="{00000000-0005-0000-0000-0000356A0000}"/>
    <cellStyle name="Currency 2 3 5 6" xfId="27622" xr:uid="{00000000-0005-0000-0000-0000366A0000}"/>
    <cellStyle name="Currency 2 3 5 7" xfId="27623" xr:uid="{00000000-0005-0000-0000-0000376A0000}"/>
    <cellStyle name="Currency 2 3 6" xfId="27624" xr:uid="{00000000-0005-0000-0000-0000386A0000}"/>
    <cellStyle name="Currency 2 3 6 2" xfId="27625" xr:uid="{00000000-0005-0000-0000-0000396A0000}"/>
    <cellStyle name="Currency 2 3 6 2 2" xfId="27626" xr:uid="{00000000-0005-0000-0000-00003A6A0000}"/>
    <cellStyle name="Currency 2 3 6 2 3" xfId="27627" xr:uid="{00000000-0005-0000-0000-00003B6A0000}"/>
    <cellStyle name="Currency 2 3 6 3" xfId="27628" xr:uid="{00000000-0005-0000-0000-00003C6A0000}"/>
    <cellStyle name="Currency 2 3 6 4" xfId="27629" xr:uid="{00000000-0005-0000-0000-00003D6A0000}"/>
    <cellStyle name="Currency 2 3 6 5" xfId="27630" xr:uid="{00000000-0005-0000-0000-00003E6A0000}"/>
    <cellStyle name="Currency 2 3 6 6" xfId="27631" xr:uid="{00000000-0005-0000-0000-00003F6A0000}"/>
    <cellStyle name="Currency 2 3 7" xfId="27632" xr:uid="{00000000-0005-0000-0000-0000406A0000}"/>
    <cellStyle name="Currency 2 3 7 2" xfId="27633" xr:uid="{00000000-0005-0000-0000-0000416A0000}"/>
    <cellStyle name="Currency 2 3 7 2 2" xfId="27634" xr:uid="{00000000-0005-0000-0000-0000426A0000}"/>
    <cellStyle name="Currency 2 3 7 2 3" xfId="27635" xr:uid="{00000000-0005-0000-0000-0000436A0000}"/>
    <cellStyle name="Currency 2 3 7 3" xfId="27636" xr:uid="{00000000-0005-0000-0000-0000446A0000}"/>
    <cellStyle name="Currency 2 3 7 4" xfId="27637" xr:uid="{00000000-0005-0000-0000-0000456A0000}"/>
    <cellStyle name="Currency 2 3 7 5" xfId="27638" xr:uid="{00000000-0005-0000-0000-0000466A0000}"/>
    <cellStyle name="Currency 2 3 7 6" xfId="27639" xr:uid="{00000000-0005-0000-0000-0000476A0000}"/>
    <cellStyle name="Currency 2 3 8" xfId="27640" xr:uid="{00000000-0005-0000-0000-0000486A0000}"/>
    <cellStyle name="Currency 2 3 8 2" xfId="27641" xr:uid="{00000000-0005-0000-0000-0000496A0000}"/>
    <cellStyle name="Currency 2 3 8 2 2" xfId="27642" xr:uid="{00000000-0005-0000-0000-00004A6A0000}"/>
    <cellStyle name="Currency 2 3 8 2 3" xfId="27643" xr:uid="{00000000-0005-0000-0000-00004B6A0000}"/>
    <cellStyle name="Currency 2 3 8 3" xfId="27644" xr:uid="{00000000-0005-0000-0000-00004C6A0000}"/>
    <cellStyle name="Currency 2 3 8 4" xfId="27645" xr:uid="{00000000-0005-0000-0000-00004D6A0000}"/>
    <cellStyle name="Currency 2 3 8 5" xfId="27646" xr:uid="{00000000-0005-0000-0000-00004E6A0000}"/>
    <cellStyle name="Currency 2 3 8 6" xfId="27647" xr:uid="{00000000-0005-0000-0000-00004F6A0000}"/>
    <cellStyle name="Currency 2 3 9" xfId="27648" xr:uid="{00000000-0005-0000-0000-0000506A0000}"/>
    <cellStyle name="Currency 2 3 9 2" xfId="27649" xr:uid="{00000000-0005-0000-0000-0000516A0000}"/>
    <cellStyle name="Currency 2 3 9 2 2" xfId="27650" xr:uid="{00000000-0005-0000-0000-0000526A0000}"/>
    <cellStyle name="Currency 2 3 9 2 3" xfId="27651" xr:uid="{00000000-0005-0000-0000-0000536A0000}"/>
    <cellStyle name="Currency 2 3 9 3" xfId="27652" xr:uid="{00000000-0005-0000-0000-0000546A0000}"/>
    <cellStyle name="Currency 2 3 9 4" xfId="27653" xr:uid="{00000000-0005-0000-0000-0000556A0000}"/>
    <cellStyle name="Currency 2 3 9 5" xfId="27654" xr:uid="{00000000-0005-0000-0000-0000566A0000}"/>
    <cellStyle name="Currency 2 3 9 6" xfId="27655" xr:uid="{00000000-0005-0000-0000-0000576A0000}"/>
    <cellStyle name="Currency 2 4" xfId="27656" xr:uid="{00000000-0005-0000-0000-0000586A0000}"/>
    <cellStyle name="Currency 2 4 10" xfId="27657" xr:uid="{00000000-0005-0000-0000-0000596A0000}"/>
    <cellStyle name="Currency 2 4 10 2" xfId="27658" xr:uid="{00000000-0005-0000-0000-00005A6A0000}"/>
    <cellStyle name="Currency 2 4 10 3" xfId="27659" xr:uid="{00000000-0005-0000-0000-00005B6A0000}"/>
    <cellStyle name="Currency 2 4 11" xfId="27660" xr:uid="{00000000-0005-0000-0000-00005C6A0000}"/>
    <cellStyle name="Currency 2 4 12" xfId="27661" xr:uid="{00000000-0005-0000-0000-00005D6A0000}"/>
    <cellStyle name="Currency 2 4 13" xfId="27662" xr:uid="{00000000-0005-0000-0000-00005E6A0000}"/>
    <cellStyle name="Currency 2 4 14" xfId="27663" xr:uid="{00000000-0005-0000-0000-00005F6A0000}"/>
    <cellStyle name="Currency 2 4 2" xfId="27664" xr:uid="{00000000-0005-0000-0000-0000606A0000}"/>
    <cellStyle name="Currency 2 4 2 10" xfId="27665" xr:uid="{00000000-0005-0000-0000-0000616A0000}"/>
    <cellStyle name="Currency 2 4 2 11" xfId="27666" xr:uid="{00000000-0005-0000-0000-0000626A0000}"/>
    <cellStyle name="Currency 2 4 2 12" xfId="27667" xr:uid="{00000000-0005-0000-0000-0000636A0000}"/>
    <cellStyle name="Currency 2 4 2 13" xfId="27668" xr:uid="{00000000-0005-0000-0000-0000646A0000}"/>
    <cellStyle name="Currency 2 4 2 2" xfId="27669" xr:uid="{00000000-0005-0000-0000-0000656A0000}"/>
    <cellStyle name="Currency 2 4 2 2 10" xfId="27670" xr:uid="{00000000-0005-0000-0000-0000666A0000}"/>
    <cellStyle name="Currency 2 4 2 2 2" xfId="27671" xr:uid="{00000000-0005-0000-0000-0000676A0000}"/>
    <cellStyle name="Currency 2 4 2 2 2 2" xfId="27672" xr:uid="{00000000-0005-0000-0000-0000686A0000}"/>
    <cellStyle name="Currency 2 4 2 2 2 2 2" xfId="27673" xr:uid="{00000000-0005-0000-0000-0000696A0000}"/>
    <cellStyle name="Currency 2 4 2 2 2 2 2 2" xfId="27674" xr:uid="{00000000-0005-0000-0000-00006A6A0000}"/>
    <cellStyle name="Currency 2 4 2 2 2 2 2 3" xfId="27675" xr:uid="{00000000-0005-0000-0000-00006B6A0000}"/>
    <cellStyle name="Currency 2 4 2 2 2 2 3" xfId="27676" xr:uid="{00000000-0005-0000-0000-00006C6A0000}"/>
    <cellStyle name="Currency 2 4 2 2 2 2 4" xfId="27677" xr:uid="{00000000-0005-0000-0000-00006D6A0000}"/>
    <cellStyle name="Currency 2 4 2 2 2 2 5" xfId="27678" xr:uid="{00000000-0005-0000-0000-00006E6A0000}"/>
    <cellStyle name="Currency 2 4 2 2 2 2 6" xfId="27679" xr:uid="{00000000-0005-0000-0000-00006F6A0000}"/>
    <cellStyle name="Currency 2 4 2 2 2 3" xfId="27680" xr:uid="{00000000-0005-0000-0000-0000706A0000}"/>
    <cellStyle name="Currency 2 4 2 2 2 3 2" xfId="27681" xr:uid="{00000000-0005-0000-0000-0000716A0000}"/>
    <cellStyle name="Currency 2 4 2 2 2 3 2 2" xfId="27682" xr:uid="{00000000-0005-0000-0000-0000726A0000}"/>
    <cellStyle name="Currency 2 4 2 2 2 3 2 3" xfId="27683" xr:uid="{00000000-0005-0000-0000-0000736A0000}"/>
    <cellStyle name="Currency 2 4 2 2 2 3 3" xfId="27684" xr:uid="{00000000-0005-0000-0000-0000746A0000}"/>
    <cellStyle name="Currency 2 4 2 2 2 3 4" xfId="27685" xr:uid="{00000000-0005-0000-0000-0000756A0000}"/>
    <cellStyle name="Currency 2 4 2 2 2 3 5" xfId="27686" xr:uid="{00000000-0005-0000-0000-0000766A0000}"/>
    <cellStyle name="Currency 2 4 2 2 2 3 6" xfId="27687" xr:uid="{00000000-0005-0000-0000-0000776A0000}"/>
    <cellStyle name="Currency 2 4 2 2 2 4" xfId="27688" xr:uid="{00000000-0005-0000-0000-0000786A0000}"/>
    <cellStyle name="Currency 2 4 2 2 2 4 2" xfId="27689" xr:uid="{00000000-0005-0000-0000-0000796A0000}"/>
    <cellStyle name="Currency 2 4 2 2 2 4 3" xfId="27690" xr:uid="{00000000-0005-0000-0000-00007A6A0000}"/>
    <cellStyle name="Currency 2 4 2 2 2 5" xfId="27691" xr:uid="{00000000-0005-0000-0000-00007B6A0000}"/>
    <cellStyle name="Currency 2 4 2 2 2 6" xfId="27692" xr:uid="{00000000-0005-0000-0000-00007C6A0000}"/>
    <cellStyle name="Currency 2 4 2 2 2 7" xfId="27693" xr:uid="{00000000-0005-0000-0000-00007D6A0000}"/>
    <cellStyle name="Currency 2 4 2 2 2 8" xfId="27694" xr:uid="{00000000-0005-0000-0000-00007E6A0000}"/>
    <cellStyle name="Currency 2 4 2 2 3" xfId="27695" xr:uid="{00000000-0005-0000-0000-00007F6A0000}"/>
    <cellStyle name="Currency 2 4 2 2 3 2" xfId="27696" xr:uid="{00000000-0005-0000-0000-0000806A0000}"/>
    <cellStyle name="Currency 2 4 2 2 3 2 2" xfId="27697" xr:uid="{00000000-0005-0000-0000-0000816A0000}"/>
    <cellStyle name="Currency 2 4 2 2 3 2 2 2" xfId="27698" xr:uid="{00000000-0005-0000-0000-0000826A0000}"/>
    <cellStyle name="Currency 2 4 2 2 3 2 2 3" xfId="27699" xr:uid="{00000000-0005-0000-0000-0000836A0000}"/>
    <cellStyle name="Currency 2 4 2 2 3 2 3" xfId="27700" xr:uid="{00000000-0005-0000-0000-0000846A0000}"/>
    <cellStyle name="Currency 2 4 2 2 3 2 4" xfId="27701" xr:uid="{00000000-0005-0000-0000-0000856A0000}"/>
    <cellStyle name="Currency 2 4 2 2 3 2 5" xfId="27702" xr:uid="{00000000-0005-0000-0000-0000866A0000}"/>
    <cellStyle name="Currency 2 4 2 2 3 2 6" xfId="27703" xr:uid="{00000000-0005-0000-0000-0000876A0000}"/>
    <cellStyle name="Currency 2 4 2 2 3 3" xfId="27704" xr:uid="{00000000-0005-0000-0000-0000886A0000}"/>
    <cellStyle name="Currency 2 4 2 2 3 3 2" xfId="27705" xr:uid="{00000000-0005-0000-0000-0000896A0000}"/>
    <cellStyle name="Currency 2 4 2 2 3 3 3" xfId="27706" xr:uid="{00000000-0005-0000-0000-00008A6A0000}"/>
    <cellStyle name="Currency 2 4 2 2 3 4" xfId="27707" xr:uid="{00000000-0005-0000-0000-00008B6A0000}"/>
    <cellStyle name="Currency 2 4 2 2 3 5" xfId="27708" xr:uid="{00000000-0005-0000-0000-00008C6A0000}"/>
    <cellStyle name="Currency 2 4 2 2 3 6" xfId="27709" xr:uid="{00000000-0005-0000-0000-00008D6A0000}"/>
    <cellStyle name="Currency 2 4 2 2 3 7" xfId="27710" xr:uid="{00000000-0005-0000-0000-00008E6A0000}"/>
    <cellStyle name="Currency 2 4 2 2 4" xfId="27711" xr:uid="{00000000-0005-0000-0000-00008F6A0000}"/>
    <cellStyle name="Currency 2 4 2 2 4 2" xfId="27712" xr:uid="{00000000-0005-0000-0000-0000906A0000}"/>
    <cellStyle name="Currency 2 4 2 2 4 2 2" xfId="27713" xr:uid="{00000000-0005-0000-0000-0000916A0000}"/>
    <cellStyle name="Currency 2 4 2 2 4 2 3" xfId="27714" xr:uid="{00000000-0005-0000-0000-0000926A0000}"/>
    <cellStyle name="Currency 2 4 2 2 4 3" xfId="27715" xr:uid="{00000000-0005-0000-0000-0000936A0000}"/>
    <cellStyle name="Currency 2 4 2 2 4 4" xfId="27716" xr:uid="{00000000-0005-0000-0000-0000946A0000}"/>
    <cellStyle name="Currency 2 4 2 2 4 5" xfId="27717" xr:uid="{00000000-0005-0000-0000-0000956A0000}"/>
    <cellStyle name="Currency 2 4 2 2 4 6" xfId="27718" xr:uid="{00000000-0005-0000-0000-0000966A0000}"/>
    <cellStyle name="Currency 2 4 2 2 5" xfId="27719" xr:uid="{00000000-0005-0000-0000-0000976A0000}"/>
    <cellStyle name="Currency 2 4 2 2 5 2" xfId="27720" xr:uid="{00000000-0005-0000-0000-0000986A0000}"/>
    <cellStyle name="Currency 2 4 2 2 5 2 2" xfId="27721" xr:uid="{00000000-0005-0000-0000-0000996A0000}"/>
    <cellStyle name="Currency 2 4 2 2 5 2 3" xfId="27722" xr:uid="{00000000-0005-0000-0000-00009A6A0000}"/>
    <cellStyle name="Currency 2 4 2 2 5 3" xfId="27723" xr:uid="{00000000-0005-0000-0000-00009B6A0000}"/>
    <cellStyle name="Currency 2 4 2 2 5 4" xfId="27724" xr:uid="{00000000-0005-0000-0000-00009C6A0000}"/>
    <cellStyle name="Currency 2 4 2 2 5 5" xfId="27725" xr:uid="{00000000-0005-0000-0000-00009D6A0000}"/>
    <cellStyle name="Currency 2 4 2 2 5 6" xfId="27726" xr:uid="{00000000-0005-0000-0000-00009E6A0000}"/>
    <cellStyle name="Currency 2 4 2 2 6" xfId="27727" xr:uid="{00000000-0005-0000-0000-00009F6A0000}"/>
    <cellStyle name="Currency 2 4 2 2 6 2" xfId="27728" xr:uid="{00000000-0005-0000-0000-0000A06A0000}"/>
    <cellStyle name="Currency 2 4 2 2 6 3" xfId="27729" xr:uid="{00000000-0005-0000-0000-0000A16A0000}"/>
    <cellStyle name="Currency 2 4 2 2 7" xfId="27730" xr:uid="{00000000-0005-0000-0000-0000A26A0000}"/>
    <cellStyle name="Currency 2 4 2 2 8" xfId="27731" xr:uid="{00000000-0005-0000-0000-0000A36A0000}"/>
    <cellStyle name="Currency 2 4 2 2 9" xfId="27732" xr:uid="{00000000-0005-0000-0000-0000A46A0000}"/>
    <cellStyle name="Currency 2 4 2 3" xfId="27733" xr:uid="{00000000-0005-0000-0000-0000A56A0000}"/>
    <cellStyle name="Currency 2 4 2 3 2" xfId="27734" xr:uid="{00000000-0005-0000-0000-0000A66A0000}"/>
    <cellStyle name="Currency 2 4 2 3 2 2" xfId="27735" xr:uid="{00000000-0005-0000-0000-0000A76A0000}"/>
    <cellStyle name="Currency 2 4 2 3 2 2 2" xfId="27736" xr:uid="{00000000-0005-0000-0000-0000A86A0000}"/>
    <cellStyle name="Currency 2 4 2 3 2 2 2 2" xfId="27737" xr:uid="{00000000-0005-0000-0000-0000A96A0000}"/>
    <cellStyle name="Currency 2 4 2 3 2 2 2 3" xfId="27738" xr:uid="{00000000-0005-0000-0000-0000AA6A0000}"/>
    <cellStyle name="Currency 2 4 2 3 2 2 3" xfId="27739" xr:uid="{00000000-0005-0000-0000-0000AB6A0000}"/>
    <cellStyle name="Currency 2 4 2 3 2 2 4" xfId="27740" xr:uid="{00000000-0005-0000-0000-0000AC6A0000}"/>
    <cellStyle name="Currency 2 4 2 3 2 2 5" xfId="27741" xr:uid="{00000000-0005-0000-0000-0000AD6A0000}"/>
    <cellStyle name="Currency 2 4 2 3 2 2 6" xfId="27742" xr:uid="{00000000-0005-0000-0000-0000AE6A0000}"/>
    <cellStyle name="Currency 2 4 2 3 2 3" xfId="27743" xr:uid="{00000000-0005-0000-0000-0000AF6A0000}"/>
    <cellStyle name="Currency 2 4 2 3 2 3 2" xfId="27744" xr:uid="{00000000-0005-0000-0000-0000B06A0000}"/>
    <cellStyle name="Currency 2 4 2 3 2 3 3" xfId="27745" xr:uid="{00000000-0005-0000-0000-0000B16A0000}"/>
    <cellStyle name="Currency 2 4 2 3 2 4" xfId="27746" xr:uid="{00000000-0005-0000-0000-0000B26A0000}"/>
    <cellStyle name="Currency 2 4 2 3 2 5" xfId="27747" xr:uid="{00000000-0005-0000-0000-0000B36A0000}"/>
    <cellStyle name="Currency 2 4 2 3 2 6" xfId="27748" xr:uid="{00000000-0005-0000-0000-0000B46A0000}"/>
    <cellStyle name="Currency 2 4 2 3 2 7" xfId="27749" xr:uid="{00000000-0005-0000-0000-0000B56A0000}"/>
    <cellStyle name="Currency 2 4 2 3 3" xfId="27750" xr:uid="{00000000-0005-0000-0000-0000B66A0000}"/>
    <cellStyle name="Currency 2 4 2 3 3 2" xfId="27751" xr:uid="{00000000-0005-0000-0000-0000B76A0000}"/>
    <cellStyle name="Currency 2 4 2 3 3 2 2" xfId="27752" xr:uid="{00000000-0005-0000-0000-0000B86A0000}"/>
    <cellStyle name="Currency 2 4 2 3 3 2 3" xfId="27753" xr:uid="{00000000-0005-0000-0000-0000B96A0000}"/>
    <cellStyle name="Currency 2 4 2 3 3 3" xfId="27754" xr:uid="{00000000-0005-0000-0000-0000BA6A0000}"/>
    <cellStyle name="Currency 2 4 2 3 3 4" xfId="27755" xr:uid="{00000000-0005-0000-0000-0000BB6A0000}"/>
    <cellStyle name="Currency 2 4 2 3 3 5" xfId="27756" xr:uid="{00000000-0005-0000-0000-0000BC6A0000}"/>
    <cellStyle name="Currency 2 4 2 3 3 6" xfId="27757" xr:uid="{00000000-0005-0000-0000-0000BD6A0000}"/>
    <cellStyle name="Currency 2 4 2 3 4" xfId="27758" xr:uid="{00000000-0005-0000-0000-0000BE6A0000}"/>
    <cellStyle name="Currency 2 4 2 3 4 2" xfId="27759" xr:uid="{00000000-0005-0000-0000-0000BF6A0000}"/>
    <cellStyle name="Currency 2 4 2 3 4 2 2" xfId="27760" xr:uid="{00000000-0005-0000-0000-0000C06A0000}"/>
    <cellStyle name="Currency 2 4 2 3 4 2 3" xfId="27761" xr:uid="{00000000-0005-0000-0000-0000C16A0000}"/>
    <cellStyle name="Currency 2 4 2 3 4 3" xfId="27762" xr:uid="{00000000-0005-0000-0000-0000C26A0000}"/>
    <cellStyle name="Currency 2 4 2 3 4 4" xfId="27763" xr:uid="{00000000-0005-0000-0000-0000C36A0000}"/>
    <cellStyle name="Currency 2 4 2 3 4 5" xfId="27764" xr:uid="{00000000-0005-0000-0000-0000C46A0000}"/>
    <cellStyle name="Currency 2 4 2 3 4 6" xfId="27765" xr:uid="{00000000-0005-0000-0000-0000C56A0000}"/>
    <cellStyle name="Currency 2 4 2 3 5" xfId="27766" xr:uid="{00000000-0005-0000-0000-0000C66A0000}"/>
    <cellStyle name="Currency 2 4 2 3 5 2" xfId="27767" xr:uid="{00000000-0005-0000-0000-0000C76A0000}"/>
    <cellStyle name="Currency 2 4 2 3 5 3" xfId="27768" xr:uid="{00000000-0005-0000-0000-0000C86A0000}"/>
    <cellStyle name="Currency 2 4 2 3 6" xfId="27769" xr:uid="{00000000-0005-0000-0000-0000C96A0000}"/>
    <cellStyle name="Currency 2 4 2 3 7" xfId="27770" xr:uid="{00000000-0005-0000-0000-0000CA6A0000}"/>
    <cellStyle name="Currency 2 4 2 3 8" xfId="27771" xr:uid="{00000000-0005-0000-0000-0000CB6A0000}"/>
    <cellStyle name="Currency 2 4 2 3 9" xfId="27772" xr:uid="{00000000-0005-0000-0000-0000CC6A0000}"/>
    <cellStyle name="Currency 2 4 2 4" xfId="27773" xr:uid="{00000000-0005-0000-0000-0000CD6A0000}"/>
    <cellStyle name="Currency 2 4 2 4 2" xfId="27774" xr:uid="{00000000-0005-0000-0000-0000CE6A0000}"/>
    <cellStyle name="Currency 2 4 2 4 2 2" xfId="27775" xr:uid="{00000000-0005-0000-0000-0000CF6A0000}"/>
    <cellStyle name="Currency 2 4 2 4 2 2 2" xfId="27776" xr:uid="{00000000-0005-0000-0000-0000D06A0000}"/>
    <cellStyle name="Currency 2 4 2 4 2 2 3" xfId="27777" xr:uid="{00000000-0005-0000-0000-0000D16A0000}"/>
    <cellStyle name="Currency 2 4 2 4 2 3" xfId="27778" xr:uid="{00000000-0005-0000-0000-0000D26A0000}"/>
    <cellStyle name="Currency 2 4 2 4 2 4" xfId="27779" xr:uid="{00000000-0005-0000-0000-0000D36A0000}"/>
    <cellStyle name="Currency 2 4 2 4 2 5" xfId="27780" xr:uid="{00000000-0005-0000-0000-0000D46A0000}"/>
    <cellStyle name="Currency 2 4 2 4 2 6" xfId="27781" xr:uid="{00000000-0005-0000-0000-0000D56A0000}"/>
    <cellStyle name="Currency 2 4 2 4 3" xfId="27782" xr:uid="{00000000-0005-0000-0000-0000D66A0000}"/>
    <cellStyle name="Currency 2 4 2 4 3 2" xfId="27783" xr:uid="{00000000-0005-0000-0000-0000D76A0000}"/>
    <cellStyle name="Currency 2 4 2 4 3 3" xfId="27784" xr:uid="{00000000-0005-0000-0000-0000D86A0000}"/>
    <cellStyle name="Currency 2 4 2 4 4" xfId="27785" xr:uid="{00000000-0005-0000-0000-0000D96A0000}"/>
    <cellStyle name="Currency 2 4 2 4 5" xfId="27786" xr:uid="{00000000-0005-0000-0000-0000DA6A0000}"/>
    <cellStyle name="Currency 2 4 2 4 6" xfId="27787" xr:uid="{00000000-0005-0000-0000-0000DB6A0000}"/>
    <cellStyle name="Currency 2 4 2 4 7" xfId="27788" xr:uid="{00000000-0005-0000-0000-0000DC6A0000}"/>
    <cellStyle name="Currency 2 4 2 5" xfId="27789" xr:uid="{00000000-0005-0000-0000-0000DD6A0000}"/>
    <cellStyle name="Currency 2 4 2 5 2" xfId="27790" xr:uid="{00000000-0005-0000-0000-0000DE6A0000}"/>
    <cellStyle name="Currency 2 4 2 5 2 2" xfId="27791" xr:uid="{00000000-0005-0000-0000-0000DF6A0000}"/>
    <cellStyle name="Currency 2 4 2 5 2 3" xfId="27792" xr:uid="{00000000-0005-0000-0000-0000E06A0000}"/>
    <cellStyle name="Currency 2 4 2 5 3" xfId="27793" xr:uid="{00000000-0005-0000-0000-0000E16A0000}"/>
    <cellStyle name="Currency 2 4 2 5 4" xfId="27794" xr:uid="{00000000-0005-0000-0000-0000E26A0000}"/>
    <cellStyle name="Currency 2 4 2 5 5" xfId="27795" xr:uid="{00000000-0005-0000-0000-0000E36A0000}"/>
    <cellStyle name="Currency 2 4 2 5 6" xfId="27796" xr:uid="{00000000-0005-0000-0000-0000E46A0000}"/>
    <cellStyle name="Currency 2 4 2 6" xfId="27797" xr:uid="{00000000-0005-0000-0000-0000E56A0000}"/>
    <cellStyle name="Currency 2 4 2 6 2" xfId="27798" xr:uid="{00000000-0005-0000-0000-0000E66A0000}"/>
    <cellStyle name="Currency 2 4 2 6 2 2" xfId="27799" xr:uid="{00000000-0005-0000-0000-0000E76A0000}"/>
    <cellStyle name="Currency 2 4 2 6 2 3" xfId="27800" xr:uid="{00000000-0005-0000-0000-0000E86A0000}"/>
    <cellStyle name="Currency 2 4 2 6 3" xfId="27801" xr:uid="{00000000-0005-0000-0000-0000E96A0000}"/>
    <cellStyle name="Currency 2 4 2 6 4" xfId="27802" xr:uid="{00000000-0005-0000-0000-0000EA6A0000}"/>
    <cellStyle name="Currency 2 4 2 6 5" xfId="27803" xr:uid="{00000000-0005-0000-0000-0000EB6A0000}"/>
    <cellStyle name="Currency 2 4 2 6 6" xfId="27804" xr:uid="{00000000-0005-0000-0000-0000EC6A0000}"/>
    <cellStyle name="Currency 2 4 2 7" xfId="27805" xr:uid="{00000000-0005-0000-0000-0000ED6A0000}"/>
    <cellStyle name="Currency 2 4 2 7 2" xfId="27806" xr:uid="{00000000-0005-0000-0000-0000EE6A0000}"/>
    <cellStyle name="Currency 2 4 2 7 2 2" xfId="27807" xr:uid="{00000000-0005-0000-0000-0000EF6A0000}"/>
    <cellStyle name="Currency 2 4 2 7 2 3" xfId="27808" xr:uid="{00000000-0005-0000-0000-0000F06A0000}"/>
    <cellStyle name="Currency 2 4 2 7 3" xfId="27809" xr:uid="{00000000-0005-0000-0000-0000F16A0000}"/>
    <cellStyle name="Currency 2 4 2 7 4" xfId="27810" xr:uid="{00000000-0005-0000-0000-0000F26A0000}"/>
    <cellStyle name="Currency 2 4 2 7 5" xfId="27811" xr:uid="{00000000-0005-0000-0000-0000F36A0000}"/>
    <cellStyle name="Currency 2 4 2 7 6" xfId="27812" xr:uid="{00000000-0005-0000-0000-0000F46A0000}"/>
    <cellStyle name="Currency 2 4 2 8" xfId="27813" xr:uid="{00000000-0005-0000-0000-0000F56A0000}"/>
    <cellStyle name="Currency 2 4 2 8 2" xfId="27814" xr:uid="{00000000-0005-0000-0000-0000F66A0000}"/>
    <cellStyle name="Currency 2 4 2 8 2 2" xfId="27815" xr:uid="{00000000-0005-0000-0000-0000F76A0000}"/>
    <cellStyle name="Currency 2 4 2 8 2 3" xfId="27816" xr:uid="{00000000-0005-0000-0000-0000F86A0000}"/>
    <cellStyle name="Currency 2 4 2 8 3" xfId="27817" xr:uid="{00000000-0005-0000-0000-0000F96A0000}"/>
    <cellStyle name="Currency 2 4 2 8 4" xfId="27818" xr:uid="{00000000-0005-0000-0000-0000FA6A0000}"/>
    <cellStyle name="Currency 2 4 2 8 5" xfId="27819" xr:uid="{00000000-0005-0000-0000-0000FB6A0000}"/>
    <cellStyle name="Currency 2 4 2 8 6" xfId="27820" xr:uid="{00000000-0005-0000-0000-0000FC6A0000}"/>
    <cellStyle name="Currency 2 4 2 9" xfId="27821" xr:uid="{00000000-0005-0000-0000-0000FD6A0000}"/>
    <cellStyle name="Currency 2 4 2 9 2" xfId="27822" xr:uid="{00000000-0005-0000-0000-0000FE6A0000}"/>
    <cellStyle name="Currency 2 4 2 9 3" xfId="27823" xr:uid="{00000000-0005-0000-0000-0000FF6A0000}"/>
    <cellStyle name="Currency 2 4 3" xfId="27824" xr:uid="{00000000-0005-0000-0000-0000006B0000}"/>
    <cellStyle name="Currency 2 4 3 10" xfId="27825" xr:uid="{00000000-0005-0000-0000-0000016B0000}"/>
    <cellStyle name="Currency 2 4 3 2" xfId="27826" xr:uid="{00000000-0005-0000-0000-0000026B0000}"/>
    <cellStyle name="Currency 2 4 3 2 2" xfId="27827" xr:uid="{00000000-0005-0000-0000-0000036B0000}"/>
    <cellStyle name="Currency 2 4 3 2 2 2" xfId="27828" xr:uid="{00000000-0005-0000-0000-0000046B0000}"/>
    <cellStyle name="Currency 2 4 3 2 2 2 2" xfId="27829" xr:uid="{00000000-0005-0000-0000-0000056B0000}"/>
    <cellStyle name="Currency 2 4 3 2 2 2 3" xfId="27830" xr:uid="{00000000-0005-0000-0000-0000066B0000}"/>
    <cellStyle name="Currency 2 4 3 2 2 3" xfId="27831" xr:uid="{00000000-0005-0000-0000-0000076B0000}"/>
    <cellStyle name="Currency 2 4 3 2 2 4" xfId="27832" xr:uid="{00000000-0005-0000-0000-0000086B0000}"/>
    <cellStyle name="Currency 2 4 3 2 2 5" xfId="27833" xr:uid="{00000000-0005-0000-0000-0000096B0000}"/>
    <cellStyle name="Currency 2 4 3 2 2 6" xfId="27834" xr:uid="{00000000-0005-0000-0000-00000A6B0000}"/>
    <cellStyle name="Currency 2 4 3 2 3" xfId="27835" xr:uid="{00000000-0005-0000-0000-00000B6B0000}"/>
    <cellStyle name="Currency 2 4 3 2 3 2" xfId="27836" xr:uid="{00000000-0005-0000-0000-00000C6B0000}"/>
    <cellStyle name="Currency 2 4 3 2 3 2 2" xfId="27837" xr:uid="{00000000-0005-0000-0000-00000D6B0000}"/>
    <cellStyle name="Currency 2 4 3 2 3 2 3" xfId="27838" xr:uid="{00000000-0005-0000-0000-00000E6B0000}"/>
    <cellStyle name="Currency 2 4 3 2 3 3" xfId="27839" xr:uid="{00000000-0005-0000-0000-00000F6B0000}"/>
    <cellStyle name="Currency 2 4 3 2 3 4" xfId="27840" xr:uid="{00000000-0005-0000-0000-0000106B0000}"/>
    <cellStyle name="Currency 2 4 3 2 3 5" xfId="27841" xr:uid="{00000000-0005-0000-0000-0000116B0000}"/>
    <cellStyle name="Currency 2 4 3 2 3 6" xfId="27842" xr:uid="{00000000-0005-0000-0000-0000126B0000}"/>
    <cellStyle name="Currency 2 4 3 2 4" xfId="27843" xr:uid="{00000000-0005-0000-0000-0000136B0000}"/>
    <cellStyle name="Currency 2 4 3 2 4 2" xfId="27844" xr:uid="{00000000-0005-0000-0000-0000146B0000}"/>
    <cellStyle name="Currency 2 4 3 2 4 3" xfId="27845" xr:uid="{00000000-0005-0000-0000-0000156B0000}"/>
    <cellStyle name="Currency 2 4 3 2 5" xfId="27846" xr:uid="{00000000-0005-0000-0000-0000166B0000}"/>
    <cellStyle name="Currency 2 4 3 2 6" xfId="27847" xr:uid="{00000000-0005-0000-0000-0000176B0000}"/>
    <cellStyle name="Currency 2 4 3 2 7" xfId="27848" xr:uid="{00000000-0005-0000-0000-0000186B0000}"/>
    <cellStyle name="Currency 2 4 3 2 8" xfId="27849" xr:uid="{00000000-0005-0000-0000-0000196B0000}"/>
    <cellStyle name="Currency 2 4 3 3" xfId="27850" xr:uid="{00000000-0005-0000-0000-00001A6B0000}"/>
    <cellStyle name="Currency 2 4 3 3 2" xfId="27851" xr:uid="{00000000-0005-0000-0000-00001B6B0000}"/>
    <cellStyle name="Currency 2 4 3 3 2 2" xfId="27852" xr:uid="{00000000-0005-0000-0000-00001C6B0000}"/>
    <cellStyle name="Currency 2 4 3 3 2 2 2" xfId="27853" xr:uid="{00000000-0005-0000-0000-00001D6B0000}"/>
    <cellStyle name="Currency 2 4 3 3 2 2 3" xfId="27854" xr:uid="{00000000-0005-0000-0000-00001E6B0000}"/>
    <cellStyle name="Currency 2 4 3 3 2 3" xfId="27855" xr:uid="{00000000-0005-0000-0000-00001F6B0000}"/>
    <cellStyle name="Currency 2 4 3 3 2 4" xfId="27856" xr:uid="{00000000-0005-0000-0000-0000206B0000}"/>
    <cellStyle name="Currency 2 4 3 3 2 5" xfId="27857" xr:uid="{00000000-0005-0000-0000-0000216B0000}"/>
    <cellStyle name="Currency 2 4 3 3 2 6" xfId="27858" xr:uid="{00000000-0005-0000-0000-0000226B0000}"/>
    <cellStyle name="Currency 2 4 3 3 3" xfId="27859" xr:uid="{00000000-0005-0000-0000-0000236B0000}"/>
    <cellStyle name="Currency 2 4 3 3 3 2" xfId="27860" xr:uid="{00000000-0005-0000-0000-0000246B0000}"/>
    <cellStyle name="Currency 2 4 3 3 3 3" xfId="27861" xr:uid="{00000000-0005-0000-0000-0000256B0000}"/>
    <cellStyle name="Currency 2 4 3 3 4" xfId="27862" xr:uid="{00000000-0005-0000-0000-0000266B0000}"/>
    <cellStyle name="Currency 2 4 3 3 5" xfId="27863" xr:uid="{00000000-0005-0000-0000-0000276B0000}"/>
    <cellStyle name="Currency 2 4 3 3 6" xfId="27864" xr:uid="{00000000-0005-0000-0000-0000286B0000}"/>
    <cellStyle name="Currency 2 4 3 3 7" xfId="27865" xr:uid="{00000000-0005-0000-0000-0000296B0000}"/>
    <cellStyle name="Currency 2 4 3 4" xfId="27866" xr:uid="{00000000-0005-0000-0000-00002A6B0000}"/>
    <cellStyle name="Currency 2 4 3 4 2" xfId="27867" xr:uid="{00000000-0005-0000-0000-00002B6B0000}"/>
    <cellStyle name="Currency 2 4 3 4 2 2" xfId="27868" xr:uid="{00000000-0005-0000-0000-00002C6B0000}"/>
    <cellStyle name="Currency 2 4 3 4 2 3" xfId="27869" xr:uid="{00000000-0005-0000-0000-00002D6B0000}"/>
    <cellStyle name="Currency 2 4 3 4 3" xfId="27870" xr:uid="{00000000-0005-0000-0000-00002E6B0000}"/>
    <cellStyle name="Currency 2 4 3 4 4" xfId="27871" xr:uid="{00000000-0005-0000-0000-00002F6B0000}"/>
    <cellStyle name="Currency 2 4 3 4 5" xfId="27872" xr:uid="{00000000-0005-0000-0000-0000306B0000}"/>
    <cellStyle name="Currency 2 4 3 4 6" xfId="27873" xr:uid="{00000000-0005-0000-0000-0000316B0000}"/>
    <cellStyle name="Currency 2 4 3 5" xfId="27874" xr:uid="{00000000-0005-0000-0000-0000326B0000}"/>
    <cellStyle name="Currency 2 4 3 5 2" xfId="27875" xr:uid="{00000000-0005-0000-0000-0000336B0000}"/>
    <cellStyle name="Currency 2 4 3 5 2 2" xfId="27876" xr:uid="{00000000-0005-0000-0000-0000346B0000}"/>
    <cellStyle name="Currency 2 4 3 5 2 3" xfId="27877" xr:uid="{00000000-0005-0000-0000-0000356B0000}"/>
    <cellStyle name="Currency 2 4 3 5 3" xfId="27878" xr:uid="{00000000-0005-0000-0000-0000366B0000}"/>
    <cellStyle name="Currency 2 4 3 5 4" xfId="27879" xr:uid="{00000000-0005-0000-0000-0000376B0000}"/>
    <cellStyle name="Currency 2 4 3 5 5" xfId="27880" xr:uid="{00000000-0005-0000-0000-0000386B0000}"/>
    <cellStyle name="Currency 2 4 3 5 6" xfId="27881" xr:uid="{00000000-0005-0000-0000-0000396B0000}"/>
    <cellStyle name="Currency 2 4 3 6" xfId="27882" xr:uid="{00000000-0005-0000-0000-00003A6B0000}"/>
    <cellStyle name="Currency 2 4 3 6 2" xfId="27883" xr:uid="{00000000-0005-0000-0000-00003B6B0000}"/>
    <cellStyle name="Currency 2 4 3 6 3" xfId="27884" xr:uid="{00000000-0005-0000-0000-00003C6B0000}"/>
    <cellStyle name="Currency 2 4 3 7" xfId="27885" xr:uid="{00000000-0005-0000-0000-00003D6B0000}"/>
    <cellStyle name="Currency 2 4 3 8" xfId="27886" xr:uid="{00000000-0005-0000-0000-00003E6B0000}"/>
    <cellStyle name="Currency 2 4 3 9" xfId="27887" xr:uid="{00000000-0005-0000-0000-00003F6B0000}"/>
    <cellStyle name="Currency 2 4 4" xfId="27888" xr:uid="{00000000-0005-0000-0000-0000406B0000}"/>
    <cellStyle name="Currency 2 4 4 2" xfId="27889" xr:uid="{00000000-0005-0000-0000-0000416B0000}"/>
    <cellStyle name="Currency 2 4 4 2 2" xfId="27890" xr:uid="{00000000-0005-0000-0000-0000426B0000}"/>
    <cellStyle name="Currency 2 4 4 2 2 2" xfId="27891" xr:uid="{00000000-0005-0000-0000-0000436B0000}"/>
    <cellStyle name="Currency 2 4 4 2 2 2 2" xfId="27892" xr:uid="{00000000-0005-0000-0000-0000446B0000}"/>
    <cellStyle name="Currency 2 4 4 2 2 2 3" xfId="27893" xr:uid="{00000000-0005-0000-0000-0000456B0000}"/>
    <cellStyle name="Currency 2 4 4 2 2 3" xfId="27894" xr:uid="{00000000-0005-0000-0000-0000466B0000}"/>
    <cellStyle name="Currency 2 4 4 2 2 4" xfId="27895" xr:uid="{00000000-0005-0000-0000-0000476B0000}"/>
    <cellStyle name="Currency 2 4 4 2 2 5" xfId="27896" xr:uid="{00000000-0005-0000-0000-0000486B0000}"/>
    <cellStyle name="Currency 2 4 4 2 2 6" xfId="27897" xr:uid="{00000000-0005-0000-0000-0000496B0000}"/>
    <cellStyle name="Currency 2 4 4 2 3" xfId="27898" xr:uid="{00000000-0005-0000-0000-00004A6B0000}"/>
    <cellStyle name="Currency 2 4 4 2 3 2" xfId="27899" xr:uid="{00000000-0005-0000-0000-00004B6B0000}"/>
    <cellStyle name="Currency 2 4 4 2 3 3" xfId="27900" xr:uid="{00000000-0005-0000-0000-00004C6B0000}"/>
    <cellStyle name="Currency 2 4 4 2 4" xfId="27901" xr:uid="{00000000-0005-0000-0000-00004D6B0000}"/>
    <cellStyle name="Currency 2 4 4 2 5" xfId="27902" xr:uid="{00000000-0005-0000-0000-00004E6B0000}"/>
    <cellStyle name="Currency 2 4 4 2 6" xfId="27903" xr:uid="{00000000-0005-0000-0000-00004F6B0000}"/>
    <cellStyle name="Currency 2 4 4 2 7" xfId="27904" xr:uid="{00000000-0005-0000-0000-0000506B0000}"/>
    <cellStyle name="Currency 2 4 4 3" xfId="27905" xr:uid="{00000000-0005-0000-0000-0000516B0000}"/>
    <cellStyle name="Currency 2 4 4 3 2" xfId="27906" xr:uid="{00000000-0005-0000-0000-0000526B0000}"/>
    <cellStyle name="Currency 2 4 4 3 2 2" xfId="27907" xr:uid="{00000000-0005-0000-0000-0000536B0000}"/>
    <cellStyle name="Currency 2 4 4 3 2 3" xfId="27908" xr:uid="{00000000-0005-0000-0000-0000546B0000}"/>
    <cellStyle name="Currency 2 4 4 3 3" xfId="27909" xr:uid="{00000000-0005-0000-0000-0000556B0000}"/>
    <cellStyle name="Currency 2 4 4 3 4" xfId="27910" xr:uid="{00000000-0005-0000-0000-0000566B0000}"/>
    <cellStyle name="Currency 2 4 4 3 5" xfId="27911" xr:uid="{00000000-0005-0000-0000-0000576B0000}"/>
    <cellStyle name="Currency 2 4 4 3 6" xfId="27912" xr:uid="{00000000-0005-0000-0000-0000586B0000}"/>
    <cellStyle name="Currency 2 4 4 4" xfId="27913" xr:uid="{00000000-0005-0000-0000-0000596B0000}"/>
    <cellStyle name="Currency 2 4 4 4 2" xfId="27914" xr:uid="{00000000-0005-0000-0000-00005A6B0000}"/>
    <cellStyle name="Currency 2 4 4 4 2 2" xfId="27915" xr:uid="{00000000-0005-0000-0000-00005B6B0000}"/>
    <cellStyle name="Currency 2 4 4 4 2 3" xfId="27916" xr:uid="{00000000-0005-0000-0000-00005C6B0000}"/>
    <cellStyle name="Currency 2 4 4 4 3" xfId="27917" xr:uid="{00000000-0005-0000-0000-00005D6B0000}"/>
    <cellStyle name="Currency 2 4 4 4 4" xfId="27918" xr:uid="{00000000-0005-0000-0000-00005E6B0000}"/>
    <cellStyle name="Currency 2 4 4 4 5" xfId="27919" xr:uid="{00000000-0005-0000-0000-00005F6B0000}"/>
    <cellStyle name="Currency 2 4 4 4 6" xfId="27920" xr:uid="{00000000-0005-0000-0000-0000606B0000}"/>
    <cellStyle name="Currency 2 4 4 5" xfId="27921" xr:uid="{00000000-0005-0000-0000-0000616B0000}"/>
    <cellStyle name="Currency 2 4 4 5 2" xfId="27922" xr:uid="{00000000-0005-0000-0000-0000626B0000}"/>
    <cellStyle name="Currency 2 4 4 5 3" xfId="27923" xr:uid="{00000000-0005-0000-0000-0000636B0000}"/>
    <cellStyle name="Currency 2 4 4 6" xfId="27924" xr:uid="{00000000-0005-0000-0000-0000646B0000}"/>
    <cellStyle name="Currency 2 4 4 7" xfId="27925" xr:uid="{00000000-0005-0000-0000-0000656B0000}"/>
    <cellStyle name="Currency 2 4 4 8" xfId="27926" xr:uid="{00000000-0005-0000-0000-0000666B0000}"/>
    <cellStyle name="Currency 2 4 4 9" xfId="27927" xr:uid="{00000000-0005-0000-0000-0000676B0000}"/>
    <cellStyle name="Currency 2 4 5" xfId="27928" xr:uid="{00000000-0005-0000-0000-0000686B0000}"/>
    <cellStyle name="Currency 2 4 5 2" xfId="27929" xr:uid="{00000000-0005-0000-0000-0000696B0000}"/>
    <cellStyle name="Currency 2 4 5 2 2" xfId="27930" xr:uid="{00000000-0005-0000-0000-00006A6B0000}"/>
    <cellStyle name="Currency 2 4 5 2 2 2" xfId="27931" xr:uid="{00000000-0005-0000-0000-00006B6B0000}"/>
    <cellStyle name="Currency 2 4 5 2 2 3" xfId="27932" xr:uid="{00000000-0005-0000-0000-00006C6B0000}"/>
    <cellStyle name="Currency 2 4 5 2 3" xfId="27933" xr:uid="{00000000-0005-0000-0000-00006D6B0000}"/>
    <cellStyle name="Currency 2 4 5 2 4" xfId="27934" xr:uid="{00000000-0005-0000-0000-00006E6B0000}"/>
    <cellStyle name="Currency 2 4 5 2 5" xfId="27935" xr:uid="{00000000-0005-0000-0000-00006F6B0000}"/>
    <cellStyle name="Currency 2 4 5 2 6" xfId="27936" xr:uid="{00000000-0005-0000-0000-0000706B0000}"/>
    <cellStyle name="Currency 2 4 5 3" xfId="27937" xr:uid="{00000000-0005-0000-0000-0000716B0000}"/>
    <cellStyle name="Currency 2 4 5 3 2" xfId="27938" xr:uid="{00000000-0005-0000-0000-0000726B0000}"/>
    <cellStyle name="Currency 2 4 5 3 3" xfId="27939" xr:uid="{00000000-0005-0000-0000-0000736B0000}"/>
    <cellStyle name="Currency 2 4 5 4" xfId="27940" xr:uid="{00000000-0005-0000-0000-0000746B0000}"/>
    <cellStyle name="Currency 2 4 5 5" xfId="27941" xr:uid="{00000000-0005-0000-0000-0000756B0000}"/>
    <cellStyle name="Currency 2 4 5 6" xfId="27942" xr:uid="{00000000-0005-0000-0000-0000766B0000}"/>
    <cellStyle name="Currency 2 4 5 7" xfId="27943" xr:uid="{00000000-0005-0000-0000-0000776B0000}"/>
    <cellStyle name="Currency 2 4 6" xfId="27944" xr:uid="{00000000-0005-0000-0000-0000786B0000}"/>
    <cellStyle name="Currency 2 4 6 2" xfId="27945" xr:uid="{00000000-0005-0000-0000-0000796B0000}"/>
    <cellStyle name="Currency 2 4 6 2 2" xfId="27946" xr:uid="{00000000-0005-0000-0000-00007A6B0000}"/>
    <cellStyle name="Currency 2 4 6 2 3" xfId="27947" xr:uid="{00000000-0005-0000-0000-00007B6B0000}"/>
    <cellStyle name="Currency 2 4 6 3" xfId="27948" xr:uid="{00000000-0005-0000-0000-00007C6B0000}"/>
    <cellStyle name="Currency 2 4 6 4" xfId="27949" xr:uid="{00000000-0005-0000-0000-00007D6B0000}"/>
    <cellStyle name="Currency 2 4 6 5" xfId="27950" xr:uid="{00000000-0005-0000-0000-00007E6B0000}"/>
    <cellStyle name="Currency 2 4 6 6" xfId="27951" xr:uid="{00000000-0005-0000-0000-00007F6B0000}"/>
    <cellStyle name="Currency 2 4 7" xfId="27952" xr:uid="{00000000-0005-0000-0000-0000806B0000}"/>
    <cellStyle name="Currency 2 4 7 2" xfId="27953" xr:uid="{00000000-0005-0000-0000-0000816B0000}"/>
    <cellStyle name="Currency 2 4 7 2 2" xfId="27954" xr:uid="{00000000-0005-0000-0000-0000826B0000}"/>
    <cellStyle name="Currency 2 4 7 2 3" xfId="27955" xr:uid="{00000000-0005-0000-0000-0000836B0000}"/>
    <cellStyle name="Currency 2 4 7 3" xfId="27956" xr:uid="{00000000-0005-0000-0000-0000846B0000}"/>
    <cellStyle name="Currency 2 4 7 4" xfId="27957" xr:uid="{00000000-0005-0000-0000-0000856B0000}"/>
    <cellStyle name="Currency 2 4 7 5" xfId="27958" xr:uid="{00000000-0005-0000-0000-0000866B0000}"/>
    <cellStyle name="Currency 2 4 7 6" xfId="27959" xr:uid="{00000000-0005-0000-0000-0000876B0000}"/>
    <cellStyle name="Currency 2 4 8" xfId="27960" xr:uid="{00000000-0005-0000-0000-0000886B0000}"/>
    <cellStyle name="Currency 2 4 8 2" xfId="27961" xr:uid="{00000000-0005-0000-0000-0000896B0000}"/>
    <cellStyle name="Currency 2 4 8 2 2" xfId="27962" xr:uid="{00000000-0005-0000-0000-00008A6B0000}"/>
    <cellStyle name="Currency 2 4 8 2 3" xfId="27963" xr:uid="{00000000-0005-0000-0000-00008B6B0000}"/>
    <cellStyle name="Currency 2 4 8 3" xfId="27964" xr:uid="{00000000-0005-0000-0000-00008C6B0000}"/>
    <cellStyle name="Currency 2 4 8 4" xfId="27965" xr:uid="{00000000-0005-0000-0000-00008D6B0000}"/>
    <cellStyle name="Currency 2 4 8 5" xfId="27966" xr:uid="{00000000-0005-0000-0000-00008E6B0000}"/>
    <cellStyle name="Currency 2 4 8 6" xfId="27967" xr:uid="{00000000-0005-0000-0000-00008F6B0000}"/>
    <cellStyle name="Currency 2 4 9" xfId="27968" xr:uid="{00000000-0005-0000-0000-0000906B0000}"/>
    <cellStyle name="Currency 2 4 9 2" xfId="27969" xr:uid="{00000000-0005-0000-0000-0000916B0000}"/>
    <cellStyle name="Currency 2 4 9 2 2" xfId="27970" xr:uid="{00000000-0005-0000-0000-0000926B0000}"/>
    <cellStyle name="Currency 2 4 9 2 3" xfId="27971" xr:uid="{00000000-0005-0000-0000-0000936B0000}"/>
    <cellStyle name="Currency 2 4 9 3" xfId="27972" xr:uid="{00000000-0005-0000-0000-0000946B0000}"/>
    <cellStyle name="Currency 2 4 9 4" xfId="27973" xr:uid="{00000000-0005-0000-0000-0000956B0000}"/>
    <cellStyle name="Currency 2 4 9 5" xfId="27974" xr:uid="{00000000-0005-0000-0000-0000966B0000}"/>
    <cellStyle name="Currency 2 4 9 6" xfId="27975" xr:uid="{00000000-0005-0000-0000-0000976B0000}"/>
    <cellStyle name="Currency 2 5" xfId="27976" xr:uid="{00000000-0005-0000-0000-0000986B0000}"/>
    <cellStyle name="Currency 2 5 10" xfId="27977" xr:uid="{00000000-0005-0000-0000-0000996B0000}"/>
    <cellStyle name="Currency 2 5 11" xfId="27978" xr:uid="{00000000-0005-0000-0000-00009A6B0000}"/>
    <cellStyle name="Currency 2 5 12" xfId="27979" xr:uid="{00000000-0005-0000-0000-00009B6B0000}"/>
    <cellStyle name="Currency 2 5 13" xfId="27980" xr:uid="{00000000-0005-0000-0000-00009C6B0000}"/>
    <cellStyle name="Currency 2 5 2" xfId="27981" xr:uid="{00000000-0005-0000-0000-00009D6B0000}"/>
    <cellStyle name="Currency 2 5 2 10" xfId="27982" xr:uid="{00000000-0005-0000-0000-00009E6B0000}"/>
    <cellStyle name="Currency 2 5 2 2" xfId="27983" xr:uid="{00000000-0005-0000-0000-00009F6B0000}"/>
    <cellStyle name="Currency 2 5 2 2 2" xfId="27984" xr:uid="{00000000-0005-0000-0000-0000A06B0000}"/>
    <cellStyle name="Currency 2 5 2 2 2 2" xfId="27985" xr:uid="{00000000-0005-0000-0000-0000A16B0000}"/>
    <cellStyle name="Currency 2 5 2 2 2 2 2" xfId="27986" xr:uid="{00000000-0005-0000-0000-0000A26B0000}"/>
    <cellStyle name="Currency 2 5 2 2 2 2 3" xfId="27987" xr:uid="{00000000-0005-0000-0000-0000A36B0000}"/>
    <cellStyle name="Currency 2 5 2 2 2 3" xfId="27988" xr:uid="{00000000-0005-0000-0000-0000A46B0000}"/>
    <cellStyle name="Currency 2 5 2 2 2 4" xfId="27989" xr:uid="{00000000-0005-0000-0000-0000A56B0000}"/>
    <cellStyle name="Currency 2 5 2 2 2 5" xfId="27990" xr:uid="{00000000-0005-0000-0000-0000A66B0000}"/>
    <cellStyle name="Currency 2 5 2 2 2 6" xfId="27991" xr:uid="{00000000-0005-0000-0000-0000A76B0000}"/>
    <cellStyle name="Currency 2 5 2 2 3" xfId="27992" xr:uid="{00000000-0005-0000-0000-0000A86B0000}"/>
    <cellStyle name="Currency 2 5 2 2 3 2" xfId="27993" xr:uid="{00000000-0005-0000-0000-0000A96B0000}"/>
    <cellStyle name="Currency 2 5 2 2 3 2 2" xfId="27994" xr:uid="{00000000-0005-0000-0000-0000AA6B0000}"/>
    <cellStyle name="Currency 2 5 2 2 3 2 3" xfId="27995" xr:uid="{00000000-0005-0000-0000-0000AB6B0000}"/>
    <cellStyle name="Currency 2 5 2 2 3 3" xfId="27996" xr:uid="{00000000-0005-0000-0000-0000AC6B0000}"/>
    <cellStyle name="Currency 2 5 2 2 3 4" xfId="27997" xr:uid="{00000000-0005-0000-0000-0000AD6B0000}"/>
    <cellStyle name="Currency 2 5 2 2 3 5" xfId="27998" xr:uid="{00000000-0005-0000-0000-0000AE6B0000}"/>
    <cellStyle name="Currency 2 5 2 2 3 6" xfId="27999" xr:uid="{00000000-0005-0000-0000-0000AF6B0000}"/>
    <cellStyle name="Currency 2 5 2 2 4" xfId="28000" xr:uid="{00000000-0005-0000-0000-0000B06B0000}"/>
    <cellStyle name="Currency 2 5 2 2 4 2" xfId="28001" xr:uid="{00000000-0005-0000-0000-0000B16B0000}"/>
    <cellStyle name="Currency 2 5 2 2 4 3" xfId="28002" xr:uid="{00000000-0005-0000-0000-0000B26B0000}"/>
    <cellStyle name="Currency 2 5 2 2 5" xfId="28003" xr:uid="{00000000-0005-0000-0000-0000B36B0000}"/>
    <cellStyle name="Currency 2 5 2 2 6" xfId="28004" xr:uid="{00000000-0005-0000-0000-0000B46B0000}"/>
    <cellStyle name="Currency 2 5 2 2 7" xfId="28005" xr:uid="{00000000-0005-0000-0000-0000B56B0000}"/>
    <cellStyle name="Currency 2 5 2 2 8" xfId="28006" xr:uid="{00000000-0005-0000-0000-0000B66B0000}"/>
    <cellStyle name="Currency 2 5 2 3" xfId="28007" xr:uid="{00000000-0005-0000-0000-0000B76B0000}"/>
    <cellStyle name="Currency 2 5 2 3 2" xfId="28008" xr:uid="{00000000-0005-0000-0000-0000B86B0000}"/>
    <cellStyle name="Currency 2 5 2 3 2 2" xfId="28009" xr:uid="{00000000-0005-0000-0000-0000B96B0000}"/>
    <cellStyle name="Currency 2 5 2 3 2 2 2" xfId="28010" xr:uid="{00000000-0005-0000-0000-0000BA6B0000}"/>
    <cellStyle name="Currency 2 5 2 3 2 2 3" xfId="28011" xr:uid="{00000000-0005-0000-0000-0000BB6B0000}"/>
    <cellStyle name="Currency 2 5 2 3 2 3" xfId="28012" xr:uid="{00000000-0005-0000-0000-0000BC6B0000}"/>
    <cellStyle name="Currency 2 5 2 3 2 4" xfId="28013" xr:uid="{00000000-0005-0000-0000-0000BD6B0000}"/>
    <cellStyle name="Currency 2 5 2 3 2 5" xfId="28014" xr:uid="{00000000-0005-0000-0000-0000BE6B0000}"/>
    <cellStyle name="Currency 2 5 2 3 2 6" xfId="28015" xr:uid="{00000000-0005-0000-0000-0000BF6B0000}"/>
    <cellStyle name="Currency 2 5 2 3 3" xfId="28016" xr:uid="{00000000-0005-0000-0000-0000C06B0000}"/>
    <cellStyle name="Currency 2 5 2 3 3 2" xfId="28017" xr:uid="{00000000-0005-0000-0000-0000C16B0000}"/>
    <cellStyle name="Currency 2 5 2 3 3 3" xfId="28018" xr:uid="{00000000-0005-0000-0000-0000C26B0000}"/>
    <cellStyle name="Currency 2 5 2 3 4" xfId="28019" xr:uid="{00000000-0005-0000-0000-0000C36B0000}"/>
    <cellStyle name="Currency 2 5 2 3 5" xfId="28020" xr:uid="{00000000-0005-0000-0000-0000C46B0000}"/>
    <cellStyle name="Currency 2 5 2 3 6" xfId="28021" xr:uid="{00000000-0005-0000-0000-0000C56B0000}"/>
    <cellStyle name="Currency 2 5 2 3 7" xfId="28022" xr:uid="{00000000-0005-0000-0000-0000C66B0000}"/>
    <cellStyle name="Currency 2 5 2 4" xfId="28023" xr:uid="{00000000-0005-0000-0000-0000C76B0000}"/>
    <cellStyle name="Currency 2 5 2 4 2" xfId="28024" xr:uid="{00000000-0005-0000-0000-0000C86B0000}"/>
    <cellStyle name="Currency 2 5 2 4 2 2" xfId="28025" xr:uid="{00000000-0005-0000-0000-0000C96B0000}"/>
    <cellStyle name="Currency 2 5 2 4 2 3" xfId="28026" xr:uid="{00000000-0005-0000-0000-0000CA6B0000}"/>
    <cellStyle name="Currency 2 5 2 4 3" xfId="28027" xr:uid="{00000000-0005-0000-0000-0000CB6B0000}"/>
    <cellStyle name="Currency 2 5 2 4 4" xfId="28028" xr:uid="{00000000-0005-0000-0000-0000CC6B0000}"/>
    <cellStyle name="Currency 2 5 2 4 5" xfId="28029" xr:uid="{00000000-0005-0000-0000-0000CD6B0000}"/>
    <cellStyle name="Currency 2 5 2 4 6" xfId="28030" xr:uid="{00000000-0005-0000-0000-0000CE6B0000}"/>
    <cellStyle name="Currency 2 5 2 5" xfId="28031" xr:uid="{00000000-0005-0000-0000-0000CF6B0000}"/>
    <cellStyle name="Currency 2 5 2 5 2" xfId="28032" xr:uid="{00000000-0005-0000-0000-0000D06B0000}"/>
    <cellStyle name="Currency 2 5 2 5 2 2" xfId="28033" xr:uid="{00000000-0005-0000-0000-0000D16B0000}"/>
    <cellStyle name="Currency 2 5 2 5 2 3" xfId="28034" xr:uid="{00000000-0005-0000-0000-0000D26B0000}"/>
    <cellStyle name="Currency 2 5 2 5 3" xfId="28035" xr:uid="{00000000-0005-0000-0000-0000D36B0000}"/>
    <cellStyle name="Currency 2 5 2 5 4" xfId="28036" xr:uid="{00000000-0005-0000-0000-0000D46B0000}"/>
    <cellStyle name="Currency 2 5 2 5 5" xfId="28037" xr:uid="{00000000-0005-0000-0000-0000D56B0000}"/>
    <cellStyle name="Currency 2 5 2 5 6" xfId="28038" xr:uid="{00000000-0005-0000-0000-0000D66B0000}"/>
    <cellStyle name="Currency 2 5 2 6" xfId="28039" xr:uid="{00000000-0005-0000-0000-0000D76B0000}"/>
    <cellStyle name="Currency 2 5 2 6 2" xfId="28040" xr:uid="{00000000-0005-0000-0000-0000D86B0000}"/>
    <cellStyle name="Currency 2 5 2 6 3" xfId="28041" xr:uid="{00000000-0005-0000-0000-0000D96B0000}"/>
    <cellStyle name="Currency 2 5 2 7" xfId="28042" xr:uid="{00000000-0005-0000-0000-0000DA6B0000}"/>
    <cellStyle name="Currency 2 5 2 8" xfId="28043" xr:uid="{00000000-0005-0000-0000-0000DB6B0000}"/>
    <cellStyle name="Currency 2 5 2 9" xfId="28044" xr:uid="{00000000-0005-0000-0000-0000DC6B0000}"/>
    <cellStyle name="Currency 2 5 3" xfId="28045" xr:uid="{00000000-0005-0000-0000-0000DD6B0000}"/>
    <cellStyle name="Currency 2 5 3 2" xfId="28046" xr:uid="{00000000-0005-0000-0000-0000DE6B0000}"/>
    <cellStyle name="Currency 2 5 3 2 2" xfId="28047" xr:uid="{00000000-0005-0000-0000-0000DF6B0000}"/>
    <cellStyle name="Currency 2 5 3 2 2 2" xfId="28048" xr:uid="{00000000-0005-0000-0000-0000E06B0000}"/>
    <cellStyle name="Currency 2 5 3 2 2 2 2" xfId="28049" xr:uid="{00000000-0005-0000-0000-0000E16B0000}"/>
    <cellStyle name="Currency 2 5 3 2 2 2 3" xfId="28050" xr:uid="{00000000-0005-0000-0000-0000E26B0000}"/>
    <cellStyle name="Currency 2 5 3 2 2 3" xfId="28051" xr:uid="{00000000-0005-0000-0000-0000E36B0000}"/>
    <cellStyle name="Currency 2 5 3 2 2 4" xfId="28052" xr:uid="{00000000-0005-0000-0000-0000E46B0000}"/>
    <cellStyle name="Currency 2 5 3 2 2 5" xfId="28053" xr:uid="{00000000-0005-0000-0000-0000E56B0000}"/>
    <cellStyle name="Currency 2 5 3 2 2 6" xfId="28054" xr:uid="{00000000-0005-0000-0000-0000E66B0000}"/>
    <cellStyle name="Currency 2 5 3 2 3" xfId="28055" xr:uid="{00000000-0005-0000-0000-0000E76B0000}"/>
    <cellStyle name="Currency 2 5 3 2 3 2" xfId="28056" xr:uid="{00000000-0005-0000-0000-0000E86B0000}"/>
    <cellStyle name="Currency 2 5 3 2 3 3" xfId="28057" xr:uid="{00000000-0005-0000-0000-0000E96B0000}"/>
    <cellStyle name="Currency 2 5 3 2 4" xfId="28058" xr:uid="{00000000-0005-0000-0000-0000EA6B0000}"/>
    <cellStyle name="Currency 2 5 3 2 5" xfId="28059" xr:uid="{00000000-0005-0000-0000-0000EB6B0000}"/>
    <cellStyle name="Currency 2 5 3 2 6" xfId="28060" xr:uid="{00000000-0005-0000-0000-0000EC6B0000}"/>
    <cellStyle name="Currency 2 5 3 2 7" xfId="28061" xr:uid="{00000000-0005-0000-0000-0000ED6B0000}"/>
    <cellStyle name="Currency 2 5 3 3" xfId="28062" xr:uid="{00000000-0005-0000-0000-0000EE6B0000}"/>
    <cellStyle name="Currency 2 5 3 3 2" xfId="28063" xr:uid="{00000000-0005-0000-0000-0000EF6B0000}"/>
    <cellStyle name="Currency 2 5 3 3 2 2" xfId="28064" xr:uid="{00000000-0005-0000-0000-0000F06B0000}"/>
    <cellStyle name="Currency 2 5 3 3 2 3" xfId="28065" xr:uid="{00000000-0005-0000-0000-0000F16B0000}"/>
    <cellStyle name="Currency 2 5 3 3 3" xfId="28066" xr:uid="{00000000-0005-0000-0000-0000F26B0000}"/>
    <cellStyle name="Currency 2 5 3 3 4" xfId="28067" xr:uid="{00000000-0005-0000-0000-0000F36B0000}"/>
    <cellStyle name="Currency 2 5 3 3 5" xfId="28068" xr:uid="{00000000-0005-0000-0000-0000F46B0000}"/>
    <cellStyle name="Currency 2 5 3 3 6" xfId="28069" xr:uid="{00000000-0005-0000-0000-0000F56B0000}"/>
    <cellStyle name="Currency 2 5 3 4" xfId="28070" xr:uid="{00000000-0005-0000-0000-0000F66B0000}"/>
    <cellStyle name="Currency 2 5 3 4 2" xfId="28071" xr:uid="{00000000-0005-0000-0000-0000F76B0000}"/>
    <cellStyle name="Currency 2 5 3 4 2 2" xfId="28072" xr:uid="{00000000-0005-0000-0000-0000F86B0000}"/>
    <cellStyle name="Currency 2 5 3 4 2 3" xfId="28073" xr:uid="{00000000-0005-0000-0000-0000F96B0000}"/>
    <cellStyle name="Currency 2 5 3 4 3" xfId="28074" xr:uid="{00000000-0005-0000-0000-0000FA6B0000}"/>
    <cellStyle name="Currency 2 5 3 4 4" xfId="28075" xr:uid="{00000000-0005-0000-0000-0000FB6B0000}"/>
    <cellStyle name="Currency 2 5 3 4 5" xfId="28076" xr:uid="{00000000-0005-0000-0000-0000FC6B0000}"/>
    <cellStyle name="Currency 2 5 3 4 6" xfId="28077" xr:uid="{00000000-0005-0000-0000-0000FD6B0000}"/>
    <cellStyle name="Currency 2 5 3 5" xfId="28078" xr:uid="{00000000-0005-0000-0000-0000FE6B0000}"/>
    <cellStyle name="Currency 2 5 3 5 2" xfId="28079" xr:uid="{00000000-0005-0000-0000-0000FF6B0000}"/>
    <cellStyle name="Currency 2 5 3 5 3" xfId="28080" xr:uid="{00000000-0005-0000-0000-0000006C0000}"/>
    <cellStyle name="Currency 2 5 3 6" xfId="28081" xr:uid="{00000000-0005-0000-0000-0000016C0000}"/>
    <cellStyle name="Currency 2 5 3 7" xfId="28082" xr:uid="{00000000-0005-0000-0000-0000026C0000}"/>
    <cellStyle name="Currency 2 5 3 8" xfId="28083" xr:uid="{00000000-0005-0000-0000-0000036C0000}"/>
    <cellStyle name="Currency 2 5 3 9" xfId="28084" xr:uid="{00000000-0005-0000-0000-0000046C0000}"/>
    <cellStyle name="Currency 2 5 4" xfId="28085" xr:uid="{00000000-0005-0000-0000-0000056C0000}"/>
    <cellStyle name="Currency 2 5 4 2" xfId="28086" xr:uid="{00000000-0005-0000-0000-0000066C0000}"/>
    <cellStyle name="Currency 2 5 4 2 2" xfId="28087" xr:uid="{00000000-0005-0000-0000-0000076C0000}"/>
    <cellStyle name="Currency 2 5 4 2 2 2" xfId="28088" xr:uid="{00000000-0005-0000-0000-0000086C0000}"/>
    <cellStyle name="Currency 2 5 4 2 2 3" xfId="28089" xr:uid="{00000000-0005-0000-0000-0000096C0000}"/>
    <cellStyle name="Currency 2 5 4 2 3" xfId="28090" xr:uid="{00000000-0005-0000-0000-00000A6C0000}"/>
    <cellStyle name="Currency 2 5 4 2 4" xfId="28091" xr:uid="{00000000-0005-0000-0000-00000B6C0000}"/>
    <cellStyle name="Currency 2 5 4 2 5" xfId="28092" xr:uid="{00000000-0005-0000-0000-00000C6C0000}"/>
    <cellStyle name="Currency 2 5 4 2 6" xfId="28093" xr:uid="{00000000-0005-0000-0000-00000D6C0000}"/>
    <cellStyle name="Currency 2 5 4 3" xfId="28094" xr:uid="{00000000-0005-0000-0000-00000E6C0000}"/>
    <cellStyle name="Currency 2 5 4 3 2" xfId="28095" xr:uid="{00000000-0005-0000-0000-00000F6C0000}"/>
    <cellStyle name="Currency 2 5 4 3 3" xfId="28096" xr:uid="{00000000-0005-0000-0000-0000106C0000}"/>
    <cellStyle name="Currency 2 5 4 4" xfId="28097" xr:uid="{00000000-0005-0000-0000-0000116C0000}"/>
    <cellStyle name="Currency 2 5 4 5" xfId="28098" xr:uid="{00000000-0005-0000-0000-0000126C0000}"/>
    <cellStyle name="Currency 2 5 4 6" xfId="28099" xr:uid="{00000000-0005-0000-0000-0000136C0000}"/>
    <cellStyle name="Currency 2 5 4 7" xfId="28100" xr:uid="{00000000-0005-0000-0000-0000146C0000}"/>
    <cellStyle name="Currency 2 5 5" xfId="28101" xr:uid="{00000000-0005-0000-0000-0000156C0000}"/>
    <cellStyle name="Currency 2 5 5 2" xfId="28102" xr:uid="{00000000-0005-0000-0000-0000166C0000}"/>
    <cellStyle name="Currency 2 5 5 2 2" xfId="28103" xr:uid="{00000000-0005-0000-0000-0000176C0000}"/>
    <cellStyle name="Currency 2 5 5 2 3" xfId="28104" xr:uid="{00000000-0005-0000-0000-0000186C0000}"/>
    <cellStyle name="Currency 2 5 5 3" xfId="28105" xr:uid="{00000000-0005-0000-0000-0000196C0000}"/>
    <cellStyle name="Currency 2 5 5 4" xfId="28106" xr:uid="{00000000-0005-0000-0000-00001A6C0000}"/>
    <cellStyle name="Currency 2 5 5 5" xfId="28107" xr:uid="{00000000-0005-0000-0000-00001B6C0000}"/>
    <cellStyle name="Currency 2 5 5 6" xfId="28108" xr:uid="{00000000-0005-0000-0000-00001C6C0000}"/>
    <cellStyle name="Currency 2 5 6" xfId="28109" xr:uid="{00000000-0005-0000-0000-00001D6C0000}"/>
    <cellStyle name="Currency 2 5 6 2" xfId="28110" xr:uid="{00000000-0005-0000-0000-00001E6C0000}"/>
    <cellStyle name="Currency 2 5 6 2 2" xfId="28111" xr:uid="{00000000-0005-0000-0000-00001F6C0000}"/>
    <cellStyle name="Currency 2 5 6 2 3" xfId="28112" xr:uid="{00000000-0005-0000-0000-0000206C0000}"/>
    <cellStyle name="Currency 2 5 6 3" xfId="28113" xr:uid="{00000000-0005-0000-0000-0000216C0000}"/>
    <cellStyle name="Currency 2 5 6 4" xfId="28114" xr:uid="{00000000-0005-0000-0000-0000226C0000}"/>
    <cellStyle name="Currency 2 5 6 5" xfId="28115" xr:uid="{00000000-0005-0000-0000-0000236C0000}"/>
    <cellStyle name="Currency 2 5 6 6" xfId="28116" xr:uid="{00000000-0005-0000-0000-0000246C0000}"/>
    <cellStyle name="Currency 2 5 7" xfId="28117" xr:uid="{00000000-0005-0000-0000-0000256C0000}"/>
    <cellStyle name="Currency 2 5 7 2" xfId="28118" xr:uid="{00000000-0005-0000-0000-0000266C0000}"/>
    <cellStyle name="Currency 2 5 7 2 2" xfId="28119" xr:uid="{00000000-0005-0000-0000-0000276C0000}"/>
    <cellStyle name="Currency 2 5 7 2 3" xfId="28120" xr:uid="{00000000-0005-0000-0000-0000286C0000}"/>
    <cellStyle name="Currency 2 5 7 3" xfId="28121" xr:uid="{00000000-0005-0000-0000-0000296C0000}"/>
    <cellStyle name="Currency 2 5 7 4" xfId="28122" xr:uid="{00000000-0005-0000-0000-00002A6C0000}"/>
    <cellStyle name="Currency 2 5 7 5" xfId="28123" xr:uid="{00000000-0005-0000-0000-00002B6C0000}"/>
    <cellStyle name="Currency 2 5 7 6" xfId="28124" xr:uid="{00000000-0005-0000-0000-00002C6C0000}"/>
    <cellStyle name="Currency 2 5 8" xfId="28125" xr:uid="{00000000-0005-0000-0000-00002D6C0000}"/>
    <cellStyle name="Currency 2 5 8 2" xfId="28126" xr:uid="{00000000-0005-0000-0000-00002E6C0000}"/>
    <cellStyle name="Currency 2 5 8 2 2" xfId="28127" xr:uid="{00000000-0005-0000-0000-00002F6C0000}"/>
    <cellStyle name="Currency 2 5 8 2 3" xfId="28128" xr:uid="{00000000-0005-0000-0000-0000306C0000}"/>
    <cellStyle name="Currency 2 5 8 3" xfId="28129" xr:uid="{00000000-0005-0000-0000-0000316C0000}"/>
    <cellStyle name="Currency 2 5 8 4" xfId="28130" xr:uid="{00000000-0005-0000-0000-0000326C0000}"/>
    <cellStyle name="Currency 2 5 8 5" xfId="28131" xr:uid="{00000000-0005-0000-0000-0000336C0000}"/>
    <cellStyle name="Currency 2 5 8 6" xfId="28132" xr:uid="{00000000-0005-0000-0000-0000346C0000}"/>
    <cellStyle name="Currency 2 5 9" xfId="28133" xr:uid="{00000000-0005-0000-0000-0000356C0000}"/>
    <cellStyle name="Currency 2 5 9 2" xfId="28134" xr:uid="{00000000-0005-0000-0000-0000366C0000}"/>
    <cellStyle name="Currency 2 5 9 3" xfId="28135" xr:uid="{00000000-0005-0000-0000-0000376C0000}"/>
    <cellStyle name="Currency 2 6" xfId="28136" xr:uid="{00000000-0005-0000-0000-0000386C0000}"/>
    <cellStyle name="Currency 2 6 10" xfId="28137" xr:uid="{00000000-0005-0000-0000-0000396C0000}"/>
    <cellStyle name="Currency 2 6 2" xfId="28138" xr:uid="{00000000-0005-0000-0000-00003A6C0000}"/>
    <cellStyle name="Currency 2 6 2 2" xfId="28139" xr:uid="{00000000-0005-0000-0000-00003B6C0000}"/>
    <cellStyle name="Currency 2 6 2 2 2" xfId="28140" xr:uid="{00000000-0005-0000-0000-00003C6C0000}"/>
    <cellStyle name="Currency 2 6 2 2 2 2" xfId="28141" xr:uid="{00000000-0005-0000-0000-00003D6C0000}"/>
    <cellStyle name="Currency 2 6 2 2 2 3" xfId="28142" xr:uid="{00000000-0005-0000-0000-00003E6C0000}"/>
    <cellStyle name="Currency 2 6 2 2 3" xfId="28143" xr:uid="{00000000-0005-0000-0000-00003F6C0000}"/>
    <cellStyle name="Currency 2 6 2 2 4" xfId="28144" xr:uid="{00000000-0005-0000-0000-0000406C0000}"/>
    <cellStyle name="Currency 2 6 2 2 5" xfId="28145" xr:uid="{00000000-0005-0000-0000-0000416C0000}"/>
    <cellStyle name="Currency 2 6 2 2 6" xfId="28146" xr:uid="{00000000-0005-0000-0000-0000426C0000}"/>
    <cellStyle name="Currency 2 6 2 3" xfId="28147" xr:uid="{00000000-0005-0000-0000-0000436C0000}"/>
    <cellStyle name="Currency 2 6 2 3 2" xfId="28148" xr:uid="{00000000-0005-0000-0000-0000446C0000}"/>
    <cellStyle name="Currency 2 6 2 3 2 2" xfId="28149" xr:uid="{00000000-0005-0000-0000-0000456C0000}"/>
    <cellStyle name="Currency 2 6 2 3 2 3" xfId="28150" xr:uid="{00000000-0005-0000-0000-0000466C0000}"/>
    <cellStyle name="Currency 2 6 2 3 3" xfId="28151" xr:uid="{00000000-0005-0000-0000-0000476C0000}"/>
    <cellStyle name="Currency 2 6 2 3 4" xfId="28152" xr:uid="{00000000-0005-0000-0000-0000486C0000}"/>
    <cellStyle name="Currency 2 6 2 3 5" xfId="28153" xr:uid="{00000000-0005-0000-0000-0000496C0000}"/>
    <cellStyle name="Currency 2 6 2 3 6" xfId="28154" xr:uid="{00000000-0005-0000-0000-00004A6C0000}"/>
    <cellStyle name="Currency 2 6 2 4" xfId="28155" xr:uid="{00000000-0005-0000-0000-00004B6C0000}"/>
    <cellStyle name="Currency 2 6 2 4 2" xfId="28156" xr:uid="{00000000-0005-0000-0000-00004C6C0000}"/>
    <cellStyle name="Currency 2 6 2 4 3" xfId="28157" xr:uid="{00000000-0005-0000-0000-00004D6C0000}"/>
    <cellStyle name="Currency 2 6 2 5" xfId="28158" xr:uid="{00000000-0005-0000-0000-00004E6C0000}"/>
    <cellStyle name="Currency 2 6 2 6" xfId="28159" xr:uid="{00000000-0005-0000-0000-00004F6C0000}"/>
    <cellStyle name="Currency 2 6 2 7" xfId="28160" xr:uid="{00000000-0005-0000-0000-0000506C0000}"/>
    <cellStyle name="Currency 2 6 2 8" xfId="28161" xr:uid="{00000000-0005-0000-0000-0000516C0000}"/>
    <cellStyle name="Currency 2 6 3" xfId="28162" xr:uid="{00000000-0005-0000-0000-0000526C0000}"/>
    <cellStyle name="Currency 2 6 3 2" xfId="28163" xr:uid="{00000000-0005-0000-0000-0000536C0000}"/>
    <cellStyle name="Currency 2 6 3 2 2" xfId="28164" xr:uid="{00000000-0005-0000-0000-0000546C0000}"/>
    <cellStyle name="Currency 2 6 3 2 2 2" xfId="28165" xr:uid="{00000000-0005-0000-0000-0000556C0000}"/>
    <cellStyle name="Currency 2 6 3 2 2 3" xfId="28166" xr:uid="{00000000-0005-0000-0000-0000566C0000}"/>
    <cellStyle name="Currency 2 6 3 2 3" xfId="28167" xr:uid="{00000000-0005-0000-0000-0000576C0000}"/>
    <cellStyle name="Currency 2 6 3 2 4" xfId="28168" xr:uid="{00000000-0005-0000-0000-0000586C0000}"/>
    <cellStyle name="Currency 2 6 3 2 5" xfId="28169" xr:uid="{00000000-0005-0000-0000-0000596C0000}"/>
    <cellStyle name="Currency 2 6 3 2 6" xfId="28170" xr:uid="{00000000-0005-0000-0000-00005A6C0000}"/>
    <cellStyle name="Currency 2 6 3 3" xfId="28171" xr:uid="{00000000-0005-0000-0000-00005B6C0000}"/>
    <cellStyle name="Currency 2 6 3 3 2" xfId="28172" xr:uid="{00000000-0005-0000-0000-00005C6C0000}"/>
    <cellStyle name="Currency 2 6 3 3 3" xfId="28173" xr:uid="{00000000-0005-0000-0000-00005D6C0000}"/>
    <cellStyle name="Currency 2 6 3 4" xfId="28174" xr:uid="{00000000-0005-0000-0000-00005E6C0000}"/>
    <cellStyle name="Currency 2 6 3 5" xfId="28175" xr:uid="{00000000-0005-0000-0000-00005F6C0000}"/>
    <cellStyle name="Currency 2 6 3 6" xfId="28176" xr:uid="{00000000-0005-0000-0000-0000606C0000}"/>
    <cellStyle name="Currency 2 6 3 7" xfId="28177" xr:uid="{00000000-0005-0000-0000-0000616C0000}"/>
    <cellStyle name="Currency 2 6 4" xfId="28178" xr:uid="{00000000-0005-0000-0000-0000626C0000}"/>
    <cellStyle name="Currency 2 6 4 2" xfId="28179" xr:uid="{00000000-0005-0000-0000-0000636C0000}"/>
    <cellStyle name="Currency 2 6 4 2 2" xfId="28180" xr:uid="{00000000-0005-0000-0000-0000646C0000}"/>
    <cellStyle name="Currency 2 6 4 2 3" xfId="28181" xr:uid="{00000000-0005-0000-0000-0000656C0000}"/>
    <cellStyle name="Currency 2 6 4 3" xfId="28182" xr:uid="{00000000-0005-0000-0000-0000666C0000}"/>
    <cellStyle name="Currency 2 6 4 4" xfId="28183" xr:uid="{00000000-0005-0000-0000-0000676C0000}"/>
    <cellStyle name="Currency 2 6 4 5" xfId="28184" xr:uid="{00000000-0005-0000-0000-0000686C0000}"/>
    <cellStyle name="Currency 2 6 4 6" xfId="28185" xr:uid="{00000000-0005-0000-0000-0000696C0000}"/>
    <cellStyle name="Currency 2 6 5" xfId="28186" xr:uid="{00000000-0005-0000-0000-00006A6C0000}"/>
    <cellStyle name="Currency 2 6 5 2" xfId="28187" xr:uid="{00000000-0005-0000-0000-00006B6C0000}"/>
    <cellStyle name="Currency 2 6 5 2 2" xfId="28188" xr:uid="{00000000-0005-0000-0000-00006C6C0000}"/>
    <cellStyle name="Currency 2 6 5 2 3" xfId="28189" xr:uid="{00000000-0005-0000-0000-00006D6C0000}"/>
    <cellStyle name="Currency 2 6 5 3" xfId="28190" xr:uid="{00000000-0005-0000-0000-00006E6C0000}"/>
    <cellStyle name="Currency 2 6 5 4" xfId="28191" xr:uid="{00000000-0005-0000-0000-00006F6C0000}"/>
    <cellStyle name="Currency 2 6 5 5" xfId="28192" xr:uid="{00000000-0005-0000-0000-0000706C0000}"/>
    <cellStyle name="Currency 2 6 5 6" xfId="28193" xr:uid="{00000000-0005-0000-0000-0000716C0000}"/>
    <cellStyle name="Currency 2 6 6" xfId="28194" xr:uid="{00000000-0005-0000-0000-0000726C0000}"/>
    <cellStyle name="Currency 2 6 6 2" xfId="28195" xr:uid="{00000000-0005-0000-0000-0000736C0000}"/>
    <cellStyle name="Currency 2 6 6 3" xfId="28196" xr:uid="{00000000-0005-0000-0000-0000746C0000}"/>
    <cellStyle name="Currency 2 6 7" xfId="28197" xr:uid="{00000000-0005-0000-0000-0000756C0000}"/>
    <cellStyle name="Currency 2 6 8" xfId="28198" xr:uid="{00000000-0005-0000-0000-0000766C0000}"/>
    <cellStyle name="Currency 2 6 9" xfId="28199" xr:uid="{00000000-0005-0000-0000-0000776C0000}"/>
    <cellStyle name="Currency 2 7" xfId="28200" xr:uid="{00000000-0005-0000-0000-0000786C0000}"/>
    <cellStyle name="Currency 2 7 2" xfId="28201" xr:uid="{00000000-0005-0000-0000-0000796C0000}"/>
    <cellStyle name="Currency 2 7 2 2" xfId="28202" xr:uid="{00000000-0005-0000-0000-00007A6C0000}"/>
    <cellStyle name="Currency 2 7 2 2 2" xfId="28203" xr:uid="{00000000-0005-0000-0000-00007B6C0000}"/>
    <cellStyle name="Currency 2 7 2 2 2 2" xfId="28204" xr:uid="{00000000-0005-0000-0000-00007C6C0000}"/>
    <cellStyle name="Currency 2 7 2 2 2 3" xfId="28205" xr:uid="{00000000-0005-0000-0000-00007D6C0000}"/>
    <cellStyle name="Currency 2 7 2 2 3" xfId="28206" xr:uid="{00000000-0005-0000-0000-00007E6C0000}"/>
    <cellStyle name="Currency 2 7 2 2 4" xfId="28207" xr:uid="{00000000-0005-0000-0000-00007F6C0000}"/>
    <cellStyle name="Currency 2 7 2 2 5" xfId="28208" xr:uid="{00000000-0005-0000-0000-0000806C0000}"/>
    <cellStyle name="Currency 2 7 2 2 6" xfId="28209" xr:uid="{00000000-0005-0000-0000-0000816C0000}"/>
    <cellStyle name="Currency 2 7 2 3" xfId="28210" xr:uid="{00000000-0005-0000-0000-0000826C0000}"/>
    <cellStyle name="Currency 2 7 2 3 2" xfId="28211" xr:uid="{00000000-0005-0000-0000-0000836C0000}"/>
    <cellStyle name="Currency 2 7 2 3 3" xfId="28212" xr:uid="{00000000-0005-0000-0000-0000846C0000}"/>
    <cellStyle name="Currency 2 7 2 4" xfId="28213" xr:uid="{00000000-0005-0000-0000-0000856C0000}"/>
    <cellStyle name="Currency 2 7 2 5" xfId="28214" xr:uid="{00000000-0005-0000-0000-0000866C0000}"/>
    <cellStyle name="Currency 2 7 2 6" xfId="28215" xr:uid="{00000000-0005-0000-0000-0000876C0000}"/>
    <cellStyle name="Currency 2 7 2 7" xfId="28216" xr:uid="{00000000-0005-0000-0000-0000886C0000}"/>
    <cellStyle name="Currency 2 7 3" xfId="28217" xr:uid="{00000000-0005-0000-0000-0000896C0000}"/>
    <cellStyle name="Currency 2 7 3 2" xfId="28218" xr:uid="{00000000-0005-0000-0000-00008A6C0000}"/>
    <cellStyle name="Currency 2 7 3 2 2" xfId="28219" xr:uid="{00000000-0005-0000-0000-00008B6C0000}"/>
    <cellStyle name="Currency 2 7 3 2 3" xfId="28220" xr:uid="{00000000-0005-0000-0000-00008C6C0000}"/>
    <cellStyle name="Currency 2 7 3 3" xfId="28221" xr:uid="{00000000-0005-0000-0000-00008D6C0000}"/>
    <cellStyle name="Currency 2 7 3 4" xfId="28222" xr:uid="{00000000-0005-0000-0000-00008E6C0000}"/>
    <cellStyle name="Currency 2 7 3 5" xfId="28223" xr:uid="{00000000-0005-0000-0000-00008F6C0000}"/>
    <cellStyle name="Currency 2 7 3 6" xfId="28224" xr:uid="{00000000-0005-0000-0000-0000906C0000}"/>
    <cellStyle name="Currency 2 7 4" xfId="28225" xr:uid="{00000000-0005-0000-0000-0000916C0000}"/>
    <cellStyle name="Currency 2 7 4 2" xfId="28226" xr:uid="{00000000-0005-0000-0000-0000926C0000}"/>
    <cellStyle name="Currency 2 7 4 2 2" xfId="28227" xr:uid="{00000000-0005-0000-0000-0000936C0000}"/>
    <cellStyle name="Currency 2 7 4 2 3" xfId="28228" xr:uid="{00000000-0005-0000-0000-0000946C0000}"/>
    <cellStyle name="Currency 2 7 4 3" xfId="28229" xr:uid="{00000000-0005-0000-0000-0000956C0000}"/>
    <cellStyle name="Currency 2 7 4 4" xfId="28230" xr:uid="{00000000-0005-0000-0000-0000966C0000}"/>
    <cellStyle name="Currency 2 7 4 5" xfId="28231" xr:uid="{00000000-0005-0000-0000-0000976C0000}"/>
    <cellStyle name="Currency 2 7 4 6" xfId="28232" xr:uid="{00000000-0005-0000-0000-0000986C0000}"/>
    <cellStyle name="Currency 2 7 5" xfId="28233" xr:uid="{00000000-0005-0000-0000-0000996C0000}"/>
    <cellStyle name="Currency 2 7 5 2" xfId="28234" xr:uid="{00000000-0005-0000-0000-00009A6C0000}"/>
    <cellStyle name="Currency 2 7 5 3" xfId="28235" xr:uid="{00000000-0005-0000-0000-00009B6C0000}"/>
    <cellStyle name="Currency 2 7 6" xfId="28236" xr:uid="{00000000-0005-0000-0000-00009C6C0000}"/>
    <cellStyle name="Currency 2 7 7" xfId="28237" xr:uid="{00000000-0005-0000-0000-00009D6C0000}"/>
    <cellStyle name="Currency 2 7 8" xfId="28238" xr:uid="{00000000-0005-0000-0000-00009E6C0000}"/>
    <cellStyle name="Currency 2 7 9" xfId="28239" xr:uid="{00000000-0005-0000-0000-00009F6C0000}"/>
    <cellStyle name="Currency 2 8" xfId="28240" xr:uid="{00000000-0005-0000-0000-0000A06C0000}"/>
    <cellStyle name="Currency 2 8 2" xfId="28241" xr:uid="{00000000-0005-0000-0000-0000A16C0000}"/>
    <cellStyle name="Currency 2 8 2 2" xfId="28242" xr:uid="{00000000-0005-0000-0000-0000A26C0000}"/>
    <cellStyle name="Currency 2 8 2 2 2" xfId="28243" xr:uid="{00000000-0005-0000-0000-0000A36C0000}"/>
    <cellStyle name="Currency 2 8 2 2 3" xfId="28244" xr:uid="{00000000-0005-0000-0000-0000A46C0000}"/>
    <cellStyle name="Currency 2 8 2 3" xfId="28245" xr:uid="{00000000-0005-0000-0000-0000A56C0000}"/>
    <cellStyle name="Currency 2 8 2 4" xfId="28246" xr:uid="{00000000-0005-0000-0000-0000A66C0000}"/>
    <cellStyle name="Currency 2 8 2 5" xfId="28247" xr:uid="{00000000-0005-0000-0000-0000A76C0000}"/>
    <cellStyle name="Currency 2 8 2 6" xfId="28248" xr:uid="{00000000-0005-0000-0000-0000A86C0000}"/>
    <cellStyle name="Currency 2 8 3" xfId="28249" xr:uid="{00000000-0005-0000-0000-0000A96C0000}"/>
    <cellStyle name="Currency 2 8 3 2" xfId="28250" xr:uid="{00000000-0005-0000-0000-0000AA6C0000}"/>
    <cellStyle name="Currency 2 8 3 2 2" xfId="28251" xr:uid="{00000000-0005-0000-0000-0000AB6C0000}"/>
    <cellStyle name="Currency 2 8 3 2 3" xfId="28252" xr:uid="{00000000-0005-0000-0000-0000AC6C0000}"/>
    <cellStyle name="Currency 2 8 3 3" xfId="28253" xr:uid="{00000000-0005-0000-0000-0000AD6C0000}"/>
    <cellStyle name="Currency 2 8 3 4" xfId="28254" xr:uid="{00000000-0005-0000-0000-0000AE6C0000}"/>
    <cellStyle name="Currency 2 8 3 5" xfId="28255" xr:uid="{00000000-0005-0000-0000-0000AF6C0000}"/>
    <cellStyle name="Currency 2 8 3 6" xfId="28256" xr:uid="{00000000-0005-0000-0000-0000B06C0000}"/>
    <cellStyle name="Currency 2 8 4" xfId="28257" xr:uid="{00000000-0005-0000-0000-0000B16C0000}"/>
    <cellStyle name="Currency 2 8 4 2" xfId="28258" xr:uid="{00000000-0005-0000-0000-0000B26C0000}"/>
    <cellStyle name="Currency 2 8 4 3" xfId="28259" xr:uid="{00000000-0005-0000-0000-0000B36C0000}"/>
    <cellStyle name="Currency 2 8 5" xfId="28260" xr:uid="{00000000-0005-0000-0000-0000B46C0000}"/>
    <cellStyle name="Currency 2 8 6" xfId="28261" xr:uid="{00000000-0005-0000-0000-0000B56C0000}"/>
    <cellStyle name="Currency 2 8 7" xfId="28262" xr:uid="{00000000-0005-0000-0000-0000B66C0000}"/>
    <cellStyle name="Currency 2 8 8" xfId="28263" xr:uid="{00000000-0005-0000-0000-0000B76C0000}"/>
    <cellStyle name="Currency 2 9" xfId="28264" xr:uid="{00000000-0005-0000-0000-0000B86C0000}"/>
    <cellStyle name="Currency 2 9 2" xfId="28265" xr:uid="{00000000-0005-0000-0000-0000B96C0000}"/>
    <cellStyle name="Currency 2 9 2 2" xfId="28266" xr:uid="{00000000-0005-0000-0000-0000BA6C0000}"/>
    <cellStyle name="Currency 2 9 2 3" xfId="28267" xr:uid="{00000000-0005-0000-0000-0000BB6C0000}"/>
    <cellStyle name="Currency 2 9 3" xfId="28268" xr:uid="{00000000-0005-0000-0000-0000BC6C0000}"/>
    <cellStyle name="Currency 2 9 4" xfId="28269" xr:uid="{00000000-0005-0000-0000-0000BD6C0000}"/>
    <cellStyle name="Currency 2 9 5" xfId="28270" xr:uid="{00000000-0005-0000-0000-0000BE6C0000}"/>
    <cellStyle name="Currency 2 9 6" xfId="28271" xr:uid="{00000000-0005-0000-0000-0000BF6C0000}"/>
    <cellStyle name="Currency 3" xfId="99" xr:uid="{00000000-0005-0000-0000-0000C06C0000}"/>
    <cellStyle name="Currency 3 10" xfId="28272" xr:uid="{00000000-0005-0000-0000-0000C16C0000}"/>
    <cellStyle name="Currency 3 11" xfId="28273" xr:uid="{00000000-0005-0000-0000-0000C26C0000}"/>
    <cellStyle name="Currency 3 12" xfId="28274" xr:uid="{00000000-0005-0000-0000-0000C36C0000}"/>
    <cellStyle name="Currency 3 13" xfId="28275" xr:uid="{00000000-0005-0000-0000-0000C46C0000}"/>
    <cellStyle name="Currency 3 2" xfId="100" xr:uid="{00000000-0005-0000-0000-0000C56C0000}"/>
    <cellStyle name="Currency 3 2 10" xfId="28276" xr:uid="{00000000-0005-0000-0000-0000C66C0000}"/>
    <cellStyle name="Currency 3 2 11" xfId="28277" xr:uid="{00000000-0005-0000-0000-0000C76C0000}"/>
    <cellStyle name="Currency 3 2 2" xfId="28278" xr:uid="{00000000-0005-0000-0000-0000C86C0000}"/>
    <cellStyle name="Currency 3 2 2 2" xfId="28279" xr:uid="{00000000-0005-0000-0000-0000C96C0000}"/>
    <cellStyle name="Currency 3 2 2 2 2" xfId="28280" xr:uid="{00000000-0005-0000-0000-0000CA6C0000}"/>
    <cellStyle name="Currency 3 2 2 2 2 2" xfId="28281" xr:uid="{00000000-0005-0000-0000-0000CB6C0000}"/>
    <cellStyle name="Currency 3 2 2 2 2 3" xfId="28282" xr:uid="{00000000-0005-0000-0000-0000CC6C0000}"/>
    <cellStyle name="Currency 3 2 2 2 3" xfId="28283" xr:uid="{00000000-0005-0000-0000-0000CD6C0000}"/>
    <cellStyle name="Currency 3 2 2 2 4" xfId="28284" xr:uid="{00000000-0005-0000-0000-0000CE6C0000}"/>
    <cellStyle name="Currency 3 2 2 2 5" xfId="28285" xr:uid="{00000000-0005-0000-0000-0000CF6C0000}"/>
    <cellStyle name="Currency 3 2 2 2 6" xfId="28286" xr:uid="{00000000-0005-0000-0000-0000D06C0000}"/>
    <cellStyle name="Currency 3 2 2 3" xfId="28287" xr:uid="{00000000-0005-0000-0000-0000D16C0000}"/>
    <cellStyle name="Currency 3 2 2 3 2" xfId="28288" xr:uid="{00000000-0005-0000-0000-0000D26C0000}"/>
    <cellStyle name="Currency 3 2 2 3 2 2" xfId="28289" xr:uid="{00000000-0005-0000-0000-0000D36C0000}"/>
    <cellStyle name="Currency 3 2 2 3 2 3" xfId="28290" xr:uid="{00000000-0005-0000-0000-0000D46C0000}"/>
    <cellStyle name="Currency 3 2 2 3 3" xfId="28291" xr:uid="{00000000-0005-0000-0000-0000D56C0000}"/>
    <cellStyle name="Currency 3 2 2 3 4" xfId="28292" xr:uid="{00000000-0005-0000-0000-0000D66C0000}"/>
    <cellStyle name="Currency 3 2 2 3 5" xfId="28293" xr:uid="{00000000-0005-0000-0000-0000D76C0000}"/>
    <cellStyle name="Currency 3 2 2 3 6" xfId="28294" xr:uid="{00000000-0005-0000-0000-0000D86C0000}"/>
    <cellStyle name="Currency 3 2 2 4" xfId="28295" xr:uid="{00000000-0005-0000-0000-0000D96C0000}"/>
    <cellStyle name="Currency 3 2 2 4 2" xfId="28296" xr:uid="{00000000-0005-0000-0000-0000DA6C0000}"/>
    <cellStyle name="Currency 3 2 2 4 3" xfId="28297" xr:uid="{00000000-0005-0000-0000-0000DB6C0000}"/>
    <cellStyle name="Currency 3 2 2 5" xfId="28298" xr:uid="{00000000-0005-0000-0000-0000DC6C0000}"/>
    <cellStyle name="Currency 3 2 2 6" xfId="28299" xr:uid="{00000000-0005-0000-0000-0000DD6C0000}"/>
    <cellStyle name="Currency 3 2 2 7" xfId="28300" xr:uid="{00000000-0005-0000-0000-0000DE6C0000}"/>
    <cellStyle name="Currency 3 2 2 8" xfId="28301" xr:uid="{00000000-0005-0000-0000-0000DF6C0000}"/>
    <cellStyle name="Currency 3 2 3" xfId="28302" xr:uid="{00000000-0005-0000-0000-0000E06C0000}"/>
    <cellStyle name="Currency 3 2 3 2" xfId="28303" xr:uid="{00000000-0005-0000-0000-0000E16C0000}"/>
    <cellStyle name="Currency 3 2 3 2 2" xfId="28304" xr:uid="{00000000-0005-0000-0000-0000E26C0000}"/>
    <cellStyle name="Currency 3 2 3 2 2 2" xfId="28305" xr:uid="{00000000-0005-0000-0000-0000E36C0000}"/>
    <cellStyle name="Currency 3 2 3 2 2 3" xfId="28306" xr:uid="{00000000-0005-0000-0000-0000E46C0000}"/>
    <cellStyle name="Currency 3 2 3 2 3" xfId="28307" xr:uid="{00000000-0005-0000-0000-0000E56C0000}"/>
    <cellStyle name="Currency 3 2 3 2 4" xfId="28308" xr:uid="{00000000-0005-0000-0000-0000E66C0000}"/>
    <cellStyle name="Currency 3 2 3 2 5" xfId="28309" xr:uid="{00000000-0005-0000-0000-0000E76C0000}"/>
    <cellStyle name="Currency 3 2 3 2 6" xfId="28310" xr:uid="{00000000-0005-0000-0000-0000E86C0000}"/>
    <cellStyle name="Currency 3 2 3 3" xfId="28311" xr:uid="{00000000-0005-0000-0000-0000E96C0000}"/>
    <cellStyle name="Currency 3 2 3 3 2" xfId="28312" xr:uid="{00000000-0005-0000-0000-0000EA6C0000}"/>
    <cellStyle name="Currency 3 2 3 3 3" xfId="28313" xr:uid="{00000000-0005-0000-0000-0000EB6C0000}"/>
    <cellStyle name="Currency 3 2 3 4" xfId="28314" xr:uid="{00000000-0005-0000-0000-0000EC6C0000}"/>
    <cellStyle name="Currency 3 2 3 5" xfId="28315" xr:uid="{00000000-0005-0000-0000-0000ED6C0000}"/>
    <cellStyle name="Currency 3 2 3 6" xfId="28316" xr:uid="{00000000-0005-0000-0000-0000EE6C0000}"/>
    <cellStyle name="Currency 3 2 3 7" xfId="28317" xr:uid="{00000000-0005-0000-0000-0000EF6C0000}"/>
    <cellStyle name="Currency 3 2 4" xfId="28318" xr:uid="{00000000-0005-0000-0000-0000F06C0000}"/>
    <cellStyle name="Currency 3 2 4 2" xfId="28319" xr:uid="{00000000-0005-0000-0000-0000F16C0000}"/>
    <cellStyle name="Currency 3 2 4 2 2" xfId="28320" xr:uid="{00000000-0005-0000-0000-0000F26C0000}"/>
    <cellStyle name="Currency 3 2 4 2 3" xfId="28321" xr:uid="{00000000-0005-0000-0000-0000F36C0000}"/>
    <cellStyle name="Currency 3 2 4 3" xfId="28322" xr:uid="{00000000-0005-0000-0000-0000F46C0000}"/>
    <cellStyle name="Currency 3 2 4 4" xfId="28323" xr:uid="{00000000-0005-0000-0000-0000F56C0000}"/>
    <cellStyle name="Currency 3 2 4 5" xfId="28324" xr:uid="{00000000-0005-0000-0000-0000F66C0000}"/>
    <cellStyle name="Currency 3 2 4 6" xfId="28325" xr:uid="{00000000-0005-0000-0000-0000F76C0000}"/>
    <cellStyle name="Currency 3 2 5" xfId="28326" xr:uid="{00000000-0005-0000-0000-0000F86C0000}"/>
    <cellStyle name="Currency 3 2 5 2" xfId="28327" xr:uid="{00000000-0005-0000-0000-0000F96C0000}"/>
    <cellStyle name="Currency 3 2 5 2 2" xfId="28328" xr:uid="{00000000-0005-0000-0000-0000FA6C0000}"/>
    <cellStyle name="Currency 3 2 5 2 3" xfId="28329" xr:uid="{00000000-0005-0000-0000-0000FB6C0000}"/>
    <cellStyle name="Currency 3 2 5 3" xfId="28330" xr:uid="{00000000-0005-0000-0000-0000FC6C0000}"/>
    <cellStyle name="Currency 3 2 5 4" xfId="28331" xr:uid="{00000000-0005-0000-0000-0000FD6C0000}"/>
    <cellStyle name="Currency 3 2 5 5" xfId="28332" xr:uid="{00000000-0005-0000-0000-0000FE6C0000}"/>
    <cellStyle name="Currency 3 2 5 6" xfId="28333" xr:uid="{00000000-0005-0000-0000-0000FF6C0000}"/>
    <cellStyle name="Currency 3 2 6" xfId="28334" xr:uid="{00000000-0005-0000-0000-0000006D0000}"/>
    <cellStyle name="Currency 3 2 6 2" xfId="28335" xr:uid="{00000000-0005-0000-0000-0000016D0000}"/>
    <cellStyle name="Currency 3 2 6 3" xfId="28336" xr:uid="{00000000-0005-0000-0000-0000026D0000}"/>
    <cellStyle name="Currency 3 2 7" xfId="28337" xr:uid="{00000000-0005-0000-0000-0000036D0000}"/>
    <cellStyle name="Currency 3 2 8" xfId="28338" xr:uid="{00000000-0005-0000-0000-0000046D0000}"/>
    <cellStyle name="Currency 3 2 9" xfId="28339" xr:uid="{00000000-0005-0000-0000-0000056D0000}"/>
    <cellStyle name="Currency 3 3" xfId="608" xr:uid="{00000000-0005-0000-0000-0000066D0000}"/>
    <cellStyle name="Currency 3 3 2" xfId="28340" xr:uid="{00000000-0005-0000-0000-0000076D0000}"/>
    <cellStyle name="Currency 3 3 2 2" xfId="28341" xr:uid="{00000000-0005-0000-0000-0000086D0000}"/>
    <cellStyle name="Currency 3 3 2 2 2" xfId="28342" xr:uid="{00000000-0005-0000-0000-0000096D0000}"/>
    <cellStyle name="Currency 3 3 2 2 2 2" xfId="28343" xr:uid="{00000000-0005-0000-0000-00000A6D0000}"/>
    <cellStyle name="Currency 3 3 2 2 2 3" xfId="28344" xr:uid="{00000000-0005-0000-0000-00000B6D0000}"/>
    <cellStyle name="Currency 3 3 2 2 3" xfId="28345" xr:uid="{00000000-0005-0000-0000-00000C6D0000}"/>
    <cellStyle name="Currency 3 3 2 2 4" xfId="28346" xr:uid="{00000000-0005-0000-0000-00000D6D0000}"/>
    <cellStyle name="Currency 3 3 2 2 5" xfId="28347" xr:uid="{00000000-0005-0000-0000-00000E6D0000}"/>
    <cellStyle name="Currency 3 3 2 2 6" xfId="28348" xr:uid="{00000000-0005-0000-0000-00000F6D0000}"/>
    <cellStyle name="Currency 3 3 2 3" xfId="28349" xr:uid="{00000000-0005-0000-0000-0000106D0000}"/>
    <cellStyle name="Currency 3 3 2 3 2" xfId="28350" xr:uid="{00000000-0005-0000-0000-0000116D0000}"/>
    <cellStyle name="Currency 3 3 2 3 3" xfId="28351" xr:uid="{00000000-0005-0000-0000-0000126D0000}"/>
    <cellStyle name="Currency 3 3 2 4" xfId="28352" xr:uid="{00000000-0005-0000-0000-0000136D0000}"/>
    <cellStyle name="Currency 3 3 2 5" xfId="28353" xr:uid="{00000000-0005-0000-0000-0000146D0000}"/>
    <cellStyle name="Currency 3 3 2 6" xfId="28354" xr:uid="{00000000-0005-0000-0000-0000156D0000}"/>
    <cellStyle name="Currency 3 3 2 7" xfId="28355" xr:uid="{00000000-0005-0000-0000-0000166D0000}"/>
    <cellStyle name="Currency 3 3 3" xfId="28356" xr:uid="{00000000-0005-0000-0000-0000176D0000}"/>
    <cellStyle name="Currency 3 3 3 2" xfId="28357" xr:uid="{00000000-0005-0000-0000-0000186D0000}"/>
    <cellStyle name="Currency 3 3 3 2 2" xfId="28358" xr:uid="{00000000-0005-0000-0000-0000196D0000}"/>
    <cellStyle name="Currency 3 3 3 2 3" xfId="28359" xr:uid="{00000000-0005-0000-0000-00001A6D0000}"/>
    <cellStyle name="Currency 3 3 3 3" xfId="28360" xr:uid="{00000000-0005-0000-0000-00001B6D0000}"/>
    <cellStyle name="Currency 3 3 3 4" xfId="28361" xr:uid="{00000000-0005-0000-0000-00001C6D0000}"/>
    <cellStyle name="Currency 3 3 3 5" xfId="28362" xr:uid="{00000000-0005-0000-0000-00001D6D0000}"/>
    <cellStyle name="Currency 3 3 3 6" xfId="28363" xr:uid="{00000000-0005-0000-0000-00001E6D0000}"/>
    <cellStyle name="Currency 3 3 4" xfId="28364" xr:uid="{00000000-0005-0000-0000-00001F6D0000}"/>
    <cellStyle name="Currency 3 3 4 2" xfId="28365" xr:uid="{00000000-0005-0000-0000-0000206D0000}"/>
    <cellStyle name="Currency 3 3 4 2 2" xfId="28366" xr:uid="{00000000-0005-0000-0000-0000216D0000}"/>
    <cellStyle name="Currency 3 3 4 2 3" xfId="28367" xr:uid="{00000000-0005-0000-0000-0000226D0000}"/>
    <cellStyle name="Currency 3 3 4 3" xfId="28368" xr:uid="{00000000-0005-0000-0000-0000236D0000}"/>
    <cellStyle name="Currency 3 3 4 4" xfId="28369" xr:uid="{00000000-0005-0000-0000-0000246D0000}"/>
    <cellStyle name="Currency 3 3 4 5" xfId="28370" xr:uid="{00000000-0005-0000-0000-0000256D0000}"/>
    <cellStyle name="Currency 3 3 4 6" xfId="28371" xr:uid="{00000000-0005-0000-0000-0000266D0000}"/>
    <cellStyle name="Currency 3 3 5" xfId="28372" xr:uid="{00000000-0005-0000-0000-0000276D0000}"/>
    <cellStyle name="Currency 3 3 5 2" xfId="28373" xr:uid="{00000000-0005-0000-0000-0000286D0000}"/>
    <cellStyle name="Currency 3 3 5 3" xfId="28374" xr:uid="{00000000-0005-0000-0000-0000296D0000}"/>
    <cellStyle name="Currency 3 3 6" xfId="28375" xr:uid="{00000000-0005-0000-0000-00002A6D0000}"/>
    <cellStyle name="Currency 3 3 7" xfId="28376" xr:uid="{00000000-0005-0000-0000-00002B6D0000}"/>
    <cellStyle name="Currency 3 3 8" xfId="28377" xr:uid="{00000000-0005-0000-0000-00002C6D0000}"/>
    <cellStyle name="Currency 3 3 9" xfId="28378" xr:uid="{00000000-0005-0000-0000-00002D6D0000}"/>
    <cellStyle name="Currency 3 4" xfId="28379" xr:uid="{00000000-0005-0000-0000-00002E6D0000}"/>
    <cellStyle name="Currency 3 4 2" xfId="28380" xr:uid="{00000000-0005-0000-0000-00002F6D0000}"/>
    <cellStyle name="Currency 3 4 2 2" xfId="28381" xr:uid="{00000000-0005-0000-0000-0000306D0000}"/>
    <cellStyle name="Currency 3 4 2 2 2" xfId="28382" xr:uid="{00000000-0005-0000-0000-0000316D0000}"/>
    <cellStyle name="Currency 3 4 2 2 3" xfId="28383" xr:uid="{00000000-0005-0000-0000-0000326D0000}"/>
    <cellStyle name="Currency 3 4 2 3" xfId="28384" xr:uid="{00000000-0005-0000-0000-0000336D0000}"/>
    <cellStyle name="Currency 3 4 2 4" xfId="28385" xr:uid="{00000000-0005-0000-0000-0000346D0000}"/>
    <cellStyle name="Currency 3 4 2 5" xfId="28386" xr:uid="{00000000-0005-0000-0000-0000356D0000}"/>
    <cellStyle name="Currency 3 4 2 6" xfId="28387" xr:uid="{00000000-0005-0000-0000-0000366D0000}"/>
    <cellStyle name="Currency 3 4 3" xfId="28388" xr:uid="{00000000-0005-0000-0000-0000376D0000}"/>
    <cellStyle name="Currency 3 4 3 2" xfId="28389" xr:uid="{00000000-0005-0000-0000-0000386D0000}"/>
    <cellStyle name="Currency 3 4 3 3" xfId="28390" xr:uid="{00000000-0005-0000-0000-0000396D0000}"/>
    <cellStyle name="Currency 3 4 4" xfId="28391" xr:uid="{00000000-0005-0000-0000-00003A6D0000}"/>
    <cellStyle name="Currency 3 4 5" xfId="28392" xr:uid="{00000000-0005-0000-0000-00003B6D0000}"/>
    <cellStyle name="Currency 3 4 6" xfId="28393" xr:uid="{00000000-0005-0000-0000-00003C6D0000}"/>
    <cellStyle name="Currency 3 4 7" xfId="28394" xr:uid="{00000000-0005-0000-0000-00003D6D0000}"/>
    <cellStyle name="Currency 3 5" xfId="28395" xr:uid="{00000000-0005-0000-0000-00003E6D0000}"/>
    <cellStyle name="Currency 3 5 2" xfId="28396" xr:uid="{00000000-0005-0000-0000-00003F6D0000}"/>
    <cellStyle name="Currency 3 5 2 2" xfId="28397" xr:uid="{00000000-0005-0000-0000-0000406D0000}"/>
    <cellStyle name="Currency 3 5 2 3" xfId="28398" xr:uid="{00000000-0005-0000-0000-0000416D0000}"/>
    <cellStyle name="Currency 3 5 3" xfId="28399" xr:uid="{00000000-0005-0000-0000-0000426D0000}"/>
    <cellStyle name="Currency 3 5 4" xfId="28400" xr:uid="{00000000-0005-0000-0000-0000436D0000}"/>
    <cellStyle name="Currency 3 5 5" xfId="28401" xr:uid="{00000000-0005-0000-0000-0000446D0000}"/>
    <cellStyle name="Currency 3 5 6" xfId="28402" xr:uid="{00000000-0005-0000-0000-0000456D0000}"/>
    <cellStyle name="Currency 3 6" xfId="28403" xr:uid="{00000000-0005-0000-0000-0000466D0000}"/>
    <cellStyle name="Currency 3 6 2" xfId="28404" xr:uid="{00000000-0005-0000-0000-0000476D0000}"/>
    <cellStyle name="Currency 3 6 2 2" xfId="28405" xr:uid="{00000000-0005-0000-0000-0000486D0000}"/>
    <cellStyle name="Currency 3 6 2 3" xfId="28406" xr:uid="{00000000-0005-0000-0000-0000496D0000}"/>
    <cellStyle name="Currency 3 6 3" xfId="28407" xr:uid="{00000000-0005-0000-0000-00004A6D0000}"/>
    <cellStyle name="Currency 3 6 4" xfId="28408" xr:uid="{00000000-0005-0000-0000-00004B6D0000}"/>
    <cellStyle name="Currency 3 6 5" xfId="28409" xr:uid="{00000000-0005-0000-0000-00004C6D0000}"/>
    <cellStyle name="Currency 3 6 6" xfId="28410" xr:uid="{00000000-0005-0000-0000-00004D6D0000}"/>
    <cellStyle name="Currency 3 7" xfId="28411" xr:uid="{00000000-0005-0000-0000-00004E6D0000}"/>
    <cellStyle name="Currency 3 7 2" xfId="28412" xr:uid="{00000000-0005-0000-0000-00004F6D0000}"/>
    <cellStyle name="Currency 3 7 2 2" xfId="28413" xr:uid="{00000000-0005-0000-0000-0000506D0000}"/>
    <cellStyle name="Currency 3 7 2 3" xfId="28414" xr:uid="{00000000-0005-0000-0000-0000516D0000}"/>
    <cellStyle name="Currency 3 7 3" xfId="28415" xr:uid="{00000000-0005-0000-0000-0000526D0000}"/>
    <cellStyle name="Currency 3 7 4" xfId="28416" xr:uid="{00000000-0005-0000-0000-0000536D0000}"/>
    <cellStyle name="Currency 3 7 5" xfId="28417" xr:uid="{00000000-0005-0000-0000-0000546D0000}"/>
    <cellStyle name="Currency 3 7 6" xfId="28418" xr:uid="{00000000-0005-0000-0000-0000556D0000}"/>
    <cellStyle name="Currency 3 8" xfId="28419" xr:uid="{00000000-0005-0000-0000-0000566D0000}"/>
    <cellStyle name="Currency 3 8 2" xfId="28420" xr:uid="{00000000-0005-0000-0000-0000576D0000}"/>
    <cellStyle name="Currency 3 8 2 2" xfId="28421" xr:uid="{00000000-0005-0000-0000-0000586D0000}"/>
    <cellStyle name="Currency 3 8 2 3" xfId="28422" xr:uid="{00000000-0005-0000-0000-0000596D0000}"/>
    <cellStyle name="Currency 3 8 3" xfId="28423" xr:uid="{00000000-0005-0000-0000-00005A6D0000}"/>
    <cellStyle name="Currency 3 8 4" xfId="28424" xr:uid="{00000000-0005-0000-0000-00005B6D0000}"/>
    <cellStyle name="Currency 3 8 5" xfId="28425" xr:uid="{00000000-0005-0000-0000-00005C6D0000}"/>
    <cellStyle name="Currency 3 8 6" xfId="28426" xr:uid="{00000000-0005-0000-0000-00005D6D0000}"/>
    <cellStyle name="Currency 3 9" xfId="28427" xr:uid="{00000000-0005-0000-0000-00005E6D0000}"/>
    <cellStyle name="Currency 3 9 2" xfId="28428" xr:uid="{00000000-0005-0000-0000-00005F6D0000}"/>
    <cellStyle name="Currency 3 9 3" xfId="28429" xr:uid="{00000000-0005-0000-0000-0000606D0000}"/>
    <cellStyle name="Currency 4" xfId="101" xr:uid="{00000000-0005-0000-0000-0000616D0000}"/>
    <cellStyle name="Currency 4 2" xfId="609" xr:uid="{00000000-0005-0000-0000-0000626D0000}"/>
    <cellStyle name="Currency 4 2 2" xfId="28430" xr:uid="{00000000-0005-0000-0000-0000636D0000}"/>
    <cellStyle name="Currency 4 2 3" xfId="28431" xr:uid="{00000000-0005-0000-0000-0000646D0000}"/>
    <cellStyle name="Currency 4 3" xfId="28432" xr:uid="{00000000-0005-0000-0000-0000656D0000}"/>
    <cellStyle name="Currency 4 4" xfId="28433" xr:uid="{00000000-0005-0000-0000-0000666D0000}"/>
    <cellStyle name="Currency 4 5" xfId="28434" xr:uid="{00000000-0005-0000-0000-0000676D0000}"/>
    <cellStyle name="Currency 4 6" xfId="28435" xr:uid="{00000000-0005-0000-0000-0000686D0000}"/>
    <cellStyle name="Currency 5" xfId="102" xr:uid="{00000000-0005-0000-0000-0000696D0000}"/>
    <cellStyle name="Currency 6" xfId="231" xr:uid="{00000000-0005-0000-0000-00006A6D0000}"/>
    <cellStyle name="Currency 6 2" xfId="28436" xr:uid="{00000000-0005-0000-0000-00006B6D0000}"/>
    <cellStyle name="Currency 7" xfId="28437" xr:uid="{00000000-0005-0000-0000-00006C6D0000}"/>
    <cellStyle name="Currency 8" xfId="28438" xr:uid="{00000000-0005-0000-0000-00006D6D0000}"/>
    <cellStyle name="Currency 9" xfId="28439" xr:uid="{00000000-0005-0000-0000-00006E6D0000}"/>
    <cellStyle name="Currency(1)" xfId="28440" xr:uid="{00000000-0005-0000-0000-00006F6D0000}"/>
    <cellStyle name="Currency(1) 2" xfId="28441" xr:uid="{00000000-0005-0000-0000-0000706D0000}"/>
    <cellStyle name="Currency(1) 3" xfId="28442" xr:uid="{00000000-0005-0000-0000-0000716D0000}"/>
    <cellStyle name="Currency(1) 4" xfId="28443" xr:uid="{00000000-0005-0000-0000-0000726D0000}"/>
    <cellStyle name="Currency0" xfId="28444" xr:uid="{00000000-0005-0000-0000-0000736D0000}"/>
    <cellStyle name="Currency0 2" xfId="28445" xr:uid="{00000000-0005-0000-0000-0000746D0000}"/>
    <cellStyle name="Currency0 3" xfId="28446" xr:uid="{00000000-0005-0000-0000-0000756D0000}"/>
    <cellStyle name="Data" xfId="28447" xr:uid="{00000000-0005-0000-0000-0000766D0000}"/>
    <cellStyle name="Data 2" xfId="28448" xr:uid="{00000000-0005-0000-0000-0000776D0000}"/>
    <cellStyle name="Data no deci" xfId="28449" xr:uid="{00000000-0005-0000-0000-0000786D0000}"/>
    <cellStyle name="Data Superscript" xfId="28450" xr:uid="{00000000-0005-0000-0000-0000796D0000}"/>
    <cellStyle name="Data_1-1A-Regular" xfId="28451" xr:uid="{00000000-0005-0000-0000-00007A6D0000}"/>
    <cellStyle name="DataEntry" xfId="28452" xr:uid="{00000000-0005-0000-0000-00007B6D0000}"/>
    <cellStyle name="DataEntry 2" xfId="28453" xr:uid="{00000000-0005-0000-0000-00007C6D0000}"/>
    <cellStyle name="DataEntry%" xfId="28454" xr:uid="{00000000-0005-0000-0000-00007D6D0000}"/>
    <cellStyle name="DataEntry% 2" xfId="28455" xr:uid="{00000000-0005-0000-0000-00007E6D0000}"/>
    <cellStyle name="Data-one deci" xfId="28456" xr:uid="{00000000-0005-0000-0000-00007F6D0000}"/>
    <cellStyle name="Date" xfId="103" xr:uid="{00000000-0005-0000-0000-0000806D0000}"/>
    <cellStyle name="Date 10" xfId="28457" xr:uid="{00000000-0005-0000-0000-0000816D0000}"/>
    <cellStyle name="DATE 2" xfId="28458" xr:uid="{00000000-0005-0000-0000-0000826D0000}"/>
    <cellStyle name="DATE 3" xfId="28459" xr:uid="{00000000-0005-0000-0000-0000836D0000}"/>
    <cellStyle name="DATE 4" xfId="28460" xr:uid="{00000000-0005-0000-0000-0000846D0000}"/>
    <cellStyle name="Date 5" xfId="28461" xr:uid="{00000000-0005-0000-0000-0000856D0000}"/>
    <cellStyle name="Date 6" xfId="28462" xr:uid="{00000000-0005-0000-0000-0000866D0000}"/>
    <cellStyle name="Date 7" xfId="28463" xr:uid="{00000000-0005-0000-0000-0000876D0000}"/>
    <cellStyle name="Date 8" xfId="28464" xr:uid="{00000000-0005-0000-0000-0000886D0000}"/>
    <cellStyle name="Date 9" xfId="28465" xr:uid="{00000000-0005-0000-0000-0000896D0000}"/>
    <cellStyle name="date(AM/PM)" xfId="28466" xr:uid="{00000000-0005-0000-0000-00008A6D0000}"/>
    <cellStyle name="date(AM/PM) 2" xfId="28467" xr:uid="{00000000-0005-0000-0000-00008B6D0000}"/>
    <cellStyle name="date(AM/PM) 3" xfId="28468" xr:uid="{00000000-0005-0000-0000-00008C6D0000}"/>
    <cellStyle name="DATE(MO/DAY)" xfId="28469" xr:uid="{00000000-0005-0000-0000-00008D6D0000}"/>
    <cellStyle name="DATE(MO/DAY) 2" xfId="28470" xr:uid="{00000000-0005-0000-0000-00008E6D0000}"/>
    <cellStyle name="DATE(MO/DAY) 3" xfId="28471" xr:uid="{00000000-0005-0000-0000-00008F6D0000}"/>
    <cellStyle name="DATE(MO/DAY) 4" xfId="28472" xr:uid="{00000000-0005-0000-0000-0000906D0000}"/>
    <cellStyle name="DATE_1000-20120184-052507" xfId="28473" xr:uid="{00000000-0005-0000-0000-0000916D0000}"/>
    <cellStyle name="DealTypeStyle" xfId="28474" xr:uid="{00000000-0005-0000-0000-0000926D0000}"/>
    <cellStyle name="Descriptions" xfId="28475" xr:uid="{00000000-0005-0000-0000-0000936D0000}"/>
    <cellStyle name="DescriptionsIndent1" xfId="28476" xr:uid="{00000000-0005-0000-0000-0000946D0000}"/>
    <cellStyle name="Emphasis 1" xfId="104" xr:uid="{00000000-0005-0000-0000-0000956D0000}"/>
    <cellStyle name="Emphasis 2" xfId="105" xr:uid="{00000000-0005-0000-0000-0000966D0000}"/>
    <cellStyle name="Emphasis 3" xfId="106" xr:uid="{00000000-0005-0000-0000-0000976D0000}"/>
    <cellStyle name="Euro" xfId="28477" xr:uid="{00000000-0005-0000-0000-0000986D0000}"/>
    <cellStyle name="Explanatory Text" xfId="18" builtinId="53" customBuiltin="1"/>
    <cellStyle name="Explanatory Text 2" xfId="232" xr:uid="{00000000-0005-0000-0000-00009A6D0000}"/>
    <cellStyle name="Explanatory Text 3" xfId="28478" xr:uid="{00000000-0005-0000-0000-00009B6D0000}"/>
    <cellStyle name="Explanatory Text 4" xfId="28479" xr:uid="{00000000-0005-0000-0000-00009C6D0000}"/>
    <cellStyle name="Explanatory Text 5" xfId="28480" xr:uid="{00000000-0005-0000-0000-00009D6D0000}"/>
    <cellStyle name="F2" xfId="28481" xr:uid="{00000000-0005-0000-0000-00009E6D0000}"/>
    <cellStyle name="F3" xfId="28482" xr:uid="{00000000-0005-0000-0000-00009F6D0000}"/>
    <cellStyle name="F4" xfId="28483" xr:uid="{00000000-0005-0000-0000-0000A06D0000}"/>
    <cellStyle name="F5" xfId="28484" xr:uid="{00000000-0005-0000-0000-0000A16D0000}"/>
    <cellStyle name="F6" xfId="28485" xr:uid="{00000000-0005-0000-0000-0000A26D0000}"/>
    <cellStyle name="F7" xfId="28486" xr:uid="{00000000-0005-0000-0000-0000A36D0000}"/>
    <cellStyle name="F8" xfId="28487" xr:uid="{00000000-0005-0000-0000-0000A46D0000}"/>
    <cellStyle name="Fixed" xfId="107" xr:uid="{00000000-0005-0000-0000-0000A56D0000}"/>
    <cellStyle name="Fixed 2" xfId="28488" xr:uid="{00000000-0005-0000-0000-0000A66D0000}"/>
    <cellStyle name="Font: Calibri, 9pt regular" xfId="28489" xr:uid="{00000000-0005-0000-0000-0000A76D0000}"/>
    <cellStyle name="Good" xfId="8" builtinId="26" customBuiltin="1"/>
    <cellStyle name="Good 2" xfId="233" xr:uid="{00000000-0005-0000-0000-0000A96D0000}"/>
    <cellStyle name="Good 2 2" xfId="28490" xr:uid="{00000000-0005-0000-0000-0000AA6D0000}"/>
    <cellStyle name="Good 3" xfId="28491" xr:uid="{00000000-0005-0000-0000-0000AB6D0000}"/>
    <cellStyle name="Good 4" xfId="28492" xr:uid="{00000000-0005-0000-0000-0000AC6D0000}"/>
    <cellStyle name="Good 5" xfId="28493" xr:uid="{00000000-0005-0000-0000-0000AD6D0000}"/>
    <cellStyle name="Grey" xfId="28494" xr:uid="{00000000-0005-0000-0000-0000AE6D0000}"/>
    <cellStyle name="HEAD" xfId="28495" xr:uid="{00000000-0005-0000-0000-0000AF6D0000}"/>
    <cellStyle name="Header" xfId="28496" xr:uid="{00000000-0005-0000-0000-0000B06D0000}"/>
    <cellStyle name="Header 2" xfId="28497" xr:uid="{00000000-0005-0000-0000-0000B16D0000}"/>
    <cellStyle name="Header: bottom row" xfId="28498" xr:uid="{00000000-0005-0000-0000-0000B26D0000}"/>
    <cellStyle name="Header1" xfId="28499" xr:uid="{00000000-0005-0000-0000-0000B36D0000}"/>
    <cellStyle name="Header2" xfId="28500" xr:uid="{00000000-0005-0000-0000-0000B46D0000}"/>
    <cellStyle name="HeaderGroup" xfId="28501" xr:uid="{00000000-0005-0000-0000-0000B56D0000}"/>
    <cellStyle name="Heading" xfId="28502" xr:uid="{00000000-0005-0000-0000-0000B66D0000}"/>
    <cellStyle name="Heading 1" xfId="4" builtinId="16" customBuiltin="1"/>
    <cellStyle name="Heading 1 2" xfId="234" xr:uid="{00000000-0005-0000-0000-0000B86D0000}"/>
    <cellStyle name="Heading 1 2 2" xfId="28503" xr:uid="{00000000-0005-0000-0000-0000B96D0000}"/>
    <cellStyle name="Heading 1 2 3" xfId="28504" xr:uid="{00000000-0005-0000-0000-0000BA6D0000}"/>
    <cellStyle name="Heading 1 3" xfId="28505" xr:uid="{00000000-0005-0000-0000-0000BB6D0000}"/>
    <cellStyle name="Heading 1 4" xfId="28506" xr:uid="{00000000-0005-0000-0000-0000BC6D0000}"/>
    <cellStyle name="Heading 1 5" xfId="28507" xr:uid="{00000000-0005-0000-0000-0000BD6D0000}"/>
    <cellStyle name="Heading 2" xfId="5" builtinId="17" customBuiltin="1"/>
    <cellStyle name="Heading 2 2" xfId="235" xr:uid="{00000000-0005-0000-0000-0000BF6D0000}"/>
    <cellStyle name="Heading 2 2 2" xfId="28508" xr:uid="{00000000-0005-0000-0000-0000C06D0000}"/>
    <cellStyle name="Heading 2 2 3" xfId="28509" xr:uid="{00000000-0005-0000-0000-0000C16D0000}"/>
    <cellStyle name="Heading 2 3" xfId="28510" xr:uid="{00000000-0005-0000-0000-0000C26D0000}"/>
    <cellStyle name="Heading 2 4" xfId="28511" xr:uid="{00000000-0005-0000-0000-0000C36D0000}"/>
    <cellStyle name="Heading 2 5" xfId="28512" xr:uid="{00000000-0005-0000-0000-0000C46D0000}"/>
    <cellStyle name="Heading 3" xfId="6" builtinId="18" customBuiltin="1"/>
    <cellStyle name="Heading 3 2" xfId="236" xr:uid="{00000000-0005-0000-0000-0000C66D0000}"/>
    <cellStyle name="Heading 3 2 2" xfId="237" xr:uid="{00000000-0005-0000-0000-0000C76D0000}"/>
    <cellStyle name="Heading 3 3" xfId="28513" xr:uid="{00000000-0005-0000-0000-0000C86D0000}"/>
    <cellStyle name="Heading 3 4" xfId="28514" xr:uid="{00000000-0005-0000-0000-0000C96D0000}"/>
    <cellStyle name="Heading 3 5" xfId="28515" xr:uid="{00000000-0005-0000-0000-0000CA6D0000}"/>
    <cellStyle name="Heading 4" xfId="7" builtinId="19" customBuiltin="1"/>
    <cellStyle name="Heading 4 2" xfId="238" xr:uid="{00000000-0005-0000-0000-0000CC6D0000}"/>
    <cellStyle name="Heading 4 3" xfId="28516" xr:uid="{00000000-0005-0000-0000-0000CD6D0000}"/>
    <cellStyle name="Heading 4 4" xfId="28517" xr:uid="{00000000-0005-0000-0000-0000CE6D0000}"/>
    <cellStyle name="Heading 4 5" xfId="28518" xr:uid="{00000000-0005-0000-0000-0000CF6D0000}"/>
    <cellStyle name="Heading1" xfId="108" xr:uid="{00000000-0005-0000-0000-0000D06D0000}"/>
    <cellStyle name="Heading2" xfId="109" xr:uid="{00000000-0005-0000-0000-0000D16D0000}"/>
    <cellStyle name="Hed Side" xfId="28519" xr:uid="{00000000-0005-0000-0000-0000D26D0000}"/>
    <cellStyle name="Hed Side bold" xfId="28520" xr:uid="{00000000-0005-0000-0000-0000D36D0000}"/>
    <cellStyle name="Hed Side Indent" xfId="28521" xr:uid="{00000000-0005-0000-0000-0000D46D0000}"/>
    <cellStyle name="Hed Side Regular" xfId="28522" xr:uid="{00000000-0005-0000-0000-0000D56D0000}"/>
    <cellStyle name="Hed Side_1-1A-Regular" xfId="28523" xr:uid="{00000000-0005-0000-0000-0000D66D0000}"/>
    <cellStyle name="Hed Top" xfId="28524" xr:uid="{00000000-0005-0000-0000-0000D76D0000}"/>
    <cellStyle name="Hed Top - SECTION" xfId="28525" xr:uid="{00000000-0005-0000-0000-0000D86D0000}"/>
    <cellStyle name="Hed Top_3-new4" xfId="28526" xr:uid="{00000000-0005-0000-0000-0000D96D0000}"/>
    <cellStyle name="Hyperlink" xfId="45" builtinId="8"/>
    <cellStyle name="Hyperlink 2" xfId="49" xr:uid="{00000000-0005-0000-0000-0000DB6D0000}"/>
    <cellStyle name="Hyperlink 2 2" xfId="110" xr:uid="{00000000-0005-0000-0000-0000DC6D0000}"/>
    <cellStyle name="Hyperlink 2 3" xfId="28527" xr:uid="{00000000-0005-0000-0000-0000DD6D0000}"/>
    <cellStyle name="Hyperlink 3" xfId="28528" xr:uid="{00000000-0005-0000-0000-0000DE6D0000}"/>
    <cellStyle name="Hyperlink 4" xfId="28529" xr:uid="{00000000-0005-0000-0000-0000DF6D0000}"/>
    <cellStyle name="Hyperlink 5" xfId="28530" xr:uid="{00000000-0005-0000-0000-0000E06D0000}"/>
    <cellStyle name="IndexStyle5" xfId="28531" xr:uid="{00000000-0005-0000-0000-0000E16D0000}"/>
    <cellStyle name="Input" xfId="11" builtinId="20" customBuiltin="1"/>
    <cellStyle name="Input [yellow]" xfId="28532" xr:uid="{00000000-0005-0000-0000-0000E36D0000}"/>
    <cellStyle name="Input 2" xfId="239" xr:uid="{00000000-0005-0000-0000-0000E46D0000}"/>
    <cellStyle name="Input 2 10" xfId="365" xr:uid="{00000000-0005-0000-0000-0000E56D0000}"/>
    <cellStyle name="Input 2 2" xfId="240" xr:uid="{00000000-0005-0000-0000-0000E66D0000}"/>
    <cellStyle name="Input 2 2 2" xfId="366" xr:uid="{00000000-0005-0000-0000-0000E76D0000}"/>
    <cellStyle name="Input 2 2 3" xfId="367" xr:uid="{00000000-0005-0000-0000-0000E86D0000}"/>
    <cellStyle name="Input 2 3" xfId="368" xr:uid="{00000000-0005-0000-0000-0000E96D0000}"/>
    <cellStyle name="Input 2 3 2" xfId="369" xr:uid="{00000000-0005-0000-0000-0000EA6D0000}"/>
    <cellStyle name="Input 2 3 3" xfId="370" xr:uid="{00000000-0005-0000-0000-0000EB6D0000}"/>
    <cellStyle name="Input 2 4" xfId="371" xr:uid="{00000000-0005-0000-0000-0000EC6D0000}"/>
    <cellStyle name="Input 2 4 2" xfId="372" xr:uid="{00000000-0005-0000-0000-0000ED6D0000}"/>
    <cellStyle name="Input 2 4 3" xfId="373" xr:uid="{00000000-0005-0000-0000-0000EE6D0000}"/>
    <cellStyle name="Input 2 5" xfId="374" xr:uid="{00000000-0005-0000-0000-0000EF6D0000}"/>
    <cellStyle name="Input 2 5 2" xfId="375" xr:uid="{00000000-0005-0000-0000-0000F06D0000}"/>
    <cellStyle name="Input 2 5 3" xfId="376" xr:uid="{00000000-0005-0000-0000-0000F16D0000}"/>
    <cellStyle name="Input 2 5 4" xfId="377" xr:uid="{00000000-0005-0000-0000-0000F26D0000}"/>
    <cellStyle name="Input 2 6" xfId="378" xr:uid="{00000000-0005-0000-0000-0000F36D0000}"/>
    <cellStyle name="Input 2 7" xfId="379" xr:uid="{00000000-0005-0000-0000-0000F46D0000}"/>
    <cellStyle name="Input 2 8" xfId="380" xr:uid="{00000000-0005-0000-0000-0000F56D0000}"/>
    <cellStyle name="Input 2 9" xfId="381" xr:uid="{00000000-0005-0000-0000-0000F66D0000}"/>
    <cellStyle name="Input 3" xfId="382" xr:uid="{00000000-0005-0000-0000-0000F76D0000}"/>
    <cellStyle name="Input 3 2" xfId="383" xr:uid="{00000000-0005-0000-0000-0000F86D0000}"/>
    <cellStyle name="Input 3 3" xfId="384" xr:uid="{00000000-0005-0000-0000-0000F96D0000}"/>
    <cellStyle name="Input 4" xfId="28533" xr:uid="{00000000-0005-0000-0000-0000FA6D0000}"/>
    <cellStyle name="Input 5" xfId="28534" xr:uid="{00000000-0005-0000-0000-0000FB6D0000}"/>
    <cellStyle name="Input 6" xfId="28535" xr:uid="{00000000-0005-0000-0000-0000FC6D0000}"/>
    <cellStyle name="Input 7" xfId="28536" xr:uid="{00000000-0005-0000-0000-0000FD6D0000}"/>
    <cellStyle name="InputDescriptions" xfId="28537" xr:uid="{00000000-0005-0000-0000-0000FE6D0000}"/>
    <cellStyle name="InputHeading1" xfId="28538" xr:uid="{00000000-0005-0000-0000-0000FF6D0000}"/>
    <cellStyle name="InputNoCommas" xfId="28539" xr:uid="{00000000-0005-0000-0000-0000006E0000}"/>
    <cellStyle name="Linked Cell" xfId="14" builtinId="24" customBuiltin="1"/>
    <cellStyle name="Linked Cell 2" xfId="241" xr:uid="{00000000-0005-0000-0000-0000026E0000}"/>
    <cellStyle name="Linked Cell 2 2" xfId="28540" xr:uid="{00000000-0005-0000-0000-0000036E0000}"/>
    <cellStyle name="Linked Cell 3" xfId="28541" xr:uid="{00000000-0005-0000-0000-0000046E0000}"/>
    <cellStyle name="Linked Cell 4" xfId="28542" xr:uid="{00000000-0005-0000-0000-0000056E0000}"/>
    <cellStyle name="Linked Cell 5" xfId="28543" xr:uid="{00000000-0005-0000-0000-0000066E0000}"/>
    <cellStyle name="Migliaia (0)_Foglio1" xfId="28544" xr:uid="{00000000-0005-0000-0000-0000076E0000}"/>
    <cellStyle name="Millares 2" xfId="28545" xr:uid="{00000000-0005-0000-0000-0000086E0000}"/>
    <cellStyle name="Milliers 2" xfId="111" xr:uid="{00000000-0005-0000-0000-0000096E0000}"/>
    <cellStyle name="mm/dd/yy" xfId="28546" xr:uid="{00000000-0005-0000-0000-00000A6E0000}"/>
    <cellStyle name="mm/dd/yy 2" xfId="28547" xr:uid="{00000000-0005-0000-0000-00000B6E0000}"/>
    <cellStyle name="mm/dd/yy 2 2" xfId="28548" xr:uid="{00000000-0005-0000-0000-00000C6E0000}"/>
    <cellStyle name="mm/dd/yy 3" xfId="28549" xr:uid="{00000000-0005-0000-0000-00000D6E0000}"/>
    <cellStyle name="mm/dd/yy 4" xfId="28550" xr:uid="{00000000-0005-0000-0000-00000E6E0000}"/>
    <cellStyle name="mm/dd/yy 5" xfId="28551" xr:uid="{00000000-0005-0000-0000-00000F6E0000}"/>
    <cellStyle name="mm/dd/yy 6" xfId="28552" xr:uid="{00000000-0005-0000-0000-0000106E0000}"/>
    <cellStyle name="mmmm d,yyyy" xfId="28553" xr:uid="{00000000-0005-0000-0000-0000116E0000}"/>
    <cellStyle name="mmmm d,yyyy 2" xfId="28554" xr:uid="{00000000-0005-0000-0000-0000126E0000}"/>
    <cellStyle name="mmmm d,yyyy 2 2" xfId="28555" xr:uid="{00000000-0005-0000-0000-0000136E0000}"/>
    <cellStyle name="mmmm d,yyyy 3" xfId="28556" xr:uid="{00000000-0005-0000-0000-0000146E0000}"/>
    <cellStyle name="mmmm d,yyyy 4" xfId="28557" xr:uid="{00000000-0005-0000-0000-0000156E0000}"/>
    <cellStyle name="mmmm d,yyyy 5" xfId="28558" xr:uid="{00000000-0005-0000-0000-0000166E0000}"/>
    <cellStyle name="mmmm d,yyyy 6" xfId="28559" xr:uid="{00000000-0005-0000-0000-0000176E0000}"/>
    <cellStyle name="mmmm d,yyyy_dividend" xfId="28560" xr:uid="{00000000-0005-0000-0000-0000186E0000}"/>
    <cellStyle name="mmmm, yyyy" xfId="28561" xr:uid="{00000000-0005-0000-0000-0000196E0000}"/>
    <cellStyle name="mmmm, yyyy 2" xfId="28562" xr:uid="{00000000-0005-0000-0000-00001A6E0000}"/>
    <cellStyle name="mmmm, yyyy 3" xfId="28563" xr:uid="{00000000-0005-0000-0000-00001B6E0000}"/>
    <cellStyle name="mmmm, yyyy_Apr" xfId="28564" xr:uid="{00000000-0005-0000-0000-00001C6E0000}"/>
    <cellStyle name="Monétaire 2" xfId="112" xr:uid="{00000000-0005-0000-0000-00001D6E0000}"/>
    <cellStyle name="Neutral" xfId="10" builtinId="28" customBuiltin="1"/>
    <cellStyle name="Neutral 2" xfId="242" xr:uid="{00000000-0005-0000-0000-00001F6E0000}"/>
    <cellStyle name="Neutral 2 2" xfId="28565" xr:uid="{00000000-0005-0000-0000-0000206E0000}"/>
    <cellStyle name="Neutral 3" xfId="28566" xr:uid="{00000000-0005-0000-0000-0000216E0000}"/>
    <cellStyle name="Neutral 4" xfId="28567" xr:uid="{00000000-0005-0000-0000-0000226E0000}"/>
    <cellStyle name="Neutral 5" xfId="28568" xr:uid="{00000000-0005-0000-0000-0000236E0000}"/>
    <cellStyle name="Neutral 6" xfId="61067" xr:uid="{3920297E-B1E1-40B4-8001-69A31CFC15C4}"/>
    <cellStyle name="NODECS" xfId="28569" xr:uid="{00000000-0005-0000-0000-0000246E0000}"/>
    <cellStyle name="Normal" xfId="0" builtinId="0"/>
    <cellStyle name="Normal - Style1" xfId="113" xr:uid="{00000000-0005-0000-0000-0000266E0000}"/>
    <cellStyle name="Normal - Style2" xfId="114" xr:uid="{00000000-0005-0000-0000-0000276E0000}"/>
    <cellStyle name="Normal - Style3" xfId="115" xr:uid="{00000000-0005-0000-0000-0000286E0000}"/>
    <cellStyle name="Normal - Style4" xfId="116" xr:uid="{00000000-0005-0000-0000-0000296E0000}"/>
    <cellStyle name="Normal - Style5" xfId="117" xr:uid="{00000000-0005-0000-0000-00002A6E0000}"/>
    <cellStyle name="Normal - Style6" xfId="118" xr:uid="{00000000-0005-0000-0000-00002B6E0000}"/>
    <cellStyle name="Normal - Style7" xfId="119" xr:uid="{00000000-0005-0000-0000-00002C6E0000}"/>
    <cellStyle name="Normal - Style8" xfId="120" xr:uid="{00000000-0005-0000-0000-00002D6E0000}"/>
    <cellStyle name="Normal 10" xfId="121" xr:uid="{00000000-0005-0000-0000-00002E6E0000}"/>
    <cellStyle name="Normal 10 10" xfId="28570" xr:uid="{00000000-0005-0000-0000-00002F6E0000}"/>
    <cellStyle name="Normal 10 10 2" xfId="28571" xr:uid="{00000000-0005-0000-0000-0000306E0000}"/>
    <cellStyle name="Normal 10 10 2 2" xfId="28572" xr:uid="{00000000-0005-0000-0000-0000316E0000}"/>
    <cellStyle name="Normal 10 10 2 3" xfId="28573" xr:uid="{00000000-0005-0000-0000-0000326E0000}"/>
    <cellStyle name="Normal 10 10 3" xfId="28574" xr:uid="{00000000-0005-0000-0000-0000336E0000}"/>
    <cellStyle name="Normal 10 10 4" xfId="28575" xr:uid="{00000000-0005-0000-0000-0000346E0000}"/>
    <cellStyle name="Normal 10 10 5" xfId="28576" xr:uid="{00000000-0005-0000-0000-0000356E0000}"/>
    <cellStyle name="Normal 10 10 6" xfId="28577" xr:uid="{00000000-0005-0000-0000-0000366E0000}"/>
    <cellStyle name="Normal 10 11" xfId="28578" xr:uid="{00000000-0005-0000-0000-0000376E0000}"/>
    <cellStyle name="Normal 10 11 2" xfId="28579" xr:uid="{00000000-0005-0000-0000-0000386E0000}"/>
    <cellStyle name="Normal 10 11 2 2" xfId="28580" xr:uid="{00000000-0005-0000-0000-0000396E0000}"/>
    <cellStyle name="Normal 10 11 2 3" xfId="28581" xr:uid="{00000000-0005-0000-0000-00003A6E0000}"/>
    <cellStyle name="Normal 10 11 3" xfId="28582" xr:uid="{00000000-0005-0000-0000-00003B6E0000}"/>
    <cellStyle name="Normal 10 11 4" xfId="28583" xr:uid="{00000000-0005-0000-0000-00003C6E0000}"/>
    <cellStyle name="Normal 10 11 5" xfId="28584" xr:uid="{00000000-0005-0000-0000-00003D6E0000}"/>
    <cellStyle name="Normal 10 11 6" xfId="28585" xr:uid="{00000000-0005-0000-0000-00003E6E0000}"/>
    <cellStyle name="Normal 10 12" xfId="28586" xr:uid="{00000000-0005-0000-0000-00003F6E0000}"/>
    <cellStyle name="Normal 10 12 2" xfId="28587" xr:uid="{00000000-0005-0000-0000-0000406E0000}"/>
    <cellStyle name="Normal 10 12 3" xfId="28588" xr:uid="{00000000-0005-0000-0000-0000416E0000}"/>
    <cellStyle name="Normal 10 13" xfId="28589" xr:uid="{00000000-0005-0000-0000-0000426E0000}"/>
    <cellStyle name="Normal 10 14" xfId="28590" xr:uid="{00000000-0005-0000-0000-0000436E0000}"/>
    <cellStyle name="Normal 10 15" xfId="28591" xr:uid="{00000000-0005-0000-0000-0000446E0000}"/>
    <cellStyle name="Normal 10 16" xfId="28592" xr:uid="{00000000-0005-0000-0000-0000456E0000}"/>
    <cellStyle name="Normal 10 2" xfId="274" xr:uid="{00000000-0005-0000-0000-0000466E0000}"/>
    <cellStyle name="Normal 10 2 10" xfId="28593" xr:uid="{00000000-0005-0000-0000-0000476E0000}"/>
    <cellStyle name="Normal 10 2 10 2" xfId="28594" xr:uid="{00000000-0005-0000-0000-0000486E0000}"/>
    <cellStyle name="Normal 10 2 10 2 2" xfId="28595" xr:uid="{00000000-0005-0000-0000-0000496E0000}"/>
    <cellStyle name="Normal 10 2 10 2 3" xfId="28596" xr:uid="{00000000-0005-0000-0000-00004A6E0000}"/>
    <cellStyle name="Normal 10 2 10 3" xfId="28597" xr:uid="{00000000-0005-0000-0000-00004B6E0000}"/>
    <cellStyle name="Normal 10 2 10 4" xfId="28598" xr:uid="{00000000-0005-0000-0000-00004C6E0000}"/>
    <cellStyle name="Normal 10 2 10 5" xfId="28599" xr:uid="{00000000-0005-0000-0000-00004D6E0000}"/>
    <cellStyle name="Normal 10 2 10 6" xfId="28600" xr:uid="{00000000-0005-0000-0000-00004E6E0000}"/>
    <cellStyle name="Normal 10 2 11" xfId="28601" xr:uid="{00000000-0005-0000-0000-00004F6E0000}"/>
    <cellStyle name="Normal 10 2 11 2" xfId="28602" xr:uid="{00000000-0005-0000-0000-0000506E0000}"/>
    <cellStyle name="Normal 10 2 11 2 2" xfId="28603" xr:uid="{00000000-0005-0000-0000-0000516E0000}"/>
    <cellStyle name="Normal 10 2 11 2 3" xfId="28604" xr:uid="{00000000-0005-0000-0000-0000526E0000}"/>
    <cellStyle name="Normal 10 2 11 3" xfId="28605" xr:uid="{00000000-0005-0000-0000-0000536E0000}"/>
    <cellStyle name="Normal 10 2 11 4" xfId="28606" xr:uid="{00000000-0005-0000-0000-0000546E0000}"/>
    <cellStyle name="Normal 10 2 11 5" xfId="28607" xr:uid="{00000000-0005-0000-0000-0000556E0000}"/>
    <cellStyle name="Normal 10 2 11 6" xfId="28608" xr:uid="{00000000-0005-0000-0000-0000566E0000}"/>
    <cellStyle name="Normal 10 2 12" xfId="28609" xr:uid="{00000000-0005-0000-0000-0000576E0000}"/>
    <cellStyle name="Normal 10 2 12 2" xfId="28610" xr:uid="{00000000-0005-0000-0000-0000586E0000}"/>
    <cellStyle name="Normal 10 2 12 2 2" xfId="28611" xr:uid="{00000000-0005-0000-0000-0000596E0000}"/>
    <cellStyle name="Normal 10 2 12 2 3" xfId="28612" xr:uid="{00000000-0005-0000-0000-00005A6E0000}"/>
    <cellStyle name="Normal 10 2 12 3" xfId="28613" xr:uid="{00000000-0005-0000-0000-00005B6E0000}"/>
    <cellStyle name="Normal 10 2 12 4" xfId="28614" xr:uid="{00000000-0005-0000-0000-00005C6E0000}"/>
    <cellStyle name="Normal 10 2 12 5" xfId="28615" xr:uid="{00000000-0005-0000-0000-00005D6E0000}"/>
    <cellStyle name="Normal 10 2 12 6" xfId="28616" xr:uid="{00000000-0005-0000-0000-00005E6E0000}"/>
    <cellStyle name="Normal 10 2 13" xfId="28617" xr:uid="{00000000-0005-0000-0000-00005F6E0000}"/>
    <cellStyle name="Normal 10 2 13 2" xfId="28618" xr:uid="{00000000-0005-0000-0000-0000606E0000}"/>
    <cellStyle name="Normal 10 2 13 2 2" xfId="28619" xr:uid="{00000000-0005-0000-0000-0000616E0000}"/>
    <cellStyle name="Normal 10 2 13 2 3" xfId="28620" xr:uid="{00000000-0005-0000-0000-0000626E0000}"/>
    <cellStyle name="Normal 10 2 13 3" xfId="28621" xr:uid="{00000000-0005-0000-0000-0000636E0000}"/>
    <cellStyle name="Normal 10 2 13 4" xfId="28622" xr:uid="{00000000-0005-0000-0000-0000646E0000}"/>
    <cellStyle name="Normal 10 2 13 5" xfId="28623" xr:uid="{00000000-0005-0000-0000-0000656E0000}"/>
    <cellStyle name="Normal 10 2 13 6" xfId="28624" xr:uid="{00000000-0005-0000-0000-0000666E0000}"/>
    <cellStyle name="Normal 10 2 14" xfId="28625" xr:uid="{00000000-0005-0000-0000-0000676E0000}"/>
    <cellStyle name="Normal 10 2 14 2" xfId="28626" xr:uid="{00000000-0005-0000-0000-0000686E0000}"/>
    <cellStyle name="Normal 10 2 14 3" xfId="28627" xr:uid="{00000000-0005-0000-0000-0000696E0000}"/>
    <cellStyle name="Normal 10 2 15" xfId="28628" xr:uid="{00000000-0005-0000-0000-00006A6E0000}"/>
    <cellStyle name="Normal 10 2 16" xfId="28629" xr:uid="{00000000-0005-0000-0000-00006B6E0000}"/>
    <cellStyle name="Normal 10 2 17" xfId="28630" xr:uid="{00000000-0005-0000-0000-00006C6E0000}"/>
    <cellStyle name="Normal 10 2 18" xfId="28631" xr:uid="{00000000-0005-0000-0000-00006D6E0000}"/>
    <cellStyle name="Normal 10 2 2" xfId="28632" xr:uid="{00000000-0005-0000-0000-00006E6E0000}"/>
    <cellStyle name="Normal 10 2 2 10" xfId="28633" xr:uid="{00000000-0005-0000-0000-00006F6E0000}"/>
    <cellStyle name="Normal 10 2 2 10 2" xfId="28634" xr:uid="{00000000-0005-0000-0000-0000706E0000}"/>
    <cellStyle name="Normal 10 2 2 10 2 2" xfId="28635" xr:uid="{00000000-0005-0000-0000-0000716E0000}"/>
    <cellStyle name="Normal 10 2 2 10 2 3" xfId="28636" xr:uid="{00000000-0005-0000-0000-0000726E0000}"/>
    <cellStyle name="Normal 10 2 2 10 3" xfId="28637" xr:uid="{00000000-0005-0000-0000-0000736E0000}"/>
    <cellStyle name="Normal 10 2 2 10 4" xfId="28638" xr:uid="{00000000-0005-0000-0000-0000746E0000}"/>
    <cellStyle name="Normal 10 2 2 10 5" xfId="28639" xr:uid="{00000000-0005-0000-0000-0000756E0000}"/>
    <cellStyle name="Normal 10 2 2 10 6" xfId="28640" xr:uid="{00000000-0005-0000-0000-0000766E0000}"/>
    <cellStyle name="Normal 10 2 2 11" xfId="28641" xr:uid="{00000000-0005-0000-0000-0000776E0000}"/>
    <cellStyle name="Normal 10 2 2 11 2" xfId="28642" xr:uid="{00000000-0005-0000-0000-0000786E0000}"/>
    <cellStyle name="Normal 10 2 2 11 3" xfId="28643" xr:uid="{00000000-0005-0000-0000-0000796E0000}"/>
    <cellStyle name="Normal 10 2 2 12" xfId="28644" xr:uid="{00000000-0005-0000-0000-00007A6E0000}"/>
    <cellStyle name="Normal 10 2 2 13" xfId="28645" xr:uid="{00000000-0005-0000-0000-00007B6E0000}"/>
    <cellStyle name="Normal 10 2 2 14" xfId="28646" xr:uid="{00000000-0005-0000-0000-00007C6E0000}"/>
    <cellStyle name="Normal 10 2 2 15" xfId="28647" xr:uid="{00000000-0005-0000-0000-00007D6E0000}"/>
    <cellStyle name="Normal 10 2 2 2" xfId="28648" xr:uid="{00000000-0005-0000-0000-00007E6E0000}"/>
    <cellStyle name="Normal 10 2 2 2 10" xfId="28649" xr:uid="{00000000-0005-0000-0000-00007F6E0000}"/>
    <cellStyle name="Normal 10 2 2 2 10 2" xfId="28650" xr:uid="{00000000-0005-0000-0000-0000806E0000}"/>
    <cellStyle name="Normal 10 2 2 2 10 3" xfId="28651" xr:uid="{00000000-0005-0000-0000-0000816E0000}"/>
    <cellStyle name="Normal 10 2 2 2 11" xfId="28652" xr:uid="{00000000-0005-0000-0000-0000826E0000}"/>
    <cellStyle name="Normal 10 2 2 2 12" xfId="28653" xr:uid="{00000000-0005-0000-0000-0000836E0000}"/>
    <cellStyle name="Normal 10 2 2 2 13" xfId="28654" xr:uid="{00000000-0005-0000-0000-0000846E0000}"/>
    <cellStyle name="Normal 10 2 2 2 14" xfId="28655" xr:uid="{00000000-0005-0000-0000-0000856E0000}"/>
    <cellStyle name="Normal 10 2 2 2 2" xfId="28656" xr:uid="{00000000-0005-0000-0000-0000866E0000}"/>
    <cellStyle name="Normal 10 2 2 2 2 10" xfId="28657" xr:uid="{00000000-0005-0000-0000-0000876E0000}"/>
    <cellStyle name="Normal 10 2 2 2 2 11" xfId="28658" xr:uid="{00000000-0005-0000-0000-0000886E0000}"/>
    <cellStyle name="Normal 10 2 2 2 2 12" xfId="28659" xr:uid="{00000000-0005-0000-0000-0000896E0000}"/>
    <cellStyle name="Normal 10 2 2 2 2 13" xfId="28660" xr:uid="{00000000-0005-0000-0000-00008A6E0000}"/>
    <cellStyle name="Normal 10 2 2 2 2 2" xfId="28661" xr:uid="{00000000-0005-0000-0000-00008B6E0000}"/>
    <cellStyle name="Normal 10 2 2 2 2 2 10" xfId="28662" xr:uid="{00000000-0005-0000-0000-00008C6E0000}"/>
    <cellStyle name="Normal 10 2 2 2 2 2 2" xfId="28663" xr:uid="{00000000-0005-0000-0000-00008D6E0000}"/>
    <cellStyle name="Normal 10 2 2 2 2 2 2 2" xfId="28664" xr:uid="{00000000-0005-0000-0000-00008E6E0000}"/>
    <cellStyle name="Normal 10 2 2 2 2 2 2 2 2" xfId="28665" xr:uid="{00000000-0005-0000-0000-00008F6E0000}"/>
    <cellStyle name="Normal 10 2 2 2 2 2 2 2 2 2" xfId="28666" xr:uid="{00000000-0005-0000-0000-0000906E0000}"/>
    <cellStyle name="Normal 10 2 2 2 2 2 2 2 2 3" xfId="28667" xr:uid="{00000000-0005-0000-0000-0000916E0000}"/>
    <cellStyle name="Normal 10 2 2 2 2 2 2 2 3" xfId="28668" xr:uid="{00000000-0005-0000-0000-0000926E0000}"/>
    <cellStyle name="Normal 10 2 2 2 2 2 2 2 4" xfId="28669" xr:uid="{00000000-0005-0000-0000-0000936E0000}"/>
    <cellStyle name="Normal 10 2 2 2 2 2 2 2 5" xfId="28670" xr:uid="{00000000-0005-0000-0000-0000946E0000}"/>
    <cellStyle name="Normal 10 2 2 2 2 2 2 2 6" xfId="28671" xr:uid="{00000000-0005-0000-0000-0000956E0000}"/>
    <cellStyle name="Normal 10 2 2 2 2 2 2 3" xfId="28672" xr:uid="{00000000-0005-0000-0000-0000966E0000}"/>
    <cellStyle name="Normal 10 2 2 2 2 2 2 3 2" xfId="28673" xr:uid="{00000000-0005-0000-0000-0000976E0000}"/>
    <cellStyle name="Normal 10 2 2 2 2 2 2 3 2 2" xfId="28674" xr:uid="{00000000-0005-0000-0000-0000986E0000}"/>
    <cellStyle name="Normal 10 2 2 2 2 2 2 3 2 3" xfId="28675" xr:uid="{00000000-0005-0000-0000-0000996E0000}"/>
    <cellStyle name="Normal 10 2 2 2 2 2 2 3 3" xfId="28676" xr:uid="{00000000-0005-0000-0000-00009A6E0000}"/>
    <cellStyle name="Normal 10 2 2 2 2 2 2 3 4" xfId="28677" xr:uid="{00000000-0005-0000-0000-00009B6E0000}"/>
    <cellStyle name="Normal 10 2 2 2 2 2 2 3 5" xfId="28678" xr:uid="{00000000-0005-0000-0000-00009C6E0000}"/>
    <cellStyle name="Normal 10 2 2 2 2 2 2 3 6" xfId="28679" xr:uid="{00000000-0005-0000-0000-00009D6E0000}"/>
    <cellStyle name="Normal 10 2 2 2 2 2 2 4" xfId="28680" xr:uid="{00000000-0005-0000-0000-00009E6E0000}"/>
    <cellStyle name="Normal 10 2 2 2 2 2 2 4 2" xfId="28681" xr:uid="{00000000-0005-0000-0000-00009F6E0000}"/>
    <cellStyle name="Normal 10 2 2 2 2 2 2 4 3" xfId="28682" xr:uid="{00000000-0005-0000-0000-0000A06E0000}"/>
    <cellStyle name="Normal 10 2 2 2 2 2 2 5" xfId="28683" xr:uid="{00000000-0005-0000-0000-0000A16E0000}"/>
    <cellStyle name="Normal 10 2 2 2 2 2 2 6" xfId="28684" xr:uid="{00000000-0005-0000-0000-0000A26E0000}"/>
    <cellStyle name="Normal 10 2 2 2 2 2 2 7" xfId="28685" xr:uid="{00000000-0005-0000-0000-0000A36E0000}"/>
    <cellStyle name="Normal 10 2 2 2 2 2 2 8" xfId="28686" xr:uid="{00000000-0005-0000-0000-0000A46E0000}"/>
    <cellStyle name="Normal 10 2 2 2 2 2 3" xfId="28687" xr:uid="{00000000-0005-0000-0000-0000A56E0000}"/>
    <cellStyle name="Normal 10 2 2 2 2 2 3 2" xfId="28688" xr:uid="{00000000-0005-0000-0000-0000A66E0000}"/>
    <cellStyle name="Normal 10 2 2 2 2 2 3 2 2" xfId="28689" xr:uid="{00000000-0005-0000-0000-0000A76E0000}"/>
    <cellStyle name="Normal 10 2 2 2 2 2 3 2 2 2" xfId="28690" xr:uid="{00000000-0005-0000-0000-0000A86E0000}"/>
    <cellStyle name="Normal 10 2 2 2 2 2 3 2 2 3" xfId="28691" xr:uid="{00000000-0005-0000-0000-0000A96E0000}"/>
    <cellStyle name="Normal 10 2 2 2 2 2 3 2 3" xfId="28692" xr:uid="{00000000-0005-0000-0000-0000AA6E0000}"/>
    <cellStyle name="Normal 10 2 2 2 2 2 3 2 4" xfId="28693" xr:uid="{00000000-0005-0000-0000-0000AB6E0000}"/>
    <cellStyle name="Normal 10 2 2 2 2 2 3 2 5" xfId="28694" xr:uid="{00000000-0005-0000-0000-0000AC6E0000}"/>
    <cellStyle name="Normal 10 2 2 2 2 2 3 2 6" xfId="28695" xr:uid="{00000000-0005-0000-0000-0000AD6E0000}"/>
    <cellStyle name="Normal 10 2 2 2 2 2 3 3" xfId="28696" xr:uid="{00000000-0005-0000-0000-0000AE6E0000}"/>
    <cellStyle name="Normal 10 2 2 2 2 2 3 3 2" xfId="28697" xr:uid="{00000000-0005-0000-0000-0000AF6E0000}"/>
    <cellStyle name="Normal 10 2 2 2 2 2 3 3 3" xfId="28698" xr:uid="{00000000-0005-0000-0000-0000B06E0000}"/>
    <cellStyle name="Normal 10 2 2 2 2 2 3 4" xfId="28699" xr:uid="{00000000-0005-0000-0000-0000B16E0000}"/>
    <cellStyle name="Normal 10 2 2 2 2 2 3 5" xfId="28700" xr:uid="{00000000-0005-0000-0000-0000B26E0000}"/>
    <cellStyle name="Normal 10 2 2 2 2 2 3 6" xfId="28701" xr:uid="{00000000-0005-0000-0000-0000B36E0000}"/>
    <cellStyle name="Normal 10 2 2 2 2 2 3 7" xfId="28702" xr:uid="{00000000-0005-0000-0000-0000B46E0000}"/>
    <cellStyle name="Normal 10 2 2 2 2 2 4" xfId="28703" xr:uid="{00000000-0005-0000-0000-0000B56E0000}"/>
    <cellStyle name="Normal 10 2 2 2 2 2 4 2" xfId="28704" xr:uid="{00000000-0005-0000-0000-0000B66E0000}"/>
    <cellStyle name="Normal 10 2 2 2 2 2 4 2 2" xfId="28705" xr:uid="{00000000-0005-0000-0000-0000B76E0000}"/>
    <cellStyle name="Normal 10 2 2 2 2 2 4 2 3" xfId="28706" xr:uid="{00000000-0005-0000-0000-0000B86E0000}"/>
    <cellStyle name="Normal 10 2 2 2 2 2 4 3" xfId="28707" xr:uid="{00000000-0005-0000-0000-0000B96E0000}"/>
    <cellStyle name="Normal 10 2 2 2 2 2 4 4" xfId="28708" xr:uid="{00000000-0005-0000-0000-0000BA6E0000}"/>
    <cellStyle name="Normal 10 2 2 2 2 2 4 5" xfId="28709" xr:uid="{00000000-0005-0000-0000-0000BB6E0000}"/>
    <cellStyle name="Normal 10 2 2 2 2 2 4 6" xfId="28710" xr:uid="{00000000-0005-0000-0000-0000BC6E0000}"/>
    <cellStyle name="Normal 10 2 2 2 2 2 5" xfId="28711" xr:uid="{00000000-0005-0000-0000-0000BD6E0000}"/>
    <cellStyle name="Normal 10 2 2 2 2 2 5 2" xfId="28712" xr:uid="{00000000-0005-0000-0000-0000BE6E0000}"/>
    <cellStyle name="Normal 10 2 2 2 2 2 5 2 2" xfId="28713" xr:uid="{00000000-0005-0000-0000-0000BF6E0000}"/>
    <cellStyle name="Normal 10 2 2 2 2 2 5 2 3" xfId="28714" xr:uid="{00000000-0005-0000-0000-0000C06E0000}"/>
    <cellStyle name="Normal 10 2 2 2 2 2 5 3" xfId="28715" xr:uid="{00000000-0005-0000-0000-0000C16E0000}"/>
    <cellStyle name="Normal 10 2 2 2 2 2 5 4" xfId="28716" xr:uid="{00000000-0005-0000-0000-0000C26E0000}"/>
    <cellStyle name="Normal 10 2 2 2 2 2 5 5" xfId="28717" xr:uid="{00000000-0005-0000-0000-0000C36E0000}"/>
    <cellStyle name="Normal 10 2 2 2 2 2 5 6" xfId="28718" xr:uid="{00000000-0005-0000-0000-0000C46E0000}"/>
    <cellStyle name="Normal 10 2 2 2 2 2 6" xfId="28719" xr:uid="{00000000-0005-0000-0000-0000C56E0000}"/>
    <cellStyle name="Normal 10 2 2 2 2 2 6 2" xfId="28720" xr:uid="{00000000-0005-0000-0000-0000C66E0000}"/>
    <cellStyle name="Normal 10 2 2 2 2 2 6 3" xfId="28721" xr:uid="{00000000-0005-0000-0000-0000C76E0000}"/>
    <cellStyle name="Normal 10 2 2 2 2 2 7" xfId="28722" xr:uid="{00000000-0005-0000-0000-0000C86E0000}"/>
    <cellStyle name="Normal 10 2 2 2 2 2 8" xfId="28723" xr:uid="{00000000-0005-0000-0000-0000C96E0000}"/>
    <cellStyle name="Normal 10 2 2 2 2 2 9" xfId="28724" xr:uid="{00000000-0005-0000-0000-0000CA6E0000}"/>
    <cellStyle name="Normal 10 2 2 2 2 3" xfId="28725" xr:uid="{00000000-0005-0000-0000-0000CB6E0000}"/>
    <cellStyle name="Normal 10 2 2 2 2 3 2" xfId="28726" xr:uid="{00000000-0005-0000-0000-0000CC6E0000}"/>
    <cellStyle name="Normal 10 2 2 2 2 3 2 2" xfId="28727" xr:uid="{00000000-0005-0000-0000-0000CD6E0000}"/>
    <cellStyle name="Normal 10 2 2 2 2 3 2 2 2" xfId="28728" xr:uid="{00000000-0005-0000-0000-0000CE6E0000}"/>
    <cellStyle name="Normal 10 2 2 2 2 3 2 2 2 2" xfId="28729" xr:uid="{00000000-0005-0000-0000-0000CF6E0000}"/>
    <cellStyle name="Normal 10 2 2 2 2 3 2 2 2 3" xfId="28730" xr:uid="{00000000-0005-0000-0000-0000D06E0000}"/>
    <cellStyle name="Normal 10 2 2 2 2 3 2 2 3" xfId="28731" xr:uid="{00000000-0005-0000-0000-0000D16E0000}"/>
    <cellStyle name="Normal 10 2 2 2 2 3 2 2 4" xfId="28732" xr:uid="{00000000-0005-0000-0000-0000D26E0000}"/>
    <cellStyle name="Normal 10 2 2 2 2 3 2 2 5" xfId="28733" xr:uid="{00000000-0005-0000-0000-0000D36E0000}"/>
    <cellStyle name="Normal 10 2 2 2 2 3 2 2 6" xfId="28734" xr:uid="{00000000-0005-0000-0000-0000D46E0000}"/>
    <cellStyle name="Normal 10 2 2 2 2 3 2 3" xfId="28735" xr:uid="{00000000-0005-0000-0000-0000D56E0000}"/>
    <cellStyle name="Normal 10 2 2 2 2 3 2 3 2" xfId="28736" xr:uid="{00000000-0005-0000-0000-0000D66E0000}"/>
    <cellStyle name="Normal 10 2 2 2 2 3 2 3 3" xfId="28737" xr:uid="{00000000-0005-0000-0000-0000D76E0000}"/>
    <cellStyle name="Normal 10 2 2 2 2 3 2 4" xfId="28738" xr:uid="{00000000-0005-0000-0000-0000D86E0000}"/>
    <cellStyle name="Normal 10 2 2 2 2 3 2 5" xfId="28739" xr:uid="{00000000-0005-0000-0000-0000D96E0000}"/>
    <cellStyle name="Normal 10 2 2 2 2 3 2 6" xfId="28740" xr:uid="{00000000-0005-0000-0000-0000DA6E0000}"/>
    <cellStyle name="Normal 10 2 2 2 2 3 2 7" xfId="28741" xr:uid="{00000000-0005-0000-0000-0000DB6E0000}"/>
    <cellStyle name="Normal 10 2 2 2 2 3 3" xfId="28742" xr:uid="{00000000-0005-0000-0000-0000DC6E0000}"/>
    <cellStyle name="Normal 10 2 2 2 2 3 3 2" xfId="28743" xr:uid="{00000000-0005-0000-0000-0000DD6E0000}"/>
    <cellStyle name="Normal 10 2 2 2 2 3 3 2 2" xfId="28744" xr:uid="{00000000-0005-0000-0000-0000DE6E0000}"/>
    <cellStyle name="Normal 10 2 2 2 2 3 3 2 3" xfId="28745" xr:uid="{00000000-0005-0000-0000-0000DF6E0000}"/>
    <cellStyle name="Normal 10 2 2 2 2 3 3 3" xfId="28746" xr:uid="{00000000-0005-0000-0000-0000E06E0000}"/>
    <cellStyle name="Normal 10 2 2 2 2 3 3 4" xfId="28747" xr:uid="{00000000-0005-0000-0000-0000E16E0000}"/>
    <cellStyle name="Normal 10 2 2 2 2 3 3 5" xfId="28748" xr:uid="{00000000-0005-0000-0000-0000E26E0000}"/>
    <cellStyle name="Normal 10 2 2 2 2 3 3 6" xfId="28749" xr:uid="{00000000-0005-0000-0000-0000E36E0000}"/>
    <cellStyle name="Normal 10 2 2 2 2 3 4" xfId="28750" xr:uid="{00000000-0005-0000-0000-0000E46E0000}"/>
    <cellStyle name="Normal 10 2 2 2 2 3 4 2" xfId="28751" xr:uid="{00000000-0005-0000-0000-0000E56E0000}"/>
    <cellStyle name="Normal 10 2 2 2 2 3 4 2 2" xfId="28752" xr:uid="{00000000-0005-0000-0000-0000E66E0000}"/>
    <cellStyle name="Normal 10 2 2 2 2 3 4 2 3" xfId="28753" xr:uid="{00000000-0005-0000-0000-0000E76E0000}"/>
    <cellStyle name="Normal 10 2 2 2 2 3 4 3" xfId="28754" xr:uid="{00000000-0005-0000-0000-0000E86E0000}"/>
    <cellStyle name="Normal 10 2 2 2 2 3 4 4" xfId="28755" xr:uid="{00000000-0005-0000-0000-0000E96E0000}"/>
    <cellStyle name="Normal 10 2 2 2 2 3 4 5" xfId="28756" xr:uid="{00000000-0005-0000-0000-0000EA6E0000}"/>
    <cellStyle name="Normal 10 2 2 2 2 3 4 6" xfId="28757" xr:uid="{00000000-0005-0000-0000-0000EB6E0000}"/>
    <cellStyle name="Normal 10 2 2 2 2 3 5" xfId="28758" xr:uid="{00000000-0005-0000-0000-0000EC6E0000}"/>
    <cellStyle name="Normal 10 2 2 2 2 3 5 2" xfId="28759" xr:uid="{00000000-0005-0000-0000-0000ED6E0000}"/>
    <cellStyle name="Normal 10 2 2 2 2 3 5 3" xfId="28760" xr:uid="{00000000-0005-0000-0000-0000EE6E0000}"/>
    <cellStyle name="Normal 10 2 2 2 2 3 6" xfId="28761" xr:uid="{00000000-0005-0000-0000-0000EF6E0000}"/>
    <cellStyle name="Normal 10 2 2 2 2 3 7" xfId="28762" xr:uid="{00000000-0005-0000-0000-0000F06E0000}"/>
    <cellStyle name="Normal 10 2 2 2 2 3 8" xfId="28763" xr:uid="{00000000-0005-0000-0000-0000F16E0000}"/>
    <cellStyle name="Normal 10 2 2 2 2 3 9" xfId="28764" xr:uid="{00000000-0005-0000-0000-0000F26E0000}"/>
    <cellStyle name="Normal 10 2 2 2 2 4" xfId="28765" xr:uid="{00000000-0005-0000-0000-0000F36E0000}"/>
    <cellStyle name="Normal 10 2 2 2 2 4 2" xfId="28766" xr:uid="{00000000-0005-0000-0000-0000F46E0000}"/>
    <cellStyle name="Normal 10 2 2 2 2 4 2 2" xfId="28767" xr:uid="{00000000-0005-0000-0000-0000F56E0000}"/>
    <cellStyle name="Normal 10 2 2 2 2 4 2 2 2" xfId="28768" xr:uid="{00000000-0005-0000-0000-0000F66E0000}"/>
    <cellStyle name="Normal 10 2 2 2 2 4 2 2 3" xfId="28769" xr:uid="{00000000-0005-0000-0000-0000F76E0000}"/>
    <cellStyle name="Normal 10 2 2 2 2 4 2 3" xfId="28770" xr:uid="{00000000-0005-0000-0000-0000F86E0000}"/>
    <cellStyle name="Normal 10 2 2 2 2 4 2 4" xfId="28771" xr:uid="{00000000-0005-0000-0000-0000F96E0000}"/>
    <cellStyle name="Normal 10 2 2 2 2 4 2 5" xfId="28772" xr:uid="{00000000-0005-0000-0000-0000FA6E0000}"/>
    <cellStyle name="Normal 10 2 2 2 2 4 2 6" xfId="28773" xr:uid="{00000000-0005-0000-0000-0000FB6E0000}"/>
    <cellStyle name="Normal 10 2 2 2 2 4 3" xfId="28774" xr:uid="{00000000-0005-0000-0000-0000FC6E0000}"/>
    <cellStyle name="Normal 10 2 2 2 2 4 3 2" xfId="28775" xr:uid="{00000000-0005-0000-0000-0000FD6E0000}"/>
    <cellStyle name="Normal 10 2 2 2 2 4 3 3" xfId="28776" xr:uid="{00000000-0005-0000-0000-0000FE6E0000}"/>
    <cellStyle name="Normal 10 2 2 2 2 4 4" xfId="28777" xr:uid="{00000000-0005-0000-0000-0000FF6E0000}"/>
    <cellStyle name="Normal 10 2 2 2 2 4 5" xfId="28778" xr:uid="{00000000-0005-0000-0000-0000006F0000}"/>
    <cellStyle name="Normal 10 2 2 2 2 4 6" xfId="28779" xr:uid="{00000000-0005-0000-0000-0000016F0000}"/>
    <cellStyle name="Normal 10 2 2 2 2 4 7" xfId="28780" xr:uid="{00000000-0005-0000-0000-0000026F0000}"/>
    <cellStyle name="Normal 10 2 2 2 2 5" xfId="28781" xr:uid="{00000000-0005-0000-0000-0000036F0000}"/>
    <cellStyle name="Normal 10 2 2 2 2 5 2" xfId="28782" xr:uid="{00000000-0005-0000-0000-0000046F0000}"/>
    <cellStyle name="Normal 10 2 2 2 2 5 2 2" xfId="28783" xr:uid="{00000000-0005-0000-0000-0000056F0000}"/>
    <cellStyle name="Normal 10 2 2 2 2 5 2 3" xfId="28784" xr:uid="{00000000-0005-0000-0000-0000066F0000}"/>
    <cellStyle name="Normal 10 2 2 2 2 5 3" xfId="28785" xr:uid="{00000000-0005-0000-0000-0000076F0000}"/>
    <cellStyle name="Normal 10 2 2 2 2 5 4" xfId="28786" xr:uid="{00000000-0005-0000-0000-0000086F0000}"/>
    <cellStyle name="Normal 10 2 2 2 2 5 5" xfId="28787" xr:uid="{00000000-0005-0000-0000-0000096F0000}"/>
    <cellStyle name="Normal 10 2 2 2 2 5 6" xfId="28788" xr:uid="{00000000-0005-0000-0000-00000A6F0000}"/>
    <cellStyle name="Normal 10 2 2 2 2 6" xfId="28789" xr:uid="{00000000-0005-0000-0000-00000B6F0000}"/>
    <cellStyle name="Normal 10 2 2 2 2 6 2" xfId="28790" xr:uid="{00000000-0005-0000-0000-00000C6F0000}"/>
    <cellStyle name="Normal 10 2 2 2 2 6 2 2" xfId="28791" xr:uid="{00000000-0005-0000-0000-00000D6F0000}"/>
    <cellStyle name="Normal 10 2 2 2 2 6 2 3" xfId="28792" xr:uid="{00000000-0005-0000-0000-00000E6F0000}"/>
    <cellStyle name="Normal 10 2 2 2 2 6 3" xfId="28793" xr:uid="{00000000-0005-0000-0000-00000F6F0000}"/>
    <cellStyle name="Normal 10 2 2 2 2 6 4" xfId="28794" xr:uid="{00000000-0005-0000-0000-0000106F0000}"/>
    <cellStyle name="Normal 10 2 2 2 2 6 5" xfId="28795" xr:uid="{00000000-0005-0000-0000-0000116F0000}"/>
    <cellStyle name="Normal 10 2 2 2 2 6 6" xfId="28796" xr:uid="{00000000-0005-0000-0000-0000126F0000}"/>
    <cellStyle name="Normal 10 2 2 2 2 7" xfId="28797" xr:uid="{00000000-0005-0000-0000-0000136F0000}"/>
    <cellStyle name="Normal 10 2 2 2 2 7 2" xfId="28798" xr:uid="{00000000-0005-0000-0000-0000146F0000}"/>
    <cellStyle name="Normal 10 2 2 2 2 7 2 2" xfId="28799" xr:uid="{00000000-0005-0000-0000-0000156F0000}"/>
    <cellStyle name="Normal 10 2 2 2 2 7 2 3" xfId="28800" xr:uid="{00000000-0005-0000-0000-0000166F0000}"/>
    <cellStyle name="Normal 10 2 2 2 2 7 3" xfId="28801" xr:uid="{00000000-0005-0000-0000-0000176F0000}"/>
    <cellStyle name="Normal 10 2 2 2 2 7 4" xfId="28802" xr:uid="{00000000-0005-0000-0000-0000186F0000}"/>
    <cellStyle name="Normal 10 2 2 2 2 7 5" xfId="28803" xr:uid="{00000000-0005-0000-0000-0000196F0000}"/>
    <cellStyle name="Normal 10 2 2 2 2 7 6" xfId="28804" xr:uid="{00000000-0005-0000-0000-00001A6F0000}"/>
    <cellStyle name="Normal 10 2 2 2 2 8" xfId="28805" xr:uid="{00000000-0005-0000-0000-00001B6F0000}"/>
    <cellStyle name="Normal 10 2 2 2 2 8 2" xfId="28806" xr:uid="{00000000-0005-0000-0000-00001C6F0000}"/>
    <cellStyle name="Normal 10 2 2 2 2 8 2 2" xfId="28807" xr:uid="{00000000-0005-0000-0000-00001D6F0000}"/>
    <cellStyle name="Normal 10 2 2 2 2 8 2 3" xfId="28808" xr:uid="{00000000-0005-0000-0000-00001E6F0000}"/>
    <cellStyle name="Normal 10 2 2 2 2 8 3" xfId="28809" xr:uid="{00000000-0005-0000-0000-00001F6F0000}"/>
    <cellStyle name="Normal 10 2 2 2 2 8 4" xfId="28810" xr:uid="{00000000-0005-0000-0000-0000206F0000}"/>
    <cellStyle name="Normal 10 2 2 2 2 8 5" xfId="28811" xr:uid="{00000000-0005-0000-0000-0000216F0000}"/>
    <cellStyle name="Normal 10 2 2 2 2 8 6" xfId="28812" xr:uid="{00000000-0005-0000-0000-0000226F0000}"/>
    <cellStyle name="Normal 10 2 2 2 2 9" xfId="28813" xr:uid="{00000000-0005-0000-0000-0000236F0000}"/>
    <cellStyle name="Normal 10 2 2 2 2 9 2" xfId="28814" xr:uid="{00000000-0005-0000-0000-0000246F0000}"/>
    <cellStyle name="Normal 10 2 2 2 2 9 3" xfId="28815" xr:uid="{00000000-0005-0000-0000-0000256F0000}"/>
    <cellStyle name="Normal 10 2 2 2 3" xfId="28816" xr:uid="{00000000-0005-0000-0000-0000266F0000}"/>
    <cellStyle name="Normal 10 2 2 2 3 10" xfId="28817" xr:uid="{00000000-0005-0000-0000-0000276F0000}"/>
    <cellStyle name="Normal 10 2 2 2 3 2" xfId="28818" xr:uid="{00000000-0005-0000-0000-0000286F0000}"/>
    <cellStyle name="Normal 10 2 2 2 3 2 2" xfId="28819" xr:uid="{00000000-0005-0000-0000-0000296F0000}"/>
    <cellStyle name="Normal 10 2 2 2 3 2 2 2" xfId="28820" xr:uid="{00000000-0005-0000-0000-00002A6F0000}"/>
    <cellStyle name="Normal 10 2 2 2 3 2 2 2 2" xfId="28821" xr:uid="{00000000-0005-0000-0000-00002B6F0000}"/>
    <cellStyle name="Normal 10 2 2 2 3 2 2 2 3" xfId="28822" xr:uid="{00000000-0005-0000-0000-00002C6F0000}"/>
    <cellStyle name="Normal 10 2 2 2 3 2 2 3" xfId="28823" xr:uid="{00000000-0005-0000-0000-00002D6F0000}"/>
    <cellStyle name="Normal 10 2 2 2 3 2 2 4" xfId="28824" xr:uid="{00000000-0005-0000-0000-00002E6F0000}"/>
    <cellStyle name="Normal 10 2 2 2 3 2 2 5" xfId="28825" xr:uid="{00000000-0005-0000-0000-00002F6F0000}"/>
    <cellStyle name="Normal 10 2 2 2 3 2 2 6" xfId="28826" xr:uid="{00000000-0005-0000-0000-0000306F0000}"/>
    <cellStyle name="Normal 10 2 2 2 3 2 3" xfId="28827" xr:uid="{00000000-0005-0000-0000-0000316F0000}"/>
    <cellStyle name="Normal 10 2 2 2 3 2 3 2" xfId="28828" xr:uid="{00000000-0005-0000-0000-0000326F0000}"/>
    <cellStyle name="Normal 10 2 2 2 3 2 3 2 2" xfId="28829" xr:uid="{00000000-0005-0000-0000-0000336F0000}"/>
    <cellStyle name="Normal 10 2 2 2 3 2 3 2 3" xfId="28830" xr:uid="{00000000-0005-0000-0000-0000346F0000}"/>
    <cellStyle name="Normal 10 2 2 2 3 2 3 3" xfId="28831" xr:uid="{00000000-0005-0000-0000-0000356F0000}"/>
    <cellStyle name="Normal 10 2 2 2 3 2 3 4" xfId="28832" xr:uid="{00000000-0005-0000-0000-0000366F0000}"/>
    <cellStyle name="Normal 10 2 2 2 3 2 3 5" xfId="28833" xr:uid="{00000000-0005-0000-0000-0000376F0000}"/>
    <cellStyle name="Normal 10 2 2 2 3 2 3 6" xfId="28834" xr:uid="{00000000-0005-0000-0000-0000386F0000}"/>
    <cellStyle name="Normal 10 2 2 2 3 2 4" xfId="28835" xr:uid="{00000000-0005-0000-0000-0000396F0000}"/>
    <cellStyle name="Normal 10 2 2 2 3 2 4 2" xfId="28836" xr:uid="{00000000-0005-0000-0000-00003A6F0000}"/>
    <cellStyle name="Normal 10 2 2 2 3 2 4 3" xfId="28837" xr:uid="{00000000-0005-0000-0000-00003B6F0000}"/>
    <cellStyle name="Normal 10 2 2 2 3 2 5" xfId="28838" xr:uid="{00000000-0005-0000-0000-00003C6F0000}"/>
    <cellStyle name="Normal 10 2 2 2 3 2 6" xfId="28839" xr:uid="{00000000-0005-0000-0000-00003D6F0000}"/>
    <cellStyle name="Normal 10 2 2 2 3 2 7" xfId="28840" xr:uid="{00000000-0005-0000-0000-00003E6F0000}"/>
    <cellStyle name="Normal 10 2 2 2 3 2 8" xfId="28841" xr:uid="{00000000-0005-0000-0000-00003F6F0000}"/>
    <cellStyle name="Normal 10 2 2 2 3 3" xfId="28842" xr:uid="{00000000-0005-0000-0000-0000406F0000}"/>
    <cellStyle name="Normal 10 2 2 2 3 3 2" xfId="28843" xr:uid="{00000000-0005-0000-0000-0000416F0000}"/>
    <cellStyle name="Normal 10 2 2 2 3 3 2 2" xfId="28844" xr:uid="{00000000-0005-0000-0000-0000426F0000}"/>
    <cellStyle name="Normal 10 2 2 2 3 3 2 2 2" xfId="28845" xr:uid="{00000000-0005-0000-0000-0000436F0000}"/>
    <cellStyle name="Normal 10 2 2 2 3 3 2 2 3" xfId="28846" xr:uid="{00000000-0005-0000-0000-0000446F0000}"/>
    <cellStyle name="Normal 10 2 2 2 3 3 2 3" xfId="28847" xr:uid="{00000000-0005-0000-0000-0000456F0000}"/>
    <cellStyle name="Normal 10 2 2 2 3 3 2 4" xfId="28848" xr:uid="{00000000-0005-0000-0000-0000466F0000}"/>
    <cellStyle name="Normal 10 2 2 2 3 3 2 5" xfId="28849" xr:uid="{00000000-0005-0000-0000-0000476F0000}"/>
    <cellStyle name="Normal 10 2 2 2 3 3 2 6" xfId="28850" xr:uid="{00000000-0005-0000-0000-0000486F0000}"/>
    <cellStyle name="Normal 10 2 2 2 3 3 3" xfId="28851" xr:uid="{00000000-0005-0000-0000-0000496F0000}"/>
    <cellStyle name="Normal 10 2 2 2 3 3 3 2" xfId="28852" xr:uid="{00000000-0005-0000-0000-00004A6F0000}"/>
    <cellStyle name="Normal 10 2 2 2 3 3 3 3" xfId="28853" xr:uid="{00000000-0005-0000-0000-00004B6F0000}"/>
    <cellStyle name="Normal 10 2 2 2 3 3 4" xfId="28854" xr:uid="{00000000-0005-0000-0000-00004C6F0000}"/>
    <cellStyle name="Normal 10 2 2 2 3 3 5" xfId="28855" xr:uid="{00000000-0005-0000-0000-00004D6F0000}"/>
    <cellStyle name="Normal 10 2 2 2 3 3 6" xfId="28856" xr:uid="{00000000-0005-0000-0000-00004E6F0000}"/>
    <cellStyle name="Normal 10 2 2 2 3 3 7" xfId="28857" xr:uid="{00000000-0005-0000-0000-00004F6F0000}"/>
    <cellStyle name="Normal 10 2 2 2 3 4" xfId="28858" xr:uid="{00000000-0005-0000-0000-0000506F0000}"/>
    <cellStyle name="Normal 10 2 2 2 3 4 2" xfId="28859" xr:uid="{00000000-0005-0000-0000-0000516F0000}"/>
    <cellStyle name="Normal 10 2 2 2 3 4 2 2" xfId="28860" xr:uid="{00000000-0005-0000-0000-0000526F0000}"/>
    <cellStyle name="Normal 10 2 2 2 3 4 2 3" xfId="28861" xr:uid="{00000000-0005-0000-0000-0000536F0000}"/>
    <cellStyle name="Normal 10 2 2 2 3 4 3" xfId="28862" xr:uid="{00000000-0005-0000-0000-0000546F0000}"/>
    <cellStyle name="Normal 10 2 2 2 3 4 4" xfId="28863" xr:uid="{00000000-0005-0000-0000-0000556F0000}"/>
    <cellStyle name="Normal 10 2 2 2 3 4 5" xfId="28864" xr:uid="{00000000-0005-0000-0000-0000566F0000}"/>
    <cellStyle name="Normal 10 2 2 2 3 4 6" xfId="28865" xr:uid="{00000000-0005-0000-0000-0000576F0000}"/>
    <cellStyle name="Normal 10 2 2 2 3 5" xfId="28866" xr:uid="{00000000-0005-0000-0000-0000586F0000}"/>
    <cellStyle name="Normal 10 2 2 2 3 5 2" xfId="28867" xr:uid="{00000000-0005-0000-0000-0000596F0000}"/>
    <cellStyle name="Normal 10 2 2 2 3 5 2 2" xfId="28868" xr:uid="{00000000-0005-0000-0000-00005A6F0000}"/>
    <cellStyle name="Normal 10 2 2 2 3 5 2 3" xfId="28869" xr:uid="{00000000-0005-0000-0000-00005B6F0000}"/>
    <cellStyle name="Normal 10 2 2 2 3 5 3" xfId="28870" xr:uid="{00000000-0005-0000-0000-00005C6F0000}"/>
    <cellStyle name="Normal 10 2 2 2 3 5 4" xfId="28871" xr:uid="{00000000-0005-0000-0000-00005D6F0000}"/>
    <cellStyle name="Normal 10 2 2 2 3 5 5" xfId="28872" xr:uid="{00000000-0005-0000-0000-00005E6F0000}"/>
    <cellStyle name="Normal 10 2 2 2 3 5 6" xfId="28873" xr:uid="{00000000-0005-0000-0000-00005F6F0000}"/>
    <cellStyle name="Normal 10 2 2 2 3 6" xfId="28874" xr:uid="{00000000-0005-0000-0000-0000606F0000}"/>
    <cellStyle name="Normal 10 2 2 2 3 6 2" xfId="28875" xr:uid="{00000000-0005-0000-0000-0000616F0000}"/>
    <cellStyle name="Normal 10 2 2 2 3 6 3" xfId="28876" xr:uid="{00000000-0005-0000-0000-0000626F0000}"/>
    <cellStyle name="Normal 10 2 2 2 3 7" xfId="28877" xr:uid="{00000000-0005-0000-0000-0000636F0000}"/>
    <cellStyle name="Normal 10 2 2 2 3 8" xfId="28878" xr:uid="{00000000-0005-0000-0000-0000646F0000}"/>
    <cellStyle name="Normal 10 2 2 2 3 9" xfId="28879" xr:uid="{00000000-0005-0000-0000-0000656F0000}"/>
    <cellStyle name="Normal 10 2 2 2 4" xfId="28880" xr:uid="{00000000-0005-0000-0000-0000666F0000}"/>
    <cellStyle name="Normal 10 2 2 2 4 2" xfId="28881" xr:uid="{00000000-0005-0000-0000-0000676F0000}"/>
    <cellStyle name="Normal 10 2 2 2 4 2 2" xfId="28882" xr:uid="{00000000-0005-0000-0000-0000686F0000}"/>
    <cellStyle name="Normal 10 2 2 2 4 2 2 2" xfId="28883" xr:uid="{00000000-0005-0000-0000-0000696F0000}"/>
    <cellStyle name="Normal 10 2 2 2 4 2 2 2 2" xfId="28884" xr:uid="{00000000-0005-0000-0000-00006A6F0000}"/>
    <cellStyle name="Normal 10 2 2 2 4 2 2 2 3" xfId="28885" xr:uid="{00000000-0005-0000-0000-00006B6F0000}"/>
    <cellStyle name="Normal 10 2 2 2 4 2 2 3" xfId="28886" xr:uid="{00000000-0005-0000-0000-00006C6F0000}"/>
    <cellStyle name="Normal 10 2 2 2 4 2 2 4" xfId="28887" xr:uid="{00000000-0005-0000-0000-00006D6F0000}"/>
    <cellStyle name="Normal 10 2 2 2 4 2 2 5" xfId="28888" xr:uid="{00000000-0005-0000-0000-00006E6F0000}"/>
    <cellStyle name="Normal 10 2 2 2 4 2 2 6" xfId="28889" xr:uid="{00000000-0005-0000-0000-00006F6F0000}"/>
    <cellStyle name="Normal 10 2 2 2 4 2 3" xfId="28890" xr:uid="{00000000-0005-0000-0000-0000706F0000}"/>
    <cellStyle name="Normal 10 2 2 2 4 2 3 2" xfId="28891" xr:uid="{00000000-0005-0000-0000-0000716F0000}"/>
    <cellStyle name="Normal 10 2 2 2 4 2 3 3" xfId="28892" xr:uid="{00000000-0005-0000-0000-0000726F0000}"/>
    <cellStyle name="Normal 10 2 2 2 4 2 4" xfId="28893" xr:uid="{00000000-0005-0000-0000-0000736F0000}"/>
    <cellStyle name="Normal 10 2 2 2 4 2 5" xfId="28894" xr:uid="{00000000-0005-0000-0000-0000746F0000}"/>
    <cellStyle name="Normal 10 2 2 2 4 2 6" xfId="28895" xr:uid="{00000000-0005-0000-0000-0000756F0000}"/>
    <cellStyle name="Normal 10 2 2 2 4 2 7" xfId="28896" xr:uid="{00000000-0005-0000-0000-0000766F0000}"/>
    <cellStyle name="Normal 10 2 2 2 4 3" xfId="28897" xr:uid="{00000000-0005-0000-0000-0000776F0000}"/>
    <cellStyle name="Normal 10 2 2 2 4 3 2" xfId="28898" xr:uid="{00000000-0005-0000-0000-0000786F0000}"/>
    <cellStyle name="Normal 10 2 2 2 4 3 2 2" xfId="28899" xr:uid="{00000000-0005-0000-0000-0000796F0000}"/>
    <cellStyle name="Normal 10 2 2 2 4 3 2 3" xfId="28900" xr:uid="{00000000-0005-0000-0000-00007A6F0000}"/>
    <cellStyle name="Normal 10 2 2 2 4 3 3" xfId="28901" xr:uid="{00000000-0005-0000-0000-00007B6F0000}"/>
    <cellStyle name="Normal 10 2 2 2 4 3 4" xfId="28902" xr:uid="{00000000-0005-0000-0000-00007C6F0000}"/>
    <cellStyle name="Normal 10 2 2 2 4 3 5" xfId="28903" xr:uid="{00000000-0005-0000-0000-00007D6F0000}"/>
    <cellStyle name="Normal 10 2 2 2 4 3 6" xfId="28904" xr:uid="{00000000-0005-0000-0000-00007E6F0000}"/>
    <cellStyle name="Normal 10 2 2 2 4 4" xfId="28905" xr:uid="{00000000-0005-0000-0000-00007F6F0000}"/>
    <cellStyle name="Normal 10 2 2 2 4 4 2" xfId="28906" xr:uid="{00000000-0005-0000-0000-0000806F0000}"/>
    <cellStyle name="Normal 10 2 2 2 4 4 2 2" xfId="28907" xr:uid="{00000000-0005-0000-0000-0000816F0000}"/>
    <cellStyle name="Normal 10 2 2 2 4 4 2 3" xfId="28908" xr:uid="{00000000-0005-0000-0000-0000826F0000}"/>
    <cellStyle name="Normal 10 2 2 2 4 4 3" xfId="28909" xr:uid="{00000000-0005-0000-0000-0000836F0000}"/>
    <cellStyle name="Normal 10 2 2 2 4 4 4" xfId="28910" xr:uid="{00000000-0005-0000-0000-0000846F0000}"/>
    <cellStyle name="Normal 10 2 2 2 4 4 5" xfId="28911" xr:uid="{00000000-0005-0000-0000-0000856F0000}"/>
    <cellStyle name="Normal 10 2 2 2 4 4 6" xfId="28912" xr:uid="{00000000-0005-0000-0000-0000866F0000}"/>
    <cellStyle name="Normal 10 2 2 2 4 5" xfId="28913" xr:uid="{00000000-0005-0000-0000-0000876F0000}"/>
    <cellStyle name="Normal 10 2 2 2 4 5 2" xfId="28914" xr:uid="{00000000-0005-0000-0000-0000886F0000}"/>
    <cellStyle name="Normal 10 2 2 2 4 5 3" xfId="28915" xr:uid="{00000000-0005-0000-0000-0000896F0000}"/>
    <cellStyle name="Normal 10 2 2 2 4 6" xfId="28916" xr:uid="{00000000-0005-0000-0000-00008A6F0000}"/>
    <cellStyle name="Normal 10 2 2 2 4 7" xfId="28917" xr:uid="{00000000-0005-0000-0000-00008B6F0000}"/>
    <cellStyle name="Normal 10 2 2 2 4 8" xfId="28918" xr:uid="{00000000-0005-0000-0000-00008C6F0000}"/>
    <cellStyle name="Normal 10 2 2 2 4 9" xfId="28919" xr:uid="{00000000-0005-0000-0000-00008D6F0000}"/>
    <cellStyle name="Normal 10 2 2 2 5" xfId="28920" xr:uid="{00000000-0005-0000-0000-00008E6F0000}"/>
    <cellStyle name="Normal 10 2 2 2 5 2" xfId="28921" xr:uid="{00000000-0005-0000-0000-00008F6F0000}"/>
    <cellStyle name="Normal 10 2 2 2 5 2 2" xfId="28922" xr:uid="{00000000-0005-0000-0000-0000906F0000}"/>
    <cellStyle name="Normal 10 2 2 2 5 2 2 2" xfId="28923" xr:uid="{00000000-0005-0000-0000-0000916F0000}"/>
    <cellStyle name="Normal 10 2 2 2 5 2 2 3" xfId="28924" xr:uid="{00000000-0005-0000-0000-0000926F0000}"/>
    <cellStyle name="Normal 10 2 2 2 5 2 3" xfId="28925" xr:uid="{00000000-0005-0000-0000-0000936F0000}"/>
    <cellStyle name="Normal 10 2 2 2 5 2 4" xfId="28926" xr:uid="{00000000-0005-0000-0000-0000946F0000}"/>
    <cellStyle name="Normal 10 2 2 2 5 2 5" xfId="28927" xr:uid="{00000000-0005-0000-0000-0000956F0000}"/>
    <cellStyle name="Normal 10 2 2 2 5 2 6" xfId="28928" xr:uid="{00000000-0005-0000-0000-0000966F0000}"/>
    <cellStyle name="Normal 10 2 2 2 5 3" xfId="28929" xr:uid="{00000000-0005-0000-0000-0000976F0000}"/>
    <cellStyle name="Normal 10 2 2 2 5 3 2" xfId="28930" xr:uid="{00000000-0005-0000-0000-0000986F0000}"/>
    <cellStyle name="Normal 10 2 2 2 5 3 3" xfId="28931" xr:uid="{00000000-0005-0000-0000-0000996F0000}"/>
    <cellStyle name="Normal 10 2 2 2 5 4" xfId="28932" xr:uid="{00000000-0005-0000-0000-00009A6F0000}"/>
    <cellStyle name="Normal 10 2 2 2 5 5" xfId="28933" xr:uid="{00000000-0005-0000-0000-00009B6F0000}"/>
    <cellStyle name="Normal 10 2 2 2 5 6" xfId="28934" xr:uid="{00000000-0005-0000-0000-00009C6F0000}"/>
    <cellStyle name="Normal 10 2 2 2 5 7" xfId="28935" xr:uid="{00000000-0005-0000-0000-00009D6F0000}"/>
    <cellStyle name="Normal 10 2 2 2 6" xfId="28936" xr:uid="{00000000-0005-0000-0000-00009E6F0000}"/>
    <cellStyle name="Normal 10 2 2 2 6 2" xfId="28937" xr:uid="{00000000-0005-0000-0000-00009F6F0000}"/>
    <cellStyle name="Normal 10 2 2 2 6 2 2" xfId="28938" xr:uid="{00000000-0005-0000-0000-0000A06F0000}"/>
    <cellStyle name="Normal 10 2 2 2 6 2 3" xfId="28939" xr:uid="{00000000-0005-0000-0000-0000A16F0000}"/>
    <cellStyle name="Normal 10 2 2 2 6 3" xfId="28940" xr:uid="{00000000-0005-0000-0000-0000A26F0000}"/>
    <cellStyle name="Normal 10 2 2 2 6 4" xfId="28941" xr:uid="{00000000-0005-0000-0000-0000A36F0000}"/>
    <cellStyle name="Normal 10 2 2 2 6 5" xfId="28942" xr:uid="{00000000-0005-0000-0000-0000A46F0000}"/>
    <cellStyle name="Normal 10 2 2 2 6 6" xfId="28943" xr:uid="{00000000-0005-0000-0000-0000A56F0000}"/>
    <cellStyle name="Normal 10 2 2 2 7" xfId="28944" xr:uid="{00000000-0005-0000-0000-0000A66F0000}"/>
    <cellStyle name="Normal 10 2 2 2 7 2" xfId="28945" xr:uid="{00000000-0005-0000-0000-0000A76F0000}"/>
    <cellStyle name="Normal 10 2 2 2 7 2 2" xfId="28946" xr:uid="{00000000-0005-0000-0000-0000A86F0000}"/>
    <cellStyle name="Normal 10 2 2 2 7 2 3" xfId="28947" xr:uid="{00000000-0005-0000-0000-0000A96F0000}"/>
    <cellStyle name="Normal 10 2 2 2 7 3" xfId="28948" xr:uid="{00000000-0005-0000-0000-0000AA6F0000}"/>
    <cellStyle name="Normal 10 2 2 2 7 4" xfId="28949" xr:uid="{00000000-0005-0000-0000-0000AB6F0000}"/>
    <cellStyle name="Normal 10 2 2 2 7 5" xfId="28950" xr:uid="{00000000-0005-0000-0000-0000AC6F0000}"/>
    <cellStyle name="Normal 10 2 2 2 7 6" xfId="28951" xr:uid="{00000000-0005-0000-0000-0000AD6F0000}"/>
    <cellStyle name="Normal 10 2 2 2 8" xfId="28952" xr:uid="{00000000-0005-0000-0000-0000AE6F0000}"/>
    <cellStyle name="Normal 10 2 2 2 8 2" xfId="28953" xr:uid="{00000000-0005-0000-0000-0000AF6F0000}"/>
    <cellStyle name="Normal 10 2 2 2 8 2 2" xfId="28954" xr:uid="{00000000-0005-0000-0000-0000B06F0000}"/>
    <cellStyle name="Normal 10 2 2 2 8 2 3" xfId="28955" xr:uid="{00000000-0005-0000-0000-0000B16F0000}"/>
    <cellStyle name="Normal 10 2 2 2 8 3" xfId="28956" xr:uid="{00000000-0005-0000-0000-0000B26F0000}"/>
    <cellStyle name="Normal 10 2 2 2 8 4" xfId="28957" xr:uid="{00000000-0005-0000-0000-0000B36F0000}"/>
    <cellStyle name="Normal 10 2 2 2 8 5" xfId="28958" xr:uid="{00000000-0005-0000-0000-0000B46F0000}"/>
    <cellStyle name="Normal 10 2 2 2 8 6" xfId="28959" xr:uid="{00000000-0005-0000-0000-0000B56F0000}"/>
    <cellStyle name="Normal 10 2 2 2 9" xfId="28960" xr:uid="{00000000-0005-0000-0000-0000B66F0000}"/>
    <cellStyle name="Normal 10 2 2 2 9 2" xfId="28961" xr:uid="{00000000-0005-0000-0000-0000B76F0000}"/>
    <cellStyle name="Normal 10 2 2 2 9 2 2" xfId="28962" xr:uid="{00000000-0005-0000-0000-0000B86F0000}"/>
    <cellStyle name="Normal 10 2 2 2 9 2 3" xfId="28963" xr:uid="{00000000-0005-0000-0000-0000B96F0000}"/>
    <cellStyle name="Normal 10 2 2 2 9 3" xfId="28964" xr:uid="{00000000-0005-0000-0000-0000BA6F0000}"/>
    <cellStyle name="Normal 10 2 2 2 9 4" xfId="28965" xr:uid="{00000000-0005-0000-0000-0000BB6F0000}"/>
    <cellStyle name="Normal 10 2 2 2 9 5" xfId="28966" xr:uid="{00000000-0005-0000-0000-0000BC6F0000}"/>
    <cellStyle name="Normal 10 2 2 2 9 6" xfId="28967" xr:uid="{00000000-0005-0000-0000-0000BD6F0000}"/>
    <cellStyle name="Normal 10 2 2 3" xfId="28968" xr:uid="{00000000-0005-0000-0000-0000BE6F0000}"/>
    <cellStyle name="Normal 10 2 2 3 10" xfId="28969" xr:uid="{00000000-0005-0000-0000-0000BF6F0000}"/>
    <cellStyle name="Normal 10 2 2 3 11" xfId="28970" xr:uid="{00000000-0005-0000-0000-0000C06F0000}"/>
    <cellStyle name="Normal 10 2 2 3 12" xfId="28971" xr:uid="{00000000-0005-0000-0000-0000C16F0000}"/>
    <cellStyle name="Normal 10 2 2 3 13" xfId="28972" xr:uid="{00000000-0005-0000-0000-0000C26F0000}"/>
    <cellStyle name="Normal 10 2 2 3 2" xfId="28973" xr:uid="{00000000-0005-0000-0000-0000C36F0000}"/>
    <cellStyle name="Normal 10 2 2 3 2 10" xfId="28974" xr:uid="{00000000-0005-0000-0000-0000C46F0000}"/>
    <cellStyle name="Normal 10 2 2 3 2 2" xfId="28975" xr:uid="{00000000-0005-0000-0000-0000C56F0000}"/>
    <cellStyle name="Normal 10 2 2 3 2 2 2" xfId="28976" xr:uid="{00000000-0005-0000-0000-0000C66F0000}"/>
    <cellStyle name="Normal 10 2 2 3 2 2 2 2" xfId="28977" xr:uid="{00000000-0005-0000-0000-0000C76F0000}"/>
    <cellStyle name="Normal 10 2 2 3 2 2 2 2 2" xfId="28978" xr:uid="{00000000-0005-0000-0000-0000C86F0000}"/>
    <cellStyle name="Normal 10 2 2 3 2 2 2 2 3" xfId="28979" xr:uid="{00000000-0005-0000-0000-0000C96F0000}"/>
    <cellStyle name="Normal 10 2 2 3 2 2 2 3" xfId="28980" xr:uid="{00000000-0005-0000-0000-0000CA6F0000}"/>
    <cellStyle name="Normal 10 2 2 3 2 2 2 4" xfId="28981" xr:uid="{00000000-0005-0000-0000-0000CB6F0000}"/>
    <cellStyle name="Normal 10 2 2 3 2 2 2 5" xfId="28982" xr:uid="{00000000-0005-0000-0000-0000CC6F0000}"/>
    <cellStyle name="Normal 10 2 2 3 2 2 2 6" xfId="28983" xr:uid="{00000000-0005-0000-0000-0000CD6F0000}"/>
    <cellStyle name="Normal 10 2 2 3 2 2 3" xfId="28984" xr:uid="{00000000-0005-0000-0000-0000CE6F0000}"/>
    <cellStyle name="Normal 10 2 2 3 2 2 3 2" xfId="28985" xr:uid="{00000000-0005-0000-0000-0000CF6F0000}"/>
    <cellStyle name="Normal 10 2 2 3 2 2 3 2 2" xfId="28986" xr:uid="{00000000-0005-0000-0000-0000D06F0000}"/>
    <cellStyle name="Normal 10 2 2 3 2 2 3 2 3" xfId="28987" xr:uid="{00000000-0005-0000-0000-0000D16F0000}"/>
    <cellStyle name="Normal 10 2 2 3 2 2 3 3" xfId="28988" xr:uid="{00000000-0005-0000-0000-0000D26F0000}"/>
    <cellStyle name="Normal 10 2 2 3 2 2 3 4" xfId="28989" xr:uid="{00000000-0005-0000-0000-0000D36F0000}"/>
    <cellStyle name="Normal 10 2 2 3 2 2 3 5" xfId="28990" xr:uid="{00000000-0005-0000-0000-0000D46F0000}"/>
    <cellStyle name="Normal 10 2 2 3 2 2 3 6" xfId="28991" xr:uid="{00000000-0005-0000-0000-0000D56F0000}"/>
    <cellStyle name="Normal 10 2 2 3 2 2 4" xfId="28992" xr:uid="{00000000-0005-0000-0000-0000D66F0000}"/>
    <cellStyle name="Normal 10 2 2 3 2 2 4 2" xfId="28993" xr:uid="{00000000-0005-0000-0000-0000D76F0000}"/>
    <cellStyle name="Normal 10 2 2 3 2 2 4 3" xfId="28994" xr:uid="{00000000-0005-0000-0000-0000D86F0000}"/>
    <cellStyle name="Normal 10 2 2 3 2 2 5" xfId="28995" xr:uid="{00000000-0005-0000-0000-0000D96F0000}"/>
    <cellStyle name="Normal 10 2 2 3 2 2 6" xfId="28996" xr:uid="{00000000-0005-0000-0000-0000DA6F0000}"/>
    <cellStyle name="Normal 10 2 2 3 2 2 7" xfId="28997" xr:uid="{00000000-0005-0000-0000-0000DB6F0000}"/>
    <cellStyle name="Normal 10 2 2 3 2 2 8" xfId="28998" xr:uid="{00000000-0005-0000-0000-0000DC6F0000}"/>
    <cellStyle name="Normal 10 2 2 3 2 3" xfId="28999" xr:uid="{00000000-0005-0000-0000-0000DD6F0000}"/>
    <cellStyle name="Normal 10 2 2 3 2 3 2" xfId="29000" xr:uid="{00000000-0005-0000-0000-0000DE6F0000}"/>
    <cellStyle name="Normal 10 2 2 3 2 3 2 2" xfId="29001" xr:uid="{00000000-0005-0000-0000-0000DF6F0000}"/>
    <cellStyle name="Normal 10 2 2 3 2 3 2 2 2" xfId="29002" xr:uid="{00000000-0005-0000-0000-0000E06F0000}"/>
    <cellStyle name="Normal 10 2 2 3 2 3 2 2 3" xfId="29003" xr:uid="{00000000-0005-0000-0000-0000E16F0000}"/>
    <cellStyle name="Normal 10 2 2 3 2 3 2 3" xfId="29004" xr:uid="{00000000-0005-0000-0000-0000E26F0000}"/>
    <cellStyle name="Normal 10 2 2 3 2 3 2 4" xfId="29005" xr:uid="{00000000-0005-0000-0000-0000E36F0000}"/>
    <cellStyle name="Normal 10 2 2 3 2 3 2 5" xfId="29006" xr:uid="{00000000-0005-0000-0000-0000E46F0000}"/>
    <cellStyle name="Normal 10 2 2 3 2 3 2 6" xfId="29007" xr:uid="{00000000-0005-0000-0000-0000E56F0000}"/>
    <cellStyle name="Normal 10 2 2 3 2 3 3" xfId="29008" xr:uid="{00000000-0005-0000-0000-0000E66F0000}"/>
    <cellStyle name="Normal 10 2 2 3 2 3 3 2" xfId="29009" xr:uid="{00000000-0005-0000-0000-0000E76F0000}"/>
    <cellStyle name="Normal 10 2 2 3 2 3 3 3" xfId="29010" xr:uid="{00000000-0005-0000-0000-0000E86F0000}"/>
    <cellStyle name="Normal 10 2 2 3 2 3 4" xfId="29011" xr:uid="{00000000-0005-0000-0000-0000E96F0000}"/>
    <cellStyle name="Normal 10 2 2 3 2 3 5" xfId="29012" xr:uid="{00000000-0005-0000-0000-0000EA6F0000}"/>
    <cellStyle name="Normal 10 2 2 3 2 3 6" xfId="29013" xr:uid="{00000000-0005-0000-0000-0000EB6F0000}"/>
    <cellStyle name="Normal 10 2 2 3 2 3 7" xfId="29014" xr:uid="{00000000-0005-0000-0000-0000EC6F0000}"/>
    <cellStyle name="Normal 10 2 2 3 2 4" xfId="29015" xr:uid="{00000000-0005-0000-0000-0000ED6F0000}"/>
    <cellStyle name="Normal 10 2 2 3 2 4 2" xfId="29016" xr:uid="{00000000-0005-0000-0000-0000EE6F0000}"/>
    <cellStyle name="Normal 10 2 2 3 2 4 2 2" xfId="29017" xr:uid="{00000000-0005-0000-0000-0000EF6F0000}"/>
    <cellStyle name="Normal 10 2 2 3 2 4 2 3" xfId="29018" xr:uid="{00000000-0005-0000-0000-0000F06F0000}"/>
    <cellStyle name="Normal 10 2 2 3 2 4 3" xfId="29019" xr:uid="{00000000-0005-0000-0000-0000F16F0000}"/>
    <cellStyle name="Normal 10 2 2 3 2 4 4" xfId="29020" xr:uid="{00000000-0005-0000-0000-0000F26F0000}"/>
    <cellStyle name="Normal 10 2 2 3 2 4 5" xfId="29021" xr:uid="{00000000-0005-0000-0000-0000F36F0000}"/>
    <cellStyle name="Normal 10 2 2 3 2 4 6" xfId="29022" xr:uid="{00000000-0005-0000-0000-0000F46F0000}"/>
    <cellStyle name="Normal 10 2 2 3 2 5" xfId="29023" xr:uid="{00000000-0005-0000-0000-0000F56F0000}"/>
    <cellStyle name="Normal 10 2 2 3 2 5 2" xfId="29024" xr:uid="{00000000-0005-0000-0000-0000F66F0000}"/>
    <cellStyle name="Normal 10 2 2 3 2 5 2 2" xfId="29025" xr:uid="{00000000-0005-0000-0000-0000F76F0000}"/>
    <cellStyle name="Normal 10 2 2 3 2 5 2 3" xfId="29026" xr:uid="{00000000-0005-0000-0000-0000F86F0000}"/>
    <cellStyle name="Normal 10 2 2 3 2 5 3" xfId="29027" xr:uid="{00000000-0005-0000-0000-0000F96F0000}"/>
    <cellStyle name="Normal 10 2 2 3 2 5 4" xfId="29028" xr:uid="{00000000-0005-0000-0000-0000FA6F0000}"/>
    <cellStyle name="Normal 10 2 2 3 2 5 5" xfId="29029" xr:uid="{00000000-0005-0000-0000-0000FB6F0000}"/>
    <cellStyle name="Normal 10 2 2 3 2 5 6" xfId="29030" xr:uid="{00000000-0005-0000-0000-0000FC6F0000}"/>
    <cellStyle name="Normal 10 2 2 3 2 6" xfId="29031" xr:uid="{00000000-0005-0000-0000-0000FD6F0000}"/>
    <cellStyle name="Normal 10 2 2 3 2 6 2" xfId="29032" xr:uid="{00000000-0005-0000-0000-0000FE6F0000}"/>
    <cellStyle name="Normal 10 2 2 3 2 6 3" xfId="29033" xr:uid="{00000000-0005-0000-0000-0000FF6F0000}"/>
    <cellStyle name="Normal 10 2 2 3 2 7" xfId="29034" xr:uid="{00000000-0005-0000-0000-000000700000}"/>
    <cellStyle name="Normal 10 2 2 3 2 8" xfId="29035" xr:uid="{00000000-0005-0000-0000-000001700000}"/>
    <cellStyle name="Normal 10 2 2 3 2 9" xfId="29036" xr:uid="{00000000-0005-0000-0000-000002700000}"/>
    <cellStyle name="Normal 10 2 2 3 3" xfId="29037" xr:uid="{00000000-0005-0000-0000-000003700000}"/>
    <cellStyle name="Normal 10 2 2 3 3 2" xfId="29038" xr:uid="{00000000-0005-0000-0000-000004700000}"/>
    <cellStyle name="Normal 10 2 2 3 3 2 2" xfId="29039" xr:uid="{00000000-0005-0000-0000-000005700000}"/>
    <cellStyle name="Normal 10 2 2 3 3 2 2 2" xfId="29040" xr:uid="{00000000-0005-0000-0000-000006700000}"/>
    <cellStyle name="Normal 10 2 2 3 3 2 2 2 2" xfId="29041" xr:uid="{00000000-0005-0000-0000-000007700000}"/>
    <cellStyle name="Normal 10 2 2 3 3 2 2 2 3" xfId="29042" xr:uid="{00000000-0005-0000-0000-000008700000}"/>
    <cellStyle name="Normal 10 2 2 3 3 2 2 3" xfId="29043" xr:uid="{00000000-0005-0000-0000-000009700000}"/>
    <cellStyle name="Normal 10 2 2 3 3 2 2 4" xfId="29044" xr:uid="{00000000-0005-0000-0000-00000A700000}"/>
    <cellStyle name="Normal 10 2 2 3 3 2 2 5" xfId="29045" xr:uid="{00000000-0005-0000-0000-00000B700000}"/>
    <cellStyle name="Normal 10 2 2 3 3 2 2 6" xfId="29046" xr:uid="{00000000-0005-0000-0000-00000C700000}"/>
    <cellStyle name="Normal 10 2 2 3 3 2 3" xfId="29047" xr:uid="{00000000-0005-0000-0000-00000D700000}"/>
    <cellStyle name="Normal 10 2 2 3 3 2 3 2" xfId="29048" xr:uid="{00000000-0005-0000-0000-00000E700000}"/>
    <cellStyle name="Normal 10 2 2 3 3 2 3 3" xfId="29049" xr:uid="{00000000-0005-0000-0000-00000F700000}"/>
    <cellStyle name="Normal 10 2 2 3 3 2 4" xfId="29050" xr:uid="{00000000-0005-0000-0000-000010700000}"/>
    <cellStyle name="Normal 10 2 2 3 3 2 5" xfId="29051" xr:uid="{00000000-0005-0000-0000-000011700000}"/>
    <cellStyle name="Normal 10 2 2 3 3 2 6" xfId="29052" xr:uid="{00000000-0005-0000-0000-000012700000}"/>
    <cellStyle name="Normal 10 2 2 3 3 2 7" xfId="29053" xr:uid="{00000000-0005-0000-0000-000013700000}"/>
    <cellStyle name="Normal 10 2 2 3 3 3" xfId="29054" xr:uid="{00000000-0005-0000-0000-000014700000}"/>
    <cellStyle name="Normal 10 2 2 3 3 3 2" xfId="29055" xr:uid="{00000000-0005-0000-0000-000015700000}"/>
    <cellStyle name="Normal 10 2 2 3 3 3 2 2" xfId="29056" xr:uid="{00000000-0005-0000-0000-000016700000}"/>
    <cellStyle name="Normal 10 2 2 3 3 3 2 3" xfId="29057" xr:uid="{00000000-0005-0000-0000-000017700000}"/>
    <cellStyle name="Normal 10 2 2 3 3 3 3" xfId="29058" xr:uid="{00000000-0005-0000-0000-000018700000}"/>
    <cellStyle name="Normal 10 2 2 3 3 3 4" xfId="29059" xr:uid="{00000000-0005-0000-0000-000019700000}"/>
    <cellStyle name="Normal 10 2 2 3 3 3 5" xfId="29060" xr:uid="{00000000-0005-0000-0000-00001A700000}"/>
    <cellStyle name="Normal 10 2 2 3 3 3 6" xfId="29061" xr:uid="{00000000-0005-0000-0000-00001B700000}"/>
    <cellStyle name="Normal 10 2 2 3 3 4" xfId="29062" xr:uid="{00000000-0005-0000-0000-00001C700000}"/>
    <cellStyle name="Normal 10 2 2 3 3 4 2" xfId="29063" xr:uid="{00000000-0005-0000-0000-00001D700000}"/>
    <cellStyle name="Normal 10 2 2 3 3 4 2 2" xfId="29064" xr:uid="{00000000-0005-0000-0000-00001E700000}"/>
    <cellStyle name="Normal 10 2 2 3 3 4 2 3" xfId="29065" xr:uid="{00000000-0005-0000-0000-00001F700000}"/>
    <cellStyle name="Normal 10 2 2 3 3 4 3" xfId="29066" xr:uid="{00000000-0005-0000-0000-000020700000}"/>
    <cellStyle name="Normal 10 2 2 3 3 4 4" xfId="29067" xr:uid="{00000000-0005-0000-0000-000021700000}"/>
    <cellStyle name="Normal 10 2 2 3 3 4 5" xfId="29068" xr:uid="{00000000-0005-0000-0000-000022700000}"/>
    <cellStyle name="Normal 10 2 2 3 3 4 6" xfId="29069" xr:uid="{00000000-0005-0000-0000-000023700000}"/>
    <cellStyle name="Normal 10 2 2 3 3 5" xfId="29070" xr:uid="{00000000-0005-0000-0000-000024700000}"/>
    <cellStyle name="Normal 10 2 2 3 3 5 2" xfId="29071" xr:uid="{00000000-0005-0000-0000-000025700000}"/>
    <cellStyle name="Normal 10 2 2 3 3 5 3" xfId="29072" xr:uid="{00000000-0005-0000-0000-000026700000}"/>
    <cellStyle name="Normal 10 2 2 3 3 6" xfId="29073" xr:uid="{00000000-0005-0000-0000-000027700000}"/>
    <cellStyle name="Normal 10 2 2 3 3 7" xfId="29074" xr:uid="{00000000-0005-0000-0000-000028700000}"/>
    <cellStyle name="Normal 10 2 2 3 3 8" xfId="29075" xr:uid="{00000000-0005-0000-0000-000029700000}"/>
    <cellStyle name="Normal 10 2 2 3 3 9" xfId="29076" xr:uid="{00000000-0005-0000-0000-00002A700000}"/>
    <cellStyle name="Normal 10 2 2 3 4" xfId="29077" xr:uid="{00000000-0005-0000-0000-00002B700000}"/>
    <cellStyle name="Normal 10 2 2 3 4 2" xfId="29078" xr:uid="{00000000-0005-0000-0000-00002C700000}"/>
    <cellStyle name="Normal 10 2 2 3 4 2 2" xfId="29079" xr:uid="{00000000-0005-0000-0000-00002D700000}"/>
    <cellStyle name="Normal 10 2 2 3 4 2 2 2" xfId="29080" xr:uid="{00000000-0005-0000-0000-00002E700000}"/>
    <cellStyle name="Normal 10 2 2 3 4 2 2 3" xfId="29081" xr:uid="{00000000-0005-0000-0000-00002F700000}"/>
    <cellStyle name="Normal 10 2 2 3 4 2 3" xfId="29082" xr:uid="{00000000-0005-0000-0000-000030700000}"/>
    <cellStyle name="Normal 10 2 2 3 4 2 4" xfId="29083" xr:uid="{00000000-0005-0000-0000-000031700000}"/>
    <cellStyle name="Normal 10 2 2 3 4 2 5" xfId="29084" xr:uid="{00000000-0005-0000-0000-000032700000}"/>
    <cellStyle name="Normal 10 2 2 3 4 2 6" xfId="29085" xr:uid="{00000000-0005-0000-0000-000033700000}"/>
    <cellStyle name="Normal 10 2 2 3 4 3" xfId="29086" xr:uid="{00000000-0005-0000-0000-000034700000}"/>
    <cellStyle name="Normal 10 2 2 3 4 3 2" xfId="29087" xr:uid="{00000000-0005-0000-0000-000035700000}"/>
    <cellStyle name="Normal 10 2 2 3 4 3 3" xfId="29088" xr:uid="{00000000-0005-0000-0000-000036700000}"/>
    <cellStyle name="Normal 10 2 2 3 4 4" xfId="29089" xr:uid="{00000000-0005-0000-0000-000037700000}"/>
    <cellStyle name="Normal 10 2 2 3 4 5" xfId="29090" xr:uid="{00000000-0005-0000-0000-000038700000}"/>
    <cellStyle name="Normal 10 2 2 3 4 6" xfId="29091" xr:uid="{00000000-0005-0000-0000-000039700000}"/>
    <cellStyle name="Normal 10 2 2 3 4 7" xfId="29092" xr:uid="{00000000-0005-0000-0000-00003A700000}"/>
    <cellStyle name="Normal 10 2 2 3 5" xfId="29093" xr:uid="{00000000-0005-0000-0000-00003B700000}"/>
    <cellStyle name="Normal 10 2 2 3 5 2" xfId="29094" xr:uid="{00000000-0005-0000-0000-00003C700000}"/>
    <cellStyle name="Normal 10 2 2 3 5 2 2" xfId="29095" xr:uid="{00000000-0005-0000-0000-00003D700000}"/>
    <cellStyle name="Normal 10 2 2 3 5 2 3" xfId="29096" xr:uid="{00000000-0005-0000-0000-00003E700000}"/>
    <cellStyle name="Normal 10 2 2 3 5 3" xfId="29097" xr:uid="{00000000-0005-0000-0000-00003F700000}"/>
    <cellStyle name="Normal 10 2 2 3 5 4" xfId="29098" xr:uid="{00000000-0005-0000-0000-000040700000}"/>
    <cellStyle name="Normal 10 2 2 3 5 5" xfId="29099" xr:uid="{00000000-0005-0000-0000-000041700000}"/>
    <cellStyle name="Normal 10 2 2 3 5 6" xfId="29100" xr:uid="{00000000-0005-0000-0000-000042700000}"/>
    <cellStyle name="Normal 10 2 2 3 6" xfId="29101" xr:uid="{00000000-0005-0000-0000-000043700000}"/>
    <cellStyle name="Normal 10 2 2 3 6 2" xfId="29102" xr:uid="{00000000-0005-0000-0000-000044700000}"/>
    <cellStyle name="Normal 10 2 2 3 6 2 2" xfId="29103" xr:uid="{00000000-0005-0000-0000-000045700000}"/>
    <cellStyle name="Normal 10 2 2 3 6 2 3" xfId="29104" xr:uid="{00000000-0005-0000-0000-000046700000}"/>
    <cellStyle name="Normal 10 2 2 3 6 3" xfId="29105" xr:uid="{00000000-0005-0000-0000-000047700000}"/>
    <cellStyle name="Normal 10 2 2 3 6 4" xfId="29106" xr:uid="{00000000-0005-0000-0000-000048700000}"/>
    <cellStyle name="Normal 10 2 2 3 6 5" xfId="29107" xr:uid="{00000000-0005-0000-0000-000049700000}"/>
    <cellStyle name="Normal 10 2 2 3 6 6" xfId="29108" xr:uid="{00000000-0005-0000-0000-00004A700000}"/>
    <cellStyle name="Normal 10 2 2 3 7" xfId="29109" xr:uid="{00000000-0005-0000-0000-00004B700000}"/>
    <cellStyle name="Normal 10 2 2 3 7 2" xfId="29110" xr:uid="{00000000-0005-0000-0000-00004C700000}"/>
    <cellStyle name="Normal 10 2 2 3 7 2 2" xfId="29111" xr:uid="{00000000-0005-0000-0000-00004D700000}"/>
    <cellStyle name="Normal 10 2 2 3 7 2 3" xfId="29112" xr:uid="{00000000-0005-0000-0000-00004E700000}"/>
    <cellStyle name="Normal 10 2 2 3 7 3" xfId="29113" xr:uid="{00000000-0005-0000-0000-00004F700000}"/>
    <cellStyle name="Normal 10 2 2 3 7 4" xfId="29114" xr:uid="{00000000-0005-0000-0000-000050700000}"/>
    <cellStyle name="Normal 10 2 2 3 7 5" xfId="29115" xr:uid="{00000000-0005-0000-0000-000051700000}"/>
    <cellStyle name="Normal 10 2 2 3 7 6" xfId="29116" xr:uid="{00000000-0005-0000-0000-000052700000}"/>
    <cellStyle name="Normal 10 2 2 3 8" xfId="29117" xr:uid="{00000000-0005-0000-0000-000053700000}"/>
    <cellStyle name="Normal 10 2 2 3 8 2" xfId="29118" xr:uid="{00000000-0005-0000-0000-000054700000}"/>
    <cellStyle name="Normal 10 2 2 3 8 2 2" xfId="29119" xr:uid="{00000000-0005-0000-0000-000055700000}"/>
    <cellStyle name="Normal 10 2 2 3 8 2 3" xfId="29120" xr:uid="{00000000-0005-0000-0000-000056700000}"/>
    <cellStyle name="Normal 10 2 2 3 8 3" xfId="29121" xr:uid="{00000000-0005-0000-0000-000057700000}"/>
    <cellStyle name="Normal 10 2 2 3 8 4" xfId="29122" xr:uid="{00000000-0005-0000-0000-000058700000}"/>
    <cellStyle name="Normal 10 2 2 3 8 5" xfId="29123" xr:uid="{00000000-0005-0000-0000-000059700000}"/>
    <cellStyle name="Normal 10 2 2 3 8 6" xfId="29124" xr:uid="{00000000-0005-0000-0000-00005A700000}"/>
    <cellStyle name="Normal 10 2 2 3 9" xfId="29125" xr:uid="{00000000-0005-0000-0000-00005B700000}"/>
    <cellStyle name="Normal 10 2 2 3 9 2" xfId="29126" xr:uid="{00000000-0005-0000-0000-00005C700000}"/>
    <cellStyle name="Normal 10 2 2 3 9 3" xfId="29127" xr:uid="{00000000-0005-0000-0000-00005D700000}"/>
    <cellStyle name="Normal 10 2 2 4" xfId="29128" xr:uid="{00000000-0005-0000-0000-00005E700000}"/>
    <cellStyle name="Normal 10 2 2 4 10" xfId="29129" xr:uid="{00000000-0005-0000-0000-00005F700000}"/>
    <cellStyle name="Normal 10 2 2 4 2" xfId="29130" xr:uid="{00000000-0005-0000-0000-000060700000}"/>
    <cellStyle name="Normal 10 2 2 4 2 2" xfId="29131" xr:uid="{00000000-0005-0000-0000-000061700000}"/>
    <cellStyle name="Normal 10 2 2 4 2 2 2" xfId="29132" xr:uid="{00000000-0005-0000-0000-000062700000}"/>
    <cellStyle name="Normal 10 2 2 4 2 2 2 2" xfId="29133" xr:uid="{00000000-0005-0000-0000-000063700000}"/>
    <cellStyle name="Normal 10 2 2 4 2 2 2 3" xfId="29134" xr:uid="{00000000-0005-0000-0000-000064700000}"/>
    <cellStyle name="Normal 10 2 2 4 2 2 3" xfId="29135" xr:uid="{00000000-0005-0000-0000-000065700000}"/>
    <cellStyle name="Normal 10 2 2 4 2 2 4" xfId="29136" xr:uid="{00000000-0005-0000-0000-000066700000}"/>
    <cellStyle name="Normal 10 2 2 4 2 2 5" xfId="29137" xr:uid="{00000000-0005-0000-0000-000067700000}"/>
    <cellStyle name="Normal 10 2 2 4 2 2 6" xfId="29138" xr:uid="{00000000-0005-0000-0000-000068700000}"/>
    <cellStyle name="Normal 10 2 2 4 2 3" xfId="29139" xr:uid="{00000000-0005-0000-0000-000069700000}"/>
    <cellStyle name="Normal 10 2 2 4 2 3 2" xfId="29140" xr:uid="{00000000-0005-0000-0000-00006A700000}"/>
    <cellStyle name="Normal 10 2 2 4 2 3 2 2" xfId="29141" xr:uid="{00000000-0005-0000-0000-00006B700000}"/>
    <cellStyle name="Normal 10 2 2 4 2 3 2 3" xfId="29142" xr:uid="{00000000-0005-0000-0000-00006C700000}"/>
    <cellStyle name="Normal 10 2 2 4 2 3 3" xfId="29143" xr:uid="{00000000-0005-0000-0000-00006D700000}"/>
    <cellStyle name="Normal 10 2 2 4 2 3 4" xfId="29144" xr:uid="{00000000-0005-0000-0000-00006E700000}"/>
    <cellStyle name="Normal 10 2 2 4 2 3 5" xfId="29145" xr:uid="{00000000-0005-0000-0000-00006F700000}"/>
    <cellStyle name="Normal 10 2 2 4 2 3 6" xfId="29146" xr:uid="{00000000-0005-0000-0000-000070700000}"/>
    <cellStyle name="Normal 10 2 2 4 2 4" xfId="29147" xr:uid="{00000000-0005-0000-0000-000071700000}"/>
    <cellStyle name="Normal 10 2 2 4 2 4 2" xfId="29148" xr:uid="{00000000-0005-0000-0000-000072700000}"/>
    <cellStyle name="Normal 10 2 2 4 2 4 3" xfId="29149" xr:uid="{00000000-0005-0000-0000-000073700000}"/>
    <cellStyle name="Normal 10 2 2 4 2 5" xfId="29150" xr:uid="{00000000-0005-0000-0000-000074700000}"/>
    <cellStyle name="Normal 10 2 2 4 2 6" xfId="29151" xr:uid="{00000000-0005-0000-0000-000075700000}"/>
    <cellStyle name="Normal 10 2 2 4 2 7" xfId="29152" xr:uid="{00000000-0005-0000-0000-000076700000}"/>
    <cellStyle name="Normal 10 2 2 4 2 8" xfId="29153" xr:uid="{00000000-0005-0000-0000-000077700000}"/>
    <cellStyle name="Normal 10 2 2 4 3" xfId="29154" xr:uid="{00000000-0005-0000-0000-000078700000}"/>
    <cellStyle name="Normal 10 2 2 4 3 2" xfId="29155" xr:uid="{00000000-0005-0000-0000-000079700000}"/>
    <cellStyle name="Normal 10 2 2 4 3 2 2" xfId="29156" xr:uid="{00000000-0005-0000-0000-00007A700000}"/>
    <cellStyle name="Normal 10 2 2 4 3 2 2 2" xfId="29157" xr:uid="{00000000-0005-0000-0000-00007B700000}"/>
    <cellStyle name="Normal 10 2 2 4 3 2 2 3" xfId="29158" xr:uid="{00000000-0005-0000-0000-00007C700000}"/>
    <cellStyle name="Normal 10 2 2 4 3 2 3" xfId="29159" xr:uid="{00000000-0005-0000-0000-00007D700000}"/>
    <cellStyle name="Normal 10 2 2 4 3 2 4" xfId="29160" xr:uid="{00000000-0005-0000-0000-00007E700000}"/>
    <cellStyle name="Normal 10 2 2 4 3 2 5" xfId="29161" xr:uid="{00000000-0005-0000-0000-00007F700000}"/>
    <cellStyle name="Normal 10 2 2 4 3 2 6" xfId="29162" xr:uid="{00000000-0005-0000-0000-000080700000}"/>
    <cellStyle name="Normal 10 2 2 4 3 3" xfId="29163" xr:uid="{00000000-0005-0000-0000-000081700000}"/>
    <cellStyle name="Normal 10 2 2 4 3 3 2" xfId="29164" xr:uid="{00000000-0005-0000-0000-000082700000}"/>
    <cellStyle name="Normal 10 2 2 4 3 3 3" xfId="29165" xr:uid="{00000000-0005-0000-0000-000083700000}"/>
    <cellStyle name="Normal 10 2 2 4 3 4" xfId="29166" xr:uid="{00000000-0005-0000-0000-000084700000}"/>
    <cellStyle name="Normal 10 2 2 4 3 5" xfId="29167" xr:uid="{00000000-0005-0000-0000-000085700000}"/>
    <cellStyle name="Normal 10 2 2 4 3 6" xfId="29168" xr:uid="{00000000-0005-0000-0000-000086700000}"/>
    <cellStyle name="Normal 10 2 2 4 3 7" xfId="29169" xr:uid="{00000000-0005-0000-0000-000087700000}"/>
    <cellStyle name="Normal 10 2 2 4 4" xfId="29170" xr:uid="{00000000-0005-0000-0000-000088700000}"/>
    <cellStyle name="Normal 10 2 2 4 4 2" xfId="29171" xr:uid="{00000000-0005-0000-0000-000089700000}"/>
    <cellStyle name="Normal 10 2 2 4 4 2 2" xfId="29172" xr:uid="{00000000-0005-0000-0000-00008A700000}"/>
    <cellStyle name="Normal 10 2 2 4 4 2 3" xfId="29173" xr:uid="{00000000-0005-0000-0000-00008B700000}"/>
    <cellStyle name="Normal 10 2 2 4 4 3" xfId="29174" xr:uid="{00000000-0005-0000-0000-00008C700000}"/>
    <cellStyle name="Normal 10 2 2 4 4 4" xfId="29175" xr:uid="{00000000-0005-0000-0000-00008D700000}"/>
    <cellStyle name="Normal 10 2 2 4 4 5" xfId="29176" xr:uid="{00000000-0005-0000-0000-00008E700000}"/>
    <cellStyle name="Normal 10 2 2 4 4 6" xfId="29177" xr:uid="{00000000-0005-0000-0000-00008F700000}"/>
    <cellStyle name="Normal 10 2 2 4 5" xfId="29178" xr:uid="{00000000-0005-0000-0000-000090700000}"/>
    <cellStyle name="Normal 10 2 2 4 5 2" xfId="29179" xr:uid="{00000000-0005-0000-0000-000091700000}"/>
    <cellStyle name="Normal 10 2 2 4 5 2 2" xfId="29180" xr:uid="{00000000-0005-0000-0000-000092700000}"/>
    <cellStyle name="Normal 10 2 2 4 5 2 3" xfId="29181" xr:uid="{00000000-0005-0000-0000-000093700000}"/>
    <cellStyle name="Normal 10 2 2 4 5 3" xfId="29182" xr:uid="{00000000-0005-0000-0000-000094700000}"/>
    <cellStyle name="Normal 10 2 2 4 5 4" xfId="29183" xr:uid="{00000000-0005-0000-0000-000095700000}"/>
    <cellStyle name="Normal 10 2 2 4 5 5" xfId="29184" xr:uid="{00000000-0005-0000-0000-000096700000}"/>
    <cellStyle name="Normal 10 2 2 4 5 6" xfId="29185" xr:uid="{00000000-0005-0000-0000-000097700000}"/>
    <cellStyle name="Normal 10 2 2 4 6" xfId="29186" xr:uid="{00000000-0005-0000-0000-000098700000}"/>
    <cellStyle name="Normal 10 2 2 4 6 2" xfId="29187" xr:uid="{00000000-0005-0000-0000-000099700000}"/>
    <cellStyle name="Normal 10 2 2 4 6 3" xfId="29188" xr:uid="{00000000-0005-0000-0000-00009A700000}"/>
    <cellStyle name="Normal 10 2 2 4 7" xfId="29189" xr:uid="{00000000-0005-0000-0000-00009B700000}"/>
    <cellStyle name="Normal 10 2 2 4 8" xfId="29190" xr:uid="{00000000-0005-0000-0000-00009C700000}"/>
    <cellStyle name="Normal 10 2 2 4 9" xfId="29191" xr:uid="{00000000-0005-0000-0000-00009D700000}"/>
    <cellStyle name="Normal 10 2 2 5" xfId="29192" xr:uid="{00000000-0005-0000-0000-00009E700000}"/>
    <cellStyle name="Normal 10 2 2 5 2" xfId="29193" xr:uid="{00000000-0005-0000-0000-00009F700000}"/>
    <cellStyle name="Normal 10 2 2 5 2 2" xfId="29194" xr:uid="{00000000-0005-0000-0000-0000A0700000}"/>
    <cellStyle name="Normal 10 2 2 5 2 2 2" xfId="29195" xr:uid="{00000000-0005-0000-0000-0000A1700000}"/>
    <cellStyle name="Normal 10 2 2 5 2 2 2 2" xfId="29196" xr:uid="{00000000-0005-0000-0000-0000A2700000}"/>
    <cellStyle name="Normal 10 2 2 5 2 2 2 3" xfId="29197" xr:uid="{00000000-0005-0000-0000-0000A3700000}"/>
    <cellStyle name="Normal 10 2 2 5 2 2 3" xfId="29198" xr:uid="{00000000-0005-0000-0000-0000A4700000}"/>
    <cellStyle name="Normal 10 2 2 5 2 2 4" xfId="29199" xr:uid="{00000000-0005-0000-0000-0000A5700000}"/>
    <cellStyle name="Normal 10 2 2 5 2 2 5" xfId="29200" xr:uid="{00000000-0005-0000-0000-0000A6700000}"/>
    <cellStyle name="Normal 10 2 2 5 2 2 6" xfId="29201" xr:uid="{00000000-0005-0000-0000-0000A7700000}"/>
    <cellStyle name="Normal 10 2 2 5 2 3" xfId="29202" xr:uid="{00000000-0005-0000-0000-0000A8700000}"/>
    <cellStyle name="Normal 10 2 2 5 2 3 2" xfId="29203" xr:uid="{00000000-0005-0000-0000-0000A9700000}"/>
    <cellStyle name="Normal 10 2 2 5 2 3 3" xfId="29204" xr:uid="{00000000-0005-0000-0000-0000AA700000}"/>
    <cellStyle name="Normal 10 2 2 5 2 4" xfId="29205" xr:uid="{00000000-0005-0000-0000-0000AB700000}"/>
    <cellStyle name="Normal 10 2 2 5 2 5" xfId="29206" xr:uid="{00000000-0005-0000-0000-0000AC700000}"/>
    <cellStyle name="Normal 10 2 2 5 2 6" xfId="29207" xr:uid="{00000000-0005-0000-0000-0000AD700000}"/>
    <cellStyle name="Normal 10 2 2 5 2 7" xfId="29208" xr:uid="{00000000-0005-0000-0000-0000AE700000}"/>
    <cellStyle name="Normal 10 2 2 5 3" xfId="29209" xr:uid="{00000000-0005-0000-0000-0000AF700000}"/>
    <cellStyle name="Normal 10 2 2 5 3 2" xfId="29210" xr:uid="{00000000-0005-0000-0000-0000B0700000}"/>
    <cellStyle name="Normal 10 2 2 5 3 2 2" xfId="29211" xr:uid="{00000000-0005-0000-0000-0000B1700000}"/>
    <cellStyle name="Normal 10 2 2 5 3 2 3" xfId="29212" xr:uid="{00000000-0005-0000-0000-0000B2700000}"/>
    <cellStyle name="Normal 10 2 2 5 3 3" xfId="29213" xr:uid="{00000000-0005-0000-0000-0000B3700000}"/>
    <cellStyle name="Normal 10 2 2 5 3 4" xfId="29214" xr:uid="{00000000-0005-0000-0000-0000B4700000}"/>
    <cellStyle name="Normal 10 2 2 5 3 5" xfId="29215" xr:uid="{00000000-0005-0000-0000-0000B5700000}"/>
    <cellStyle name="Normal 10 2 2 5 3 6" xfId="29216" xr:uid="{00000000-0005-0000-0000-0000B6700000}"/>
    <cellStyle name="Normal 10 2 2 5 4" xfId="29217" xr:uid="{00000000-0005-0000-0000-0000B7700000}"/>
    <cellStyle name="Normal 10 2 2 5 4 2" xfId="29218" xr:uid="{00000000-0005-0000-0000-0000B8700000}"/>
    <cellStyle name="Normal 10 2 2 5 4 2 2" xfId="29219" xr:uid="{00000000-0005-0000-0000-0000B9700000}"/>
    <cellStyle name="Normal 10 2 2 5 4 2 3" xfId="29220" xr:uid="{00000000-0005-0000-0000-0000BA700000}"/>
    <cellStyle name="Normal 10 2 2 5 4 3" xfId="29221" xr:uid="{00000000-0005-0000-0000-0000BB700000}"/>
    <cellStyle name="Normal 10 2 2 5 4 4" xfId="29222" xr:uid="{00000000-0005-0000-0000-0000BC700000}"/>
    <cellStyle name="Normal 10 2 2 5 4 5" xfId="29223" xr:uid="{00000000-0005-0000-0000-0000BD700000}"/>
    <cellStyle name="Normal 10 2 2 5 4 6" xfId="29224" xr:uid="{00000000-0005-0000-0000-0000BE700000}"/>
    <cellStyle name="Normal 10 2 2 5 5" xfId="29225" xr:uid="{00000000-0005-0000-0000-0000BF700000}"/>
    <cellStyle name="Normal 10 2 2 5 5 2" xfId="29226" xr:uid="{00000000-0005-0000-0000-0000C0700000}"/>
    <cellStyle name="Normal 10 2 2 5 5 3" xfId="29227" xr:uid="{00000000-0005-0000-0000-0000C1700000}"/>
    <cellStyle name="Normal 10 2 2 5 6" xfId="29228" xr:uid="{00000000-0005-0000-0000-0000C2700000}"/>
    <cellStyle name="Normal 10 2 2 5 7" xfId="29229" xr:uid="{00000000-0005-0000-0000-0000C3700000}"/>
    <cellStyle name="Normal 10 2 2 5 8" xfId="29230" xr:uid="{00000000-0005-0000-0000-0000C4700000}"/>
    <cellStyle name="Normal 10 2 2 5 9" xfId="29231" xr:uid="{00000000-0005-0000-0000-0000C5700000}"/>
    <cellStyle name="Normal 10 2 2 6" xfId="29232" xr:uid="{00000000-0005-0000-0000-0000C6700000}"/>
    <cellStyle name="Normal 10 2 2 6 2" xfId="29233" xr:uid="{00000000-0005-0000-0000-0000C7700000}"/>
    <cellStyle name="Normal 10 2 2 6 2 2" xfId="29234" xr:uid="{00000000-0005-0000-0000-0000C8700000}"/>
    <cellStyle name="Normal 10 2 2 6 2 2 2" xfId="29235" xr:uid="{00000000-0005-0000-0000-0000C9700000}"/>
    <cellStyle name="Normal 10 2 2 6 2 2 3" xfId="29236" xr:uid="{00000000-0005-0000-0000-0000CA700000}"/>
    <cellStyle name="Normal 10 2 2 6 2 3" xfId="29237" xr:uid="{00000000-0005-0000-0000-0000CB700000}"/>
    <cellStyle name="Normal 10 2 2 6 2 4" xfId="29238" xr:uid="{00000000-0005-0000-0000-0000CC700000}"/>
    <cellStyle name="Normal 10 2 2 6 2 5" xfId="29239" xr:uid="{00000000-0005-0000-0000-0000CD700000}"/>
    <cellStyle name="Normal 10 2 2 6 2 6" xfId="29240" xr:uid="{00000000-0005-0000-0000-0000CE700000}"/>
    <cellStyle name="Normal 10 2 2 6 3" xfId="29241" xr:uid="{00000000-0005-0000-0000-0000CF700000}"/>
    <cellStyle name="Normal 10 2 2 6 3 2" xfId="29242" xr:uid="{00000000-0005-0000-0000-0000D0700000}"/>
    <cellStyle name="Normal 10 2 2 6 3 3" xfId="29243" xr:uid="{00000000-0005-0000-0000-0000D1700000}"/>
    <cellStyle name="Normal 10 2 2 6 4" xfId="29244" xr:uid="{00000000-0005-0000-0000-0000D2700000}"/>
    <cellStyle name="Normal 10 2 2 6 5" xfId="29245" xr:uid="{00000000-0005-0000-0000-0000D3700000}"/>
    <cellStyle name="Normal 10 2 2 6 6" xfId="29246" xr:uid="{00000000-0005-0000-0000-0000D4700000}"/>
    <cellStyle name="Normal 10 2 2 6 7" xfId="29247" xr:uid="{00000000-0005-0000-0000-0000D5700000}"/>
    <cellStyle name="Normal 10 2 2 7" xfId="29248" xr:uid="{00000000-0005-0000-0000-0000D6700000}"/>
    <cellStyle name="Normal 10 2 2 7 2" xfId="29249" xr:uid="{00000000-0005-0000-0000-0000D7700000}"/>
    <cellStyle name="Normal 10 2 2 7 2 2" xfId="29250" xr:uid="{00000000-0005-0000-0000-0000D8700000}"/>
    <cellStyle name="Normal 10 2 2 7 2 3" xfId="29251" xr:uid="{00000000-0005-0000-0000-0000D9700000}"/>
    <cellStyle name="Normal 10 2 2 7 3" xfId="29252" xr:uid="{00000000-0005-0000-0000-0000DA700000}"/>
    <cellStyle name="Normal 10 2 2 7 4" xfId="29253" xr:uid="{00000000-0005-0000-0000-0000DB700000}"/>
    <cellStyle name="Normal 10 2 2 7 5" xfId="29254" xr:uid="{00000000-0005-0000-0000-0000DC700000}"/>
    <cellStyle name="Normal 10 2 2 7 6" xfId="29255" xr:uid="{00000000-0005-0000-0000-0000DD700000}"/>
    <cellStyle name="Normal 10 2 2 8" xfId="29256" xr:uid="{00000000-0005-0000-0000-0000DE700000}"/>
    <cellStyle name="Normal 10 2 2 8 2" xfId="29257" xr:uid="{00000000-0005-0000-0000-0000DF700000}"/>
    <cellStyle name="Normal 10 2 2 8 2 2" xfId="29258" xr:uid="{00000000-0005-0000-0000-0000E0700000}"/>
    <cellStyle name="Normal 10 2 2 8 2 3" xfId="29259" xr:uid="{00000000-0005-0000-0000-0000E1700000}"/>
    <cellStyle name="Normal 10 2 2 8 3" xfId="29260" xr:uid="{00000000-0005-0000-0000-0000E2700000}"/>
    <cellStyle name="Normal 10 2 2 8 4" xfId="29261" xr:uid="{00000000-0005-0000-0000-0000E3700000}"/>
    <cellStyle name="Normal 10 2 2 8 5" xfId="29262" xr:uid="{00000000-0005-0000-0000-0000E4700000}"/>
    <cellStyle name="Normal 10 2 2 8 6" xfId="29263" xr:uid="{00000000-0005-0000-0000-0000E5700000}"/>
    <cellStyle name="Normal 10 2 2 9" xfId="29264" xr:uid="{00000000-0005-0000-0000-0000E6700000}"/>
    <cellStyle name="Normal 10 2 2 9 2" xfId="29265" xr:uid="{00000000-0005-0000-0000-0000E7700000}"/>
    <cellStyle name="Normal 10 2 2 9 2 2" xfId="29266" xr:uid="{00000000-0005-0000-0000-0000E8700000}"/>
    <cellStyle name="Normal 10 2 2 9 2 3" xfId="29267" xr:uid="{00000000-0005-0000-0000-0000E9700000}"/>
    <cellStyle name="Normal 10 2 2 9 3" xfId="29268" xr:uid="{00000000-0005-0000-0000-0000EA700000}"/>
    <cellStyle name="Normal 10 2 2 9 4" xfId="29269" xr:uid="{00000000-0005-0000-0000-0000EB700000}"/>
    <cellStyle name="Normal 10 2 2 9 5" xfId="29270" xr:uid="{00000000-0005-0000-0000-0000EC700000}"/>
    <cellStyle name="Normal 10 2 2 9 6" xfId="29271" xr:uid="{00000000-0005-0000-0000-0000ED700000}"/>
    <cellStyle name="Normal 10 2 3" xfId="29272" xr:uid="{00000000-0005-0000-0000-0000EE700000}"/>
    <cellStyle name="Normal 10 2 4" xfId="29273" xr:uid="{00000000-0005-0000-0000-0000EF700000}"/>
    <cellStyle name="Normal 10 2 4 10" xfId="29274" xr:uid="{00000000-0005-0000-0000-0000F0700000}"/>
    <cellStyle name="Normal 10 2 4 10 2" xfId="29275" xr:uid="{00000000-0005-0000-0000-0000F1700000}"/>
    <cellStyle name="Normal 10 2 4 10 3" xfId="29276" xr:uid="{00000000-0005-0000-0000-0000F2700000}"/>
    <cellStyle name="Normal 10 2 4 11" xfId="29277" xr:uid="{00000000-0005-0000-0000-0000F3700000}"/>
    <cellStyle name="Normal 10 2 4 12" xfId="29278" xr:uid="{00000000-0005-0000-0000-0000F4700000}"/>
    <cellStyle name="Normal 10 2 4 13" xfId="29279" xr:uid="{00000000-0005-0000-0000-0000F5700000}"/>
    <cellStyle name="Normal 10 2 4 14" xfId="29280" xr:uid="{00000000-0005-0000-0000-0000F6700000}"/>
    <cellStyle name="Normal 10 2 4 2" xfId="29281" xr:uid="{00000000-0005-0000-0000-0000F7700000}"/>
    <cellStyle name="Normal 10 2 4 2 10" xfId="29282" xr:uid="{00000000-0005-0000-0000-0000F8700000}"/>
    <cellStyle name="Normal 10 2 4 2 11" xfId="29283" xr:uid="{00000000-0005-0000-0000-0000F9700000}"/>
    <cellStyle name="Normal 10 2 4 2 12" xfId="29284" xr:uid="{00000000-0005-0000-0000-0000FA700000}"/>
    <cellStyle name="Normal 10 2 4 2 13" xfId="29285" xr:uid="{00000000-0005-0000-0000-0000FB700000}"/>
    <cellStyle name="Normal 10 2 4 2 2" xfId="29286" xr:uid="{00000000-0005-0000-0000-0000FC700000}"/>
    <cellStyle name="Normal 10 2 4 2 2 10" xfId="29287" xr:uid="{00000000-0005-0000-0000-0000FD700000}"/>
    <cellStyle name="Normal 10 2 4 2 2 2" xfId="29288" xr:uid="{00000000-0005-0000-0000-0000FE700000}"/>
    <cellStyle name="Normal 10 2 4 2 2 2 2" xfId="29289" xr:uid="{00000000-0005-0000-0000-0000FF700000}"/>
    <cellStyle name="Normal 10 2 4 2 2 2 2 2" xfId="29290" xr:uid="{00000000-0005-0000-0000-000000710000}"/>
    <cellStyle name="Normal 10 2 4 2 2 2 2 2 2" xfId="29291" xr:uid="{00000000-0005-0000-0000-000001710000}"/>
    <cellStyle name="Normal 10 2 4 2 2 2 2 2 3" xfId="29292" xr:uid="{00000000-0005-0000-0000-000002710000}"/>
    <cellStyle name="Normal 10 2 4 2 2 2 2 3" xfId="29293" xr:uid="{00000000-0005-0000-0000-000003710000}"/>
    <cellStyle name="Normal 10 2 4 2 2 2 2 4" xfId="29294" xr:uid="{00000000-0005-0000-0000-000004710000}"/>
    <cellStyle name="Normal 10 2 4 2 2 2 2 5" xfId="29295" xr:uid="{00000000-0005-0000-0000-000005710000}"/>
    <cellStyle name="Normal 10 2 4 2 2 2 2 6" xfId="29296" xr:uid="{00000000-0005-0000-0000-000006710000}"/>
    <cellStyle name="Normal 10 2 4 2 2 2 3" xfId="29297" xr:uid="{00000000-0005-0000-0000-000007710000}"/>
    <cellStyle name="Normal 10 2 4 2 2 2 3 2" xfId="29298" xr:uid="{00000000-0005-0000-0000-000008710000}"/>
    <cellStyle name="Normal 10 2 4 2 2 2 3 2 2" xfId="29299" xr:uid="{00000000-0005-0000-0000-000009710000}"/>
    <cellStyle name="Normal 10 2 4 2 2 2 3 2 3" xfId="29300" xr:uid="{00000000-0005-0000-0000-00000A710000}"/>
    <cellStyle name="Normal 10 2 4 2 2 2 3 3" xfId="29301" xr:uid="{00000000-0005-0000-0000-00000B710000}"/>
    <cellStyle name="Normal 10 2 4 2 2 2 3 4" xfId="29302" xr:uid="{00000000-0005-0000-0000-00000C710000}"/>
    <cellStyle name="Normal 10 2 4 2 2 2 3 5" xfId="29303" xr:uid="{00000000-0005-0000-0000-00000D710000}"/>
    <cellStyle name="Normal 10 2 4 2 2 2 3 6" xfId="29304" xr:uid="{00000000-0005-0000-0000-00000E710000}"/>
    <cellStyle name="Normal 10 2 4 2 2 2 4" xfId="29305" xr:uid="{00000000-0005-0000-0000-00000F710000}"/>
    <cellStyle name="Normal 10 2 4 2 2 2 4 2" xfId="29306" xr:uid="{00000000-0005-0000-0000-000010710000}"/>
    <cellStyle name="Normal 10 2 4 2 2 2 4 3" xfId="29307" xr:uid="{00000000-0005-0000-0000-000011710000}"/>
    <cellStyle name="Normal 10 2 4 2 2 2 5" xfId="29308" xr:uid="{00000000-0005-0000-0000-000012710000}"/>
    <cellStyle name="Normal 10 2 4 2 2 2 6" xfId="29309" xr:uid="{00000000-0005-0000-0000-000013710000}"/>
    <cellStyle name="Normal 10 2 4 2 2 2 7" xfId="29310" xr:uid="{00000000-0005-0000-0000-000014710000}"/>
    <cellStyle name="Normal 10 2 4 2 2 2 8" xfId="29311" xr:uid="{00000000-0005-0000-0000-000015710000}"/>
    <cellStyle name="Normal 10 2 4 2 2 3" xfId="29312" xr:uid="{00000000-0005-0000-0000-000016710000}"/>
    <cellStyle name="Normal 10 2 4 2 2 3 2" xfId="29313" xr:uid="{00000000-0005-0000-0000-000017710000}"/>
    <cellStyle name="Normal 10 2 4 2 2 3 2 2" xfId="29314" xr:uid="{00000000-0005-0000-0000-000018710000}"/>
    <cellStyle name="Normal 10 2 4 2 2 3 2 2 2" xfId="29315" xr:uid="{00000000-0005-0000-0000-000019710000}"/>
    <cellStyle name="Normal 10 2 4 2 2 3 2 2 3" xfId="29316" xr:uid="{00000000-0005-0000-0000-00001A710000}"/>
    <cellStyle name="Normal 10 2 4 2 2 3 2 3" xfId="29317" xr:uid="{00000000-0005-0000-0000-00001B710000}"/>
    <cellStyle name="Normal 10 2 4 2 2 3 2 4" xfId="29318" xr:uid="{00000000-0005-0000-0000-00001C710000}"/>
    <cellStyle name="Normal 10 2 4 2 2 3 2 5" xfId="29319" xr:uid="{00000000-0005-0000-0000-00001D710000}"/>
    <cellStyle name="Normal 10 2 4 2 2 3 2 6" xfId="29320" xr:uid="{00000000-0005-0000-0000-00001E710000}"/>
    <cellStyle name="Normal 10 2 4 2 2 3 3" xfId="29321" xr:uid="{00000000-0005-0000-0000-00001F710000}"/>
    <cellStyle name="Normal 10 2 4 2 2 3 3 2" xfId="29322" xr:uid="{00000000-0005-0000-0000-000020710000}"/>
    <cellStyle name="Normal 10 2 4 2 2 3 3 3" xfId="29323" xr:uid="{00000000-0005-0000-0000-000021710000}"/>
    <cellStyle name="Normal 10 2 4 2 2 3 4" xfId="29324" xr:uid="{00000000-0005-0000-0000-000022710000}"/>
    <cellStyle name="Normal 10 2 4 2 2 3 5" xfId="29325" xr:uid="{00000000-0005-0000-0000-000023710000}"/>
    <cellStyle name="Normal 10 2 4 2 2 3 6" xfId="29326" xr:uid="{00000000-0005-0000-0000-000024710000}"/>
    <cellStyle name="Normal 10 2 4 2 2 3 7" xfId="29327" xr:uid="{00000000-0005-0000-0000-000025710000}"/>
    <cellStyle name="Normal 10 2 4 2 2 4" xfId="29328" xr:uid="{00000000-0005-0000-0000-000026710000}"/>
    <cellStyle name="Normal 10 2 4 2 2 4 2" xfId="29329" xr:uid="{00000000-0005-0000-0000-000027710000}"/>
    <cellStyle name="Normal 10 2 4 2 2 4 2 2" xfId="29330" xr:uid="{00000000-0005-0000-0000-000028710000}"/>
    <cellStyle name="Normal 10 2 4 2 2 4 2 3" xfId="29331" xr:uid="{00000000-0005-0000-0000-000029710000}"/>
    <cellStyle name="Normal 10 2 4 2 2 4 3" xfId="29332" xr:uid="{00000000-0005-0000-0000-00002A710000}"/>
    <cellStyle name="Normal 10 2 4 2 2 4 4" xfId="29333" xr:uid="{00000000-0005-0000-0000-00002B710000}"/>
    <cellStyle name="Normal 10 2 4 2 2 4 5" xfId="29334" xr:uid="{00000000-0005-0000-0000-00002C710000}"/>
    <cellStyle name="Normal 10 2 4 2 2 4 6" xfId="29335" xr:uid="{00000000-0005-0000-0000-00002D710000}"/>
    <cellStyle name="Normal 10 2 4 2 2 5" xfId="29336" xr:uid="{00000000-0005-0000-0000-00002E710000}"/>
    <cellStyle name="Normal 10 2 4 2 2 5 2" xfId="29337" xr:uid="{00000000-0005-0000-0000-00002F710000}"/>
    <cellStyle name="Normal 10 2 4 2 2 5 2 2" xfId="29338" xr:uid="{00000000-0005-0000-0000-000030710000}"/>
    <cellStyle name="Normal 10 2 4 2 2 5 2 3" xfId="29339" xr:uid="{00000000-0005-0000-0000-000031710000}"/>
    <cellStyle name="Normal 10 2 4 2 2 5 3" xfId="29340" xr:uid="{00000000-0005-0000-0000-000032710000}"/>
    <cellStyle name="Normal 10 2 4 2 2 5 4" xfId="29341" xr:uid="{00000000-0005-0000-0000-000033710000}"/>
    <cellStyle name="Normal 10 2 4 2 2 5 5" xfId="29342" xr:uid="{00000000-0005-0000-0000-000034710000}"/>
    <cellStyle name="Normal 10 2 4 2 2 5 6" xfId="29343" xr:uid="{00000000-0005-0000-0000-000035710000}"/>
    <cellStyle name="Normal 10 2 4 2 2 6" xfId="29344" xr:uid="{00000000-0005-0000-0000-000036710000}"/>
    <cellStyle name="Normal 10 2 4 2 2 6 2" xfId="29345" xr:uid="{00000000-0005-0000-0000-000037710000}"/>
    <cellStyle name="Normal 10 2 4 2 2 6 3" xfId="29346" xr:uid="{00000000-0005-0000-0000-000038710000}"/>
    <cellStyle name="Normal 10 2 4 2 2 7" xfId="29347" xr:uid="{00000000-0005-0000-0000-000039710000}"/>
    <cellStyle name="Normal 10 2 4 2 2 8" xfId="29348" xr:uid="{00000000-0005-0000-0000-00003A710000}"/>
    <cellStyle name="Normal 10 2 4 2 2 9" xfId="29349" xr:uid="{00000000-0005-0000-0000-00003B710000}"/>
    <cellStyle name="Normal 10 2 4 2 3" xfId="29350" xr:uid="{00000000-0005-0000-0000-00003C710000}"/>
    <cellStyle name="Normal 10 2 4 2 3 2" xfId="29351" xr:uid="{00000000-0005-0000-0000-00003D710000}"/>
    <cellStyle name="Normal 10 2 4 2 3 2 2" xfId="29352" xr:uid="{00000000-0005-0000-0000-00003E710000}"/>
    <cellStyle name="Normal 10 2 4 2 3 2 2 2" xfId="29353" xr:uid="{00000000-0005-0000-0000-00003F710000}"/>
    <cellStyle name="Normal 10 2 4 2 3 2 2 2 2" xfId="29354" xr:uid="{00000000-0005-0000-0000-000040710000}"/>
    <cellStyle name="Normal 10 2 4 2 3 2 2 2 3" xfId="29355" xr:uid="{00000000-0005-0000-0000-000041710000}"/>
    <cellStyle name="Normal 10 2 4 2 3 2 2 3" xfId="29356" xr:uid="{00000000-0005-0000-0000-000042710000}"/>
    <cellStyle name="Normal 10 2 4 2 3 2 2 4" xfId="29357" xr:uid="{00000000-0005-0000-0000-000043710000}"/>
    <cellStyle name="Normal 10 2 4 2 3 2 2 5" xfId="29358" xr:uid="{00000000-0005-0000-0000-000044710000}"/>
    <cellStyle name="Normal 10 2 4 2 3 2 2 6" xfId="29359" xr:uid="{00000000-0005-0000-0000-000045710000}"/>
    <cellStyle name="Normal 10 2 4 2 3 2 3" xfId="29360" xr:uid="{00000000-0005-0000-0000-000046710000}"/>
    <cellStyle name="Normal 10 2 4 2 3 2 3 2" xfId="29361" xr:uid="{00000000-0005-0000-0000-000047710000}"/>
    <cellStyle name="Normal 10 2 4 2 3 2 3 3" xfId="29362" xr:uid="{00000000-0005-0000-0000-000048710000}"/>
    <cellStyle name="Normal 10 2 4 2 3 2 4" xfId="29363" xr:uid="{00000000-0005-0000-0000-000049710000}"/>
    <cellStyle name="Normal 10 2 4 2 3 2 5" xfId="29364" xr:uid="{00000000-0005-0000-0000-00004A710000}"/>
    <cellStyle name="Normal 10 2 4 2 3 2 6" xfId="29365" xr:uid="{00000000-0005-0000-0000-00004B710000}"/>
    <cellStyle name="Normal 10 2 4 2 3 2 7" xfId="29366" xr:uid="{00000000-0005-0000-0000-00004C710000}"/>
    <cellStyle name="Normal 10 2 4 2 3 3" xfId="29367" xr:uid="{00000000-0005-0000-0000-00004D710000}"/>
    <cellStyle name="Normal 10 2 4 2 3 3 2" xfId="29368" xr:uid="{00000000-0005-0000-0000-00004E710000}"/>
    <cellStyle name="Normal 10 2 4 2 3 3 2 2" xfId="29369" xr:uid="{00000000-0005-0000-0000-00004F710000}"/>
    <cellStyle name="Normal 10 2 4 2 3 3 2 3" xfId="29370" xr:uid="{00000000-0005-0000-0000-000050710000}"/>
    <cellStyle name="Normal 10 2 4 2 3 3 3" xfId="29371" xr:uid="{00000000-0005-0000-0000-000051710000}"/>
    <cellStyle name="Normal 10 2 4 2 3 3 4" xfId="29372" xr:uid="{00000000-0005-0000-0000-000052710000}"/>
    <cellStyle name="Normal 10 2 4 2 3 3 5" xfId="29373" xr:uid="{00000000-0005-0000-0000-000053710000}"/>
    <cellStyle name="Normal 10 2 4 2 3 3 6" xfId="29374" xr:uid="{00000000-0005-0000-0000-000054710000}"/>
    <cellStyle name="Normal 10 2 4 2 3 4" xfId="29375" xr:uid="{00000000-0005-0000-0000-000055710000}"/>
    <cellStyle name="Normal 10 2 4 2 3 4 2" xfId="29376" xr:uid="{00000000-0005-0000-0000-000056710000}"/>
    <cellStyle name="Normal 10 2 4 2 3 4 2 2" xfId="29377" xr:uid="{00000000-0005-0000-0000-000057710000}"/>
    <cellStyle name="Normal 10 2 4 2 3 4 2 3" xfId="29378" xr:uid="{00000000-0005-0000-0000-000058710000}"/>
    <cellStyle name="Normal 10 2 4 2 3 4 3" xfId="29379" xr:uid="{00000000-0005-0000-0000-000059710000}"/>
    <cellStyle name="Normal 10 2 4 2 3 4 4" xfId="29380" xr:uid="{00000000-0005-0000-0000-00005A710000}"/>
    <cellStyle name="Normal 10 2 4 2 3 4 5" xfId="29381" xr:uid="{00000000-0005-0000-0000-00005B710000}"/>
    <cellStyle name="Normal 10 2 4 2 3 4 6" xfId="29382" xr:uid="{00000000-0005-0000-0000-00005C710000}"/>
    <cellStyle name="Normal 10 2 4 2 3 5" xfId="29383" xr:uid="{00000000-0005-0000-0000-00005D710000}"/>
    <cellStyle name="Normal 10 2 4 2 3 5 2" xfId="29384" xr:uid="{00000000-0005-0000-0000-00005E710000}"/>
    <cellStyle name="Normal 10 2 4 2 3 5 3" xfId="29385" xr:uid="{00000000-0005-0000-0000-00005F710000}"/>
    <cellStyle name="Normal 10 2 4 2 3 6" xfId="29386" xr:uid="{00000000-0005-0000-0000-000060710000}"/>
    <cellStyle name="Normal 10 2 4 2 3 7" xfId="29387" xr:uid="{00000000-0005-0000-0000-000061710000}"/>
    <cellStyle name="Normal 10 2 4 2 3 8" xfId="29388" xr:uid="{00000000-0005-0000-0000-000062710000}"/>
    <cellStyle name="Normal 10 2 4 2 3 9" xfId="29389" xr:uid="{00000000-0005-0000-0000-000063710000}"/>
    <cellStyle name="Normal 10 2 4 2 4" xfId="29390" xr:uid="{00000000-0005-0000-0000-000064710000}"/>
    <cellStyle name="Normal 10 2 4 2 4 2" xfId="29391" xr:uid="{00000000-0005-0000-0000-000065710000}"/>
    <cellStyle name="Normal 10 2 4 2 4 2 2" xfId="29392" xr:uid="{00000000-0005-0000-0000-000066710000}"/>
    <cellStyle name="Normal 10 2 4 2 4 2 2 2" xfId="29393" xr:uid="{00000000-0005-0000-0000-000067710000}"/>
    <cellStyle name="Normal 10 2 4 2 4 2 2 3" xfId="29394" xr:uid="{00000000-0005-0000-0000-000068710000}"/>
    <cellStyle name="Normal 10 2 4 2 4 2 3" xfId="29395" xr:uid="{00000000-0005-0000-0000-000069710000}"/>
    <cellStyle name="Normal 10 2 4 2 4 2 4" xfId="29396" xr:uid="{00000000-0005-0000-0000-00006A710000}"/>
    <cellStyle name="Normal 10 2 4 2 4 2 5" xfId="29397" xr:uid="{00000000-0005-0000-0000-00006B710000}"/>
    <cellStyle name="Normal 10 2 4 2 4 2 6" xfId="29398" xr:uid="{00000000-0005-0000-0000-00006C710000}"/>
    <cellStyle name="Normal 10 2 4 2 4 3" xfId="29399" xr:uid="{00000000-0005-0000-0000-00006D710000}"/>
    <cellStyle name="Normal 10 2 4 2 4 3 2" xfId="29400" xr:uid="{00000000-0005-0000-0000-00006E710000}"/>
    <cellStyle name="Normal 10 2 4 2 4 3 3" xfId="29401" xr:uid="{00000000-0005-0000-0000-00006F710000}"/>
    <cellStyle name="Normal 10 2 4 2 4 4" xfId="29402" xr:uid="{00000000-0005-0000-0000-000070710000}"/>
    <cellStyle name="Normal 10 2 4 2 4 5" xfId="29403" xr:uid="{00000000-0005-0000-0000-000071710000}"/>
    <cellStyle name="Normal 10 2 4 2 4 6" xfId="29404" xr:uid="{00000000-0005-0000-0000-000072710000}"/>
    <cellStyle name="Normal 10 2 4 2 4 7" xfId="29405" xr:uid="{00000000-0005-0000-0000-000073710000}"/>
    <cellStyle name="Normal 10 2 4 2 5" xfId="29406" xr:uid="{00000000-0005-0000-0000-000074710000}"/>
    <cellStyle name="Normal 10 2 4 2 5 2" xfId="29407" xr:uid="{00000000-0005-0000-0000-000075710000}"/>
    <cellStyle name="Normal 10 2 4 2 5 2 2" xfId="29408" xr:uid="{00000000-0005-0000-0000-000076710000}"/>
    <cellStyle name="Normal 10 2 4 2 5 2 3" xfId="29409" xr:uid="{00000000-0005-0000-0000-000077710000}"/>
    <cellStyle name="Normal 10 2 4 2 5 3" xfId="29410" xr:uid="{00000000-0005-0000-0000-000078710000}"/>
    <cellStyle name="Normal 10 2 4 2 5 4" xfId="29411" xr:uid="{00000000-0005-0000-0000-000079710000}"/>
    <cellStyle name="Normal 10 2 4 2 5 5" xfId="29412" xr:uid="{00000000-0005-0000-0000-00007A710000}"/>
    <cellStyle name="Normal 10 2 4 2 5 6" xfId="29413" xr:uid="{00000000-0005-0000-0000-00007B710000}"/>
    <cellStyle name="Normal 10 2 4 2 6" xfId="29414" xr:uid="{00000000-0005-0000-0000-00007C710000}"/>
    <cellStyle name="Normal 10 2 4 2 6 2" xfId="29415" xr:uid="{00000000-0005-0000-0000-00007D710000}"/>
    <cellStyle name="Normal 10 2 4 2 6 2 2" xfId="29416" xr:uid="{00000000-0005-0000-0000-00007E710000}"/>
    <cellStyle name="Normal 10 2 4 2 6 2 3" xfId="29417" xr:uid="{00000000-0005-0000-0000-00007F710000}"/>
    <cellStyle name="Normal 10 2 4 2 6 3" xfId="29418" xr:uid="{00000000-0005-0000-0000-000080710000}"/>
    <cellStyle name="Normal 10 2 4 2 6 4" xfId="29419" xr:uid="{00000000-0005-0000-0000-000081710000}"/>
    <cellStyle name="Normal 10 2 4 2 6 5" xfId="29420" xr:uid="{00000000-0005-0000-0000-000082710000}"/>
    <cellStyle name="Normal 10 2 4 2 6 6" xfId="29421" xr:uid="{00000000-0005-0000-0000-000083710000}"/>
    <cellStyle name="Normal 10 2 4 2 7" xfId="29422" xr:uid="{00000000-0005-0000-0000-000084710000}"/>
    <cellStyle name="Normal 10 2 4 2 7 2" xfId="29423" xr:uid="{00000000-0005-0000-0000-000085710000}"/>
    <cellStyle name="Normal 10 2 4 2 7 2 2" xfId="29424" xr:uid="{00000000-0005-0000-0000-000086710000}"/>
    <cellStyle name="Normal 10 2 4 2 7 2 3" xfId="29425" xr:uid="{00000000-0005-0000-0000-000087710000}"/>
    <cellStyle name="Normal 10 2 4 2 7 3" xfId="29426" xr:uid="{00000000-0005-0000-0000-000088710000}"/>
    <cellStyle name="Normal 10 2 4 2 7 4" xfId="29427" xr:uid="{00000000-0005-0000-0000-000089710000}"/>
    <cellStyle name="Normal 10 2 4 2 7 5" xfId="29428" xr:uid="{00000000-0005-0000-0000-00008A710000}"/>
    <cellStyle name="Normal 10 2 4 2 7 6" xfId="29429" xr:uid="{00000000-0005-0000-0000-00008B710000}"/>
    <cellStyle name="Normal 10 2 4 2 8" xfId="29430" xr:uid="{00000000-0005-0000-0000-00008C710000}"/>
    <cellStyle name="Normal 10 2 4 2 8 2" xfId="29431" xr:uid="{00000000-0005-0000-0000-00008D710000}"/>
    <cellStyle name="Normal 10 2 4 2 8 2 2" xfId="29432" xr:uid="{00000000-0005-0000-0000-00008E710000}"/>
    <cellStyle name="Normal 10 2 4 2 8 2 3" xfId="29433" xr:uid="{00000000-0005-0000-0000-00008F710000}"/>
    <cellStyle name="Normal 10 2 4 2 8 3" xfId="29434" xr:uid="{00000000-0005-0000-0000-000090710000}"/>
    <cellStyle name="Normal 10 2 4 2 8 4" xfId="29435" xr:uid="{00000000-0005-0000-0000-000091710000}"/>
    <cellStyle name="Normal 10 2 4 2 8 5" xfId="29436" xr:uid="{00000000-0005-0000-0000-000092710000}"/>
    <cellStyle name="Normal 10 2 4 2 8 6" xfId="29437" xr:uid="{00000000-0005-0000-0000-000093710000}"/>
    <cellStyle name="Normal 10 2 4 2 9" xfId="29438" xr:uid="{00000000-0005-0000-0000-000094710000}"/>
    <cellStyle name="Normal 10 2 4 2 9 2" xfId="29439" xr:uid="{00000000-0005-0000-0000-000095710000}"/>
    <cellStyle name="Normal 10 2 4 2 9 3" xfId="29440" xr:uid="{00000000-0005-0000-0000-000096710000}"/>
    <cellStyle name="Normal 10 2 4 3" xfId="29441" xr:uid="{00000000-0005-0000-0000-000097710000}"/>
    <cellStyle name="Normal 10 2 4 3 10" xfId="29442" xr:uid="{00000000-0005-0000-0000-000098710000}"/>
    <cellStyle name="Normal 10 2 4 3 2" xfId="29443" xr:uid="{00000000-0005-0000-0000-000099710000}"/>
    <cellStyle name="Normal 10 2 4 3 2 2" xfId="29444" xr:uid="{00000000-0005-0000-0000-00009A710000}"/>
    <cellStyle name="Normal 10 2 4 3 2 2 2" xfId="29445" xr:uid="{00000000-0005-0000-0000-00009B710000}"/>
    <cellStyle name="Normal 10 2 4 3 2 2 2 2" xfId="29446" xr:uid="{00000000-0005-0000-0000-00009C710000}"/>
    <cellStyle name="Normal 10 2 4 3 2 2 2 3" xfId="29447" xr:uid="{00000000-0005-0000-0000-00009D710000}"/>
    <cellStyle name="Normal 10 2 4 3 2 2 3" xfId="29448" xr:uid="{00000000-0005-0000-0000-00009E710000}"/>
    <cellStyle name="Normal 10 2 4 3 2 2 4" xfId="29449" xr:uid="{00000000-0005-0000-0000-00009F710000}"/>
    <cellStyle name="Normal 10 2 4 3 2 2 5" xfId="29450" xr:uid="{00000000-0005-0000-0000-0000A0710000}"/>
    <cellStyle name="Normal 10 2 4 3 2 2 6" xfId="29451" xr:uid="{00000000-0005-0000-0000-0000A1710000}"/>
    <cellStyle name="Normal 10 2 4 3 2 3" xfId="29452" xr:uid="{00000000-0005-0000-0000-0000A2710000}"/>
    <cellStyle name="Normal 10 2 4 3 2 3 2" xfId="29453" xr:uid="{00000000-0005-0000-0000-0000A3710000}"/>
    <cellStyle name="Normal 10 2 4 3 2 3 2 2" xfId="29454" xr:uid="{00000000-0005-0000-0000-0000A4710000}"/>
    <cellStyle name="Normal 10 2 4 3 2 3 2 3" xfId="29455" xr:uid="{00000000-0005-0000-0000-0000A5710000}"/>
    <cellStyle name="Normal 10 2 4 3 2 3 3" xfId="29456" xr:uid="{00000000-0005-0000-0000-0000A6710000}"/>
    <cellStyle name="Normal 10 2 4 3 2 3 4" xfId="29457" xr:uid="{00000000-0005-0000-0000-0000A7710000}"/>
    <cellStyle name="Normal 10 2 4 3 2 3 5" xfId="29458" xr:uid="{00000000-0005-0000-0000-0000A8710000}"/>
    <cellStyle name="Normal 10 2 4 3 2 3 6" xfId="29459" xr:uid="{00000000-0005-0000-0000-0000A9710000}"/>
    <cellStyle name="Normal 10 2 4 3 2 4" xfId="29460" xr:uid="{00000000-0005-0000-0000-0000AA710000}"/>
    <cellStyle name="Normal 10 2 4 3 2 4 2" xfId="29461" xr:uid="{00000000-0005-0000-0000-0000AB710000}"/>
    <cellStyle name="Normal 10 2 4 3 2 4 3" xfId="29462" xr:uid="{00000000-0005-0000-0000-0000AC710000}"/>
    <cellStyle name="Normal 10 2 4 3 2 5" xfId="29463" xr:uid="{00000000-0005-0000-0000-0000AD710000}"/>
    <cellStyle name="Normal 10 2 4 3 2 6" xfId="29464" xr:uid="{00000000-0005-0000-0000-0000AE710000}"/>
    <cellStyle name="Normal 10 2 4 3 2 7" xfId="29465" xr:uid="{00000000-0005-0000-0000-0000AF710000}"/>
    <cellStyle name="Normal 10 2 4 3 2 8" xfId="29466" xr:uid="{00000000-0005-0000-0000-0000B0710000}"/>
    <cellStyle name="Normal 10 2 4 3 3" xfId="29467" xr:uid="{00000000-0005-0000-0000-0000B1710000}"/>
    <cellStyle name="Normal 10 2 4 3 3 2" xfId="29468" xr:uid="{00000000-0005-0000-0000-0000B2710000}"/>
    <cellStyle name="Normal 10 2 4 3 3 2 2" xfId="29469" xr:uid="{00000000-0005-0000-0000-0000B3710000}"/>
    <cellStyle name="Normal 10 2 4 3 3 2 2 2" xfId="29470" xr:uid="{00000000-0005-0000-0000-0000B4710000}"/>
    <cellStyle name="Normal 10 2 4 3 3 2 2 3" xfId="29471" xr:uid="{00000000-0005-0000-0000-0000B5710000}"/>
    <cellStyle name="Normal 10 2 4 3 3 2 3" xfId="29472" xr:uid="{00000000-0005-0000-0000-0000B6710000}"/>
    <cellStyle name="Normal 10 2 4 3 3 2 4" xfId="29473" xr:uid="{00000000-0005-0000-0000-0000B7710000}"/>
    <cellStyle name="Normal 10 2 4 3 3 2 5" xfId="29474" xr:uid="{00000000-0005-0000-0000-0000B8710000}"/>
    <cellStyle name="Normal 10 2 4 3 3 2 6" xfId="29475" xr:uid="{00000000-0005-0000-0000-0000B9710000}"/>
    <cellStyle name="Normal 10 2 4 3 3 3" xfId="29476" xr:uid="{00000000-0005-0000-0000-0000BA710000}"/>
    <cellStyle name="Normal 10 2 4 3 3 3 2" xfId="29477" xr:uid="{00000000-0005-0000-0000-0000BB710000}"/>
    <cellStyle name="Normal 10 2 4 3 3 3 3" xfId="29478" xr:uid="{00000000-0005-0000-0000-0000BC710000}"/>
    <cellStyle name="Normal 10 2 4 3 3 4" xfId="29479" xr:uid="{00000000-0005-0000-0000-0000BD710000}"/>
    <cellStyle name="Normal 10 2 4 3 3 5" xfId="29480" xr:uid="{00000000-0005-0000-0000-0000BE710000}"/>
    <cellStyle name="Normal 10 2 4 3 3 6" xfId="29481" xr:uid="{00000000-0005-0000-0000-0000BF710000}"/>
    <cellStyle name="Normal 10 2 4 3 3 7" xfId="29482" xr:uid="{00000000-0005-0000-0000-0000C0710000}"/>
    <cellStyle name="Normal 10 2 4 3 4" xfId="29483" xr:uid="{00000000-0005-0000-0000-0000C1710000}"/>
    <cellStyle name="Normal 10 2 4 3 4 2" xfId="29484" xr:uid="{00000000-0005-0000-0000-0000C2710000}"/>
    <cellStyle name="Normal 10 2 4 3 4 2 2" xfId="29485" xr:uid="{00000000-0005-0000-0000-0000C3710000}"/>
    <cellStyle name="Normal 10 2 4 3 4 2 3" xfId="29486" xr:uid="{00000000-0005-0000-0000-0000C4710000}"/>
    <cellStyle name="Normal 10 2 4 3 4 3" xfId="29487" xr:uid="{00000000-0005-0000-0000-0000C5710000}"/>
    <cellStyle name="Normal 10 2 4 3 4 4" xfId="29488" xr:uid="{00000000-0005-0000-0000-0000C6710000}"/>
    <cellStyle name="Normal 10 2 4 3 4 5" xfId="29489" xr:uid="{00000000-0005-0000-0000-0000C7710000}"/>
    <cellStyle name="Normal 10 2 4 3 4 6" xfId="29490" xr:uid="{00000000-0005-0000-0000-0000C8710000}"/>
    <cellStyle name="Normal 10 2 4 3 5" xfId="29491" xr:uid="{00000000-0005-0000-0000-0000C9710000}"/>
    <cellStyle name="Normal 10 2 4 3 5 2" xfId="29492" xr:uid="{00000000-0005-0000-0000-0000CA710000}"/>
    <cellStyle name="Normal 10 2 4 3 5 2 2" xfId="29493" xr:uid="{00000000-0005-0000-0000-0000CB710000}"/>
    <cellStyle name="Normal 10 2 4 3 5 2 3" xfId="29494" xr:uid="{00000000-0005-0000-0000-0000CC710000}"/>
    <cellStyle name="Normal 10 2 4 3 5 3" xfId="29495" xr:uid="{00000000-0005-0000-0000-0000CD710000}"/>
    <cellStyle name="Normal 10 2 4 3 5 4" xfId="29496" xr:uid="{00000000-0005-0000-0000-0000CE710000}"/>
    <cellStyle name="Normal 10 2 4 3 5 5" xfId="29497" xr:uid="{00000000-0005-0000-0000-0000CF710000}"/>
    <cellStyle name="Normal 10 2 4 3 5 6" xfId="29498" xr:uid="{00000000-0005-0000-0000-0000D0710000}"/>
    <cellStyle name="Normal 10 2 4 3 6" xfId="29499" xr:uid="{00000000-0005-0000-0000-0000D1710000}"/>
    <cellStyle name="Normal 10 2 4 3 6 2" xfId="29500" xr:uid="{00000000-0005-0000-0000-0000D2710000}"/>
    <cellStyle name="Normal 10 2 4 3 6 3" xfId="29501" xr:uid="{00000000-0005-0000-0000-0000D3710000}"/>
    <cellStyle name="Normal 10 2 4 3 7" xfId="29502" xr:uid="{00000000-0005-0000-0000-0000D4710000}"/>
    <cellStyle name="Normal 10 2 4 3 8" xfId="29503" xr:uid="{00000000-0005-0000-0000-0000D5710000}"/>
    <cellStyle name="Normal 10 2 4 3 9" xfId="29504" xr:uid="{00000000-0005-0000-0000-0000D6710000}"/>
    <cellStyle name="Normal 10 2 4 4" xfId="29505" xr:uid="{00000000-0005-0000-0000-0000D7710000}"/>
    <cellStyle name="Normal 10 2 4 4 2" xfId="29506" xr:uid="{00000000-0005-0000-0000-0000D8710000}"/>
    <cellStyle name="Normal 10 2 4 4 2 2" xfId="29507" xr:uid="{00000000-0005-0000-0000-0000D9710000}"/>
    <cellStyle name="Normal 10 2 4 4 2 2 2" xfId="29508" xr:uid="{00000000-0005-0000-0000-0000DA710000}"/>
    <cellStyle name="Normal 10 2 4 4 2 2 2 2" xfId="29509" xr:uid="{00000000-0005-0000-0000-0000DB710000}"/>
    <cellStyle name="Normal 10 2 4 4 2 2 2 3" xfId="29510" xr:uid="{00000000-0005-0000-0000-0000DC710000}"/>
    <cellStyle name="Normal 10 2 4 4 2 2 3" xfId="29511" xr:uid="{00000000-0005-0000-0000-0000DD710000}"/>
    <cellStyle name="Normal 10 2 4 4 2 2 4" xfId="29512" xr:uid="{00000000-0005-0000-0000-0000DE710000}"/>
    <cellStyle name="Normal 10 2 4 4 2 2 5" xfId="29513" xr:uid="{00000000-0005-0000-0000-0000DF710000}"/>
    <cellStyle name="Normal 10 2 4 4 2 2 6" xfId="29514" xr:uid="{00000000-0005-0000-0000-0000E0710000}"/>
    <cellStyle name="Normal 10 2 4 4 2 3" xfId="29515" xr:uid="{00000000-0005-0000-0000-0000E1710000}"/>
    <cellStyle name="Normal 10 2 4 4 2 3 2" xfId="29516" xr:uid="{00000000-0005-0000-0000-0000E2710000}"/>
    <cellStyle name="Normal 10 2 4 4 2 3 3" xfId="29517" xr:uid="{00000000-0005-0000-0000-0000E3710000}"/>
    <cellStyle name="Normal 10 2 4 4 2 4" xfId="29518" xr:uid="{00000000-0005-0000-0000-0000E4710000}"/>
    <cellStyle name="Normal 10 2 4 4 2 5" xfId="29519" xr:uid="{00000000-0005-0000-0000-0000E5710000}"/>
    <cellStyle name="Normal 10 2 4 4 2 6" xfId="29520" xr:uid="{00000000-0005-0000-0000-0000E6710000}"/>
    <cellStyle name="Normal 10 2 4 4 2 7" xfId="29521" xr:uid="{00000000-0005-0000-0000-0000E7710000}"/>
    <cellStyle name="Normal 10 2 4 4 3" xfId="29522" xr:uid="{00000000-0005-0000-0000-0000E8710000}"/>
    <cellStyle name="Normal 10 2 4 4 3 2" xfId="29523" xr:uid="{00000000-0005-0000-0000-0000E9710000}"/>
    <cellStyle name="Normal 10 2 4 4 3 2 2" xfId="29524" xr:uid="{00000000-0005-0000-0000-0000EA710000}"/>
    <cellStyle name="Normal 10 2 4 4 3 2 3" xfId="29525" xr:uid="{00000000-0005-0000-0000-0000EB710000}"/>
    <cellStyle name="Normal 10 2 4 4 3 3" xfId="29526" xr:uid="{00000000-0005-0000-0000-0000EC710000}"/>
    <cellStyle name="Normal 10 2 4 4 3 4" xfId="29527" xr:uid="{00000000-0005-0000-0000-0000ED710000}"/>
    <cellStyle name="Normal 10 2 4 4 3 5" xfId="29528" xr:uid="{00000000-0005-0000-0000-0000EE710000}"/>
    <cellStyle name="Normal 10 2 4 4 3 6" xfId="29529" xr:uid="{00000000-0005-0000-0000-0000EF710000}"/>
    <cellStyle name="Normal 10 2 4 4 4" xfId="29530" xr:uid="{00000000-0005-0000-0000-0000F0710000}"/>
    <cellStyle name="Normal 10 2 4 4 4 2" xfId="29531" xr:uid="{00000000-0005-0000-0000-0000F1710000}"/>
    <cellStyle name="Normal 10 2 4 4 4 2 2" xfId="29532" xr:uid="{00000000-0005-0000-0000-0000F2710000}"/>
    <cellStyle name="Normal 10 2 4 4 4 2 3" xfId="29533" xr:uid="{00000000-0005-0000-0000-0000F3710000}"/>
    <cellStyle name="Normal 10 2 4 4 4 3" xfId="29534" xr:uid="{00000000-0005-0000-0000-0000F4710000}"/>
    <cellStyle name="Normal 10 2 4 4 4 4" xfId="29535" xr:uid="{00000000-0005-0000-0000-0000F5710000}"/>
    <cellStyle name="Normal 10 2 4 4 4 5" xfId="29536" xr:uid="{00000000-0005-0000-0000-0000F6710000}"/>
    <cellStyle name="Normal 10 2 4 4 4 6" xfId="29537" xr:uid="{00000000-0005-0000-0000-0000F7710000}"/>
    <cellStyle name="Normal 10 2 4 4 5" xfId="29538" xr:uid="{00000000-0005-0000-0000-0000F8710000}"/>
    <cellStyle name="Normal 10 2 4 4 5 2" xfId="29539" xr:uid="{00000000-0005-0000-0000-0000F9710000}"/>
    <cellStyle name="Normal 10 2 4 4 5 3" xfId="29540" xr:uid="{00000000-0005-0000-0000-0000FA710000}"/>
    <cellStyle name="Normal 10 2 4 4 6" xfId="29541" xr:uid="{00000000-0005-0000-0000-0000FB710000}"/>
    <cellStyle name="Normal 10 2 4 4 7" xfId="29542" xr:uid="{00000000-0005-0000-0000-0000FC710000}"/>
    <cellStyle name="Normal 10 2 4 4 8" xfId="29543" xr:uid="{00000000-0005-0000-0000-0000FD710000}"/>
    <cellStyle name="Normal 10 2 4 4 9" xfId="29544" xr:uid="{00000000-0005-0000-0000-0000FE710000}"/>
    <cellStyle name="Normal 10 2 4 5" xfId="29545" xr:uid="{00000000-0005-0000-0000-0000FF710000}"/>
    <cellStyle name="Normal 10 2 4 5 2" xfId="29546" xr:uid="{00000000-0005-0000-0000-000000720000}"/>
    <cellStyle name="Normal 10 2 4 5 2 2" xfId="29547" xr:uid="{00000000-0005-0000-0000-000001720000}"/>
    <cellStyle name="Normal 10 2 4 5 2 2 2" xfId="29548" xr:uid="{00000000-0005-0000-0000-000002720000}"/>
    <cellStyle name="Normal 10 2 4 5 2 2 3" xfId="29549" xr:uid="{00000000-0005-0000-0000-000003720000}"/>
    <cellStyle name="Normal 10 2 4 5 2 3" xfId="29550" xr:uid="{00000000-0005-0000-0000-000004720000}"/>
    <cellStyle name="Normal 10 2 4 5 2 4" xfId="29551" xr:uid="{00000000-0005-0000-0000-000005720000}"/>
    <cellStyle name="Normal 10 2 4 5 2 5" xfId="29552" xr:uid="{00000000-0005-0000-0000-000006720000}"/>
    <cellStyle name="Normal 10 2 4 5 2 6" xfId="29553" xr:uid="{00000000-0005-0000-0000-000007720000}"/>
    <cellStyle name="Normal 10 2 4 5 3" xfId="29554" xr:uid="{00000000-0005-0000-0000-000008720000}"/>
    <cellStyle name="Normal 10 2 4 5 3 2" xfId="29555" xr:uid="{00000000-0005-0000-0000-000009720000}"/>
    <cellStyle name="Normal 10 2 4 5 3 3" xfId="29556" xr:uid="{00000000-0005-0000-0000-00000A720000}"/>
    <cellStyle name="Normal 10 2 4 5 4" xfId="29557" xr:uid="{00000000-0005-0000-0000-00000B720000}"/>
    <cellStyle name="Normal 10 2 4 5 5" xfId="29558" xr:uid="{00000000-0005-0000-0000-00000C720000}"/>
    <cellStyle name="Normal 10 2 4 5 6" xfId="29559" xr:uid="{00000000-0005-0000-0000-00000D720000}"/>
    <cellStyle name="Normal 10 2 4 5 7" xfId="29560" xr:uid="{00000000-0005-0000-0000-00000E720000}"/>
    <cellStyle name="Normal 10 2 4 6" xfId="29561" xr:uid="{00000000-0005-0000-0000-00000F720000}"/>
    <cellStyle name="Normal 10 2 4 6 2" xfId="29562" xr:uid="{00000000-0005-0000-0000-000010720000}"/>
    <cellStyle name="Normal 10 2 4 6 2 2" xfId="29563" xr:uid="{00000000-0005-0000-0000-000011720000}"/>
    <cellStyle name="Normal 10 2 4 6 2 3" xfId="29564" xr:uid="{00000000-0005-0000-0000-000012720000}"/>
    <cellStyle name="Normal 10 2 4 6 3" xfId="29565" xr:uid="{00000000-0005-0000-0000-000013720000}"/>
    <cellStyle name="Normal 10 2 4 6 4" xfId="29566" xr:uid="{00000000-0005-0000-0000-000014720000}"/>
    <cellStyle name="Normal 10 2 4 6 5" xfId="29567" xr:uid="{00000000-0005-0000-0000-000015720000}"/>
    <cellStyle name="Normal 10 2 4 6 6" xfId="29568" xr:uid="{00000000-0005-0000-0000-000016720000}"/>
    <cellStyle name="Normal 10 2 4 7" xfId="29569" xr:uid="{00000000-0005-0000-0000-000017720000}"/>
    <cellStyle name="Normal 10 2 4 7 2" xfId="29570" xr:uid="{00000000-0005-0000-0000-000018720000}"/>
    <cellStyle name="Normal 10 2 4 7 2 2" xfId="29571" xr:uid="{00000000-0005-0000-0000-000019720000}"/>
    <cellStyle name="Normal 10 2 4 7 2 3" xfId="29572" xr:uid="{00000000-0005-0000-0000-00001A720000}"/>
    <cellStyle name="Normal 10 2 4 7 3" xfId="29573" xr:uid="{00000000-0005-0000-0000-00001B720000}"/>
    <cellStyle name="Normal 10 2 4 7 4" xfId="29574" xr:uid="{00000000-0005-0000-0000-00001C720000}"/>
    <cellStyle name="Normal 10 2 4 7 5" xfId="29575" xr:uid="{00000000-0005-0000-0000-00001D720000}"/>
    <cellStyle name="Normal 10 2 4 7 6" xfId="29576" xr:uid="{00000000-0005-0000-0000-00001E720000}"/>
    <cellStyle name="Normal 10 2 4 8" xfId="29577" xr:uid="{00000000-0005-0000-0000-00001F720000}"/>
    <cellStyle name="Normal 10 2 4 8 2" xfId="29578" xr:uid="{00000000-0005-0000-0000-000020720000}"/>
    <cellStyle name="Normal 10 2 4 8 2 2" xfId="29579" xr:uid="{00000000-0005-0000-0000-000021720000}"/>
    <cellStyle name="Normal 10 2 4 8 2 3" xfId="29580" xr:uid="{00000000-0005-0000-0000-000022720000}"/>
    <cellStyle name="Normal 10 2 4 8 3" xfId="29581" xr:uid="{00000000-0005-0000-0000-000023720000}"/>
    <cellStyle name="Normal 10 2 4 8 4" xfId="29582" xr:uid="{00000000-0005-0000-0000-000024720000}"/>
    <cellStyle name="Normal 10 2 4 8 5" xfId="29583" xr:uid="{00000000-0005-0000-0000-000025720000}"/>
    <cellStyle name="Normal 10 2 4 8 6" xfId="29584" xr:uid="{00000000-0005-0000-0000-000026720000}"/>
    <cellStyle name="Normal 10 2 4 9" xfId="29585" xr:uid="{00000000-0005-0000-0000-000027720000}"/>
    <cellStyle name="Normal 10 2 4 9 2" xfId="29586" xr:uid="{00000000-0005-0000-0000-000028720000}"/>
    <cellStyle name="Normal 10 2 4 9 2 2" xfId="29587" xr:uid="{00000000-0005-0000-0000-000029720000}"/>
    <cellStyle name="Normal 10 2 4 9 2 3" xfId="29588" xr:uid="{00000000-0005-0000-0000-00002A720000}"/>
    <cellStyle name="Normal 10 2 4 9 3" xfId="29589" xr:uid="{00000000-0005-0000-0000-00002B720000}"/>
    <cellStyle name="Normal 10 2 4 9 4" xfId="29590" xr:uid="{00000000-0005-0000-0000-00002C720000}"/>
    <cellStyle name="Normal 10 2 4 9 5" xfId="29591" xr:uid="{00000000-0005-0000-0000-00002D720000}"/>
    <cellStyle name="Normal 10 2 4 9 6" xfId="29592" xr:uid="{00000000-0005-0000-0000-00002E720000}"/>
    <cellStyle name="Normal 10 2 5" xfId="29593" xr:uid="{00000000-0005-0000-0000-00002F720000}"/>
    <cellStyle name="Normal 10 2 5 10" xfId="29594" xr:uid="{00000000-0005-0000-0000-000030720000}"/>
    <cellStyle name="Normal 10 2 5 10 2" xfId="29595" xr:uid="{00000000-0005-0000-0000-000031720000}"/>
    <cellStyle name="Normal 10 2 5 10 3" xfId="29596" xr:uid="{00000000-0005-0000-0000-000032720000}"/>
    <cellStyle name="Normal 10 2 5 11" xfId="29597" xr:uid="{00000000-0005-0000-0000-000033720000}"/>
    <cellStyle name="Normal 10 2 5 12" xfId="29598" xr:uid="{00000000-0005-0000-0000-000034720000}"/>
    <cellStyle name="Normal 10 2 5 13" xfId="29599" xr:uid="{00000000-0005-0000-0000-000035720000}"/>
    <cellStyle name="Normal 10 2 5 14" xfId="29600" xr:uid="{00000000-0005-0000-0000-000036720000}"/>
    <cellStyle name="Normal 10 2 5 2" xfId="29601" xr:uid="{00000000-0005-0000-0000-000037720000}"/>
    <cellStyle name="Normal 10 2 5 2 10" xfId="29602" xr:uid="{00000000-0005-0000-0000-000038720000}"/>
    <cellStyle name="Normal 10 2 5 2 11" xfId="29603" xr:uid="{00000000-0005-0000-0000-000039720000}"/>
    <cellStyle name="Normal 10 2 5 2 12" xfId="29604" xr:uid="{00000000-0005-0000-0000-00003A720000}"/>
    <cellStyle name="Normal 10 2 5 2 13" xfId="29605" xr:uid="{00000000-0005-0000-0000-00003B720000}"/>
    <cellStyle name="Normal 10 2 5 2 2" xfId="29606" xr:uid="{00000000-0005-0000-0000-00003C720000}"/>
    <cellStyle name="Normal 10 2 5 2 2 10" xfId="29607" xr:uid="{00000000-0005-0000-0000-00003D720000}"/>
    <cellStyle name="Normal 10 2 5 2 2 2" xfId="29608" xr:uid="{00000000-0005-0000-0000-00003E720000}"/>
    <cellStyle name="Normal 10 2 5 2 2 2 2" xfId="29609" xr:uid="{00000000-0005-0000-0000-00003F720000}"/>
    <cellStyle name="Normal 10 2 5 2 2 2 2 2" xfId="29610" xr:uid="{00000000-0005-0000-0000-000040720000}"/>
    <cellStyle name="Normal 10 2 5 2 2 2 2 2 2" xfId="29611" xr:uid="{00000000-0005-0000-0000-000041720000}"/>
    <cellStyle name="Normal 10 2 5 2 2 2 2 2 3" xfId="29612" xr:uid="{00000000-0005-0000-0000-000042720000}"/>
    <cellStyle name="Normal 10 2 5 2 2 2 2 3" xfId="29613" xr:uid="{00000000-0005-0000-0000-000043720000}"/>
    <cellStyle name="Normal 10 2 5 2 2 2 2 4" xfId="29614" xr:uid="{00000000-0005-0000-0000-000044720000}"/>
    <cellStyle name="Normal 10 2 5 2 2 2 2 5" xfId="29615" xr:uid="{00000000-0005-0000-0000-000045720000}"/>
    <cellStyle name="Normal 10 2 5 2 2 2 2 6" xfId="29616" xr:uid="{00000000-0005-0000-0000-000046720000}"/>
    <cellStyle name="Normal 10 2 5 2 2 2 3" xfId="29617" xr:uid="{00000000-0005-0000-0000-000047720000}"/>
    <cellStyle name="Normal 10 2 5 2 2 2 3 2" xfId="29618" xr:uid="{00000000-0005-0000-0000-000048720000}"/>
    <cellStyle name="Normal 10 2 5 2 2 2 3 2 2" xfId="29619" xr:uid="{00000000-0005-0000-0000-000049720000}"/>
    <cellStyle name="Normal 10 2 5 2 2 2 3 2 3" xfId="29620" xr:uid="{00000000-0005-0000-0000-00004A720000}"/>
    <cellStyle name="Normal 10 2 5 2 2 2 3 3" xfId="29621" xr:uid="{00000000-0005-0000-0000-00004B720000}"/>
    <cellStyle name="Normal 10 2 5 2 2 2 3 4" xfId="29622" xr:uid="{00000000-0005-0000-0000-00004C720000}"/>
    <cellStyle name="Normal 10 2 5 2 2 2 3 5" xfId="29623" xr:uid="{00000000-0005-0000-0000-00004D720000}"/>
    <cellStyle name="Normal 10 2 5 2 2 2 3 6" xfId="29624" xr:uid="{00000000-0005-0000-0000-00004E720000}"/>
    <cellStyle name="Normal 10 2 5 2 2 2 4" xfId="29625" xr:uid="{00000000-0005-0000-0000-00004F720000}"/>
    <cellStyle name="Normal 10 2 5 2 2 2 4 2" xfId="29626" xr:uid="{00000000-0005-0000-0000-000050720000}"/>
    <cellStyle name="Normal 10 2 5 2 2 2 4 3" xfId="29627" xr:uid="{00000000-0005-0000-0000-000051720000}"/>
    <cellStyle name="Normal 10 2 5 2 2 2 5" xfId="29628" xr:uid="{00000000-0005-0000-0000-000052720000}"/>
    <cellStyle name="Normal 10 2 5 2 2 2 6" xfId="29629" xr:uid="{00000000-0005-0000-0000-000053720000}"/>
    <cellStyle name="Normal 10 2 5 2 2 2 7" xfId="29630" xr:uid="{00000000-0005-0000-0000-000054720000}"/>
    <cellStyle name="Normal 10 2 5 2 2 2 8" xfId="29631" xr:uid="{00000000-0005-0000-0000-000055720000}"/>
    <cellStyle name="Normal 10 2 5 2 2 3" xfId="29632" xr:uid="{00000000-0005-0000-0000-000056720000}"/>
    <cellStyle name="Normal 10 2 5 2 2 3 2" xfId="29633" xr:uid="{00000000-0005-0000-0000-000057720000}"/>
    <cellStyle name="Normal 10 2 5 2 2 3 2 2" xfId="29634" xr:uid="{00000000-0005-0000-0000-000058720000}"/>
    <cellStyle name="Normal 10 2 5 2 2 3 2 2 2" xfId="29635" xr:uid="{00000000-0005-0000-0000-000059720000}"/>
    <cellStyle name="Normal 10 2 5 2 2 3 2 2 3" xfId="29636" xr:uid="{00000000-0005-0000-0000-00005A720000}"/>
    <cellStyle name="Normal 10 2 5 2 2 3 2 3" xfId="29637" xr:uid="{00000000-0005-0000-0000-00005B720000}"/>
    <cellStyle name="Normal 10 2 5 2 2 3 2 4" xfId="29638" xr:uid="{00000000-0005-0000-0000-00005C720000}"/>
    <cellStyle name="Normal 10 2 5 2 2 3 2 5" xfId="29639" xr:uid="{00000000-0005-0000-0000-00005D720000}"/>
    <cellStyle name="Normal 10 2 5 2 2 3 2 6" xfId="29640" xr:uid="{00000000-0005-0000-0000-00005E720000}"/>
    <cellStyle name="Normal 10 2 5 2 2 3 3" xfId="29641" xr:uid="{00000000-0005-0000-0000-00005F720000}"/>
    <cellStyle name="Normal 10 2 5 2 2 3 3 2" xfId="29642" xr:uid="{00000000-0005-0000-0000-000060720000}"/>
    <cellStyle name="Normal 10 2 5 2 2 3 3 3" xfId="29643" xr:uid="{00000000-0005-0000-0000-000061720000}"/>
    <cellStyle name="Normal 10 2 5 2 2 3 4" xfId="29644" xr:uid="{00000000-0005-0000-0000-000062720000}"/>
    <cellStyle name="Normal 10 2 5 2 2 3 5" xfId="29645" xr:uid="{00000000-0005-0000-0000-000063720000}"/>
    <cellStyle name="Normal 10 2 5 2 2 3 6" xfId="29646" xr:uid="{00000000-0005-0000-0000-000064720000}"/>
    <cellStyle name="Normal 10 2 5 2 2 3 7" xfId="29647" xr:uid="{00000000-0005-0000-0000-000065720000}"/>
    <cellStyle name="Normal 10 2 5 2 2 4" xfId="29648" xr:uid="{00000000-0005-0000-0000-000066720000}"/>
    <cellStyle name="Normal 10 2 5 2 2 4 2" xfId="29649" xr:uid="{00000000-0005-0000-0000-000067720000}"/>
    <cellStyle name="Normal 10 2 5 2 2 4 2 2" xfId="29650" xr:uid="{00000000-0005-0000-0000-000068720000}"/>
    <cellStyle name="Normal 10 2 5 2 2 4 2 3" xfId="29651" xr:uid="{00000000-0005-0000-0000-000069720000}"/>
    <cellStyle name="Normal 10 2 5 2 2 4 3" xfId="29652" xr:uid="{00000000-0005-0000-0000-00006A720000}"/>
    <cellStyle name="Normal 10 2 5 2 2 4 4" xfId="29653" xr:uid="{00000000-0005-0000-0000-00006B720000}"/>
    <cellStyle name="Normal 10 2 5 2 2 4 5" xfId="29654" xr:uid="{00000000-0005-0000-0000-00006C720000}"/>
    <cellStyle name="Normal 10 2 5 2 2 4 6" xfId="29655" xr:uid="{00000000-0005-0000-0000-00006D720000}"/>
    <cellStyle name="Normal 10 2 5 2 2 5" xfId="29656" xr:uid="{00000000-0005-0000-0000-00006E720000}"/>
    <cellStyle name="Normal 10 2 5 2 2 5 2" xfId="29657" xr:uid="{00000000-0005-0000-0000-00006F720000}"/>
    <cellStyle name="Normal 10 2 5 2 2 5 2 2" xfId="29658" xr:uid="{00000000-0005-0000-0000-000070720000}"/>
    <cellStyle name="Normal 10 2 5 2 2 5 2 3" xfId="29659" xr:uid="{00000000-0005-0000-0000-000071720000}"/>
    <cellStyle name="Normal 10 2 5 2 2 5 3" xfId="29660" xr:uid="{00000000-0005-0000-0000-000072720000}"/>
    <cellStyle name="Normal 10 2 5 2 2 5 4" xfId="29661" xr:uid="{00000000-0005-0000-0000-000073720000}"/>
    <cellStyle name="Normal 10 2 5 2 2 5 5" xfId="29662" xr:uid="{00000000-0005-0000-0000-000074720000}"/>
    <cellStyle name="Normal 10 2 5 2 2 5 6" xfId="29663" xr:uid="{00000000-0005-0000-0000-000075720000}"/>
    <cellStyle name="Normal 10 2 5 2 2 6" xfId="29664" xr:uid="{00000000-0005-0000-0000-000076720000}"/>
    <cellStyle name="Normal 10 2 5 2 2 6 2" xfId="29665" xr:uid="{00000000-0005-0000-0000-000077720000}"/>
    <cellStyle name="Normal 10 2 5 2 2 6 3" xfId="29666" xr:uid="{00000000-0005-0000-0000-000078720000}"/>
    <cellStyle name="Normal 10 2 5 2 2 7" xfId="29667" xr:uid="{00000000-0005-0000-0000-000079720000}"/>
    <cellStyle name="Normal 10 2 5 2 2 8" xfId="29668" xr:uid="{00000000-0005-0000-0000-00007A720000}"/>
    <cellStyle name="Normal 10 2 5 2 2 9" xfId="29669" xr:uid="{00000000-0005-0000-0000-00007B720000}"/>
    <cellStyle name="Normal 10 2 5 2 3" xfId="29670" xr:uid="{00000000-0005-0000-0000-00007C720000}"/>
    <cellStyle name="Normal 10 2 5 2 3 2" xfId="29671" xr:uid="{00000000-0005-0000-0000-00007D720000}"/>
    <cellStyle name="Normal 10 2 5 2 3 2 2" xfId="29672" xr:uid="{00000000-0005-0000-0000-00007E720000}"/>
    <cellStyle name="Normal 10 2 5 2 3 2 2 2" xfId="29673" xr:uid="{00000000-0005-0000-0000-00007F720000}"/>
    <cellStyle name="Normal 10 2 5 2 3 2 2 2 2" xfId="29674" xr:uid="{00000000-0005-0000-0000-000080720000}"/>
    <cellStyle name="Normal 10 2 5 2 3 2 2 2 3" xfId="29675" xr:uid="{00000000-0005-0000-0000-000081720000}"/>
    <cellStyle name="Normal 10 2 5 2 3 2 2 3" xfId="29676" xr:uid="{00000000-0005-0000-0000-000082720000}"/>
    <cellStyle name="Normal 10 2 5 2 3 2 2 4" xfId="29677" xr:uid="{00000000-0005-0000-0000-000083720000}"/>
    <cellStyle name="Normal 10 2 5 2 3 2 2 5" xfId="29678" xr:uid="{00000000-0005-0000-0000-000084720000}"/>
    <cellStyle name="Normal 10 2 5 2 3 2 2 6" xfId="29679" xr:uid="{00000000-0005-0000-0000-000085720000}"/>
    <cellStyle name="Normal 10 2 5 2 3 2 3" xfId="29680" xr:uid="{00000000-0005-0000-0000-000086720000}"/>
    <cellStyle name="Normal 10 2 5 2 3 2 3 2" xfId="29681" xr:uid="{00000000-0005-0000-0000-000087720000}"/>
    <cellStyle name="Normal 10 2 5 2 3 2 3 3" xfId="29682" xr:uid="{00000000-0005-0000-0000-000088720000}"/>
    <cellStyle name="Normal 10 2 5 2 3 2 4" xfId="29683" xr:uid="{00000000-0005-0000-0000-000089720000}"/>
    <cellStyle name="Normal 10 2 5 2 3 2 5" xfId="29684" xr:uid="{00000000-0005-0000-0000-00008A720000}"/>
    <cellStyle name="Normal 10 2 5 2 3 2 6" xfId="29685" xr:uid="{00000000-0005-0000-0000-00008B720000}"/>
    <cellStyle name="Normal 10 2 5 2 3 2 7" xfId="29686" xr:uid="{00000000-0005-0000-0000-00008C720000}"/>
    <cellStyle name="Normal 10 2 5 2 3 3" xfId="29687" xr:uid="{00000000-0005-0000-0000-00008D720000}"/>
    <cellStyle name="Normal 10 2 5 2 3 3 2" xfId="29688" xr:uid="{00000000-0005-0000-0000-00008E720000}"/>
    <cellStyle name="Normal 10 2 5 2 3 3 2 2" xfId="29689" xr:uid="{00000000-0005-0000-0000-00008F720000}"/>
    <cellStyle name="Normal 10 2 5 2 3 3 2 3" xfId="29690" xr:uid="{00000000-0005-0000-0000-000090720000}"/>
    <cellStyle name="Normal 10 2 5 2 3 3 3" xfId="29691" xr:uid="{00000000-0005-0000-0000-000091720000}"/>
    <cellStyle name="Normal 10 2 5 2 3 3 4" xfId="29692" xr:uid="{00000000-0005-0000-0000-000092720000}"/>
    <cellStyle name="Normal 10 2 5 2 3 3 5" xfId="29693" xr:uid="{00000000-0005-0000-0000-000093720000}"/>
    <cellStyle name="Normal 10 2 5 2 3 3 6" xfId="29694" xr:uid="{00000000-0005-0000-0000-000094720000}"/>
    <cellStyle name="Normal 10 2 5 2 3 4" xfId="29695" xr:uid="{00000000-0005-0000-0000-000095720000}"/>
    <cellStyle name="Normal 10 2 5 2 3 4 2" xfId="29696" xr:uid="{00000000-0005-0000-0000-000096720000}"/>
    <cellStyle name="Normal 10 2 5 2 3 4 2 2" xfId="29697" xr:uid="{00000000-0005-0000-0000-000097720000}"/>
    <cellStyle name="Normal 10 2 5 2 3 4 2 3" xfId="29698" xr:uid="{00000000-0005-0000-0000-000098720000}"/>
    <cellStyle name="Normal 10 2 5 2 3 4 3" xfId="29699" xr:uid="{00000000-0005-0000-0000-000099720000}"/>
    <cellStyle name="Normal 10 2 5 2 3 4 4" xfId="29700" xr:uid="{00000000-0005-0000-0000-00009A720000}"/>
    <cellStyle name="Normal 10 2 5 2 3 4 5" xfId="29701" xr:uid="{00000000-0005-0000-0000-00009B720000}"/>
    <cellStyle name="Normal 10 2 5 2 3 4 6" xfId="29702" xr:uid="{00000000-0005-0000-0000-00009C720000}"/>
    <cellStyle name="Normal 10 2 5 2 3 5" xfId="29703" xr:uid="{00000000-0005-0000-0000-00009D720000}"/>
    <cellStyle name="Normal 10 2 5 2 3 5 2" xfId="29704" xr:uid="{00000000-0005-0000-0000-00009E720000}"/>
    <cellStyle name="Normal 10 2 5 2 3 5 3" xfId="29705" xr:uid="{00000000-0005-0000-0000-00009F720000}"/>
    <cellStyle name="Normal 10 2 5 2 3 6" xfId="29706" xr:uid="{00000000-0005-0000-0000-0000A0720000}"/>
    <cellStyle name="Normal 10 2 5 2 3 7" xfId="29707" xr:uid="{00000000-0005-0000-0000-0000A1720000}"/>
    <cellStyle name="Normal 10 2 5 2 3 8" xfId="29708" xr:uid="{00000000-0005-0000-0000-0000A2720000}"/>
    <cellStyle name="Normal 10 2 5 2 3 9" xfId="29709" xr:uid="{00000000-0005-0000-0000-0000A3720000}"/>
    <cellStyle name="Normal 10 2 5 2 4" xfId="29710" xr:uid="{00000000-0005-0000-0000-0000A4720000}"/>
    <cellStyle name="Normal 10 2 5 2 4 2" xfId="29711" xr:uid="{00000000-0005-0000-0000-0000A5720000}"/>
    <cellStyle name="Normal 10 2 5 2 4 2 2" xfId="29712" xr:uid="{00000000-0005-0000-0000-0000A6720000}"/>
    <cellStyle name="Normal 10 2 5 2 4 2 2 2" xfId="29713" xr:uid="{00000000-0005-0000-0000-0000A7720000}"/>
    <cellStyle name="Normal 10 2 5 2 4 2 2 3" xfId="29714" xr:uid="{00000000-0005-0000-0000-0000A8720000}"/>
    <cellStyle name="Normal 10 2 5 2 4 2 3" xfId="29715" xr:uid="{00000000-0005-0000-0000-0000A9720000}"/>
    <cellStyle name="Normal 10 2 5 2 4 2 4" xfId="29716" xr:uid="{00000000-0005-0000-0000-0000AA720000}"/>
    <cellStyle name="Normal 10 2 5 2 4 2 5" xfId="29717" xr:uid="{00000000-0005-0000-0000-0000AB720000}"/>
    <cellStyle name="Normal 10 2 5 2 4 2 6" xfId="29718" xr:uid="{00000000-0005-0000-0000-0000AC720000}"/>
    <cellStyle name="Normal 10 2 5 2 4 3" xfId="29719" xr:uid="{00000000-0005-0000-0000-0000AD720000}"/>
    <cellStyle name="Normal 10 2 5 2 4 3 2" xfId="29720" xr:uid="{00000000-0005-0000-0000-0000AE720000}"/>
    <cellStyle name="Normal 10 2 5 2 4 3 3" xfId="29721" xr:uid="{00000000-0005-0000-0000-0000AF720000}"/>
    <cellStyle name="Normal 10 2 5 2 4 4" xfId="29722" xr:uid="{00000000-0005-0000-0000-0000B0720000}"/>
    <cellStyle name="Normal 10 2 5 2 4 5" xfId="29723" xr:uid="{00000000-0005-0000-0000-0000B1720000}"/>
    <cellStyle name="Normal 10 2 5 2 4 6" xfId="29724" xr:uid="{00000000-0005-0000-0000-0000B2720000}"/>
    <cellStyle name="Normal 10 2 5 2 4 7" xfId="29725" xr:uid="{00000000-0005-0000-0000-0000B3720000}"/>
    <cellStyle name="Normal 10 2 5 2 5" xfId="29726" xr:uid="{00000000-0005-0000-0000-0000B4720000}"/>
    <cellStyle name="Normal 10 2 5 2 5 2" xfId="29727" xr:uid="{00000000-0005-0000-0000-0000B5720000}"/>
    <cellStyle name="Normal 10 2 5 2 5 2 2" xfId="29728" xr:uid="{00000000-0005-0000-0000-0000B6720000}"/>
    <cellStyle name="Normal 10 2 5 2 5 2 3" xfId="29729" xr:uid="{00000000-0005-0000-0000-0000B7720000}"/>
    <cellStyle name="Normal 10 2 5 2 5 3" xfId="29730" xr:uid="{00000000-0005-0000-0000-0000B8720000}"/>
    <cellStyle name="Normal 10 2 5 2 5 4" xfId="29731" xr:uid="{00000000-0005-0000-0000-0000B9720000}"/>
    <cellStyle name="Normal 10 2 5 2 5 5" xfId="29732" xr:uid="{00000000-0005-0000-0000-0000BA720000}"/>
    <cellStyle name="Normal 10 2 5 2 5 6" xfId="29733" xr:uid="{00000000-0005-0000-0000-0000BB720000}"/>
    <cellStyle name="Normal 10 2 5 2 6" xfId="29734" xr:uid="{00000000-0005-0000-0000-0000BC720000}"/>
    <cellStyle name="Normal 10 2 5 2 6 2" xfId="29735" xr:uid="{00000000-0005-0000-0000-0000BD720000}"/>
    <cellStyle name="Normal 10 2 5 2 6 2 2" xfId="29736" xr:uid="{00000000-0005-0000-0000-0000BE720000}"/>
    <cellStyle name="Normal 10 2 5 2 6 2 3" xfId="29737" xr:uid="{00000000-0005-0000-0000-0000BF720000}"/>
    <cellStyle name="Normal 10 2 5 2 6 3" xfId="29738" xr:uid="{00000000-0005-0000-0000-0000C0720000}"/>
    <cellStyle name="Normal 10 2 5 2 6 4" xfId="29739" xr:uid="{00000000-0005-0000-0000-0000C1720000}"/>
    <cellStyle name="Normal 10 2 5 2 6 5" xfId="29740" xr:uid="{00000000-0005-0000-0000-0000C2720000}"/>
    <cellStyle name="Normal 10 2 5 2 6 6" xfId="29741" xr:uid="{00000000-0005-0000-0000-0000C3720000}"/>
    <cellStyle name="Normal 10 2 5 2 7" xfId="29742" xr:uid="{00000000-0005-0000-0000-0000C4720000}"/>
    <cellStyle name="Normal 10 2 5 2 7 2" xfId="29743" xr:uid="{00000000-0005-0000-0000-0000C5720000}"/>
    <cellStyle name="Normal 10 2 5 2 7 2 2" xfId="29744" xr:uid="{00000000-0005-0000-0000-0000C6720000}"/>
    <cellStyle name="Normal 10 2 5 2 7 2 3" xfId="29745" xr:uid="{00000000-0005-0000-0000-0000C7720000}"/>
    <cellStyle name="Normal 10 2 5 2 7 3" xfId="29746" xr:uid="{00000000-0005-0000-0000-0000C8720000}"/>
    <cellStyle name="Normal 10 2 5 2 7 4" xfId="29747" xr:uid="{00000000-0005-0000-0000-0000C9720000}"/>
    <cellStyle name="Normal 10 2 5 2 7 5" xfId="29748" xr:uid="{00000000-0005-0000-0000-0000CA720000}"/>
    <cellStyle name="Normal 10 2 5 2 7 6" xfId="29749" xr:uid="{00000000-0005-0000-0000-0000CB720000}"/>
    <cellStyle name="Normal 10 2 5 2 8" xfId="29750" xr:uid="{00000000-0005-0000-0000-0000CC720000}"/>
    <cellStyle name="Normal 10 2 5 2 8 2" xfId="29751" xr:uid="{00000000-0005-0000-0000-0000CD720000}"/>
    <cellStyle name="Normal 10 2 5 2 8 2 2" xfId="29752" xr:uid="{00000000-0005-0000-0000-0000CE720000}"/>
    <cellStyle name="Normal 10 2 5 2 8 2 3" xfId="29753" xr:uid="{00000000-0005-0000-0000-0000CF720000}"/>
    <cellStyle name="Normal 10 2 5 2 8 3" xfId="29754" xr:uid="{00000000-0005-0000-0000-0000D0720000}"/>
    <cellStyle name="Normal 10 2 5 2 8 4" xfId="29755" xr:uid="{00000000-0005-0000-0000-0000D1720000}"/>
    <cellStyle name="Normal 10 2 5 2 8 5" xfId="29756" xr:uid="{00000000-0005-0000-0000-0000D2720000}"/>
    <cellStyle name="Normal 10 2 5 2 8 6" xfId="29757" xr:uid="{00000000-0005-0000-0000-0000D3720000}"/>
    <cellStyle name="Normal 10 2 5 2 9" xfId="29758" xr:uid="{00000000-0005-0000-0000-0000D4720000}"/>
    <cellStyle name="Normal 10 2 5 2 9 2" xfId="29759" xr:uid="{00000000-0005-0000-0000-0000D5720000}"/>
    <cellStyle name="Normal 10 2 5 2 9 3" xfId="29760" xr:uid="{00000000-0005-0000-0000-0000D6720000}"/>
    <cellStyle name="Normal 10 2 5 3" xfId="29761" xr:uid="{00000000-0005-0000-0000-0000D7720000}"/>
    <cellStyle name="Normal 10 2 5 3 10" xfId="29762" xr:uid="{00000000-0005-0000-0000-0000D8720000}"/>
    <cellStyle name="Normal 10 2 5 3 2" xfId="29763" xr:uid="{00000000-0005-0000-0000-0000D9720000}"/>
    <cellStyle name="Normal 10 2 5 3 2 2" xfId="29764" xr:uid="{00000000-0005-0000-0000-0000DA720000}"/>
    <cellStyle name="Normal 10 2 5 3 2 2 2" xfId="29765" xr:uid="{00000000-0005-0000-0000-0000DB720000}"/>
    <cellStyle name="Normal 10 2 5 3 2 2 2 2" xfId="29766" xr:uid="{00000000-0005-0000-0000-0000DC720000}"/>
    <cellStyle name="Normal 10 2 5 3 2 2 2 3" xfId="29767" xr:uid="{00000000-0005-0000-0000-0000DD720000}"/>
    <cellStyle name="Normal 10 2 5 3 2 2 3" xfId="29768" xr:uid="{00000000-0005-0000-0000-0000DE720000}"/>
    <cellStyle name="Normal 10 2 5 3 2 2 4" xfId="29769" xr:uid="{00000000-0005-0000-0000-0000DF720000}"/>
    <cellStyle name="Normal 10 2 5 3 2 2 5" xfId="29770" xr:uid="{00000000-0005-0000-0000-0000E0720000}"/>
    <cellStyle name="Normal 10 2 5 3 2 2 6" xfId="29771" xr:uid="{00000000-0005-0000-0000-0000E1720000}"/>
    <cellStyle name="Normal 10 2 5 3 2 3" xfId="29772" xr:uid="{00000000-0005-0000-0000-0000E2720000}"/>
    <cellStyle name="Normal 10 2 5 3 2 3 2" xfId="29773" xr:uid="{00000000-0005-0000-0000-0000E3720000}"/>
    <cellStyle name="Normal 10 2 5 3 2 3 2 2" xfId="29774" xr:uid="{00000000-0005-0000-0000-0000E4720000}"/>
    <cellStyle name="Normal 10 2 5 3 2 3 2 3" xfId="29775" xr:uid="{00000000-0005-0000-0000-0000E5720000}"/>
    <cellStyle name="Normal 10 2 5 3 2 3 3" xfId="29776" xr:uid="{00000000-0005-0000-0000-0000E6720000}"/>
    <cellStyle name="Normal 10 2 5 3 2 3 4" xfId="29777" xr:uid="{00000000-0005-0000-0000-0000E7720000}"/>
    <cellStyle name="Normal 10 2 5 3 2 3 5" xfId="29778" xr:uid="{00000000-0005-0000-0000-0000E8720000}"/>
    <cellStyle name="Normal 10 2 5 3 2 3 6" xfId="29779" xr:uid="{00000000-0005-0000-0000-0000E9720000}"/>
    <cellStyle name="Normal 10 2 5 3 2 4" xfId="29780" xr:uid="{00000000-0005-0000-0000-0000EA720000}"/>
    <cellStyle name="Normal 10 2 5 3 2 4 2" xfId="29781" xr:uid="{00000000-0005-0000-0000-0000EB720000}"/>
    <cellStyle name="Normal 10 2 5 3 2 4 3" xfId="29782" xr:uid="{00000000-0005-0000-0000-0000EC720000}"/>
    <cellStyle name="Normal 10 2 5 3 2 5" xfId="29783" xr:uid="{00000000-0005-0000-0000-0000ED720000}"/>
    <cellStyle name="Normal 10 2 5 3 2 6" xfId="29784" xr:uid="{00000000-0005-0000-0000-0000EE720000}"/>
    <cellStyle name="Normal 10 2 5 3 2 7" xfId="29785" xr:uid="{00000000-0005-0000-0000-0000EF720000}"/>
    <cellStyle name="Normal 10 2 5 3 2 8" xfId="29786" xr:uid="{00000000-0005-0000-0000-0000F0720000}"/>
    <cellStyle name="Normal 10 2 5 3 3" xfId="29787" xr:uid="{00000000-0005-0000-0000-0000F1720000}"/>
    <cellStyle name="Normal 10 2 5 3 3 2" xfId="29788" xr:uid="{00000000-0005-0000-0000-0000F2720000}"/>
    <cellStyle name="Normal 10 2 5 3 3 2 2" xfId="29789" xr:uid="{00000000-0005-0000-0000-0000F3720000}"/>
    <cellStyle name="Normal 10 2 5 3 3 2 2 2" xfId="29790" xr:uid="{00000000-0005-0000-0000-0000F4720000}"/>
    <cellStyle name="Normal 10 2 5 3 3 2 2 3" xfId="29791" xr:uid="{00000000-0005-0000-0000-0000F5720000}"/>
    <cellStyle name="Normal 10 2 5 3 3 2 3" xfId="29792" xr:uid="{00000000-0005-0000-0000-0000F6720000}"/>
    <cellStyle name="Normal 10 2 5 3 3 2 4" xfId="29793" xr:uid="{00000000-0005-0000-0000-0000F7720000}"/>
    <cellStyle name="Normal 10 2 5 3 3 2 5" xfId="29794" xr:uid="{00000000-0005-0000-0000-0000F8720000}"/>
    <cellStyle name="Normal 10 2 5 3 3 2 6" xfId="29795" xr:uid="{00000000-0005-0000-0000-0000F9720000}"/>
    <cellStyle name="Normal 10 2 5 3 3 3" xfId="29796" xr:uid="{00000000-0005-0000-0000-0000FA720000}"/>
    <cellStyle name="Normal 10 2 5 3 3 3 2" xfId="29797" xr:uid="{00000000-0005-0000-0000-0000FB720000}"/>
    <cellStyle name="Normal 10 2 5 3 3 3 3" xfId="29798" xr:uid="{00000000-0005-0000-0000-0000FC720000}"/>
    <cellStyle name="Normal 10 2 5 3 3 4" xfId="29799" xr:uid="{00000000-0005-0000-0000-0000FD720000}"/>
    <cellStyle name="Normal 10 2 5 3 3 5" xfId="29800" xr:uid="{00000000-0005-0000-0000-0000FE720000}"/>
    <cellStyle name="Normal 10 2 5 3 3 6" xfId="29801" xr:uid="{00000000-0005-0000-0000-0000FF720000}"/>
    <cellStyle name="Normal 10 2 5 3 3 7" xfId="29802" xr:uid="{00000000-0005-0000-0000-000000730000}"/>
    <cellStyle name="Normal 10 2 5 3 4" xfId="29803" xr:uid="{00000000-0005-0000-0000-000001730000}"/>
    <cellStyle name="Normal 10 2 5 3 4 2" xfId="29804" xr:uid="{00000000-0005-0000-0000-000002730000}"/>
    <cellStyle name="Normal 10 2 5 3 4 2 2" xfId="29805" xr:uid="{00000000-0005-0000-0000-000003730000}"/>
    <cellStyle name="Normal 10 2 5 3 4 2 3" xfId="29806" xr:uid="{00000000-0005-0000-0000-000004730000}"/>
    <cellStyle name="Normal 10 2 5 3 4 3" xfId="29807" xr:uid="{00000000-0005-0000-0000-000005730000}"/>
    <cellStyle name="Normal 10 2 5 3 4 4" xfId="29808" xr:uid="{00000000-0005-0000-0000-000006730000}"/>
    <cellStyle name="Normal 10 2 5 3 4 5" xfId="29809" xr:uid="{00000000-0005-0000-0000-000007730000}"/>
    <cellStyle name="Normal 10 2 5 3 4 6" xfId="29810" xr:uid="{00000000-0005-0000-0000-000008730000}"/>
    <cellStyle name="Normal 10 2 5 3 5" xfId="29811" xr:uid="{00000000-0005-0000-0000-000009730000}"/>
    <cellStyle name="Normal 10 2 5 3 5 2" xfId="29812" xr:uid="{00000000-0005-0000-0000-00000A730000}"/>
    <cellStyle name="Normal 10 2 5 3 5 2 2" xfId="29813" xr:uid="{00000000-0005-0000-0000-00000B730000}"/>
    <cellStyle name="Normal 10 2 5 3 5 2 3" xfId="29814" xr:uid="{00000000-0005-0000-0000-00000C730000}"/>
    <cellStyle name="Normal 10 2 5 3 5 3" xfId="29815" xr:uid="{00000000-0005-0000-0000-00000D730000}"/>
    <cellStyle name="Normal 10 2 5 3 5 4" xfId="29816" xr:uid="{00000000-0005-0000-0000-00000E730000}"/>
    <cellStyle name="Normal 10 2 5 3 5 5" xfId="29817" xr:uid="{00000000-0005-0000-0000-00000F730000}"/>
    <cellStyle name="Normal 10 2 5 3 5 6" xfId="29818" xr:uid="{00000000-0005-0000-0000-000010730000}"/>
    <cellStyle name="Normal 10 2 5 3 6" xfId="29819" xr:uid="{00000000-0005-0000-0000-000011730000}"/>
    <cellStyle name="Normal 10 2 5 3 6 2" xfId="29820" xr:uid="{00000000-0005-0000-0000-000012730000}"/>
    <cellStyle name="Normal 10 2 5 3 6 3" xfId="29821" xr:uid="{00000000-0005-0000-0000-000013730000}"/>
    <cellStyle name="Normal 10 2 5 3 7" xfId="29822" xr:uid="{00000000-0005-0000-0000-000014730000}"/>
    <cellStyle name="Normal 10 2 5 3 8" xfId="29823" xr:uid="{00000000-0005-0000-0000-000015730000}"/>
    <cellStyle name="Normal 10 2 5 3 9" xfId="29824" xr:uid="{00000000-0005-0000-0000-000016730000}"/>
    <cellStyle name="Normal 10 2 5 4" xfId="29825" xr:uid="{00000000-0005-0000-0000-000017730000}"/>
    <cellStyle name="Normal 10 2 5 4 2" xfId="29826" xr:uid="{00000000-0005-0000-0000-000018730000}"/>
    <cellStyle name="Normal 10 2 5 4 2 2" xfId="29827" xr:uid="{00000000-0005-0000-0000-000019730000}"/>
    <cellStyle name="Normal 10 2 5 4 2 2 2" xfId="29828" xr:uid="{00000000-0005-0000-0000-00001A730000}"/>
    <cellStyle name="Normal 10 2 5 4 2 2 2 2" xfId="29829" xr:uid="{00000000-0005-0000-0000-00001B730000}"/>
    <cellStyle name="Normal 10 2 5 4 2 2 2 3" xfId="29830" xr:uid="{00000000-0005-0000-0000-00001C730000}"/>
    <cellStyle name="Normal 10 2 5 4 2 2 3" xfId="29831" xr:uid="{00000000-0005-0000-0000-00001D730000}"/>
    <cellStyle name="Normal 10 2 5 4 2 2 4" xfId="29832" xr:uid="{00000000-0005-0000-0000-00001E730000}"/>
    <cellStyle name="Normal 10 2 5 4 2 2 5" xfId="29833" xr:uid="{00000000-0005-0000-0000-00001F730000}"/>
    <cellStyle name="Normal 10 2 5 4 2 2 6" xfId="29834" xr:uid="{00000000-0005-0000-0000-000020730000}"/>
    <cellStyle name="Normal 10 2 5 4 2 3" xfId="29835" xr:uid="{00000000-0005-0000-0000-000021730000}"/>
    <cellStyle name="Normal 10 2 5 4 2 3 2" xfId="29836" xr:uid="{00000000-0005-0000-0000-000022730000}"/>
    <cellStyle name="Normal 10 2 5 4 2 3 3" xfId="29837" xr:uid="{00000000-0005-0000-0000-000023730000}"/>
    <cellStyle name="Normal 10 2 5 4 2 4" xfId="29838" xr:uid="{00000000-0005-0000-0000-000024730000}"/>
    <cellStyle name="Normal 10 2 5 4 2 5" xfId="29839" xr:uid="{00000000-0005-0000-0000-000025730000}"/>
    <cellStyle name="Normal 10 2 5 4 2 6" xfId="29840" xr:uid="{00000000-0005-0000-0000-000026730000}"/>
    <cellStyle name="Normal 10 2 5 4 2 7" xfId="29841" xr:uid="{00000000-0005-0000-0000-000027730000}"/>
    <cellStyle name="Normal 10 2 5 4 3" xfId="29842" xr:uid="{00000000-0005-0000-0000-000028730000}"/>
    <cellStyle name="Normal 10 2 5 4 3 2" xfId="29843" xr:uid="{00000000-0005-0000-0000-000029730000}"/>
    <cellStyle name="Normal 10 2 5 4 3 2 2" xfId="29844" xr:uid="{00000000-0005-0000-0000-00002A730000}"/>
    <cellStyle name="Normal 10 2 5 4 3 2 3" xfId="29845" xr:uid="{00000000-0005-0000-0000-00002B730000}"/>
    <cellStyle name="Normal 10 2 5 4 3 3" xfId="29846" xr:uid="{00000000-0005-0000-0000-00002C730000}"/>
    <cellStyle name="Normal 10 2 5 4 3 4" xfId="29847" xr:uid="{00000000-0005-0000-0000-00002D730000}"/>
    <cellStyle name="Normal 10 2 5 4 3 5" xfId="29848" xr:uid="{00000000-0005-0000-0000-00002E730000}"/>
    <cellStyle name="Normal 10 2 5 4 3 6" xfId="29849" xr:uid="{00000000-0005-0000-0000-00002F730000}"/>
    <cellStyle name="Normal 10 2 5 4 4" xfId="29850" xr:uid="{00000000-0005-0000-0000-000030730000}"/>
    <cellStyle name="Normal 10 2 5 4 4 2" xfId="29851" xr:uid="{00000000-0005-0000-0000-000031730000}"/>
    <cellStyle name="Normal 10 2 5 4 4 2 2" xfId="29852" xr:uid="{00000000-0005-0000-0000-000032730000}"/>
    <cellStyle name="Normal 10 2 5 4 4 2 3" xfId="29853" xr:uid="{00000000-0005-0000-0000-000033730000}"/>
    <cellStyle name="Normal 10 2 5 4 4 3" xfId="29854" xr:uid="{00000000-0005-0000-0000-000034730000}"/>
    <cellStyle name="Normal 10 2 5 4 4 4" xfId="29855" xr:uid="{00000000-0005-0000-0000-000035730000}"/>
    <cellStyle name="Normal 10 2 5 4 4 5" xfId="29856" xr:uid="{00000000-0005-0000-0000-000036730000}"/>
    <cellStyle name="Normal 10 2 5 4 4 6" xfId="29857" xr:uid="{00000000-0005-0000-0000-000037730000}"/>
    <cellStyle name="Normal 10 2 5 4 5" xfId="29858" xr:uid="{00000000-0005-0000-0000-000038730000}"/>
    <cellStyle name="Normal 10 2 5 4 5 2" xfId="29859" xr:uid="{00000000-0005-0000-0000-000039730000}"/>
    <cellStyle name="Normal 10 2 5 4 5 3" xfId="29860" xr:uid="{00000000-0005-0000-0000-00003A730000}"/>
    <cellStyle name="Normal 10 2 5 4 6" xfId="29861" xr:uid="{00000000-0005-0000-0000-00003B730000}"/>
    <cellStyle name="Normal 10 2 5 4 7" xfId="29862" xr:uid="{00000000-0005-0000-0000-00003C730000}"/>
    <cellStyle name="Normal 10 2 5 4 8" xfId="29863" xr:uid="{00000000-0005-0000-0000-00003D730000}"/>
    <cellStyle name="Normal 10 2 5 4 9" xfId="29864" xr:uid="{00000000-0005-0000-0000-00003E730000}"/>
    <cellStyle name="Normal 10 2 5 5" xfId="29865" xr:uid="{00000000-0005-0000-0000-00003F730000}"/>
    <cellStyle name="Normal 10 2 5 5 2" xfId="29866" xr:uid="{00000000-0005-0000-0000-000040730000}"/>
    <cellStyle name="Normal 10 2 5 5 2 2" xfId="29867" xr:uid="{00000000-0005-0000-0000-000041730000}"/>
    <cellStyle name="Normal 10 2 5 5 2 2 2" xfId="29868" xr:uid="{00000000-0005-0000-0000-000042730000}"/>
    <cellStyle name="Normal 10 2 5 5 2 2 3" xfId="29869" xr:uid="{00000000-0005-0000-0000-000043730000}"/>
    <cellStyle name="Normal 10 2 5 5 2 3" xfId="29870" xr:uid="{00000000-0005-0000-0000-000044730000}"/>
    <cellStyle name="Normal 10 2 5 5 2 4" xfId="29871" xr:uid="{00000000-0005-0000-0000-000045730000}"/>
    <cellStyle name="Normal 10 2 5 5 2 5" xfId="29872" xr:uid="{00000000-0005-0000-0000-000046730000}"/>
    <cellStyle name="Normal 10 2 5 5 2 6" xfId="29873" xr:uid="{00000000-0005-0000-0000-000047730000}"/>
    <cellStyle name="Normal 10 2 5 5 3" xfId="29874" xr:uid="{00000000-0005-0000-0000-000048730000}"/>
    <cellStyle name="Normal 10 2 5 5 3 2" xfId="29875" xr:uid="{00000000-0005-0000-0000-000049730000}"/>
    <cellStyle name="Normal 10 2 5 5 3 3" xfId="29876" xr:uid="{00000000-0005-0000-0000-00004A730000}"/>
    <cellStyle name="Normal 10 2 5 5 4" xfId="29877" xr:uid="{00000000-0005-0000-0000-00004B730000}"/>
    <cellStyle name="Normal 10 2 5 5 5" xfId="29878" xr:uid="{00000000-0005-0000-0000-00004C730000}"/>
    <cellStyle name="Normal 10 2 5 5 6" xfId="29879" xr:uid="{00000000-0005-0000-0000-00004D730000}"/>
    <cellStyle name="Normal 10 2 5 5 7" xfId="29880" xr:uid="{00000000-0005-0000-0000-00004E730000}"/>
    <cellStyle name="Normal 10 2 5 6" xfId="29881" xr:uid="{00000000-0005-0000-0000-00004F730000}"/>
    <cellStyle name="Normal 10 2 5 6 2" xfId="29882" xr:uid="{00000000-0005-0000-0000-000050730000}"/>
    <cellStyle name="Normal 10 2 5 6 2 2" xfId="29883" xr:uid="{00000000-0005-0000-0000-000051730000}"/>
    <cellStyle name="Normal 10 2 5 6 2 3" xfId="29884" xr:uid="{00000000-0005-0000-0000-000052730000}"/>
    <cellStyle name="Normal 10 2 5 6 3" xfId="29885" xr:uid="{00000000-0005-0000-0000-000053730000}"/>
    <cellStyle name="Normal 10 2 5 6 4" xfId="29886" xr:uid="{00000000-0005-0000-0000-000054730000}"/>
    <cellStyle name="Normal 10 2 5 6 5" xfId="29887" xr:uid="{00000000-0005-0000-0000-000055730000}"/>
    <cellStyle name="Normal 10 2 5 6 6" xfId="29888" xr:uid="{00000000-0005-0000-0000-000056730000}"/>
    <cellStyle name="Normal 10 2 5 7" xfId="29889" xr:uid="{00000000-0005-0000-0000-000057730000}"/>
    <cellStyle name="Normal 10 2 5 7 2" xfId="29890" xr:uid="{00000000-0005-0000-0000-000058730000}"/>
    <cellStyle name="Normal 10 2 5 7 2 2" xfId="29891" xr:uid="{00000000-0005-0000-0000-000059730000}"/>
    <cellStyle name="Normal 10 2 5 7 2 3" xfId="29892" xr:uid="{00000000-0005-0000-0000-00005A730000}"/>
    <cellStyle name="Normal 10 2 5 7 3" xfId="29893" xr:uid="{00000000-0005-0000-0000-00005B730000}"/>
    <cellStyle name="Normal 10 2 5 7 4" xfId="29894" xr:uid="{00000000-0005-0000-0000-00005C730000}"/>
    <cellStyle name="Normal 10 2 5 7 5" xfId="29895" xr:uid="{00000000-0005-0000-0000-00005D730000}"/>
    <cellStyle name="Normal 10 2 5 7 6" xfId="29896" xr:uid="{00000000-0005-0000-0000-00005E730000}"/>
    <cellStyle name="Normal 10 2 5 8" xfId="29897" xr:uid="{00000000-0005-0000-0000-00005F730000}"/>
    <cellStyle name="Normal 10 2 5 8 2" xfId="29898" xr:uid="{00000000-0005-0000-0000-000060730000}"/>
    <cellStyle name="Normal 10 2 5 8 2 2" xfId="29899" xr:uid="{00000000-0005-0000-0000-000061730000}"/>
    <cellStyle name="Normal 10 2 5 8 2 3" xfId="29900" xr:uid="{00000000-0005-0000-0000-000062730000}"/>
    <cellStyle name="Normal 10 2 5 8 3" xfId="29901" xr:uid="{00000000-0005-0000-0000-000063730000}"/>
    <cellStyle name="Normal 10 2 5 8 4" xfId="29902" xr:uid="{00000000-0005-0000-0000-000064730000}"/>
    <cellStyle name="Normal 10 2 5 8 5" xfId="29903" xr:uid="{00000000-0005-0000-0000-000065730000}"/>
    <cellStyle name="Normal 10 2 5 8 6" xfId="29904" xr:uid="{00000000-0005-0000-0000-000066730000}"/>
    <cellStyle name="Normal 10 2 5 9" xfId="29905" xr:uid="{00000000-0005-0000-0000-000067730000}"/>
    <cellStyle name="Normal 10 2 5 9 2" xfId="29906" xr:uid="{00000000-0005-0000-0000-000068730000}"/>
    <cellStyle name="Normal 10 2 5 9 2 2" xfId="29907" xr:uid="{00000000-0005-0000-0000-000069730000}"/>
    <cellStyle name="Normal 10 2 5 9 2 3" xfId="29908" xr:uid="{00000000-0005-0000-0000-00006A730000}"/>
    <cellStyle name="Normal 10 2 5 9 3" xfId="29909" xr:uid="{00000000-0005-0000-0000-00006B730000}"/>
    <cellStyle name="Normal 10 2 5 9 4" xfId="29910" xr:uid="{00000000-0005-0000-0000-00006C730000}"/>
    <cellStyle name="Normal 10 2 5 9 5" xfId="29911" xr:uid="{00000000-0005-0000-0000-00006D730000}"/>
    <cellStyle name="Normal 10 2 5 9 6" xfId="29912" xr:uid="{00000000-0005-0000-0000-00006E730000}"/>
    <cellStyle name="Normal 10 2 6" xfId="29913" xr:uid="{00000000-0005-0000-0000-00006F730000}"/>
    <cellStyle name="Normal 10 2 6 10" xfId="29914" xr:uid="{00000000-0005-0000-0000-000070730000}"/>
    <cellStyle name="Normal 10 2 6 11" xfId="29915" xr:uid="{00000000-0005-0000-0000-000071730000}"/>
    <cellStyle name="Normal 10 2 6 12" xfId="29916" xr:uid="{00000000-0005-0000-0000-000072730000}"/>
    <cellStyle name="Normal 10 2 6 13" xfId="29917" xr:uid="{00000000-0005-0000-0000-000073730000}"/>
    <cellStyle name="Normal 10 2 6 2" xfId="29918" xr:uid="{00000000-0005-0000-0000-000074730000}"/>
    <cellStyle name="Normal 10 2 6 2 10" xfId="29919" xr:uid="{00000000-0005-0000-0000-000075730000}"/>
    <cellStyle name="Normal 10 2 6 2 2" xfId="29920" xr:uid="{00000000-0005-0000-0000-000076730000}"/>
    <cellStyle name="Normal 10 2 6 2 2 2" xfId="29921" xr:uid="{00000000-0005-0000-0000-000077730000}"/>
    <cellStyle name="Normal 10 2 6 2 2 2 2" xfId="29922" xr:uid="{00000000-0005-0000-0000-000078730000}"/>
    <cellStyle name="Normal 10 2 6 2 2 2 2 2" xfId="29923" xr:uid="{00000000-0005-0000-0000-000079730000}"/>
    <cellStyle name="Normal 10 2 6 2 2 2 2 3" xfId="29924" xr:uid="{00000000-0005-0000-0000-00007A730000}"/>
    <cellStyle name="Normal 10 2 6 2 2 2 3" xfId="29925" xr:uid="{00000000-0005-0000-0000-00007B730000}"/>
    <cellStyle name="Normal 10 2 6 2 2 2 4" xfId="29926" xr:uid="{00000000-0005-0000-0000-00007C730000}"/>
    <cellStyle name="Normal 10 2 6 2 2 2 5" xfId="29927" xr:uid="{00000000-0005-0000-0000-00007D730000}"/>
    <cellStyle name="Normal 10 2 6 2 2 2 6" xfId="29928" xr:uid="{00000000-0005-0000-0000-00007E730000}"/>
    <cellStyle name="Normal 10 2 6 2 2 3" xfId="29929" xr:uid="{00000000-0005-0000-0000-00007F730000}"/>
    <cellStyle name="Normal 10 2 6 2 2 3 2" xfId="29930" xr:uid="{00000000-0005-0000-0000-000080730000}"/>
    <cellStyle name="Normal 10 2 6 2 2 3 2 2" xfId="29931" xr:uid="{00000000-0005-0000-0000-000081730000}"/>
    <cellStyle name="Normal 10 2 6 2 2 3 2 3" xfId="29932" xr:uid="{00000000-0005-0000-0000-000082730000}"/>
    <cellStyle name="Normal 10 2 6 2 2 3 3" xfId="29933" xr:uid="{00000000-0005-0000-0000-000083730000}"/>
    <cellStyle name="Normal 10 2 6 2 2 3 4" xfId="29934" xr:uid="{00000000-0005-0000-0000-000084730000}"/>
    <cellStyle name="Normal 10 2 6 2 2 3 5" xfId="29935" xr:uid="{00000000-0005-0000-0000-000085730000}"/>
    <cellStyle name="Normal 10 2 6 2 2 3 6" xfId="29936" xr:uid="{00000000-0005-0000-0000-000086730000}"/>
    <cellStyle name="Normal 10 2 6 2 2 4" xfId="29937" xr:uid="{00000000-0005-0000-0000-000087730000}"/>
    <cellStyle name="Normal 10 2 6 2 2 4 2" xfId="29938" xr:uid="{00000000-0005-0000-0000-000088730000}"/>
    <cellStyle name="Normal 10 2 6 2 2 4 3" xfId="29939" xr:uid="{00000000-0005-0000-0000-000089730000}"/>
    <cellStyle name="Normal 10 2 6 2 2 5" xfId="29940" xr:uid="{00000000-0005-0000-0000-00008A730000}"/>
    <cellStyle name="Normal 10 2 6 2 2 6" xfId="29941" xr:uid="{00000000-0005-0000-0000-00008B730000}"/>
    <cellStyle name="Normal 10 2 6 2 2 7" xfId="29942" xr:uid="{00000000-0005-0000-0000-00008C730000}"/>
    <cellStyle name="Normal 10 2 6 2 2 8" xfId="29943" xr:uid="{00000000-0005-0000-0000-00008D730000}"/>
    <cellStyle name="Normal 10 2 6 2 3" xfId="29944" xr:uid="{00000000-0005-0000-0000-00008E730000}"/>
    <cellStyle name="Normal 10 2 6 2 3 2" xfId="29945" xr:uid="{00000000-0005-0000-0000-00008F730000}"/>
    <cellStyle name="Normal 10 2 6 2 3 2 2" xfId="29946" xr:uid="{00000000-0005-0000-0000-000090730000}"/>
    <cellStyle name="Normal 10 2 6 2 3 2 2 2" xfId="29947" xr:uid="{00000000-0005-0000-0000-000091730000}"/>
    <cellStyle name="Normal 10 2 6 2 3 2 2 3" xfId="29948" xr:uid="{00000000-0005-0000-0000-000092730000}"/>
    <cellStyle name="Normal 10 2 6 2 3 2 3" xfId="29949" xr:uid="{00000000-0005-0000-0000-000093730000}"/>
    <cellStyle name="Normal 10 2 6 2 3 2 4" xfId="29950" xr:uid="{00000000-0005-0000-0000-000094730000}"/>
    <cellStyle name="Normal 10 2 6 2 3 2 5" xfId="29951" xr:uid="{00000000-0005-0000-0000-000095730000}"/>
    <cellStyle name="Normal 10 2 6 2 3 2 6" xfId="29952" xr:uid="{00000000-0005-0000-0000-000096730000}"/>
    <cellStyle name="Normal 10 2 6 2 3 3" xfId="29953" xr:uid="{00000000-0005-0000-0000-000097730000}"/>
    <cellStyle name="Normal 10 2 6 2 3 3 2" xfId="29954" xr:uid="{00000000-0005-0000-0000-000098730000}"/>
    <cellStyle name="Normal 10 2 6 2 3 3 3" xfId="29955" xr:uid="{00000000-0005-0000-0000-000099730000}"/>
    <cellStyle name="Normal 10 2 6 2 3 4" xfId="29956" xr:uid="{00000000-0005-0000-0000-00009A730000}"/>
    <cellStyle name="Normal 10 2 6 2 3 5" xfId="29957" xr:uid="{00000000-0005-0000-0000-00009B730000}"/>
    <cellStyle name="Normal 10 2 6 2 3 6" xfId="29958" xr:uid="{00000000-0005-0000-0000-00009C730000}"/>
    <cellStyle name="Normal 10 2 6 2 3 7" xfId="29959" xr:uid="{00000000-0005-0000-0000-00009D730000}"/>
    <cellStyle name="Normal 10 2 6 2 4" xfId="29960" xr:uid="{00000000-0005-0000-0000-00009E730000}"/>
    <cellStyle name="Normal 10 2 6 2 4 2" xfId="29961" xr:uid="{00000000-0005-0000-0000-00009F730000}"/>
    <cellStyle name="Normal 10 2 6 2 4 2 2" xfId="29962" xr:uid="{00000000-0005-0000-0000-0000A0730000}"/>
    <cellStyle name="Normal 10 2 6 2 4 2 3" xfId="29963" xr:uid="{00000000-0005-0000-0000-0000A1730000}"/>
    <cellStyle name="Normal 10 2 6 2 4 3" xfId="29964" xr:uid="{00000000-0005-0000-0000-0000A2730000}"/>
    <cellStyle name="Normal 10 2 6 2 4 4" xfId="29965" xr:uid="{00000000-0005-0000-0000-0000A3730000}"/>
    <cellStyle name="Normal 10 2 6 2 4 5" xfId="29966" xr:uid="{00000000-0005-0000-0000-0000A4730000}"/>
    <cellStyle name="Normal 10 2 6 2 4 6" xfId="29967" xr:uid="{00000000-0005-0000-0000-0000A5730000}"/>
    <cellStyle name="Normal 10 2 6 2 5" xfId="29968" xr:uid="{00000000-0005-0000-0000-0000A6730000}"/>
    <cellStyle name="Normal 10 2 6 2 5 2" xfId="29969" xr:uid="{00000000-0005-0000-0000-0000A7730000}"/>
    <cellStyle name="Normal 10 2 6 2 5 2 2" xfId="29970" xr:uid="{00000000-0005-0000-0000-0000A8730000}"/>
    <cellStyle name="Normal 10 2 6 2 5 2 3" xfId="29971" xr:uid="{00000000-0005-0000-0000-0000A9730000}"/>
    <cellStyle name="Normal 10 2 6 2 5 3" xfId="29972" xr:uid="{00000000-0005-0000-0000-0000AA730000}"/>
    <cellStyle name="Normal 10 2 6 2 5 4" xfId="29973" xr:uid="{00000000-0005-0000-0000-0000AB730000}"/>
    <cellStyle name="Normal 10 2 6 2 5 5" xfId="29974" xr:uid="{00000000-0005-0000-0000-0000AC730000}"/>
    <cellStyle name="Normal 10 2 6 2 5 6" xfId="29975" xr:uid="{00000000-0005-0000-0000-0000AD730000}"/>
    <cellStyle name="Normal 10 2 6 2 6" xfId="29976" xr:uid="{00000000-0005-0000-0000-0000AE730000}"/>
    <cellStyle name="Normal 10 2 6 2 6 2" xfId="29977" xr:uid="{00000000-0005-0000-0000-0000AF730000}"/>
    <cellStyle name="Normal 10 2 6 2 6 3" xfId="29978" xr:uid="{00000000-0005-0000-0000-0000B0730000}"/>
    <cellStyle name="Normal 10 2 6 2 7" xfId="29979" xr:uid="{00000000-0005-0000-0000-0000B1730000}"/>
    <cellStyle name="Normal 10 2 6 2 8" xfId="29980" xr:uid="{00000000-0005-0000-0000-0000B2730000}"/>
    <cellStyle name="Normal 10 2 6 2 9" xfId="29981" xr:uid="{00000000-0005-0000-0000-0000B3730000}"/>
    <cellStyle name="Normal 10 2 6 3" xfId="29982" xr:uid="{00000000-0005-0000-0000-0000B4730000}"/>
    <cellStyle name="Normal 10 2 6 3 2" xfId="29983" xr:uid="{00000000-0005-0000-0000-0000B5730000}"/>
    <cellStyle name="Normal 10 2 6 3 2 2" xfId="29984" xr:uid="{00000000-0005-0000-0000-0000B6730000}"/>
    <cellStyle name="Normal 10 2 6 3 2 2 2" xfId="29985" xr:uid="{00000000-0005-0000-0000-0000B7730000}"/>
    <cellStyle name="Normal 10 2 6 3 2 2 2 2" xfId="29986" xr:uid="{00000000-0005-0000-0000-0000B8730000}"/>
    <cellStyle name="Normal 10 2 6 3 2 2 2 3" xfId="29987" xr:uid="{00000000-0005-0000-0000-0000B9730000}"/>
    <cellStyle name="Normal 10 2 6 3 2 2 3" xfId="29988" xr:uid="{00000000-0005-0000-0000-0000BA730000}"/>
    <cellStyle name="Normal 10 2 6 3 2 2 4" xfId="29989" xr:uid="{00000000-0005-0000-0000-0000BB730000}"/>
    <cellStyle name="Normal 10 2 6 3 2 2 5" xfId="29990" xr:uid="{00000000-0005-0000-0000-0000BC730000}"/>
    <cellStyle name="Normal 10 2 6 3 2 2 6" xfId="29991" xr:uid="{00000000-0005-0000-0000-0000BD730000}"/>
    <cellStyle name="Normal 10 2 6 3 2 3" xfId="29992" xr:uid="{00000000-0005-0000-0000-0000BE730000}"/>
    <cellStyle name="Normal 10 2 6 3 2 3 2" xfId="29993" xr:uid="{00000000-0005-0000-0000-0000BF730000}"/>
    <cellStyle name="Normal 10 2 6 3 2 3 3" xfId="29994" xr:uid="{00000000-0005-0000-0000-0000C0730000}"/>
    <cellStyle name="Normal 10 2 6 3 2 4" xfId="29995" xr:uid="{00000000-0005-0000-0000-0000C1730000}"/>
    <cellStyle name="Normal 10 2 6 3 2 5" xfId="29996" xr:uid="{00000000-0005-0000-0000-0000C2730000}"/>
    <cellStyle name="Normal 10 2 6 3 2 6" xfId="29997" xr:uid="{00000000-0005-0000-0000-0000C3730000}"/>
    <cellStyle name="Normal 10 2 6 3 2 7" xfId="29998" xr:uid="{00000000-0005-0000-0000-0000C4730000}"/>
    <cellStyle name="Normal 10 2 6 3 3" xfId="29999" xr:uid="{00000000-0005-0000-0000-0000C5730000}"/>
    <cellStyle name="Normal 10 2 6 3 3 2" xfId="30000" xr:uid="{00000000-0005-0000-0000-0000C6730000}"/>
    <cellStyle name="Normal 10 2 6 3 3 2 2" xfId="30001" xr:uid="{00000000-0005-0000-0000-0000C7730000}"/>
    <cellStyle name="Normal 10 2 6 3 3 2 3" xfId="30002" xr:uid="{00000000-0005-0000-0000-0000C8730000}"/>
    <cellStyle name="Normal 10 2 6 3 3 3" xfId="30003" xr:uid="{00000000-0005-0000-0000-0000C9730000}"/>
    <cellStyle name="Normal 10 2 6 3 3 4" xfId="30004" xr:uid="{00000000-0005-0000-0000-0000CA730000}"/>
    <cellStyle name="Normal 10 2 6 3 3 5" xfId="30005" xr:uid="{00000000-0005-0000-0000-0000CB730000}"/>
    <cellStyle name="Normal 10 2 6 3 3 6" xfId="30006" xr:uid="{00000000-0005-0000-0000-0000CC730000}"/>
    <cellStyle name="Normal 10 2 6 3 4" xfId="30007" xr:uid="{00000000-0005-0000-0000-0000CD730000}"/>
    <cellStyle name="Normal 10 2 6 3 4 2" xfId="30008" xr:uid="{00000000-0005-0000-0000-0000CE730000}"/>
    <cellStyle name="Normal 10 2 6 3 4 2 2" xfId="30009" xr:uid="{00000000-0005-0000-0000-0000CF730000}"/>
    <cellStyle name="Normal 10 2 6 3 4 2 3" xfId="30010" xr:uid="{00000000-0005-0000-0000-0000D0730000}"/>
    <cellStyle name="Normal 10 2 6 3 4 3" xfId="30011" xr:uid="{00000000-0005-0000-0000-0000D1730000}"/>
    <cellStyle name="Normal 10 2 6 3 4 4" xfId="30012" xr:uid="{00000000-0005-0000-0000-0000D2730000}"/>
    <cellStyle name="Normal 10 2 6 3 4 5" xfId="30013" xr:uid="{00000000-0005-0000-0000-0000D3730000}"/>
    <cellStyle name="Normal 10 2 6 3 4 6" xfId="30014" xr:uid="{00000000-0005-0000-0000-0000D4730000}"/>
    <cellStyle name="Normal 10 2 6 3 5" xfId="30015" xr:uid="{00000000-0005-0000-0000-0000D5730000}"/>
    <cellStyle name="Normal 10 2 6 3 5 2" xfId="30016" xr:uid="{00000000-0005-0000-0000-0000D6730000}"/>
    <cellStyle name="Normal 10 2 6 3 5 3" xfId="30017" xr:uid="{00000000-0005-0000-0000-0000D7730000}"/>
    <cellStyle name="Normal 10 2 6 3 6" xfId="30018" xr:uid="{00000000-0005-0000-0000-0000D8730000}"/>
    <cellStyle name="Normal 10 2 6 3 7" xfId="30019" xr:uid="{00000000-0005-0000-0000-0000D9730000}"/>
    <cellStyle name="Normal 10 2 6 3 8" xfId="30020" xr:uid="{00000000-0005-0000-0000-0000DA730000}"/>
    <cellStyle name="Normal 10 2 6 3 9" xfId="30021" xr:uid="{00000000-0005-0000-0000-0000DB730000}"/>
    <cellStyle name="Normal 10 2 6 4" xfId="30022" xr:uid="{00000000-0005-0000-0000-0000DC730000}"/>
    <cellStyle name="Normal 10 2 6 4 2" xfId="30023" xr:uid="{00000000-0005-0000-0000-0000DD730000}"/>
    <cellStyle name="Normal 10 2 6 4 2 2" xfId="30024" xr:uid="{00000000-0005-0000-0000-0000DE730000}"/>
    <cellStyle name="Normal 10 2 6 4 2 2 2" xfId="30025" xr:uid="{00000000-0005-0000-0000-0000DF730000}"/>
    <cellStyle name="Normal 10 2 6 4 2 2 3" xfId="30026" xr:uid="{00000000-0005-0000-0000-0000E0730000}"/>
    <cellStyle name="Normal 10 2 6 4 2 3" xfId="30027" xr:uid="{00000000-0005-0000-0000-0000E1730000}"/>
    <cellStyle name="Normal 10 2 6 4 2 4" xfId="30028" xr:uid="{00000000-0005-0000-0000-0000E2730000}"/>
    <cellStyle name="Normal 10 2 6 4 2 5" xfId="30029" xr:uid="{00000000-0005-0000-0000-0000E3730000}"/>
    <cellStyle name="Normal 10 2 6 4 2 6" xfId="30030" xr:uid="{00000000-0005-0000-0000-0000E4730000}"/>
    <cellStyle name="Normal 10 2 6 4 3" xfId="30031" xr:uid="{00000000-0005-0000-0000-0000E5730000}"/>
    <cellStyle name="Normal 10 2 6 4 3 2" xfId="30032" xr:uid="{00000000-0005-0000-0000-0000E6730000}"/>
    <cellStyle name="Normal 10 2 6 4 3 3" xfId="30033" xr:uid="{00000000-0005-0000-0000-0000E7730000}"/>
    <cellStyle name="Normal 10 2 6 4 4" xfId="30034" xr:uid="{00000000-0005-0000-0000-0000E8730000}"/>
    <cellStyle name="Normal 10 2 6 4 5" xfId="30035" xr:uid="{00000000-0005-0000-0000-0000E9730000}"/>
    <cellStyle name="Normal 10 2 6 4 6" xfId="30036" xr:uid="{00000000-0005-0000-0000-0000EA730000}"/>
    <cellStyle name="Normal 10 2 6 4 7" xfId="30037" xr:uid="{00000000-0005-0000-0000-0000EB730000}"/>
    <cellStyle name="Normal 10 2 6 5" xfId="30038" xr:uid="{00000000-0005-0000-0000-0000EC730000}"/>
    <cellStyle name="Normal 10 2 6 5 2" xfId="30039" xr:uid="{00000000-0005-0000-0000-0000ED730000}"/>
    <cellStyle name="Normal 10 2 6 5 2 2" xfId="30040" xr:uid="{00000000-0005-0000-0000-0000EE730000}"/>
    <cellStyle name="Normal 10 2 6 5 2 3" xfId="30041" xr:uid="{00000000-0005-0000-0000-0000EF730000}"/>
    <cellStyle name="Normal 10 2 6 5 3" xfId="30042" xr:uid="{00000000-0005-0000-0000-0000F0730000}"/>
    <cellStyle name="Normal 10 2 6 5 4" xfId="30043" xr:uid="{00000000-0005-0000-0000-0000F1730000}"/>
    <cellStyle name="Normal 10 2 6 5 5" xfId="30044" xr:uid="{00000000-0005-0000-0000-0000F2730000}"/>
    <cellStyle name="Normal 10 2 6 5 6" xfId="30045" xr:uid="{00000000-0005-0000-0000-0000F3730000}"/>
    <cellStyle name="Normal 10 2 6 6" xfId="30046" xr:uid="{00000000-0005-0000-0000-0000F4730000}"/>
    <cellStyle name="Normal 10 2 6 6 2" xfId="30047" xr:uid="{00000000-0005-0000-0000-0000F5730000}"/>
    <cellStyle name="Normal 10 2 6 6 2 2" xfId="30048" xr:uid="{00000000-0005-0000-0000-0000F6730000}"/>
    <cellStyle name="Normal 10 2 6 6 2 3" xfId="30049" xr:uid="{00000000-0005-0000-0000-0000F7730000}"/>
    <cellStyle name="Normal 10 2 6 6 3" xfId="30050" xr:uid="{00000000-0005-0000-0000-0000F8730000}"/>
    <cellStyle name="Normal 10 2 6 6 4" xfId="30051" xr:uid="{00000000-0005-0000-0000-0000F9730000}"/>
    <cellStyle name="Normal 10 2 6 6 5" xfId="30052" xr:uid="{00000000-0005-0000-0000-0000FA730000}"/>
    <cellStyle name="Normal 10 2 6 6 6" xfId="30053" xr:uid="{00000000-0005-0000-0000-0000FB730000}"/>
    <cellStyle name="Normal 10 2 6 7" xfId="30054" xr:uid="{00000000-0005-0000-0000-0000FC730000}"/>
    <cellStyle name="Normal 10 2 6 7 2" xfId="30055" xr:uid="{00000000-0005-0000-0000-0000FD730000}"/>
    <cellStyle name="Normal 10 2 6 7 2 2" xfId="30056" xr:uid="{00000000-0005-0000-0000-0000FE730000}"/>
    <cellStyle name="Normal 10 2 6 7 2 3" xfId="30057" xr:uid="{00000000-0005-0000-0000-0000FF730000}"/>
    <cellStyle name="Normal 10 2 6 7 3" xfId="30058" xr:uid="{00000000-0005-0000-0000-000000740000}"/>
    <cellStyle name="Normal 10 2 6 7 4" xfId="30059" xr:uid="{00000000-0005-0000-0000-000001740000}"/>
    <cellStyle name="Normal 10 2 6 7 5" xfId="30060" xr:uid="{00000000-0005-0000-0000-000002740000}"/>
    <cellStyle name="Normal 10 2 6 7 6" xfId="30061" xr:uid="{00000000-0005-0000-0000-000003740000}"/>
    <cellStyle name="Normal 10 2 6 8" xfId="30062" xr:uid="{00000000-0005-0000-0000-000004740000}"/>
    <cellStyle name="Normal 10 2 6 8 2" xfId="30063" xr:uid="{00000000-0005-0000-0000-000005740000}"/>
    <cellStyle name="Normal 10 2 6 8 2 2" xfId="30064" xr:uid="{00000000-0005-0000-0000-000006740000}"/>
    <cellStyle name="Normal 10 2 6 8 2 3" xfId="30065" xr:uid="{00000000-0005-0000-0000-000007740000}"/>
    <cellStyle name="Normal 10 2 6 8 3" xfId="30066" xr:uid="{00000000-0005-0000-0000-000008740000}"/>
    <cellStyle name="Normal 10 2 6 8 4" xfId="30067" xr:uid="{00000000-0005-0000-0000-000009740000}"/>
    <cellStyle name="Normal 10 2 6 8 5" xfId="30068" xr:uid="{00000000-0005-0000-0000-00000A740000}"/>
    <cellStyle name="Normal 10 2 6 8 6" xfId="30069" xr:uid="{00000000-0005-0000-0000-00000B740000}"/>
    <cellStyle name="Normal 10 2 6 9" xfId="30070" xr:uid="{00000000-0005-0000-0000-00000C740000}"/>
    <cellStyle name="Normal 10 2 6 9 2" xfId="30071" xr:uid="{00000000-0005-0000-0000-00000D740000}"/>
    <cellStyle name="Normal 10 2 6 9 3" xfId="30072" xr:uid="{00000000-0005-0000-0000-00000E740000}"/>
    <cellStyle name="Normal 10 2 7" xfId="30073" xr:uid="{00000000-0005-0000-0000-00000F740000}"/>
    <cellStyle name="Normal 10 2 7 10" xfId="30074" xr:uid="{00000000-0005-0000-0000-000010740000}"/>
    <cellStyle name="Normal 10 2 7 2" xfId="30075" xr:uid="{00000000-0005-0000-0000-000011740000}"/>
    <cellStyle name="Normal 10 2 7 2 2" xfId="30076" xr:uid="{00000000-0005-0000-0000-000012740000}"/>
    <cellStyle name="Normal 10 2 7 2 2 2" xfId="30077" xr:uid="{00000000-0005-0000-0000-000013740000}"/>
    <cellStyle name="Normal 10 2 7 2 2 2 2" xfId="30078" xr:uid="{00000000-0005-0000-0000-000014740000}"/>
    <cellStyle name="Normal 10 2 7 2 2 2 3" xfId="30079" xr:uid="{00000000-0005-0000-0000-000015740000}"/>
    <cellStyle name="Normal 10 2 7 2 2 3" xfId="30080" xr:uid="{00000000-0005-0000-0000-000016740000}"/>
    <cellStyle name="Normal 10 2 7 2 2 4" xfId="30081" xr:uid="{00000000-0005-0000-0000-000017740000}"/>
    <cellStyle name="Normal 10 2 7 2 2 5" xfId="30082" xr:uid="{00000000-0005-0000-0000-000018740000}"/>
    <cellStyle name="Normal 10 2 7 2 2 6" xfId="30083" xr:uid="{00000000-0005-0000-0000-000019740000}"/>
    <cellStyle name="Normal 10 2 7 2 3" xfId="30084" xr:uid="{00000000-0005-0000-0000-00001A740000}"/>
    <cellStyle name="Normal 10 2 7 2 3 2" xfId="30085" xr:uid="{00000000-0005-0000-0000-00001B740000}"/>
    <cellStyle name="Normal 10 2 7 2 3 2 2" xfId="30086" xr:uid="{00000000-0005-0000-0000-00001C740000}"/>
    <cellStyle name="Normal 10 2 7 2 3 2 3" xfId="30087" xr:uid="{00000000-0005-0000-0000-00001D740000}"/>
    <cellStyle name="Normal 10 2 7 2 3 3" xfId="30088" xr:uid="{00000000-0005-0000-0000-00001E740000}"/>
    <cellStyle name="Normal 10 2 7 2 3 4" xfId="30089" xr:uid="{00000000-0005-0000-0000-00001F740000}"/>
    <cellStyle name="Normal 10 2 7 2 3 5" xfId="30090" xr:uid="{00000000-0005-0000-0000-000020740000}"/>
    <cellStyle name="Normal 10 2 7 2 3 6" xfId="30091" xr:uid="{00000000-0005-0000-0000-000021740000}"/>
    <cellStyle name="Normal 10 2 7 2 4" xfId="30092" xr:uid="{00000000-0005-0000-0000-000022740000}"/>
    <cellStyle name="Normal 10 2 7 2 4 2" xfId="30093" xr:uid="{00000000-0005-0000-0000-000023740000}"/>
    <cellStyle name="Normal 10 2 7 2 4 3" xfId="30094" xr:uid="{00000000-0005-0000-0000-000024740000}"/>
    <cellStyle name="Normal 10 2 7 2 5" xfId="30095" xr:uid="{00000000-0005-0000-0000-000025740000}"/>
    <cellStyle name="Normal 10 2 7 2 6" xfId="30096" xr:uid="{00000000-0005-0000-0000-000026740000}"/>
    <cellStyle name="Normal 10 2 7 2 7" xfId="30097" xr:uid="{00000000-0005-0000-0000-000027740000}"/>
    <cellStyle name="Normal 10 2 7 2 8" xfId="30098" xr:uid="{00000000-0005-0000-0000-000028740000}"/>
    <cellStyle name="Normal 10 2 7 3" xfId="30099" xr:uid="{00000000-0005-0000-0000-000029740000}"/>
    <cellStyle name="Normal 10 2 7 3 2" xfId="30100" xr:uid="{00000000-0005-0000-0000-00002A740000}"/>
    <cellStyle name="Normal 10 2 7 3 2 2" xfId="30101" xr:uid="{00000000-0005-0000-0000-00002B740000}"/>
    <cellStyle name="Normal 10 2 7 3 2 2 2" xfId="30102" xr:uid="{00000000-0005-0000-0000-00002C740000}"/>
    <cellStyle name="Normal 10 2 7 3 2 2 3" xfId="30103" xr:uid="{00000000-0005-0000-0000-00002D740000}"/>
    <cellStyle name="Normal 10 2 7 3 2 3" xfId="30104" xr:uid="{00000000-0005-0000-0000-00002E740000}"/>
    <cellStyle name="Normal 10 2 7 3 2 4" xfId="30105" xr:uid="{00000000-0005-0000-0000-00002F740000}"/>
    <cellStyle name="Normal 10 2 7 3 2 5" xfId="30106" xr:uid="{00000000-0005-0000-0000-000030740000}"/>
    <cellStyle name="Normal 10 2 7 3 2 6" xfId="30107" xr:uid="{00000000-0005-0000-0000-000031740000}"/>
    <cellStyle name="Normal 10 2 7 3 3" xfId="30108" xr:uid="{00000000-0005-0000-0000-000032740000}"/>
    <cellStyle name="Normal 10 2 7 3 3 2" xfId="30109" xr:uid="{00000000-0005-0000-0000-000033740000}"/>
    <cellStyle name="Normal 10 2 7 3 3 3" xfId="30110" xr:uid="{00000000-0005-0000-0000-000034740000}"/>
    <cellStyle name="Normal 10 2 7 3 4" xfId="30111" xr:uid="{00000000-0005-0000-0000-000035740000}"/>
    <cellStyle name="Normal 10 2 7 3 5" xfId="30112" xr:uid="{00000000-0005-0000-0000-000036740000}"/>
    <cellStyle name="Normal 10 2 7 3 6" xfId="30113" xr:uid="{00000000-0005-0000-0000-000037740000}"/>
    <cellStyle name="Normal 10 2 7 3 7" xfId="30114" xr:uid="{00000000-0005-0000-0000-000038740000}"/>
    <cellStyle name="Normal 10 2 7 4" xfId="30115" xr:uid="{00000000-0005-0000-0000-000039740000}"/>
    <cellStyle name="Normal 10 2 7 4 2" xfId="30116" xr:uid="{00000000-0005-0000-0000-00003A740000}"/>
    <cellStyle name="Normal 10 2 7 4 2 2" xfId="30117" xr:uid="{00000000-0005-0000-0000-00003B740000}"/>
    <cellStyle name="Normal 10 2 7 4 2 3" xfId="30118" xr:uid="{00000000-0005-0000-0000-00003C740000}"/>
    <cellStyle name="Normal 10 2 7 4 3" xfId="30119" xr:uid="{00000000-0005-0000-0000-00003D740000}"/>
    <cellStyle name="Normal 10 2 7 4 4" xfId="30120" xr:uid="{00000000-0005-0000-0000-00003E740000}"/>
    <cellStyle name="Normal 10 2 7 4 5" xfId="30121" xr:uid="{00000000-0005-0000-0000-00003F740000}"/>
    <cellStyle name="Normal 10 2 7 4 6" xfId="30122" xr:uid="{00000000-0005-0000-0000-000040740000}"/>
    <cellStyle name="Normal 10 2 7 5" xfId="30123" xr:uid="{00000000-0005-0000-0000-000041740000}"/>
    <cellStyle name="Normal 10 2 7 5 2" xfId="30124" xr:uid="{00000000-0005-0000-0000-000042740000}"/>
    <cellStyle name="Normal 10 2 7 5 2 2" xfId="30125" xr:uid="{00000000-0005-0000-0000-000043740000}"/>
    <cellStyle name="Normal 10 2 7 5 2 3" xfId="30126" xr:uid="{00000000-0005-0000-0000-000044740000}"/>
    <cellStyle name="Normal 10 2 7 5 3" xfId="30127" xr:uid="{00000000-0005-0000-0000-000045740000}"/>
    <cellStyle name="Normal 10 2 7 5 4" xfId="30128" xr:uid="{00000000-0005-0000-0000-000046740000}"/>
    <cellStyle name="Normal 10 2 7 5 5" xfId="30129" xr:uid="{00000000-0005-0000-0000-000047740000}"/>
    <cellStyle name="Normal 10 2 7 5 6" xfId="30130" xr:uid="{00000000-0005-0000-0000-000048740000}"/>
    <cellStyle name="Normal 10 2 7 6" xfId="30131" xr:uid="{00000000-0005-0000-0000-000049740000}"/>
    <cellStyle name="Normal 10 2 7 6 2" xfId="30132" xr:uid="{00000000-0005-0000-0000-00004A740000}"/>
    <cellStyle name="Normal 10 2 7 6 3" xfId="30133" xr:uid="{00000000-0005-0000-0000-00004B740000}"/>
    <cellStyle name="Normal 10 2 7 7" xfId="30134" xr:uid="{00000000-0005-0000-0000-00004C740000}"/>
    <cellStyle name="Normal 10 2 7 8" xfId="30135" xr:uid="{00000000-0005-0000-0000-00004D740000}"/>
    <cellStyle name="Normal 10 2 7 9" xfId="30136" xr:uid="{00000000-0005-0000-0000-00004E740000}"/>
    <cellStyle name="Normal 10 2 8" xfId="30137" xr:uid="{00000000-0005-0000-0000-00004F740000}"/>
    <cellStyle name="Normal 10 2 8 2" xfId="30138" xr:uid="{00000000-0005-0000-0000-000050740000}"/>
    <cellStyle name="Normal 10 2 8 2 2" xfId="30139" xr:uid="{00000000-0005-0000-0000-000051740000}"/>
    <cellStyle name="Normal 10 2 8 2 2 2" xfId="30140" xr:uid="{00000000-0005-0000-0000-000052740000}"/>
    <cellStyle name="Normal 10 2 8 2 2 2 2" xfId="30141" xr:uid="{00000000-0005-0000-0000-000053740000}"/>
    <cellStyle name="Normal 10 2 8 2 2 2 3" xfId="30142" xr:uid="{00000000-0005-0000-0000-000054740000}"/>
    <cellStyle name="Normal 10 2 8 2 2 3" xfId="30143" xr:uid="{00000000-0005-0000-0000-000055740000}"/>
    <cellStyle name="Normal 10 2 8 2 2 4" xfId="30144" xr:uid="{00000000-0005-0000-0000-000056740000}"/>
    <cellStyle name="Normal 10 2 8 2 2 5" xfId="30145" xr:uid="{00000000-0005-0000-0000-000057740000}"/>
    <cellStyle name="Normal 10 2 8 2 2 6" xfId="30146" xr:uid="{00000000-0005-0000-0000-000058740000}"/>
    <cellStyle name="Normal 10 2 8 2 3" xfId="30147" xr:uid="{00000000-0005-0000-0000-000059740000}"/>
    <cellStyle name="Normal 10 2 8 2 3 2" xfId="30148" xr:uid="{00000000-0005-0000-0000-00005A740000}"/>
    <cellStyle name="Normal 10 2 8 2 3 3" xfId="30149" xr:uid="{00000000-0005-0000-0000-00005B740000}"/>
    <cellStyle name="Normal 10 2 8 2 4" xfId="30150" xr:uid="{00000000-0005-0000-0000-00005C740000}"/>
    <cellStyle name="Normal 10 2 8 2 5" xfId="30151" xr:uid="{00000000-0005-0000-0000-00005D740000}"/>
    <cellStyle name="Normal 10 2 8 2 6" xfId="30152" xr:uid="{00000000-0005-0000-0000-00005E740000}"/>
    <cellStyle name="Normal 10 2 8 2 7" xfId="30153" xr:uid="{00000000-0005-0000-0000-00005F740000}"/>
    <cellStyle name="Normal 10 2 8 3" xfId="30154" xr:uid="{00000000-0005-0000-0000-000060740000}"/>
    <cellStyle name="Normal 10 2 8 3 2" xfId="30155" xr:uid="{00000000-0005-0000-0000-000061740000}"/>
    <cellStyle name="Normal 10 2 8 3 2 2" xfId="30156" xr:uid="{00000000-0005-0000-0000-000062740000}"/>
    <cellStyle name="Normal 10 2 8 3 2 3" xfId="30157" xr:uid="{00000000-0005-0000-0000-000063740000}"/>
    <cellStyle name="Normal 10 2 8 3 3" xfId="30158" xr:uid="{00000000-0005-0000-0000-000064740000}"/>
    <cellStyle name="Normal 10 2 8 3 4" xfId="30159" xr:uid="{00000000-0005-0000-0000-000065740000}"/>
    <cellStyle name="Normal 10 2 8 3 5" xfId="30160" xr:uid="{00000000-0005-0000-0000-000066740000}"/>
    <cellStyle name="Normal 10 2 8 3 6" xfId="30161" xr:uid="{00000000-0005-0000-0000-000067740000}"/>
    <cellStyle name="Normal 10 2 8 4" xfId="30162" xr:uid="{00000000-0005-0000-0000-000068740000}"/>
    <cellStyle name="Normal 10 2 8 4 2" xfId="30163" xr:uid="{00000000-0005-0000-0000-000069740000}"/>
    <cellStyle name="Normal 10 2 8 4 2 2" xfId="30164" xr:uid="{00000000-0005-0000-0000-00006A740000}"/>
    <cellStyle name="Normal 10 2 8 4 2 3" xfId="30165" xr:uid="{00000000-0005-0000-0000-00006B740000}"/>
    <cellStyle name="Normal 10 2 8 4 3" xfId="30166" xr:uid="{00000000-0005-0000-0000-00006C740000}"/>
    <cellStyle name="Normal 10 2 8 4 4" xfId="30167" xr:uid="{00000000-0005-0000-0000-00006D740000}"/>
    <cellStyle name="Normal 10 2 8 4 5" xfId="30168" xr:uid="{00000000-0005-0000-0000-00006E740000}"/>
    <cellStyle name="Normal 10 2 8 4 6" xfId="30169" xr:uid="{00000000-0005-0000-0000-00006F740000}"/>
    <cellStyle name="Normal 10 2 8 5" xfId="30170" xr:uid="{00000000-0005-0000-0000-000070740000}"/>
    <cellStyle name="Normal 10 2 8 5 2" xfId="30171" xr:uid="{00000000-0005-0000-0000-000071740000}"/>
    <cellStyle name="Normal 10 2 8 5 3" xfId="30172" xr:uid="{00000000-0005-0000-0000-000072740000}"/>
    <cellStyle name="Normal 10 2 8 6" xfId="30173" xr:uid="{00000000-0005-0000-0000-000073740000}"/>
    <cellStyle name="Normal 10 2 8 7" xfId="30174" xr:uid="{00000000-0005-0000-0000-000074740000}"/>
    <cellStyle name="Normal 10 2 8 8" xfId="30175" xr:uid="{00000000-0005-0000-0000-000075740000}"/>
    <cellStyle name="Normal 10 2 8 9" xfId="30176" xr:uid="{00000000-0005-0000-0000-000076740000}"/>
    <cellStyle name="Normal 10 2 9" xfId="30177" xr:uid="{00000000-0005-0000-0000-000077740000}"/>
    <cellStyle name="Normal 10 2 9 2" xfId="30178" xr:uid="{00000000-0005-0000-0000-000078740000}"/>
    <cellStyle name="Normal 10 2 9 2 2" xfId="30179" xr:uid="{00000000-0005-0000-0000-000079740000}"/>
    <cellStyle name="Normal 10 2 9 2 2 2" xfId="30180" xr:uid="{00000000-0005-0000-0000-00007A740000}"/>
    <cellStyle name="Normal 10 2 9 2 2 3" xfId="30181" xr:uid="{00000000-0005-0000-0000-00007B740000}"/>
    <cellStyle name="Normal 10 2 9 2 3" xfId="30182" xr:uid="{00000000-0005-0000-0000-00007C740000}"/>
    <cellStyle name="Normal 10 2 9 2 4" xfId="30183" xr:uid="{00000000-0005-0000-0000-00007D740000}"/>
    <cellStyle name="Normal 10 2 9 2 5" xfId="30184" xr:uid="{00000000-0005-0000-0000-00007E740000}"/>
    <cellStyle name="Normal 10 2 9 2 6" xfId="30185" xr:uid="{00000000-0005-0000-0000-00007F740000}"/>
    <cellStyle name="Normal 10 2 9 3" xfId="30186" xr:uid="{00000000-0005-0000-0000-000080740000}"/>
    <cellStyle name="Normal 10 2 9 3 2" xfId="30187" xr:uid="{00000000-0005-0000-0000-000081740000}"/>
    <cellStyle name="Normal 10 2 9 3 3" xfId="30188" xr:uid="{00000000-0005-0000-0000-000082740000}"/>
    <cellStyle name="Normal 10 2 9 4" xfId="30189" xr:uid="{00000000-0005-0000-0000-000083740000}"/>
    <cellStyle name="Normal 10 2 9 5" xfId="30190" xr:uid="{00000000-0005-0000-0000-000084740000}"/>
    <cellStyle name="Normal 10 2 9 6" xfId="30191" xr:uid="{00000000-0005-0000-0000-000085740000}"/>
    <cellStyle name="Normal 10 2 9 7" xfId="30192" xr:uid="{00000000-0005-0000-0000-000086740000}"/>
    <cellStyle name="Normal 10 3" xfId="385" xr:uid="{00000000-0005-0000-0000-000087740000}"/>
    <cellStyle name="Normal 10 3 2" xfId="30193" xr:uid="{00000000-0005-0000-0000-000088740000}"/>
    <cellStyle name="Normal 10 4" xfId="30194" xr:uid="{00000000-0005-0000-0000-000089740000}"/>
    <cellStyle name="Normal 10 4 10" xfId="30195" xr:uid="{00000000-0005-0000-0000-00008A740000}"/>
    <cellStyle name="Normal 10 4 10 2" xfId="30196" xr:uid="{00000000-0005-0000-0000-00008B740000}"/>
    <cellStyle name="Normal 10 4 10 2 2" xfId="30197" xr:uid="{00000000-0005-0000-0000-00008C740000}"/>
    <cellStyle name="Normal 10 4 10 2 3" xfId="30198" xr:uid="{00000000-0005-0000-0000-00008D740000}"/>
    <cellStyle name="Normal 10 4 10 3" xfId="30199" xr:uid="{00000000-0005-0000-0000-00008E740000}"/>
    <cellStyle name="Normal 10 4 10 4" xfId="30200" xr:uid="{00000000-0005-0000-0000-00008F740000}"/>
    <cellStyle name="Normal 10 4 10 5" xfId="30201" xr:uid="{00000000-0005-0000-0000-000090740000}"/>
    <cellStyle name="Normal 10 4 10 6" xfId="30202" xr:uid="{00000000-0005-0000-0000-000091740000}"/>
    <cellStyle name="Normal 10 4 11" xfId="30203" xr:uid="{00000000-0005-0000-0000-000092740000}"/>
    <cellStyle name="Normal 10 4 11 2" xfId="30204" xr:uid="{00000000-0005-0000-0000-000093740000}"/>
    <cellStyle name="Normal 10 4 11 3" xfId="30205" xr:uid="{00000000-0005-0000-0000-000094740000}"/>
    <cellStyle name="Normal 10 4 12" xfId="30206" xr:uid="{00000000-0005-0000-0000-000095740000}"/>
    <cellStyle name="Normal 10 4 13" xfId="30207" xr:uid="{00000000-0005-0000-0000-000096740000}"/>
    <cellStyle name="Normal 10 4 14" xfId="30208" xr:uid="{00000000-0005-0000-0000-000097740000}"/>
    <cellStyle name="Normal 10 4 15" xfId="30209" xr:uid="{00000000-0005-0000-0000-000098740000}"/>
    <cellStyle name="Normal 10 4 2" xfId="30210" xr:uid="{00000000-0005-0000-0000-000099740000}"/>
    <cellStyle name="Normal 10 4 2 10" xfId="30211" xr:uid="{00000000-0005-0000-0000-00009A740000}"/>
    <cellStyle name="Normal 10 4 2 10 2" xfId="30212" xr:uid="{00000000-0005-0000-0000-00009B740000}"/>
    <cellStyle name="Normal 10 4 2 10 3" xfId="30213" xr:uid="{00000000-0005-0000-0000-00009C740000}"/>
    <cellStyle name="Normal 10 4 2 11" xfId="30214" xr:uid="{00000000-0005-0000-0000-00009D740000}"/>
    <cellStyle name="Normal 10 4 2 12" xfId="30215" xr:uid="{00000000-0005-0000-0000-00009E740000}"/>
    <cellStyle name="Normal 10 4 2 13" xfId="30216" xr:uid="{00000000-0005-0000-0000-00009F740000}"/>
    <cellStyle name="Normal 10 4 2 14" xfId="30217" xr:uid="{00000000-0005-0000-0000-0000A0740000}"/>
    <cellStyle name="Normal 10 4 2 2" xfId="30218" xr:uid="{00000000-0005-0000-0000-0000A1740000}"/>
    <cellStyle name="Normal 10 4 2 2 10" xfId="30219" xr:uid="{00000000-0005-0000-0000-0000A2740000}"/>
    <cellStyle name="Normal 10 4 2 2 11" xfId="30220" xr:uid="{00000000-0005-0000-0000-0000A3740000}"/>
    <cellStyle name="Normal 10 4 2 2 12" xfId="30221" xr:uid="{00000000-0005-0000-0000-0000A4740000}"/>
    <cellStyle name="Normal 10 4 2 2 13" xfId="30222" xr:uid="{00000000-0005-0000-0000-0000A5740000}"/>
    <cellStyle name="Normal 10 4 2 2 2" xfId="30223" xr:uid="{00000000-0005-0000-0000-0000A6740000}"/>
    <cellStyle name="Normal 10 4 2 2 2 10" xfId="30224" xr:uid="{00000000-0005-0000-0000-0000A7740000}"/>
    <cellStyle name="Normal 10 4 2 2 2 2" xfId="30225" xr:uid="{00000000-0005-0000-0000-0000A8740000}"/>
    <cellStyle name="Normal 10 4 2 2 2 2 2" xfId="30226" xr:uid="{00000000-0005-0000-0000-0000A9740000}"/>
    <cellStyle name="Normal 10 4 2 2 2 2 2 2" xfId="30227" xr:uid="{00000000-0005-0000-0000-0000AA740000}"/>
    <cellStyle name="Normal 10 4 2 2 2 2 2 2 2" xfId="30228" xr:uid="{00000000-0005-0000-0000-0000AB740000}"/>
    <cellStyle name="Normal 10 4 2 2 2 2 2 2 3" xfId="30229" xr:uid="{00000000-0005-0000-0000-0000AC740000}"/>
    <cellStyle name="Normal 10 4 2 2 2 2 2 3" xfId="30230" xr:uid="{00000000-0005-0000-0000-0000AD740000}"/>
    <cellStyle name="Normal 10 4 2 2 2 2 2 4" xfId="30231" xr:uid="{00000000-0005-0000-0000-0000AE740000}"/>
    <cellStyle name="Normal 10 4 2 2 2 2 2 5" xfId="30232" xr:uid="{00000000-0005-0000-0000-0000AF740000}"/>
    <cellStyle name="Normal 10 4 2 2 2 2 2 6" xfId="30233" xr:uid="{00000000-0005-0000-0000-0000B0740000}"/>
    <cellStyle name="Normal 10 4 2 2 2 2 3" xfId="30234" xr:uid="{00000000-0005-0000-0000-0000B1740000}"/>
    <cellStyle name="Normal 10 4 2 2 2 2 3 2" xfId="30235" xr:uid="{00000000-0005-0000-0000-0000B2740000}"/>
    <cellStyle name="Normal 10 4 2 2 2 2 3 2 2" xfId="30236" xr:uid="{00000000-0005-0000-0000-0000B3740000}"/>
    <cellStyle name="Normal 10 4 2 2 2 2 3 2 3" xfId="30237" xr:uid="{00000000-0005-0000-0000-0000B4740000}"/>
    <cellStyle name="Normal 10 4 2 2 2 2 3 3" xfId="30238" xr:uid="{00000000-0005-0000-0000-0000B5740000}"/>
    <cellStyle name="Normal 10 4 2 2 2 2 3 4" xfId="30239" xr:uid="{00000000-0005-0000-0000-0000B6740000}"/>
    <cellStyle name="Normal 10 4 2 2 2 2 3 5" xfId="30240" xr:uid="{00000000-0005-0000-0000-0000B7740000}"/>
    <cellStyle name="Normal 10 4 2 2 2 2 3 6" xfId="30241" xr:uid="{00000000-0005-0000-0000-0000B8740000}"/>
    <cellStyle name="Normal 10 4 2 2 2 2 4" xfId="30242" xr:uid="{00000000-0005-0000-0000-0000B9740000}"/>
    <cellStyle name="Normal 10 4 2 2 2 2 4 2" xfId="30243" xr:uid="{00000000-0005-0000-0000-0000BA740000}"/>
    <cellStyle name="Normal 10 4 2 2 2 2 4 3" xfId="30244" xr:uid="{00000000-0005-0000-0000-0000BB740000}"/>
    <cellStyle name="Normal 10 4 2 2 2 2 5" xfId="30245" xr:uid="{00000000-0005-0000-0000-0000BC740000}"/>
    <cellStyle name="Normal 10 4 2 2 2 2 6" xfId="30246" xr:uid="{00000000-0005-0000-0000-0000BD740000}"/>
    <cellStyle name="Normal 10 4 2 2 2 2 7" xfId="30247" xr:uid="{00000000-0005-0000-0000-0000BE740000}"/>
    <cellStyle name="Normal 10 4 2 2 2 2 8" xfId="30248" xr:uid="{00000000-0005-0000-0000-0000BF740000}"/>
    <cellStyle name="Normal 10 4 2 2 2 3" xfId="30249" xr:uid="{00000000-0005-0000-0000-0000C0740000}"/>
    <cellStyle name="Normal 10 4 2 2 2 3 2" xfId="30250" xr:uid="{00000000-0005-0000-0000-0000C1740000}"/>
    <cellStyle name="Normal 10 4 2 2 2 3 2 2" xfId="30251" xr:uid="{00000000-0005-0000-0000-0000C2740000}"/>
    <cellStyle name="Normal 10 4 2 2 2 3 2 2 2" xfId="30252" xr:uid="{00000000-0005-0000-0000-0000C3740000}"/>
    <cellStyle name="Normal 10 4 2 2 2 3 2 2 3" xfId="30253" xr:uid="{00000000-0005-0000-0000-0000C4740000}"/>
    <cellStyle name="Normal 10 4 2 2 2 3 2 3" xfId="30254" xr:uid="{00000000-0005-0000-0000-0000C5740000}"/>
    <cellStyle name="Normal 10 4 2 2 2 3 2 4" xfId="30255" xr:uid="{00000000-0005-0000-0000-0000C6740000}"/>
    <cellStyle name="Normal 10 4 2 2 2 3 2 5" xfId="30256" xr:uid="{00000000-0005-0000-0000-0000C7740000}"/>
    <cellStyle name="Normal 10 4 2 2 2 3 2 6" xfId="30257" xr:uid="{00000000-0005-0000-0000-0000C8740000}"/>
    <cellStyle name="Normal 10 4 2 2 2 3 3" xfId="30258" xr:uid="{00000000-0005-0000-0000-0000C9740000}"/>
    <cellStyle name="Normal 10 4 2 2 2 3 3 2" xfId="30259" xr:uid="{00000000-0005-0000-0000-0000CA740000}"/>
    <cellStyle name="Normal 10 4 2 2 2 3 3 3" xfId="30260" xr:uid="{00000000-0005-0000-0000-0000CB740000}"/>
    <cellStyle name="Normal 10 4 2 2 2 3 4" xfId="30261" xr:uid="{00000000-0005-0000-0000-0000CC740000}"/>
    <cellStyle name="Normal 10 4 2 2 2 3 5" xfId="30262" xr:uid="{00000000-0005-0000-0000-0000CD740000}"/>
    <cellStyle name="Normal 10 4 2 2 2 3 6" xfId="30263" xr:uid="{00000000-0005-0000-0000-0000CE740000}"/>
    <cellStyle name="Normal 10 4 2 2 2 3 7" xfId="30264" xr:uid="{00000000-0005-0000-0000-0000CF740000}"/>
    <cellStyle name="Normal 10 4 2 2 2 4" xfId="30265" xr:uid="{00000000-0005-0000-0000-0000D0740000}"/>
    <cellStyle name="Normal 10 4 2 2 2 4 2" xfId="30266" xr:uid="{00000000-0005-0000-0000-0000D1740000}"/>
    <cellStyle name="Normal 10 4 2 2 2 4 2 2" xfId="30267" xr:uid="{00000000-0005-0000-0000-0000D2740000}"/>
    <cellStyle name="Normal 10 4 2 2 2 4 2 3" xfId="30268" xr:uid="{00000000-0005-0000-0000-0000D3740000}"/>
    <cellStyle name="Normal 10 4 2 2 2 4 3" xfId="30269" xr:uid="{00000000-0005-0000-0000-0000D4740000}"/>
    <cellStyle name="Normal 10 4 2 2 2 4 4" xfId="30270" xr:uid="{00000000-0005-0000-0000-0000D5740000}"/>
    <cellStyle name="Normal 10 4 2 2 2 4 5" xfId="30271" xr:uid="{00000000-0005-0000-0000-0000D6740000}"/>
    <cellStyle name="Normal 10 4 2 2 2 4 6" xfId="30272" xr:uid="{00000000-0005-0000-0000-0000D7740000}"/>
    <cellStyle name="Normal 10 4 2 2 2 5" xfId="30273" xr:uid="{00000000-0005-0000-0000-0000D8740000}"/>
    <cellStyle name="Normal 10 4 2 2 2 5 2" xfId="30274" xr:uid="{00000000-0005-0000-0000-0000D9740000}"/>
    <cellStyle name="Normal 10 4 2 2 2 5 2 2" xfId="30275" xr:uid="{00000000-0005-0000-0000-0000DA740000}"/>
    <cellStyle name="Normal 10 4 2 2 2 5 2 3" xfId="30276" xr:uid="{00000000-0005-0000-0000-0000DB740000}"/>
    <cellStyle name="Normal 10 4 2 2 2 5 3" xfId="30277" xr:uid="{00000000-0005-0000-0000-0000DC740000}"/>
    <cellStyle name="Normal 10 4 2 2 2 5 4" xfId="30278" xr:uid="{00000000-0005-0000-0000-0000DD740000}"/>
    <cellStyle name="Normal 10 4 2 2 2 5 5" xfId="30279" xr:uid="{00000000-0005-0000-0000-0000DE740000}"/>
    <cellStyle name="Normal 10 4 2 2 2 5 6" xfId="30280" xr:uid="{00000000-0005-0000-0000-0000DF740000}"/>
    <cellStyle name="Normal 10 4 2 2 2 6" xfId="30281" xr:uid="{00000000-0005-0000-0000-0000E0740000}"/>
    <cellStyle name="Normal 10 4 2 2 2 6 2" xfId="30282" xr:uid="{00000000-0005-0000-0000-0000E1740000}"/>
    <cellStyle name="Normal 10 4 2 2 2 6 3" xfId="30283" xr:uid="{00000000-0005-0000-0000-0000E2740000}"/>
    <cellStyle name="Normal 10 4 2 2 2 7" xfId="30284" xr:uid="{00000000-0005-0000-0000-0000E3740000}"/>
    <cellStyle name="Normal 10 4 2 2 2 8" xfId="30285" xr:uid="{00000000-0005-0000-0000-0000E4740000}"/>
    <cellStyle name="Normal 10 4 2 2 2 9" xfId="30286" xr:uid="{00000000-0005-0000-0000-0000E5740000}"/>
    <cellStyle name="Normal 10 4 2 2 3" xfId="30287" xr:uid="{00000000-0005-0000-0000-0000E6740000}"/>
    <cellStyle name="Normal 10 4 2 2 3 2" xfId="30288" xr:uid="{00000000-0005-0000-0000-0000E7740000}"/>
    <cellStyle name="Normal 10 4 2 2 3 2 2" xfId="30289" xr:uid="{00000000-0005-0000-0000-0000E8740000}"/>
    <cellStyle name="Normal 10 4 2 2 3 2 2 2" xfId="30290" xr:uid="{00000000-0005-0000-0000-0000E9740000}"/>
    <cellStyle name="Normal 10 4 2 2 3 2 2 2 2" xfId="30291" xr:uid="{00000000-0005-0000-0000-0000EA740000}"/>
    <cellStyle name="Normal 10 4 2 2 3 2 2 2 3" xfId="30292" xr:uid="{00000000-0005-0000-0000-0000EB740000}"/>
    <cellStyle name="Normal 10 4 2 2 3 2 2 3" xfId="30293" xr:uid="{00000000-0005-0000-0000-0000EC740000}"/>
    <cellStyle name="Normal 10 4 2 2 3 2 2 4" xfId="30294" xr:uid="{00000000-0005-0000-0000-0000ED740000}"/>
    <cellStyle name="Normal 10 4 2 2 3 2 2 5" xfId="30295" xr:uid="{00000000-0005-0000-0000-0000EE740000}"/>
    <cellStyle name="Normal 10 4 2 2 3 2 2 6" xfId="30296" xr:uid="{00000000-0005-0000-0000-0000EF740000}"/>
    <cellStyle name="Normal 10 4 2 2 3 2 3" xfId="30297" xr:uid="{00000000-0005-0000-0000-0000F0740000}"/>
    <cellStyle name="Normal 10 4 2 2 3 2 3 2" xfId="30298" xr:uid="{00000000-0005-0000-0000-0000F1740000}"/>
    <cellStyle name="Normal 10 4 2 2 3 2 3 3" xfId="30299" xr:uid="{00000000-0005-0000-0000-0000F2740000}"/>
    <cellStyle name="Normal 10 4 2 2 3 2 4" xfId="30300" xr:uid="{00000000-0005-0000-0000-0000F3740000}"/>
    <cellStyle name="Normal 10 4 2 2 3 2 5" xfId="30301" xr:uid="{00000000-0005-0000-0000-0000F4740000}"/>
    <cellStyle name="Normal 10 4 2 2 3 2 6" xfId="30302" xr:uid="{00000000-0005-0000-0000-0000F5740000}"/>
    <cellStyle name="Normal 10 4 2 2 3 2 7" xfId="30303" xr:uid="{00000000-0005-0000-0000-0000F6740000}"/>
    <cellStyle name="Normal 10 4 2 2 3 3" xfId="30304" xr:uid="{00000000-0005-0000-0000-0000F7740000}"/>
    <cellStyle name="Normal 10 4 2 2 3 3 2" xfId="30305" xr:uid="{00000000-0005-0000-0000-0000F8740000}"/>
    <cellStyle name="Normal 10 4 2 2 3 3 2 2" xfId="30306" xr:uid="{00000000-0005-0000-0000-0000F9740000}"/>
    <cellStyle name="Normal 10 4 2 2 3 3 2 3" xfId="30307" xr:uid="{00000000-0005-0000-0000-0000FA740000}"/>
    <cellStyle name="Normal 10 4 2 2 3 3 3" xfId="30308" xr:uid="{00000000-0005-0000-0000-0000FB740000}"/>
    <cellStyle name="Normal 10 4 2 2 3 3 4" xfId="30309" xr:uid="{00000000-0005-0000-0000-0000FC740000}"/>
    <cellStyle name="Normal 10 4 2 2 3 3 5" xfId="30310" xr:uid="{00000000-0005-0000-0000-0000FD740000}"/>
    <cellStyle name="Normal 10 4 2 2 3 3 6" xfId="30311" xr:uid="{00000000-0005-0000-0000-0000FE740000}"/>
    <cellStyle name="Normal 10 4 2 2 3 4" xfId="30312" xr:uid="{00000000-0005-0000-0000-0000FF740000}"/>
    <cellStyle name="Normal 10 4 2 2 3 4 2" xfId="30313" xr:uid="{00000000-0005-0000-0000-000000750000}"/>
    <cellStyle name="Normal 10 4 2 2 3 4 2 2" xfId="30314" xr:uid="{00000000-0005-0000-0000-000001750000}"/>
    <cellStyle name="Normal 10 4 2 2 3 4 2 3" xfId="30315" xr:uid="{00000000-0005-0000-0000-000002750000}"/>
    <cellStyle name="Normal 10 4 2 2 3 4 3" xfId="30316" xr:uid="{00000000-0005-0000-0000-000003750000}"/>
    <cellStyle name="Normal 10 4 2 2 3 4 4" xfId="30317" xr:uid="{00000000-0005-0000-0000-000004750000}"/>
    <cellStyle name="Normal 10 4 2 2 3 4 5" xfId="30318" xr:uid="{00000000-0005-0000-0000-000005750000}"/>
    <cellStyle name="Normal 10 4 2 2 3 4 6" xfId="30319" xr:uid="{00000000-0005-0000-0000-000006750000}"/>
    <cellStyle name="Normal 10 4 2 2 3 5" xfId="30320" xr:uid="{00000000-0005-0000-0000-000007750000}"/>
    <cellStyle name="Normal 10 4 2 2 3 5 2" xfId="30321" xr:uid="{00000000-0005-0000-0000-000008750000}"/>
    <cellStyle name="Normal 10 4 2 2 3 5 3" xfId="30322" xr:uid="{00000000-0005-0000-0000-000009750000}"/>
    <cellStyle name="Normal 10 4 2 2 3 6" xfId="30323" xr:uid="{00000000-0005-0000-0000-00000A750000}"/>
    <cellStyle name="Normal 10 4 2 2 3 7" xfId="30324" xr:uid="{00000000-0005-0000-0000-00000B750000}"/>
    <cellStyle name="Normal 10 4 2 2 3 8" xfId="30325" xr:uid="{00000000-0005-0000-0000-00000C750000}"/>
    <cellStyle name="Normal 10 4 2 2 3 9" xfId="30326" xr:uid="{00000000-0005-0000-0000-00000D750000}"/>
    <cellStyle name="Normal 10 4 2 2 4" xfId="30327" xr:uid="{00000000-0005-0000-0000-00000E750000}"/>
    <cellStyle name="Normal 10 4 2 2 4 2" xfId="30328" xr:uid="{00000000-0005-0000-0000-00000F750000}"/>
    <cellStyle name="Normal 10 4 2 2 4 2 2" xfId="30329" xr:uid="{00000000-0005-0000-0000-000010750000}"/>
    <cellStyle name="Normal 10 4 2 2 4 2 2 2" xfId="30330" xr:uid="{00000000-0005-0000-0000-000011750000}"/>
    <cellStyle name="Normal 10 4 2 2 4 2 2 3" xfId="30331" xr:uid="{00000000-0005-0000-0000-000012750000}"/>
    <cellStyle name="Normal 10 4 2 2 4 2 3" xfId="30332" xr:uid="{00000000-0005-0000-0000-000013750000}"/>
    <cellStyle name="Normal 10 4 2 2 4 2 4" xfId="30333" xr:uid="{00000000-0005-0000-0000-000014750000}"/>
    <cellStyle name="Normal 10 4 2 2 4 2 5" xfId="30334" xr:uid="{00000000-0005-0000-0000-000015750000}"/>
    <cellStyle name="Normal 10 4 2 2 4 2 6" xfId="30335" xr:uid="{00000000-0005-0000-0000-000016750000}"/>
    <cellStyle name="Normal 10 4 2 2 4 3" xfId="30336" xr:uid="{00000000-0005-0000-0000-000017750000}"/>
    <cellStyle name="Normal 10 4 2 2 4 3 2" xfId="30337" xr:uid="{00000000-0005-0000-0000-000018750000}"/>
    <cellStyle name="Normal 10 4 2 2 4 3 3" xfId="30338" xr:uid="{00000000-0005-0000-0000-000019750000}"/>
    <cellStyle name="Normal 10 4 2 2 4 4" xfId="30339" xr:uid="{00000000-0005-0000-0000-00001A750000}"/>
    <cellStyle name="Normal 10 4 2 2 4 5" xfId="30340" xr:uid="{00000000-0005-0000-0000-00001B750000}"/>
    <cellStyle name="Normal 10 4 2 2 4 6" xfId="30341" xr:uid="{00000000-0005-0000-0000-00001C750000}"/>
    <cellStyle name="Normal 10 4 2 2 4 7" xfId="30342" xr:uid="{00000000-0005-0000-0000-00001D750000}"/>
    <cellStyle name="Normal 10 4 2 2 5" xfId="30343" xr:uid="{00000000-0005-0000-0000-00001E750000}"/>
    <cellStyle name="Normal 10 4 2 2 5 2" xfId="30344" xr:uid="{00000000-0005-0000-0000-00001F750000}"/>
    <cellStyle name="Normal 10 4 2 2 5 2 2" xfId="30345" xr:uid="{00000000-0005-0000-0000-000020750000}"/>
    <cellStyle name="Normal 10 4 2 2 5 2 3" xfId="30346" xr:uid="{00000000-0005-0000-0000-000021750000}"/>
    <cellStyle name="Normal 10 4 2 2 5 3" xfId="30347" xr:uid="{00000000-0005-0000-0000-000022750000}"/>
    <cellStyle name="Normal 10 4 2 2 5 4" xfId="30348" xr:uid="{00000000-0005-0000-0000-000023750000}"/>
    <cellStyle name="Normal 10 4 2 2 5 5" xfId="30349" xr:uid="{00000000-0005-0000-0000-000024750000}"/>
    <cellStyle name="Normal 10 4 2 2 5 6" xfId="30350" xr:uid="{00000000-0005-0000-0000-000025750000}"/>
    <cellStyle name="Normal 10 4 2 2 6" xfId="30351" xr:uid="{00000000-0005-0000-0000-000026750000}"/>
    <cellStyle name="Normal 10 4 2 2 6 2" xfId="30352" xr:uid="{00000000-0005-0000-0000-000027750000}"/>
    <cellStyle name="Normal 10 4 2 2 6 2 2" xfId="30353" xr:uid="{00000000-0005-0000-0000-000028750000}"/>
    <cellStyle name="Normal 10 4 2 2 6 2 3" xfId="30354" xr:uid="{00000000-0005-0000-0000-000029750000}"/>
    <cellStyle name="Normal 10 4 2 2 6 3" xfId="30355" xr:uid="{00000000-0005-0000-0000-00002A750000}"/>
    <cellStyle name="Normal 10 4 2 2 6 4" xfId="30356" xr:uid="{00000000-0005-0000-0000-00002B750000}"/>
    <cellStyle name="Normal 10 4 2 2 6 5" xfId="30357" xr:uid="{00000000-0005-0000-0000-00002C750000}"/>
    <cellStyle name="Normal 10 4 2 2 6 6" xfId="30358" xr:uid="{00000000-0005-0000-0000-00002D750000}"/>
    <cellStyle name="Normal 10 4 2 2 7" xfId="30359" xr:uid="{00000000-0005-0000-0000-00002E750000}"/>
    <cellStyle name="Normal 10 4 2 2 7 2" xfId="30360" xr:uid="{00000000-0005-0000-0000-00002F750000}"/>
    <cellStyle name="Normal 10 4 2 2 7 2 2" xfId="30361" xr:uid="{00000000-0005-0000-0000-000030750000}"/>
    <cellStyle name="Normal 10 4 2 2 7 2 3" xfId="30362" xr:uid="{00000000-0005-0000-0000-000031750000}"/>
    <cellStyle name="Normal 10 4 2 2 7 3" xfId="30363" xr:uid="{00000000-0005-0000-0000-000032750000}"/>
    <cellStyle name="Normal 10 4 2 2 7 4" xfId="30364" xr:uid="{00000000-0005-0000-0000-000033750000}"/>
    <cellStyle name="Normal 10 4 2 2 7 5" xfId="30365" xr:uid="{00000000-0005-0000-0000-000034750000}"/>
    <cellStyle name="Normal 10 4 2 2 7 6" xfId="30366" xr:uid="{00000000-0005-0000-0000-000035750000}"/>
    <cellStyle name="Normal 10 4 2 2 8" xfId="30367" xr:uid="{00000000-0005-0000-0000-000036750000}"/>
    <cellStyle name="Normal 10 4 2 2 8 2" xfId="30368" xr:uid="{00000000-0005-0000-0000-000037750000}"/>
    <cellStyle name="Normal 10 4 2 2 8 2 2" xfId="30369" xr:uid="{00000000-0005-0000-0000-000038750000}"/>
    <cellStyle name="Normal 10 4 2 2 8 2 3" xfId="30370" xr:uid="{00000000-0005-0000-0000-000039750000}"/>
    <cellStyle name="Normal 10 4 2 2 8 3" xfId="30371" xr:uid="{00000000-0005-0000-0000-00003A750000}"/>
    <cellStyle name="Normal 10 4 2 2 8 4" xfId="30372" xr:uid="{00000000-0005-0000-0000-00003B750000}"/>
    <cellStyle name="Normal 10 4 2 2 8 5" xfId="30373" xr:uid="{00000000-0005-0000-0000-00003C750000}"/>
    <cellStyle name="Normal 10 4 2 2 8 6" xfId="30374" xr:uid="{00000000-0005-0000-0000-00003D750000}"/>
    <cellStyle name="Normal 10 4 2 2 9" xfId="30375" xr:uid="{00000000-0005-0000-0000-00003E750000}"/>
    <cellStyle name="Normal 10 4 2 2 9 2" xfId="30376" xr:uid="{00000000-0005-0000-0000-00003F750000}"/>
    <cellStyle name="Normal 10 4 2 2 9 3" xfId="30377" xr:uid="{00000000-0005-0000-0000-000040750000}"/>
    <cellStyle name="Normal 10 4 2 3" xfId="30378" xr:uid="{00000000-0005-0000-0000-000041750000}"/>
    <cellStyle name="Normal 10 4 2 3 10" xfId="30379" xr:uid="{00000000-0005-0000-0000-000042750000}"/>
    <cellStyle name="Normal 10 4 2 3 2" xfId="30380" xr:uid="{00000000-0005-0000-0000-000043750000}"/>
    <cellStyle name="Normal 10 4 2 3 2 2" xfId="30381" xr:uid="{00000000-0005-0000-0000-000044750000}"/>
    <cellStyle name="Normal 10 4 2 3 2 2 2" xfId="30382" xr:uid="{00000000-0005-0000-0000-000045750000}"/>
    <cellStyle name="Normal 10 4 2 3 2 2 2 2" xfId="30383" xr:uid="{00000000-0005-0000-0000-000046750000}"/>
    <cellStyle name="Normal 10 4 2 3 2 2 2 3" xfId="30384" xr:uid="{00000000-0005-0000-0000-000047750000}"/>
    <cellStyle name="Normal 10 4 2 3 2 2 3" xfId="30385" xr:uid="{00000000-0005-0000-0000-000048750000}"/>
    <cellStyle name="Normal 10 4 2 3 2 2 4" xfId="30386" xr:uid="{00000000-0005-0000-0000-000049750000}"/>
    <cellStyle name="Normal 10 4 2 3 2 2 5" xfId="30387" xr:uid="{00000000-0005-0000-0000-00004A750000}"/>
    <cellStyle name="Normal 10 4 2 3 2 2 6" xfId="30388" xr:uid="{00000000-0005-0000-0000-00004B750000}"/>
    <cellStyle name="Normal 10 4 2 3 2 3" xfId="30389" xr:uid="{00000000-0005-0000-0000-00004C750000}"/>
    <cellStyle name="Normal 10 4 2 3 2 3 2" xfId="30390" xr:uid="{00000000-0005-0000-0000-00004D750000}"/>
    <cellStyle name="Normal 10 4 2 3 2 3 2 2" xfId="30391" xr:uid="{00000000-0005-0000-0000-00004E750000}"/>
    <cellStyle name="Normal 10 4 2 3 2 3 2 3" xfId="30392" xr:uid="{00000000-0005-0000-0000-00004F750000}"/>
    <cellStyle name="Normal 10 4 2 3 2 3 3" xfId="30393" xr:uid="{00000000-0005-0000-0000-000050750000}"/>
    <cellStyle name="Normal 10 4 2 3 2 3 4" xfId="30394" xr:uid="{00000000-0005-0000-0000-000051750000}"/>
    <cellStyle name="Normal 10 4 2 3 2 3 5" xfId="30395" xr:uid="{00000000-0005-0000-0000-000052750000}"/>
    <cellStyle name="Normal 10 4 2 3 2 3 6" xfId="30396" xr:uid="{00000000-0005-0000-0000-000053750000}"/>
    <cellStyle name="Normal 10 4 2 3 2 4" xfId="30397" xr:uid="{00000000-0005-0000-0000-000054750000}"/>
    <cellStyle name="Normal 10 4 2 3 2 4 2" xfId="30398" xr:uid="{00000000-0005-0000-0000-000055750000}"/>
    <cellStyle name="Normal 10 4 2 3 2 4 3" xfId="30399" xr:uid="{00000000-0005-0000-0000-000056750000}"/>
    <cellStyle name="Normal 10 4 2 3 2 5" xfId="30400" xr:uid="{00000000-0005-0000-0000-000057750000}"/>
    <cellStyle name="Normal 10 4 2 3 2 6" xfId="30401" xr:uid="{00000000-0005-0000-0000-000058750000}"/>
    <cellStyle name="Normal 10 4 2 3 2 7" xfId="30402" xr:uid="{00000000-0005-0000-0000-000059750000}"/>
    <cellStyle name="Normal 10 4 2 3 2 8" xfId="30403" xr:uid="{00000000-0005-0000-0000-00005A750000}"/>
    <cellStyle name="Normal 10 4 2 3 3" xfId="30404" xr:uid="{00000000-0005-0000-0000-00005B750000}"/>
    <cellStyle name="Normal 10 4 2 3 3 2" xfId="30405" xr:uid="{00000000-0005-0000-0000-00005C750000}"/>
    <cellStyle name="Normal 10 4 2 3 3 2 2" xfId="30406" xr:uid="{00000000-0005-0000-0000-00005D750000}"/>
    <cellStyle name="Normal 10 4 2 3 3 2 2 2" xfId="30407" xr:uid="{00000000-0005-0000-0000-00005E750000}"/>
    <cellStyle name="Normal 10 4 2 3 3 2 2 3" xfId="30408" xr:uid="{00000000-0005-0000-0000-00005F750000}"/>
    <cellStyle name="Normal 10 4 2 3 3 2 3" xfId="30409" xr:uid="{00000000-0005-0000-0000-000060750000}"/>
    <cellStyle name="Normal 10 4 2 3 3 2 4" xfId="30410" xr:uid="{00000000-0005-0000-0000-000061750000}"/>
    <cellStyle name="Normal 10 4 2 3 3 2 5" xfId="30411" xr:uid="{00000000-0005-0000-0000-000062750000}"/>
    <cellStyle name="Normal 10 4 2 3 3 2 6" xfId="30412" xr:uid="{00000000-0005-0000-0000-000063750000}"/>
    <cellStyle name="Normal 10 4 2 3 3 3" xfId="30413" xr:uid="{00000000-0005-0000-0000-000064750000}"/>
    <cellStyle name="Normal 10 4 2 3 3 3 2" xfId="30414" xr:uid="{00000000-0005-0000-0000-000065750000}"/>
    <cellStyle name="Normal 10 4 2 3 3 3 3" xfId="30415" xr:uid="{00000000-0005-0000-0000-000066750000}"/>
    <cellStyle name="Normal 10 4 2 3 3 4" xfId="30416" xr:uid="{00000000-0005-0000-0000-000067750000}"/>
    <cellStyle name="Normal 10 4 2 3 3 5" xfId="30417" xr:uid="{00000000-0005-0000-0000-000068750000}"/>
    <cellStyle name="Normal 10 4 2 3 3 6" xfId="30418" xr:uid="{00000000-0005-0000-0000-000069750000}"/>
    <cellStyle name="Normal 10 4 2 3 3 7" xfId="30419" xr:uid="{00000000-0005-0000-0000-00006A750000}"/>
    <cellStyle name="Normal 10 4 2 3 4" xfId="30420" xr:uid="{00000000-0005-0000-0000-00006B750000}"/>
    <cellStyle name="Normal 10 4 2 3 4 2" xfId="30421" xr:uid="{00000000-0005-0000-0000-00006C750000}"/>
    <cellStyle name="Normal 10 4 2 3 4 2 2" xfId="30422" xr:uid="{00000000-0005-0000-0000-00006D750000}"/>
    <cellStyle name="Normal 10 4 2 3 4 2 3" xfId="30423" xr:uid="{00000000-0005-0000-0000-00006E750000}"/>
    <cellStyle name="Normal 10 4 2 3 4 3" xfId="30424" xr:uid="{00000000-0005-0000-0000-00006F750000}"/>
    <cellStyle name="Normal 10 4 2 3 4 4" xfId="30425" xr:uid="{00000000-0005-0000-0000-000070750000}"/>
    <cellStyle name="Normal 10 4 2 3 4 5" xfId="30426" xr:uid="{00000000-0005-0000-0000-000071750000}"/>
    <cellStyle name="Normal 10 4 2 3 4 6" xfId="30427" xr:uid="{00000000-0005-0000-0000-000072750000}"/>
    <cellStyle name="Normal 10 4 2 3 5" xfId="30428" xr:uid="{00000000-0005-0000-0000-000073750000}"/>
    <cellStyle name="Normal 10 4 2 3 5 2" xfId="30429" xr:uid="{00000000-0005-0000-0000-000074750000}"/>
    <cellStyle name="Normal 10 4 2 3 5 2 2" xfId="30430" xr:uid="{00000000-0005-0000-0000-000075750000}"/>
    <cellStyle name="Normal 10 4 2 3 5 2 3" xfId="30431" xr:uid="{00000000-0005-0000-0000-000076750000}"/>
    <cellStyle name="Normal 10 4 2 3 5 3" xfId="30432" xr:uid="{00000000-0005-0000-0000-000077750000}"/>
    <cellStyle name="Normal 10 4 2 3 5 4" xfId="30433" xr:uid="{00000000-0005-0000-0000-000078750000}"/>
    <cellStyle name="Normal 10 4 2 3 5 5" xfId="30434" xr:uid="{00000000-0005-0000-0000-000079750000}"/>
    <cellStyle name="Normal 10 4 2 3 5 6" xfId="30435" xr:uid="{00000000-0005-0000-0000-00007A750000}"/>
    <cellStyle name="Normal 10 4 2 3 6" xfId="30436" xr:uid="{00000000-0005-0000-0000-00007B750000}"/>
    <cellStyle name="Normal 10 4 2 3 6 2" xfId="30437" xr:uid="{00000000-0005-0000-0000-00007C750000}"/>
    <cellStyle name="Normal 10 4 2 3 6 3" xfId="30438" xr:uid="{00000000-0005-0000-0000-00007D750000}"/>
    <cellStyle name="Normal 10 4 2 3 7" xfId="30439" xr:uid="{00000000-0005-0000-0000-00007E750000}"/>
    <cellStyle name="Normal 10 4 2 3 8" xfId="30440" xr:uid="{00000000-0005-0000-0000-00007F750000}"/>
    <cellStyle name="Normal 10 4 2 3 9" xfId="30441" xr:uid="{00000000-0005-0000-0000-000080750000}"/>
    <cellStyle name="Normal 10 4 2 4" xfId="30442" xr:uid="{00000000-0005-0000-0000-000081750000}"/>
    <cellStyle name="Normal 10 4 2 4 2" xfId="30443" xr:uid="{00000000-0005-0000-0000-000082750000}"/>
    <cellStyle name="Normal 10 4 2 4 2 2" xfId="30444" xr:uid="{00000000-0005-0000-0000-000083750000}"/>
    <cellStyle name="Normal 10 4 2 4 2 2 2" xfId="30445" xr:uid="{00000000-0005-0000-0000-000084750000}"/>
    <cellStyle name="Normal 10 4 2 4 2 2 2 2" xfId="30446" xr:uid="{00000000-0005-0000-0000-000085750000}"/>
    <cellStyle name="Normal 10 4 2 4 2 2 2 3" xfId="30447" xr:uid="{00000000-0005-0000-0000-000086750000}"/>
    <cellStyle name="Normal 10 4 2 4 2 2 3" xfId="30448" xr:uid="{00000000-0005-0000-0000-000087750000}"/>
    <cellStyle name="Normal 10 4 2 4 2 2 4" xfId="30449" xr:uid="{00000000-0005-0000-0000-000088750000}"/>
    <cellStyle name="Normal 10 4 2 4 2 2 5" xfId="30450" xr:uid="{00000000-0005-0000-0000-000089750000}"/>
    <cellStyle name="Normal 10 4 2 4 2 2 6" xfId="30451" xr:uid="{00000000-0005-0000-0000-00008A750000}"/>
    <cellStyle name="Normal 10 4 2 4 2 3" xfId="30452" xr:uid="{00000000-0005-0000-0000-00008B750000}"/>
    <cellStyle name="Normal 10 4 2 4 2 3 2" xfId="30453" xr:uid="{00000000-0005-0000-0000-00008C750000}"/>
    <cellStyle name="Normal 10 4 2 4 2 3 3" xfId="30454" xr:uid="{00000000-0005-0000-0000-00008D750000}"/>
    <cellStyle name="Normal 10 4 2 4 2 4" xfId="30455" xr:uid="{00000000-0005-0000-0000-00008E750000}"/>
    <cellStyle name="Normal 10 4 2 4 2 5" xfId="30456" xr:uid="{00000000-0005-0000-0000-00008F750000}"/>
    <cellStyle name="Normal 10 4 2 4 2 6" xfId="30457" xr:uid="{00000000-0005-0000-0000-000090750000}"/>
    <cellStyle name="Normal 10 4 2 4 2 7" xfId="30458" xr:uid="{00000000-0005-0000-0000-000091750000}"/>
    <cellStyle name="Normal 10 4 2 4 3" xfId="30459" xr:uid="{00000000-0005-0000-0000-000092750000}"/>
    <cellStyle name="Normal 10 4 2 4 3 2" xfId="30460" xr:uid="{00000000-0005-0000-0000-000093750000}"/>
    <cellStyle name="Normal 10 4 2 4 3 2 2" xfId="30461" xr:uid="{00000000-0005-0000-0000-000094750000}"/>
    <cellStyle name="Normal 10 4 2 4 3 2 3" xfId="30462" xr:uid="{00000000-0005-0000-0000-000095750000}"/>
    <cellStyle name="Normal 10 4 2 4 3 3" xfId="30463" xr:uid="{00000000-0005-0000-0000-000096750000}"/>
    <cellStyle name="Normal 10 4 2 4 3 4" xfId="30464" xr:uid="{00000000-0005-0000-0000-000097750000}"/>
    <cellStyle name="Normal 10 4 2 4 3 5" xfId="30465" xr:uid="{00000000-0005-0000-0000-000098750000}"/>
    <cellStyle name="Normal 10 4 2 4 3 6" xfId="30466" xr:uid="{00000000-0005-0000-0000-000099750000}"/>
    <cellStyle name="Normal 10 4 2 4 4" xfId="30467" xr:uid="{00000000-0005-0000-0000-00009A750000}"/>
    <cellStyle name="Normal 10 4 2 4 4 2" xfId="30468" xr:uid="{00000000-0005-0000-0000-00009B750000}"/>
    <cellStyle name="Normal 10 4 2 4 4 2 2" xfId="30469" xr:uid="{00000000-0005-0000-0000-00009C750000}"/>
    <cellStyle name="Normal 10 4 2 4 4 2 3" xfId="30470" xr:uid="{00000000-0005-0000-0000-00009D750000}"/>
    <cellStyle name="Normal 10 4 2 4 4 3" xfId="30471" xr:uid="{00000000-0005-0000-0000-00009E750000}"/>
    <cellStyle name="Normal 10 4 2 4 4 4" xfId="30472" xr:uid="{00000000-0005-0000-0000-00009F750000}"/>
    <cellStyle name="Normal 10 4 2 4 4 5" xfId="30473" xr:uid="{00000000-0005-0000-0000-0000A0750000}"/>
    <cellStyle name="Normal 10 4 2 4 4 6" xfId="30474" xr:uid="{00000000-0005-0000-0000-0000A1750000}"/>
    <cellStyle name="Normal 10 4 2 4 5" xfId="30475" xr:uid="{00000000-0005-0000-0000-0000A2750000}"/>
    <cellStyle name="Normal 10 4 2 4 5 2" xfId="30476" xr:uid="{00000000-0005-0000-0000-0000A3750000}"/>
    <cellStyle name="Normal 10 4 2 4 5 3" xfId="30477" xr:uid="{00000000-0005-0000-0000-0000A4750000}"/>
    <cellStyle name="Normal 10 4 2 4 6" xfId="30478" xr:uid="{00000000-0005-0000-0000-0000A5750000}"/>
    <cellStyle name="Normal 10 4 2 4 7" xfId="30479" xr:uid="{00000000-0005-0000-0000-0000A6750000}"/>
    <cellStyle name="Normal 10 4 2 4 8" xfId="30480" xr:uid="{00000000-0005-0000-0000-0000A7750000}"/>
    <cellStyle name="Normal 10 4 2 4 9" xfId="30481" xr:uid="{00000000-0005-0000-0000-0000A8750000}"/>
    <cellStyle name="Normal 10 4 2 5" xfId="30482" xr:uid="{00000000-0005-0000-0000-0000A9750000}"/>
    <cellStyle name="Normal 10 4 2 5 2" xfId="30483" xr:uid="{00000000-0005-0000-0000-0000AA750000}"/>
    <cellStyle name="Normal 10 4 2 5 2 2" xfId="30484" xr:uid="{00000000-0005-0000-0000-0000AB750000}"/>
    <cellStyle name="Normal 10 4 2 5 2 2 2" xfId="30485" xr:uid="{00000000-0005-0000-0000-0000AC750000}"/>
    <cellStyle name="Normal 10 4 2 5 2 2 3" xfId="30486" xr:uid="{00000000-0005-0000-0000-0000AD750000}"/>
    <cellStyle name="Normal 10 4 2 5 2 3" xfId="30487" xr:uid="{00000000-0005-0000-0000-0000AE750000}"/>
    <cellStyle name="Normal 10 4 2 5 2 4" xfId="30488" xr:uid="{00000000-0005-0000-0000-0000AF750000}"/>
    <cellStyle name="Normal 10 4 2 5 2 5" xfId="30489" xr:uid="{00000000-0005-0000-0000-0000B0750000}"/>
    <cellStyle name="Normal 10 4 2 5 2 6" xfId="30490" xr:uid="{00000000-0005-0000-0000-0000B1750000}"/>
    <cellStyle name="Normal 10 4 2 5 3" xfId="30491" xr:uid="{00000000-0005-0000-0000-0000B2750000}"/>
    <cellStyle name="Normal 10 4 2 5 3 2" xfId="30492" xr:uid="{00000000-0005-0000-0000-0000B3750000}"/>
    <cellStyle name="Normal 10 4 2 5 3 3" xfId="30493" xr:uid="{00000000-0005-0000-0000-0000B4750000}"/>
    <cellStyle name="Normal 10 4 2 5 4" xfId="30494" xr:uid="{00000000-0005-0000-0000-0000B5750000}"/>
    <cellStyle name="Normal 10 4 2 5 5" xfId="30495" xr:uid="{00000000-0005-0000-0000-0000B6750000}"/>
    <cellStyle name="Normal 10 4 2 5 6" xfId="30496" xr:uid="{00000000-0005-0000-0000-0000B7750000}"/>
    <cellStyle name="Normal 10 4 2 5 7" xfId="30497" xr:uid="{00000000-0005-0000-0000-0000B8750000}"/>
    <cellStyle name="Normal 10 4 2 6" xfId="30498" xr:uid="{00000000-0005-0000-0000-0000B9750000}"/>
    <cellStyle name="Normal 10 4 2 6 2" xfId="30499" xr:uid="{00000000-0005-0000-0000-0000BA750000}"/>
    <cellStyle name="Normal 10 4 2 6 2 2" xfId="30500" xr:uid="{00000000-0005-0000-0000-0000BB750000}"/>
    <cellStyle name="Normal 10 4 2 6 2 3" xfId="30501" xr:uid="{00000000-0005-0000-0000-0000BC750000}"/>
    <cellStyle name="Normal 10 4 2 6 3" xfId="30502" xr:uid="{00000000-0005-0000-0000-0000BD750000}"/>
    <cellStyle name="Normal 10 4 2 6 4" xfId="30503" xr:uid="{00000000-0005-0000-0000-0000BE750000}"/>
    <cellStyle name="Normal 10 4 2 6 5" xfId="30504" xr:uid="{00000000-0005-0000-0000-0000BF750000}"/>
    <cellStyle name="Normal 10 4 2 6 6" xfId="30505" xr:uid="{00000000-0005-0000-0000-0000C0750000}"/>
    <cellStyle name="Normal 10 4 2 7" xfId="30506" xr:uid="{00000000-0005-0000-0000-0000C1750000}"/>
    <cellStyle name="Normal 10 4 2 7 2" xfId="30507" xr:uid="{00000000-0005-0000-0000-0000C2750000}"/>
    <cellStyle name="Normal 10 4 2 7 2 2" xfId="30508" xr:uid="{00000000-0005-0000-0000-0000C3750000}"/>
    <cellStyle name="Normal 10 4 2 7 2 3" xfId="30509" xr:uid="{00000000-0005-0000-0000-0000C4750000}"/>
    <cellStyle name="Normal 10 4 2 7 3" xfId="30510" xr:uid="{00000000-0005-0000-0000-0000C5750000}"/>
    <cellStyle name="Normal 10 4 2 7 4" xfId="30511" xr:uid="{00000000-0005-0000-0000-0000C6750000}"/>
    <cellStyle name="Normal 10 4 2 7 5" xfId="30512" xr:uid="{00000000-0005-0000-0000-0000C7750000}"/>
    <cellStyle name="Normal 10 4 2 7 6" xfId="30513" xr:uid="{00000000-0005-0000-0000-0000C8750000}"/>
    <cellStyle name="Normal 10 4 2 8" xfId="30514" xr:uid="{00000000-0005-0000-0000-0000C9750000}"/>
    <cellStyle name="Normal 10 4 2 8 2" xfId="30515" xr:uid="{00000000-0005-0000-0000-0000CA750000}"/>
    <cellStyle name="Normal 10 4 2 8 2 2" xfId="30516" xr:uid="{00000000-0005-0000-0000-0000CB750000}"/>
    <cellStyle name="Normal 10 4 2 8 2 3" xfId="30517" xr:uid="{00000000-0005-0000-0000-0000CC750000}"/>
    <cellStyle name="Normal 10 4 2 8 3" xfId="30518" xr:uid="{00000000-0005-0000-0000-0000CD750000}"/>
    <cellStyle name="Normal 10 4 2 8 4" xfId="30519" xr:uid="{00000000-0005-0000-0000-0000CE750000}"/>
    <cellStyle name="Normal 10 4 2 8 5" xfId="30520" xr:uid="{00000000-0005-0000-0000-0000CF750000}"/>
    <cellStyle name="Normal 10 4 2 8 6" xfId="30521" xr:uid="{00000000-0005-0000-0000-0000D0750000}"/>
    <cellStyle name="Normal 10 4 2 9" xfId="30522" xr:uid="{00000000-0005-0000-0000-0000D1750000}"/>
    <cellStyle name="Normal 10 4 2 9 2" xfId="30523" xr:uid="{00000000-0005-0000-0000-0000D2750000}"/>
    <cellStyle name="Normal 10 4 2 9 2 2" xfId="30524" xr:uid="{00000000-0005-0000-0000-0000D3750000}"/>
    <cellStyle name="Normal 10 4 2 9 2 3" xfId="30525" xr:uid="{00000000-0005-0000-0000-0000D4750000}"/>
    <cellStyle name="Normal 10 4 2 9 3" xfId="30526" xr:uid="{00000000-0005-0000-0000-0000D5750000}"/>
    <cellStyle name="Normal 10 4 2 9 4" xfId="30527" xr:uid="{00000000-0005-0000-0000-0000D6750000}"/>
    <cellStyle name="Normal 10 4 2 9 5" xfId="30528" xr:uid="{00000000-0005-0000-0000-0000D7750000}"/>
    <cellStyle name="Normal 10 4 2 9 6" xfId="30529" xr:uid="{00000000-0005-0000-0000-0000D8750000}"/>
    <cellStyle name="Normal 10 4 3" xfId="30530" xr:uid="{00000000-0005-0000-0000-0000D9750000}"/>
    <cellStyle name="Normal 10 4 3 10" xfId="30531" xr:uid="{00000000-0005-0000-0000-0000DA750000}"/>
    <cellStyle name="Normal 10 4 3 11" xfId="30532" xr:uid="{00000000-0005-0000-0000-0000DB750000}"/>
    <cellStyle name="Normal 10 4 3 12" xfId="30533" xr:uid="{00000000-0005-0000-0000-0000DC750000}"/>
    <cellStyle name="Normal 10 4 3 13" xfId="30534" xr:uid="{00000000-0005-0000-0000-0000DD750000}"/>
    <cellStyle name="Normal 10 4 3 2" xfId="30535" xr:uid="{00000000-0005-0000-0000-0000DE750000}"/>
    <cellStyle name="Normal 10 4 3 2 10" xfId="30536" xr:uid="{00000000-0005-0000-0000-0000DF750000}"/>
    <cellStyle name="Normal 10 4 3 2 2" xfId="30537" xr:uid="{00000000-0005-0000-0000-0000E0750000}"/>
    <cellStyle name="Normal 10 4 3 2 2 2" xfId="30538" xr:uid="{00000000-0005-0000-0000-0000E1750000}"/>
    <cellStyle name="Normal 10 4 3 2 2 2 2" xfId="30539" xr:uid="{00000000-0005-0000-0000-0000E2750000}"/>
    <cellStyle name="Normal 10 4 3 2 2 2 2 2" xfId="30540" xr:uid="{00000000-0005-0000-0000-0000E3750000}"/>
    <cellStyle name="Normal 10 4 3 2 2 2 2 3" xfId="30541" xr:uid="{00000000-0005-0000-0000-0000E4750000}"/>
    <cellStyle name="Normal 10 4 3 2 2 2 3" xfId="30542" xr:uid="{00000000-0005-0000-0000-0000E5750000}"/>
    <cellStyle name="Normal 10 4 3 2 2 2 4" xfId="30543" xr:uid="{00000000-0005-0000-0000-0000E6750000}"/>
    <cellStyle name="Normal 10 4 3 2 2 2 5" xfId="30544" xr:uid="{00000000-0005-0000-0000-0000E7750000}"/>
    <cellStyle name="Normal 10 4 3 2 2 2 6" xfId="30545" xr:uid="{00000000-0005-0000-0000-0000E8750000}"/>
    <cellStyle name="Normal 10 4 3 2 2 3" xfId="30546" xr:uid="{00000000-0005-0000-0000-0000E9750000}"/>
    <cellStyle name="Normal 10 4 3 2 2 3 2" xfId="30547" xr:uid="{00000000-0005-0000-0000-0000EA750000}"/>
    <cellStyle name="Normal 10 4 3 2 2 3 2 2" xfId="30548" xr:uid="{00000000-0005-0000-0000-0000EB750000}"/>
    <cellStyle name="Normal 10 4 3 2 2 3 2 3" xfId="30549" xr:uid="{00000000-0005-0000-0000-0000EC750000}"/>
    <cellStyle name="Normal 10 4 3 2 2 3 3" xfId="30550" xr:uid="{00000000-0005-0000-0000-0000ED750000}"/>
    <cellStyle name="Normal 10 4 3 2 2 3 4" xfId="30551" xr:uid="{00000000-0005-0000-0000-0000EE750000}"/>
    <cellStyle name="Normal 10 4 3 2 2 3 5" xfId="30552" xr:uid="{00000000-0005-0000-0000-0000EF750000}"/>
    <cellStyle name="Normal 10 4 3 2 2 3 6" xfId="30553" xr:uid="{00000000-0005-0000-0000-0000F0750000}"/>
    <cellStyle name="Normal 10 4 3 2 2 4" xfId="30554" xr:uid="{00000000-0005-0000-0000-0000F1750000}"/>
    <cellStyle name="Normal 10 4 3 2 2 4 2" xfId="30555" xr:uid="{00000000-0005-0000-0000-0000F2750000}"/>
    <cellStyle name="Normal 10 4 3 2 2 4 3" xfId="30556" xr:uid="{00000000-0005-0000-0000-0000F3750000}"/>
    <cellStyle name="Normal 10 4 3 2 2 5" xfId="30557" xr:uid="{00000000-0005-0000-0000-0000F4750000}"/>
    <cellStyle name="Normal 10 4 3 2 2 6" xfId="30558" xr:uid="{00000000-0005-0000-0000-0000F5750000}"/>
    <cellStyle name="Normal 10 4 3 2 2 7" xfId="30559" xr:uid="{00000000-0005-0000-0000-0000F6750000}"/>
    <cellStyle name="Normal 10 4 3 2 2 8" xfId="30560" xr:uid="{00000000-0005-0000-0000-0000F7750000}"/>
    <cellStyle name="Normal 10 4 3 2 3" xfId="30561" xr:uid="{00000000-0005-0000-0000-0000F8750000}"/>
    <cellStyle name="Normal 10 4 3 2 3 2" xfId="30562" xr:uid="{00000000-0005-0000-0000-0000F9750000}"/>
    <cellStyle name="Normal 10 4 3 2 3 2 2" xfId="30563" xr:uid="{00000000-0005-0000-0000-0000FA750000}"/>
    <cellStyle name="Normal 10 4 3 2 3 2 2 2" xfId="30564" xr:uid="{00000000-0005-0000-0000-0000FB750000}"/>
    <cellStyle name="Normal 10 4 3 2 3 2 2 3" xfId="30565" xr:uid="{00000000-0005-0000-0000-0000FC750000}"/>
    <cellStyle name="Normal 10 4 3 2 3 2 3" xfId="30566" xr:uid="{00000000-0005-0000-0000-0000FD750000}"/>
    <cellStyle name="Normal 10 4 3 2 3 2 4" xfId="30567" xr:uid="{00000000-0005-0000-0000-0000FE750000}"/>
    <cellStyle name="Normal 10 4 3 2 3 2 5" xfId="30568" xr:uid="{00000000-0005-0000-0000-0000FF750000}"/>
    <cellStyle name="Normal 10 4 3 2 3 2 6" xfId="30569" xr:uid="{00000000-0005-0000-0000-000000760000}"/>
    <cellStyle name="Normal 10 4 3 2 3 3" xfId="30570" xr:uid="{00000000-0005-0000-0000-000001760000}"/>
    <cellStyle name="Normal 10 4 3 2 3 3 2" xfId="30571" xr:uid="{00000000-0005-0000-0000-000002760000}"/>
    <cellStyle name="Normal 10 4 3 2 3 3 3" xfId="30572" xr:uid="{00000000-0005-0000-0000-000003760000}"/>
    <cellStyle name="Normal 10 4 3 2 3 4" xfId="30573" xr:uid="{00000000-0005-0000-0000-000004760000}"/>
    <cellStyle name="Normal 10 4 3 2 3 5" xfId="30574" xr:uid="{00000000-0005-0000-0000-000005760000}"/>
    <cellStyle name="Normal 10 4 3 2 3 6" xfId="30575" xr:uid="{00000000-0005-0000-0000-000006760000}"/>
    <cellStyle name="Normal 10 4 3 2 3 7" xfId="30576" xr:uid="{00000000-0005-0000-0000-000007760000}"/>
    <cellStyle name="Normal 10 4 3 2 4" xfId="30577" xr:uid="{00000000-0005-0000-0000-000008760000}"/>
    <cellStyle name="Normal 10 4 3 2 4 2" xfId="30578" xr:uid="{00000000-0005-0000-0000-000009760000}"/>
    <cellStyle name="Normal 10 4 3 2 4 2 2" xfId="30579" xr:uid="{00000000-0005-0000-0000-00000A760000}"/>
    <cellStyle name="Normal 10 4 3 2 4 2 3" xfId="30580" xr:uid="{00000000-0005-0000-0000-00000B760000}"/>
    <cellStyle name="Normal 10 4 3 2 4 3" xfId="30581" xr:uid="{00000000-0005-0000-0000-00000C760000}"/>
    <cellStyle name="Normal 10 4 3 2 4 4" xfId="30582" xr:uid="{00000000-0005-0000-0000-00000D760000}"/>
    <cellStyle name="Normal 10 4 3 2 4 5" xfId="30583" xr:uid="{00000000-0005-0000-0000-00000E760000}"/>
    <cellStyle name="Normal 10 4 3 2 4 6" xfId="30584" xr:uid="{00000000-0005-0000-0000-00000F760000}"/>
    <cellStyle name="Normal 10 4 3 2 5" xfId="30585" xr:uid="{00000000-0005-0000-0000-000010760000}"/>
    <cellStyle name="Normal 10 4 3 2 5 2" xfId="30586" xr:uid="{00000000-0005-0000-0000-000011760000}"/>
    <cellStyle name="Normal 10 4 3 2 5 2 2" xfId="30587" xr:uid="{00000000-0005-0000-0000-000012760000}"/>
    <cellStyle name="Normal 10 4 3 2 5 2 3" xfId="30588" xr:uid="{00000000-0005-0000-0000-000013760000}"/>
    <cellStyle name="Normal 10 4 3 2 5 3" xfId="30589" xr:uid="{00000000-0005-0000-0000-000014760000}"/>
    <cellStyle name="Normal 10 4 3 2 5 4" xfId="30590" xr:uid="{00000000-0005-0000-0000-000015760000}"/>
    <cellStyle name="Normal 10 4 3 2 5 5" xfId="30591" xr:uid="{00000000-0005-0000-0000-000016760000}"/>
    <cellStyle name="Normal 10 4 3 2 5 6" xfId="30592" xr:uid="{00000000-0005-0000-0000-000017760000}"/>
    <cellStyle name="Normal 10 4 3 2 6" xfId="30593" xr:uid="{00000000-0005-0000-0000-000018760000}"/>
    <cellStyle name="Normal 10 4 3 2 6 2" xfId="30594" xr:uid="{00000000-0005-0000-0000-000019760000}"/>
    <cellStyle name="Normal 10 4 3 2 6 3" xfId="30595" xr:uid="{00000000-0005-0000-0000-00001A760000}"/>
    <cellStyle name="Normal 10 4 3 2 7" xfId="30596" xr:uid="{00000000-0005-0000-0000-00001B760000}"/>
    <cellStyle name="Normal 10 4 3 2 8" xfId="30597" xr:uid="{00000000-0005-0000-0000-00001C760000}"/>
    <cellStyle name="Normal 10 4 3 2 9" xfId="30598" xr:uid="{00000000-0005-0000-0000-00001D760000}"/>
    <cellStyle name="Normal 10 4 3 3" xfId="30599" xr:uid="{00000000-0005-0000-0000-00001E760000}"/>
    <cellStyle name="Normal 10 4 3 3 2" xfId="30600" xr:uid="{00000000-0005-0000-0000-00001F760000}"/>
    <cellStyle name="Normal 10 4 3 3 2 2" xfId="30601" xr:uid="{00000000-0005-0000-0000-000020760000}"/>
    <cellStyle name="Normal 10 4 3 3 2 2 2" xfId="30602" xr:uid="{00000000-0005-0000-0000-000021760000}"/>
    <cellStyle name="Normal 10 4 3 3 2 2 2 2" xfId="30603" xr:uid="{00000000-0005-0000-0000-000022760000}"/>
    <cellStyle name="Normal 10 4 3 3 2 2 2 3" xfId="30604" xr:uid="{00000000-0005-0000-0000-000023760000}"/>
    <cellStyle name="Normal 10 4 3 3 2 2 3" xfId="30605" xr:uid="{00000000-0005-0000-0000-000024760000}"/>
    <cellStyle name="Normal 10 4 3 3 2 2 4" xfId="30606" xr:uid="{00000000-0005-0000-0000-000025760000}"/>
    <cellStyle name="Normal 10 4 3 3 2 2 5" xfId="30607" xr:uid="{00000000-0005-0000-0000-000026760000}"/>
    <cellStyle name="Normal 10 4 3 3 2 2 6" xfId="30608" xr:uid="{00000000-0005-0000-0000-000027760000}"/>
    <cellStyle name="Normal 10 4 3 3 2 3" xfId="30609" xr:uid="{00000000-0005-0000-0000-000028760000}"/>
    <cellStyle name="Normal 10 4 3 3 2 3 2" xfId="30610" xr:uid="{00000000-0005-0000-0000-000029760000}"/>
    <cellStyle name="Normal 10 4 3 3 2 3 3" xfId="30611" xr:uid="{00000000-0005-0000-0000-00002A760000}"/>
    <cellStyle name="Normal 10 4 3 3 2 4" xfId="30612" xr:uid="{00000000-0005-0000-0000-00002B760000}"/>
    <cellStyle name="Normal 10 4 3 3 2 5" xfId="30613" xr:uid="{00000000-0005-0000-0000-00002C760000}"/>
    <cellStyle name="Normal 10 4 3 3 2 6" xfId="30614" xr:uid="{00000000-0005-0000-0000-00002D760000}"/>
    <cellStyle name="Normal 10 4 3 3 2 7" xfId="30615" xr:uid="{00000000-0005-0000-0000-00002E760000}"/>
    <cellStyle name="Normal 10 4 3 3 3" xfId="30616" xr:uid="{00000000-0005-0000-0000-00002F760000}"/>
    <cellStyle name="Normal 10 4 3 3 3 2" xfId="30617" xr:uid="{00000000-0005-0000-0000-000030760000}"/>
    <cellStyle name="Normal 10 4 3 3 3 2 2" xfId="30618" xr:uid="{00000000-0005-0000-0000-000031760000}"/>
    <cellStyle name="Normal 10 4 3 3 3 2 3" xfId="30619" xr:uid="{00000000-0005-0000-0000-000032760000}"/>
    <cellStyle name="Normal 10 4 3 3 3 3" xfId="30620" xr:uid="{00000000-0005-0000-0000-000033760000}"/>
    <cellStyle name="Normal 10 4 3 3 3 4" xfId="30621" xr:uid="{00000000-0005-0000-0000-000034760000}"/>
    <cellStyle name="Normal 10 4 3 3 3 5" xfId="30622" xr:uid="{00000000-0005-0000-0000-000035760000}"/>
    <cellStyle name="Normal 10 4 3 3 3 6" xfId="30623" xr:uid="{00000000-0005-0000-0000-000036760000}"/>
    <cellStyle name="Normal 10 4 3 3 4" xfId="30624" xr:uid="{00000000-0005-0000-0000-000037760000}"/>
    <cellStyle name="Normal 10 4 3 3 4 2" xfId="30625" xr:uid="{00000000-0005-0000-0000-000038760000}"/>
    <cellStyle name="Normal 10 4 3 3 4 2 2" xfId="30626" xr:uid="{00000000-0005-0000-0000-000039760000}"/>
    <cellStyle name="Normal 10 4 3 3 4 2 3" xfId="30627" xr:uid="{00000000-0005-0000-0000-00003A760000}"/>
    <cellStyle name="Normal 10 4 3 3 4 3" xfId="30628" xr:uid="{00000000-0005-0000-0000-00003B760000}"/>
    <cellStyle name="Normal 10 4 3 3 4 4" xfId="30629" xr:uid="{00000000-0005-0000-0000-00003C760000}"/>
    <cellStyle name="Normal 10 4 3 3 4 5" xfId="30630" xr:uid="{00000000-0005-0000-0000-00003D760000}"/>
    <cellStyle name="Normal 10 4 3 3 4 6" xfId="30631" xr:uid="{00000000-0005-0000-0000-00003E760000}"/>
    <cellStyle name="Normal 10 4 3 3 5" xfId="30632" xr:uid="{00000000-0005-0000-0000-00003F760000}"/>
    <cellStyle name="Normal 10 4 3 3 5 2" xfId="30633" xr:uid="{00000000-0005-0000-0000-000040760000}"/>
    <cellStyle name="Normal 10 4 3 3 5 3" xfId="30634" xr:uid="{00000000-0005-0000-0000-000041760000}"/>
    <cellStyle name="Normal 10 4 3 3 6" xfId="30635" xr:uid="{00000000-0005-0000-0000-000042760000}"/>
    <cellStyle name="Normal 10 4 3 3 7" xfId="30636" xr:uid="{00000000-0005-0000-0000-000043760000}"/>
    <cellStyle name="Normal 10 4 3 3 8" xfId="30637" xr:uid="{00000000-0005-0000-0000-000044760000}"/>
    <cellStyle name="Normal 10 4 3 3 9" xfId="30638" xr:uid="{00000000-0005-0000-0000-000045760000}"/>
    <cellStyle name="Normal 10 4 3 4" xfId="30639" xr:uid="{00000000-0005-0000-0000-000046760000}"/>
    <cellStyle name="Normal 10 4 3 4 2" xfId="30640" xr:uid="{00000000-0005-0000-0000-000047760000}"/>
    <cellStyle name="Normal 10 4 3 4 2 2" xfId="30641" xr:uid="{00000000-0005-0000-0000-000048760000}"/>
    <cellStyle name="Normal 10 4 3 4 2 2 2" xfId="30642" xr:uid="{00000000-0005-0000-0000-000049760000}"/>
    <cellStyle name="Normal 10 4 3 4 2 2 3" xfId="30643" xr:uid="{00000000-0005-0000-0000-00004A760000}"/>
    <cellStyle name="Normal 10 4 3 4 2 3" xfId="30644" xr:uid="{00000000-0005-0000-0000-00004B760000}"/>
    <cellStyle name="Normal 10 4 3 4 2 4" xfId="30645" xr:uid="{00000000-0005-0000-0000-00004C760000}"/>
    <cellStyle name="Normal 10 4 3 4 2 5" xfId="30646" xr:uid="{00000000-0005-0000-0000-00004D760000}"/>
    <cellStyle name="Normal 10 4 3 4 2 6" xfId="30647" xr:uid="{00000000-0005-0000-0000-00004E760000}"/>
    <cellStyle name="Normal 10 4 3 4 3" xfId="30648" xr:uid="{00000000-0005-0000-0000-00004F760000}"/>
    <cellStyle name="Normal 10 4 3 4 3 2" xfId="30649" xr:uid="{00000000-0005-0000-0000-000050760000}"/>
    <cellStyle name="Normal 10 4 3 4 3 3" xfId="30650" xr:uid="{00000000-0005-0000-0000-000051760000}"/>
    <cellStyle name="Normal 10 4 3 4 4" xfId="30651" xr:uid="{00000000-0005-0000-0000-000052760000}"/>
    <cellStyle name="Normal 10 4 3 4 5" xfId="30652" xr:uid="{00000000-0005-0000-0000-000053760000}"/>
    <cellStyle name="Normal 10 4 3 4 6" xfId="30653" xr:uid="{00000000-0005-0000-0000-000054760000}"/>
    <cellStyle name="Normal 10 4 3 4 7" xfId="30654" xr:uid="{00000000-0005-0000-0000-000055760000}"/>
    <cellStyle name="Normal 10 4 3 5" xfId="30655" xr:uid="{00000000-0005-0000-0000-000056760000}"/>
    <cellStyle name="Normal 10 4 3 5 2" xfId="30656" xr:uid="{00000000-0005-0000-0000-000057760000}"/>
    <cellStyle name="Normal 10 4 3 5 2 2" xfId="30657" xr:uid="{00000000-0005-0000-0000-000058760000}"/>
    <cellStyle name="Normal 10 4 3 5 2 3" xfId="30658" xr:uid="{00000000-0005-0000-0000-000059760000}"/>
    <cellStyle name="Normal 10 4 3 5 3" xfId="30659" xr:uid="{00000000-0005-0000-0000-00005A760000}"/>
    <cellStyle name="Normal 10 4 3 5 4" xfId="30660" xr:uid="{00000000-0005-0000-0000-00005B760000}"/>
    <cellStyle name="Normal 10 4 3 5 5" xfId="30661" xr:uid="{00000000-0005-0000-0000-00005C760000}"/>
    <cellStyle name="Normal 10 4 3 5 6" xfId="30662" xr:uid="{00000000-0005-0000-0000-00005D760000}"/>
    <cellStyle name="Normal 10 4 3 6" xfId="30663" xr:uid="{00000000-0005-0000-0000-00005E760000}"/>
    <cellStyle name="Normal 10 4 3 6 2" xfId="30664" xr:uid="{00000000-0005-0000-0000-00005F760000}"/>
    <cellStyle name="Normal 10 4 3 6 2 2" xfId="30665" xr:uid="{00000000-0005-0000-0000-000060760000}"/>
    <cellStyle name="Normal 10 4 3 6 2 3" xfId="30666" xr:uid="{00000000-0005-0000-0000-000061760000}"/>
    <cellStyle name="Normal 10 4 3 6 3" xfId="30667" xr:uid="{00000000-0005-0000-0000-000062760000}"/>
    <cellStyle name="Normal 10 4 3 6 4" xfId="30668" xr:uid="{00000000-0005-0000-0000-000063760000}"/>
    <cellStyle name="Normal 10 4 3 6 5" xfId="30669" xr:uid="{00000000-0005-0000-0000-000064760000}"/>
    <cellStyle name="Normal 10 4 3 6 6" xfId="30670" xr:uid="{00000000-0005-0000-0000-000065760000}"/>
    <cellStyle name="Normal 10 4 3 7" xfId="30671" xr:uid="{00000000-0005-0000-0000-000066760000}"/>
    <cellStyle name="Normal 10 4 3 7 2" xfId="30672" xr:uid="{00000000-0005-0000-0000-000067760000}"/>
    <cellStyle name="Normal 10 4 3 7 2 2" xfId="30673" xr:uid="{00000000-0005-0000-0000-000068760000}"/>
    <cellStyle name="Normal 10 4 3 7 2 3" xfId="30674" xr:uid="{00000000-0005-0000-0000-000069760000}"/>
    <cellStyle name="Normal 10 4 3 7 3" xfId="30675" xr:uid="{00000000-0005-0000-0000-00006A760000}"/>
    <cellStyle name="Normal 10 4 3 7 4" xfId="30676" xr:uid="{00000000-0005-0000-0000-00006B760000}"/>
    <cellStyle name="Normal 10 4 3 7 5" xfId="30677" xr:uid="{00000000-0005-0000-0000-00006C760000}"/>
    <cellStyle name="Normal 10 4 3 7 6" xfId="30678" xr:uid="{00000000-0005-0000-0000-00006D760000}"/>
    <cellStyle name="Normal 10 4 3 8" xfId="30679" xr:uid="{00000000-0005-0000-0000-00006E760000}"/>
    <cellStyle name="Normal 10 4 3 8 2" xfId="30680" xr:uid="{00000000-0005-0000-0000-00006F760000}"/>
    <cellStyle name="Normal 10 4 3 8 2 2" xfId="30681" xr:uid="{00000000-0005-0000-0000-000070760000}"/>
    <cellStyle name="Normal 10 4 3 8 2 3" xfId="30682" xr:uid="{00000000-0005-0000-0000-000071760000}"/>
    <cellStyle name="Normal 10 4 3 8 3" xfId="30683" xr:uid="{00000000-0005-0000-0000-000072760000}"/>
    <cellStyle name="Normal 10 4 3 8 4" xfId="30684" xr:uid="{00000000-0005-0000-0000-000073760000}"/>
    <cellStyle name="Normal 10 4 3 8 5" xfId="30685" xr:uid="{00000000-0005-0000-0000-000074760000}"/>
    <cellStyle name="Normal 10 4 3 8 6" xfId="30686" xr:uid="{00000000-0005-0000-0000-000075760000}"/>
    <cellStyle name="Normal 10 4 3 9" xfId="30687" xr:uid="{00000000-0005-0000-0000-000076760000}"/>
    <cellStyle name="Normal 10 4 3 9 2" xfId="30688" xr:uid="{00000000-0005-0000-0000-000077760000}"/>
    <cellStyle name="Normal 10 4 3 9 3" xfId="30689" xr:uid="{00000000-0005-0000-0000-000078760000}"/>
    <cellStyle name="Normal 10 4 4" xfId="30690" xr:uid="{00000000-0005-0000-0000-000079760000}"/>
    <cellStyle name="Normal 10 4 4 10" xfId="30691" xr:uid="{00000000-0005-0000-0000-00007A760000}"/>
    <cellStyle name="Normal 10 4 4 2" xfId="30692" xr:uid="{00000000-0005-0000-0000-00007B760000}"/>
    <cellStyle name="Normal 10 4 4 2 2" xfId="30693" xr:uid="{00000000-0005-0000-0000-00007C760000}"/>
    <cellStyle name="Normal 10 4 4 2 2 2" xfId="30694" xr:uid="{00000000-0005-0000-0000-00007D760000}"/>
    <cellStyle name="Normal 10 4 4 2 2 2 2" xfId="30695" xr:uid="{00000000-0005-0000-0000-00007E760000}"/>
    <cellStyle name="Normal 10 4 4 2 2 2 3" xfId="30696" xr:uid="{00000000-0005-0000-0000-00007F760000}"/>
    <cellStyle name="Normal 10 4 4 2 2 3" xfId="30697" xr:uid="{00000000-0005-0000-0000-000080760000}"/>
    <cellStyle name="Normal 10 4 4 2 2 4" xfId="30698" xr:uid="{00000000-0005-0000-0000-000081760000}"/>
    <cellStyle name="Normal 10 4 4 2 2 5" xfId="30699" xr:uid="{00000000-0005-0000-0000-000082760000}"/>
    <cellStyle name="Normal 10 4 4 2 2 6" xfId="30700" xr:uid="{00000000-0005-0000-0000-000083760000}"/>
    <cellStyle name="Normal 10 4 4 2 3" xfId="30701" xr:uid="{00000000-0005-0000-0000-000084760000}"/>
    <cellStyle name="Normal 10 4 4 2 3 2" xfId="30702" xr:uid="{00000000-0005-0000-0000-000085760000}"/>
    <cellStyle name="Normal 10 4 4 2 3 2 2" xfId="30703" xr:uid="{00000000-0005-0000-0000-000086760000}"/>
    <cellStyle name="Normal 10 4 4 2 3 2 3" xfId="30704" xr:uid="{00000000-0005-0000-0000-000087760000}"/>
    <cellStyle name="Normal 10 4 4 2 3 3" xfId="30705" xr:uid="{00000000-0005-0000-0000-000088760000}"/>
    <cellStyle name="Normal 10 4 4 2 3 4" xfId="30706" xr:uid="{00000000-0005-0000-0000-000089760000}"/>
    <cellStyle name="Normal 10 4 4 2 3 5" xfId="30707" xr:uid="{00000000-0005-0000-0000-00008A760000}"/>
    <cellStyle name="Normal 10 4 4 2 3 6" xfId="30708" xr:uid="{00000000-0005-0000-0000-00008B760000}"/>
    <cellStyle name="Normal 10 4 4 2 4" xfId="30709" xr:uid="{00000000-0005-0000-0000-00008C760000}"/>
    <cellStyle name="Normal 10 4 4 2 4 2" xfId="30710" xr:uid="{00000000-0005-0000-0000-00008D760000}"/>
    <cellStyle name="Normal 10 4 4 2 4 3" xfId="30711" xr:uid="{00000000-0005-0000-0000-00008E760000}"/>
    <cellStyle name="Normal 10 4 4 2 5" xfId="30712" xr:uid="{00000000-0005-0000-0000-00008F760000}"/>
    <cellStyle name="Normal 10 4 4 2 6" xfId="30713" xr:uid="{00000000-0005-0000-0000-000090760000}"/>
    <cellStyle name="Normal 10 4 4 2 7" xfId="30714" xr:uid="{00000000-0005-0000-0000-000091760000}"/>
    <cellStyle name="Normal 10 4 4 2 8" xfId="30715" xr:uid="{00000000-0005-0000-0000-000092760000}"/>
    <cellStyle name="Normal 10 4 4 3" xfId="30716" xr:uid="{00000000-0005-0000-0000-000093760000}"/>
    <cellStyle name="Normal 10 4 4 3 2" xfId="30717" xr:uid="{00000000-0005-0000-0000-000094760000}"/>
    <cellStyle name="Normal 10 4 4 3 2 2" xfId="30718" xr:uid="{00000000-0005-0000-0000-000095760000}"/>
    <cellStyle name="Normal 10 4 4 3 2 2 2" xfId="30719" xr:uid="{00000000-0005-0000-0000-000096760000}"/>
    <cellStyle name="Normal 10 4 4 3 2 2 3" xfId="30720" xr:uid="{00000000-0005-0000-0000-000097760000}"/>
    <cellStyle name="Normal 10 4 4 3 2 3" xfId="30721" xr:uid="{00000000-0005-0000-0000-000098760000}"/>
    <cellStyle name="Normal 10 4 4 3 2 4" xfId="30722" xr:uid="{00000000-0005-0000-0000-000099760000}"/>
    <cellStyle name="Normal 10 4 4 3 2 5" xfId="30723" xr:uid="{00000000-0005-0000-0000-00009A760000}"/>
    <cellStyle name="Normal 10 4 4 3 2 6" xfId="30724" xr:uid="{00000000-0005-0000-0000-00009B760000}"/>
    <cellStyle name="Normal 10 4 4 3 3" xfId="30725" xr:uid="{00000000-0005-0000-0000-00009C760000}"/>
    <cellStyle name="Normal 10 4 4 3 3 2" xfId="30726" xr:uid="{00000000-0005-0000-0000-00009D760000}"/>
    <cellStyle name="Normal 10 4 4 3 3 3" xfId="30727" xr:uid="{00000000-0005-0000-0000-00009E760000}"/>
    <cellStyle name="Normal 10 4 4 3 4" xfId="30728" xr:uid="{00000000-0005-0000-0000-00009F760000}"/>
    <cellStyle name="Normal 10 4 4 3 5" xfId="30729" xr:uid="{00000000-0005-0000-0000-0000A0760000}"/>
    <cellStyle name="Normal 10 4 4 3 6" xfId="30730" xr:uid="{00000000-0005-0000-0000-0000A1760000}"/>
    <cellStyle name="Normal 10 4 4 3 7" xfId="30731" xr:uid="{00000000-0005-0000-0000-0000A2760000}"/>
    <cellStyle name="Normal 10 4 4 4" xfId="30732" xr:uid="{00000000-0005-0000-0000-0000A3760000}"/>
    <cellStyle name="Normal 10 4 4 4 2" xfId="30733" xr:uid="{00000000-0005-0000-0000-0000A4760000}"/>
    <cellStyle name="Normal 10 4 4 4 2 2" xfId="30734" xr:uid="{00000000-0005-0000-0000-0000A5760000}"/>
    <cellStyle name="Normal 10 4 4 4 2 3" xfId="30735" xr:uid="{00000000-0005-0000-0000-0000A6760000}"/>
    <cellStyle name="Normal 10 4 4 4 3" xfId="30736" xr:uid="{00000000-0005-0000-0000-0000A7760000}"/>
    <cellStyle name="Normal 10 4 4 4 4" xfId="30737" xr:uid="{00000000-0005-0000-0000-0000A8760000}"/>
    <cellStyle name="Normal 10 4 4 4 5" xfId="30738" xr:uid="{00000000-0005-0000-0000-0000A9760000}"/>
    <cellStyle name="Normal 10 4 4 4 6" xfId="30739" xr:uid="{00000000-0005-0000-0000-0000AA760000}"/>
    <cellStyle name="Normal 10 4 4 5" xfId="30740" xr:uid="{00000000-0005-0000-0000-0000AB760000}"/>
    <cellStyle name="Normal 10 4 4 5 2" xfId="30741" xr:uid="{00000000-0005-0000-0000-0000AC760000}"/>
    <cellStyle name="Normal 10 4 4 5 2 2" xfId="30742" xr:uid="{00000000-0005-0000-0000-0000AD760000}"/>
    <cellStyle name="Normal 10 4 4 5 2 3" xfId="30743" xr:uid="{00000000-0005-0000-0000-0000AE760000}"/>
    <cellStyle name="Normal 10 4 4 5 3" xfId="30744" xr:uid="{00000000-0005-0000-0000-0000AF760000}"/>
    <cellStyle name="Normal 10 4 4 5 4" xfId="30745" xr:uid="{00000000-0005-0000-0000-0000B0760000}"/>
    <cellStyle name="Normal 10 4 4 5 5" xfId="30746" xr:uid="{00000000-0005-0000-0000-0000B1760000}"/>
    <cellStyle name="Normal 10 4 4 5 6" xfId="30747" xr:uid="{00000000-0005-0000-0000-0000B2760000}"/>
    <cellStyle name="Normal 10 4 4 6" xfId="30748" xr:uid="{00000000-0005-0000-0000-0000B3760000}"/>
    <cellStyle name="Normal 10 4 4 6 2" xfId="30749" xr:uid="{00000000-0005-0000-0000-0000B4760000}"/>
    <cellStyle name="Normal 10 4 4 6 3" xfId="30750" xr:uid="{00000000-0005-0000-0000-0000B5760000}"/>
    <cellStyle name="Normal 10 4 4 7" xfId="30751" xr:uid="{00000000-0005-0000-0000-0000B6760000}"/>
    <cellStyle name="Normal 10 4 4 8" xfId="30752" xr:uid="{00000000-0005-0000-0000-0000B7760000}"/>
    <cellStyle name="Normal 10 4 4 9" xfId="30753" xr:uid="{00000000-0005-0000-0000-0000B8760000}"/>
    <cellStyle name="Normal 10 4 5" xfId="30754" xr:uid="{00000000-0005-0000-0000-0000B9760000}"/>
    <cellStyle name="Normal 10 4 5 2" xfId="30755" xr:uid="{00000000-0005-0000-0000-0000BA760000}"/>
    <cellStyle name="Normal 10 4 5 2 2" xfId="30756" xr:uid="{00000000-0005-0000-0000-0000BB760000}"/>
    <cellStyle name="Normal 10 4 5 2 2 2" xfId="30757" xr:uid="{00000000-0005-0000-0000-0000BC760000}"/>
    <cellStyle name="Normal 10 4 5 2 2 2 2" xfId="30758" xr:uid="{00000000-0005-0000-0000-0000BD760000}"/>
    <cellStyle name="Normal 10 4 5 2 2 2 3" xfId="30759" xr:uid="{00000000-0005-0000-0000-0000BE760000}"/>
    <cellStyle name="Normal 10 4 5 2 2 3" xfId="30760" xr:uid="{00000000-0005-0000-0000-0000BF760000}"/>
    <cellStyle name="Normal 10 4 5 2 2 4" xfId="30761" xr:uid="{00000000-0005-0000-0000-0000C0760000}"/>
    <cellStyle name="Normal 10 4 5 2 2 5" xfId="30762" xr:uid="{00000000-0005-0000-0000-0000C1760000}"/>
    <cellStyle name="Normal 10 4 5 2 2 6" xfId="30763" xr:uid="{00000000-0005-0000-0000-0000C2760000}"/>
    <cellStyle name="Normal 10 4 5 2 3" xfId="30764" xr:uid="{00000000-0005-0000-0000-0000C3760000}"/>
    <cellStyle name="Normal 10 4 5 2 3 2" xfId="30765" xr:uid="{00000000-0005-0000-0000-0000C4760000}"/>
    <cellStyle name="Normal 10 4 5 2 3 3" xfId="30766" xr:uid="{00000000-0005-0000-0000-0000C5760000}"/>
    <cellStyle name="Normal 10 4 5 2 4" xfId="30767" xr:uid="{00000000-0005-0000-0000-0000C6760000}"/>
    <cellStyle name="Normal 10 4 5 2 5" xfId="30768" xr:uid="{00000000-0005-0000-0000-0000C7760000}"/>
    <cellStyle name="Normal 10 4 5 2 6" xfId="30769" xr:uid="{00000000-0005-0000-0000-0000C8760000}"/>
    <cellStyle name="Normal 10 4 5 2 7" xfId="30770" xr:uid="{00000000-0005-0000-0000-0000C9760000}"/>
    <cellStyle name="Normal 10 4 5 3" xfId="30771" xr:uid="{00000000-0005-0000-0000-0000CA760000}"/>
    <cellStyle name="Normal 10 4 5 3 2" xfId="30772" xr:uid="{00000000-0005-0000-0000-0000CB760000}"/>
    <cellStyle name="Normal 10 4 5 3 2 2" xfId="30773" xr:uid="{00000000-0005-0000-0000-0000CC760000}"/>
    <cellStyle name="Normal 10 4 5 3 2 3" xfId="30774" xr:uid="{00000000-0005-0000-0000-0000CD760000}"/>
    <cellStyle name="Normal 10 4 5 3 3" xfId="30775" xr:uid="{00000000-0005-0000-0000-0000CE760000}"/>
    <cellStyle name="Normal 10 4 5 3 4" xfId="30776" xr:uid="{00000000-0005-0000-0000-0000CF760000}"/>
    <cellStyle name="Normal 10 4 5 3 5" xfId="30777" xr:uid="{00000000-0005-0000-0000-0000D0760000}"/>
    <cellStyle name="Normal 10 4 5 3 6" xfId="30778" xr:uid="{00000000-0005-0000-0000-0000D1760000}"/>
    <cellStyle name="Normal 10 4 5 4" xfId="30779" xr:uid="{00000000-0005-0000-0000-0000D2760000}"/>
    <cellStyle name="Normal 10 4 5 4 2" xfId="30780" xr:uid="{00000000-0005-0000-0000-0000D3760000}"/>
    <cellStyle name="Normal 10 4 5 4 2 2" xfId="30781" xr:uid="{00000000-0005-0000-0000-0000D4760000}"/>
    <cellStyle name="Normal 10 4 5 4 2 3" xfId="30782" xr:uid="{00000000-0005-0000-0000-0000D5760000}"/>
    <cellStyle name="Normal 10 4 5 4 3" xfId="30783" xr:uid="{00000000-0005-0000-0000-0000D6760000}"/>
    <cellStyle name="Normal 10 4 5 4 4" xfId="30784" xr:uid="{00000000-0005-0000-0000-0000D7760000}"/>
    <cellStyle name="Normal 10 4 5 4 5" xfId="30785" xr:uid="{00000000-0005-0000-0000-0000D8760000}"/>
    <cellStyle name="Normal 10 4 5 4 6" xfId="30786" xr:uid="{00000000-0005-0000-0000-0000D9760000}"/>
    <cellStyle name="Normal 10 4 5 5" xfId="30787" xr:uid="{00000000-0005-0000-0000-0000DA760000}"/>
    <cellStyle name="Normal 10 4 5 5 2" xfId="30788" xr:uid="{00000000-0005-0000-0000-0000DB760000}"/>
    <cellStyle name="Normal 10 4 5 5 3" xfId="30789" xr:uid="{00000000-0005-0000-0000-0000DC760000}"/>
    <cellStyle name="Normal 10 4 5 6" xfId="30790" xr:uid="{00000000-0005-0000-0000-0000DD760000}"/>
    <cellStyle name="Normal 10 4 5 7" xfId="30791" xr:uid="{00000000-0005-0000-0000-0000DE760000}"/>
    <cellStyle name="Normal 10 4 5 8" xfId="30792" xr:uid="{00000000-0005-0000-0000-0000DF760000}"/>
    <cellStyle name="Normal 10 4 5 9" xfId="30793" xr:uid="{00000000-0005-0000-0000-0000E0760000}"/>
    <cellStyle name="Normal 10 4 6" xfId="30794" xr:uid="{00000000-0005-0000-0000-0000E1760000}"/>
    <cellStyle name="Normal 10 4 6 2" xfId="30795" xr:uid="{00000000-0005-0000-0000-0000E2760000}"/>
    <cellStyle name="Normal 10 4 6 2 2" xfId="30796" xr:uid="{00000000-0005-0000-0000-0000E3760000}"/>
    <cellStyle name="Normal 10 4 6 2 2 2" xfId="30797" xr:uid="{00000000-0005-0000-0000-0000E4760000}"/>
    <cellStyle name="Normal 10 4 6 2 2 3" xfId="30798" xr:uid="{00000000-0005-0000-0000-0000E5760000}"/>
    <cellStyle name="Normal 10 4 6 2 3" xfId="30799" xr:uid="{00000000-0005-0000-0000-0000E6760000}"/>
    <cellStyle name="Normal 10 4 6 2 4" xfId="30800" xr:uid="{00000000-0005-0000-0000-0000E7760000}"/>
    <cellStyle name="Normal 10 4 6 2 5" xfId="30801" xr:uid="{00000000-0005-0000-0000-0000E8760000}"/>
    <cellStyle name="Normal 10 4 6 2 6" xfId="30802" xr:uid="{00000000-0005-0000-0000-0000E9760000}"/>
    <cellStyle name="Normal 10 4 6 3" xfId="30803" xr:uid="{00000000-0005-0000-0000-0000EA760000}"/>
    <cellStyle name="Normal 10 4 6 3 2" xfId="30804" xr:uid="{00000000-0005-0000-0000-0000EB760000}"/>
    <cellStyle name="Normal 10 4 6 3 3" xfId="30805" xr:uid="{00000000-0005-0000-0000-0000EC760000}"/>
    <cellStyle name="Normal 10 4 6 4" xfId="30806" xr:uid="{00000000-0005-0000-0000-0000ED760000}"/>
    <cellStyle name="Normal 10 4 6 5" xfId="30807" xr:uid="{00000000-0005-0000-0000-0000EE760000}"/>
    <cellStyle name="Normal 10 4 6 6" xfId="30808" xr:uid="{00000000-0005-0000-0000-0000EF760000}"/>
    <cellStyle name="Normal 10 4 6 7" xfId="30809" xr:uid="{00000000-0005-0000-0000-0000F0760000}"/>
    <cellStyle name="Normal 10 4 7" xfId="30810" xr:uid="{00000000-0005-0000-0000-0000F1760000}"/>
    <cellStyle name="Normal 10 4 7 2" xfId="30811" xr:uid="{00000000-0005-0000-0000-0000F2760000}"/>
    <cellStyle name="Normal 10 4 7 2 2" xfId="30812" xr:uid="{00000000-0005-0000-0000-0000F3760000}"/>
    <cellStyle name="Normal 10 4 7 2 3" xfId="30813" xr:uid="{00000000-0005-0000-0000-0000F4760000}"/>
    <cellStyle name="Normal 10 4 7 3" xfId="30814" xr:uid="{00000000-0005-0000-0000-0000F5760000}"/>
    <cellStyle name="Normal 10 4 7 4" xfId="30815" xr:uid="{00000000-0005-0000-0000-0000F6760000}"/>
    <cellStyle name="Normal 10 4 7 5" xfId="30816" xr:uid="{00000000-0005-0000-0000-0000F7760000}"/>
    <cellStyle name="Normal 10 4 7 6" xfId="30817" xr:uid="{00000000-0005-0000-0000-0000F8760000}"/>
    <cellStyle name="Normal 10 4 8" xfId="30818" xr:uid="{00000000-0005-0000-0000-0000F9760000}"/>
    <cellStyle name="Normal 10 4 8 2" xfId="30819" xr:uid="{00000000-0005-0000-0000-0000FA760000}"/>
    <cellStyle name="Normal 10 4 8 2 2" xfId="30820" xr:uid="{00000000-0005-0000-0000-0000FB760000}"/>
    <cellStyle name="Normal 10 4 8 2 3" xfId="30821" xr:uid="{00000000-0005-0000-0000-0000FC760000}"/>
    <cellStyle name="Normal 10 4 8 3" xfId="30822" xr:uid="{00000000-0005-0000-0000-0000FD760000}"/>
    <cellStyle name="Normal 10 4 8 4" xfId="30823" xr:uid="{00000000-0005-0000-0000-0000FE760000}"/>
    <cellStyle name="Normal 10 4 8 5" xfId="30824" xr:uid="{00000000-0005-0000-0000-0000FF760000}"/>
    <cellStyle name="Normal 10 4 8 6" xfId="30825" xr:uid="{00000000-0005-0000-0000-000000770000}"/>
    <cellStyle name="Normal 10 4 9" xfId="30826" xr:uid="{00000000-0005-0000-0000-000001770000}"/>
    <cellStyle name="Normal 10 4 9 2" xfId="30827" xr:uid="{00000000-0005-0000-0000-000002770000}"/>
    <cellStyle name="Normal 10 4 9 2 2" xfId="30828" xr:uid="{00000000-0005-0000-0000-000003770000}"/>
    <cellStyle name="Normal 10 4 9 2 3" xfId="30829" xr:uid="{00000000-0005-0000-0000-000004770000}"/>
    <cellStyle name="Normal 10 4 9 3" xfId="30830" xr:uid="{00000000-0005-0000-0000-000005770000}"/>
    <cellStyle name="Normal 10 4 9 4" xfId="30831" xr:uid="{00000000-0005-0000-0000-000006770000}"/>
    <cellStyle name="Normal 10 4 9 5" xfId="30832" xr:uid="{00000000-0005-0000-0000-000007770000}"/>
    <cellStyle name="Normal 10 4 9 6" xfId="30833" xr:uid="{00000000-0005-0000-0000-000008770000}"/>
    <cellStyle name="Normal 10 5" xfId="30834" xr:uid="{00000000-0005-0000-0000-000009770000}"/>
    <cellStyle name="Normal 10 5 2" xfId="30835" xr:uid="{00000000-0005-0000-0000-00000A770000}"/>
    <cellStyle name="Normal 10 5 3" xfId="30836" xr:uid="{00000000-0005-0000-0000-00000B770000}"/>
    <cellStyle name="Normal 10 5 3 2" xfId="30837" xr:uid="{00000000-0005-0000-0000-00000C770000}"/>
    <cellStyle name="Normal 10 5 4" xfId="30838" xr:uid="{00000000-0005-0000-0000-00000D770000}"/>
    <cellStyle name="Normal 10 5 4 2" xfId="30839" xr:uid="{00000000-0005-0000-0000-00000E770000}"/>
    <cellStyle name="Normal 10 5 4 2 2" xfId="30840" xr:uid="{00000000-0005-0000-0000-00000F770000}"/>
    <cellStyle name="Normal 10 5 4 3" xfId="30841" xr:uid="{00000000-0005-0000-0000-000010770000}"/>
    <cellStyle name="Normal 10 5 5" xfId="30842" xr:uid="{00000000-0005-0000-0000-000011770000}"/>
    <cellStyle name="Normal 10 5 6" xfId="30843" xr:uid="{00000000-0005-0000-0000-000012770000}"/>
    <cellStyle name="Normal 10 5 6 2" xfId="30844" xr:uid="{00000000-0005-0000-0000-000013770000}"/>
    <cellStyle name="Normal 10 6" xfId="30845" xr:uid="{00000000-0005-0000-0000-000014770000}"/>
    <cellStyle name="Normal 10 6 10" xfId="30846" xr:uid="{00000000-0005-0000-0000-000015770000}"/>
    <cellStyle name="Normal 10 6 10 2" xfId="30847" xr:uid="{00000000-0005-0000-0000-000016770000}"/>
    <cellStyle name="Normal 10 6 10 3" xfId="30848" xr:uid="{00000000-0005-0000-0000-000017770000}"/>
    <cellStyle name="Normal 10 6 11" xfId="30849" xr:uid="{00000000-0005-0000-0000-000018770000}"/>
    <cellStyle name="Normal 10 6 12" xfId="30850" xr:uid="{00000000-0005-0000-0000-000019770000}"/>
    <cellStyle name="Normal 10 6 13" xfId="30851" xr:uid="{00000000-0005-0000-0000-00001A770000}"/>
    <cellStyle name="Normal 10 6 14" xfId="30852" xr:uid="{00000000-0005-0000-0000-00001B770000}"/>
    <cellStyle name="Normal 10 6 2" xfId="30853" xr:uid="{00000000-0005-0000-0000-00001C770000}"/>
    <cellStyle name="Normal 10 6 2 10" xfId="30854" xr:uid="{00000000-0005-0000-0000-00001D770000}"/>
    <cellStyle name="Normal 10 6 2 2" xfId="30855" xr:uid="{00000000-0005-0000-0000-00001E770000}"/>
    <cellStyle name="Normal 10 6 2 2 2" xfId="30856" xr:uid="{00000000-0005-0000-0000-00001F770000}"/>
    <cellStyle name="Normal 10 6 2 2 2 2" xfId="30857" xr:uid="{00000000-0005-0000-0000-000020770000}"/>
    <cellStyle name="Normal 10 6 2 2 2 2 2" xfId="30858" xr:uid="{00000000-0005-0000-0000-000021770000}"/>
    <cellStyle name="Normal 10 6 2 2 2 2 3" xfId="30859" xr:uid="{00000000-0005-0000-0000-000022770000}"/>
    <cellStyle name="Normal 10 6 2 2 2 3" xfId="30860" xr:uid="{00000000-0005-0000-0000-000023770000}"/>
    <cellStyle name="Normal 10 6 2 2 2 4" xfId="30861" xr:uid="{00000000-0005-0000-0000-000024770000}"/>
    <cellStyle name="Normal 10 6 2 2 2 5" xfId="30862" xr:uid="{00000000-0005-0000-0000-000025770000}"/>
    <cellStyle name="Normal 10 6 2 2 2 6" xfId="30863" xr:uid="{00000000-0005-0000-0000-000026770000}"/>
    <cellStyle name="Normal 10 6 2 2 3" xfId="30864" xr:uid="{00000000-0005-0000-0000-000027770000}"/>
    <cellStyle name="Normal 10 6 2 2 3 2" xfId="30865" xr:uid="{00000000-0005-0000-0000-000028770000}"/>
    <cellStyle name="Normal 10 6 2 2 3 2 2" xfId="30866" xr:uid="{00000000-0005-0000-0000-000029770000}"/>
    <cellStyle name="Normal 10 6 2 2 3 2 3" xfId="30867" xr:uid="{00000000-0005-0000-0000-00002A770000}"/>
    <cellStyle name="Normal 10 6 2 2 3 3" xfId="30868" xr:uid="{00000000-0005-0000-0000-00002B770000}"/>
    <cellStyle name="Normal 10 6 2 2 3 4" xfId="30869" xr:uid="{00000000-0005-0000-0000-00002C770000}"/>
    <cellStyle name="Normal 10 6 2 2 3 5" xfId="30870" xr:uid="{00000000-0005-0000-0000-00002D770000}"/>
    <cellStyle name="Normal 10 6 2 2 3 6" xfId="30871" xr:uid="{00000000-0005-0000-0000-00002E770000}"/>
    <cellStyle name="Normal 10 6 2 2 4" xfId="30872" xr:uid="{00000000-0005-0000-0000-00002F770000}"/>
    <cellStyle name="Normal 10 6 2 2 4 2" xfId="30873" xr:uid="{00000000-0005-0000-0000-000030770000}"/>
    <cellStyle name="Normal 10 6 2 2 4 3" xfId="30874" xr:uid="{00000000-0005-0000-0000-000031770000}"/>
    <cellStyle name="Normal 10 6 2 2 5" xfId="30875" xr:uid="{00000000-0005-0000-0000-000032770000}"/>
    <cellStyle name="Normal 10 6 2 2 6" xfId="30876" xr:uid="{00000000-0005-0000-0000-000033770000}"/>
    <cellStyle name="Normal 10 6 2 2 7" xfId="30877" xr:uid="{00000000-0005-0000-0000-000034770000}"/>
    <cellStyle name="Normal 10 6 2 2 8" xfId="30878" xr:uid="{00000000-0005-0000-0000-000035770000}"/>
    <cellStyle name="Normal 10 6 2 3" xfId="30879" xr:uid="{00000000-0005-0000-0000-000036770000}"/>
    <cellStyle name="Normal 10 6 2 3 2" xfId="30880" xr:uid="{00000000-0005-0000-0000-000037770000}"/>
    <cellStyle name="Normal 10 6 2 3 2 2" xfId="30881" xr:uid="{00000000-0005-0000-0000-000038770000}"/>
    <cellStyle name="Normal 10 6 2 3 2 2 2" xfId="30882" xr:uid="{00000000-0005-0000-0000-000039770000}"/>
    <cellStyle name="Normal 10 6 2 3 2 2 3" xfId="30883" xr:uid="{00000000-0005-0000-0000-00003A770000}"/>
    <cellStyle name="Normal 10 6 2 3 2 3" xfId="30884" xr:uid="{00000000-0005-0000-0000-00003B770000}"/>
    <cellStyle name="Normal 10 6 2 3 2 4" xfId="30885" xr:uid="{00000000-0005-0000-0000-00003C770000}"/>
    <cellStyle name="Normal 10 6 2 3 2 5" xfId="30886" xr:uid="{00000000-0005-0000-0000-00003D770000}"/>
    <cellStyle name="Normal 10 6 2 3 2 6" xfId="30887" xr:uid="{00000000-0005-0000-0000-00003E770000}"/>
    <cellStyle name="Normal 10 6 2 3 3" xfId="30888" xr:uid="{00000000-0005-0000-0000-00003F770000}"/>
    <cellStyle name="Normal 10 6 2 3 3 2" xfId="30889" xr:uid="{00000000-0005-0000-0000-000040770000}"/>
    <cellStyle name="Normal 10 6 2 3 3 3" xfId="30890" xr:uid="{00000000-0005-0000-0000-000041770000}"/>
    <cellStyle name="Normal 10 6 2 3 4" xfId="30891" xr:uid="{00000000-0005-0000-0000-000042770000}"/>
    <cellStyle name="Normal 10 6 2 3 5" xfId="30892" xr:uid="{00000000-0005-0000-0000-000043770000}"/>
    <cellStyle name="Normal 10 6 2 3 6" xfId="30893" xr:uid="{00000000-0005-0000-0000-000044770000}"/>
    <cellStyle name="Normal 10 6 2 3 7" xfId="30894" xr:uid="{00000000-0005-0000-0000-000045770000}"/>
    <cellStyle name="Normal 10 6 2 4" xfId="30895" xr:uid="{00000000-0005-0000-0000-000046770000}"/>
    <cellStyle name="Normal 10 6 2 4 2" xfId="30896" xr:uid="{00000000-0005-0000-0000-000047770000}"/>
    <cellStyle name="Normal 10 6 2 4 2 2" xfId="30897" xr:uid="{00000000-0005-0000-0000-000048770000}"/>
    <cellStyle name="Normal 10 6 2 4 2 3" xfId="30898" xr:uid="{00000000-0005-0000-0000-000049770000}"/>
    <cellStyle name="Normal 10 6 2 4 3" xfId="30899" xr:uid="{00000000-0005-0000-0000-00004A770000}"/>
    <cellStyle name="Normal 10 6 2 4 4" xfId="30900" xr:uid="{00000000-0005-0000-0000-00004B770000}"/>
    <cellStyle name="Normal 10 6 2 4 5" xfId="30901" xr:uid="{00000000-0005-0000-0000-00004C770000}"/>
    <cellStyle name="Normal 10 6 2 4 6" xfId="30902" xr:uid="{00000000-0005-0000-0000-00004D770000}"/>
    <cellStyle name="Normal 10 6 2 5" xfId="30903" xr:uid="{00000000-0005-0000-0000-00004E770000}"/>
    <cellStyle name="Normal 10 6 2 5 2" xfId="30904" xr:uid="{00000000-0005-0000-0000-00004F770000}"/>
    <cellStyle name="Normal 10 6 2 5 2 2" xfId="30905" xr:uid="{00000000-0005-0000-0000-000050770000}"/>
    <cellStyle name="Normal 10 6 2 5 2 3" xfId="30906" xr:uid="{00000000-0005-0000-0000-000051770000}"/>
    <cellStyle name="Normal 10 6 2 5 3" xfId="30907" xr:uid="{00000000-0005-0000-0000-000052770000}"/>
    <cellStyle name="Normal 10 6 2 5 4" xfId="30908" xr:uid="{00000000-0005-0000-0000-000053770000}"/>
    <cellStyle name="Normal 10 6 2 5 5" xfId="30909" xr:uid="{00000000-0005-0000-0000-000054770000}"/>
    <cellStyle name="Normal 10 6 2 5 6" xfId="30910" xr:uid="{00000000-0005-0000-0000-000055770000}"/>
    <cellStyle name="Normal 10 6 2 6" xfId="30911" xr:uid="{00000000-0005-0000-0000-000056770000}"/>
    <cellStyle name="Normal 10 6 2 6 2" xfId="30912" xr:uid="{00000000-0005-0000-0000-000057770000}"/>
    <cellStyle name="Normal 10 6 2 6 3" xfId="30913" xr:uid="{00000000-0005-0000-0000-000058770000}"/>
    <cellStyle name="Normal 10 6 2 7" xfId="30914" xr:uid="{00000000-0005-0000-0000-000059770000}"/>
    <cellStyle name="Normal 10 6 2 8" xfId="30915" xr:uid="{00000000-0005-0000-0000-00005A770000}"/>
    <cellStyle name="Normal 10 6 2 9" xfId="30916" xr:uid="{00000000-0005-0000-0000-00005B770000}"/>
    <cellStyle name="Normal 10 6 3" xfId="30917" xr:uid="{00000000-0005-0000-0000-00005C770000}"/>
    <cellStyle name="Normal 10 6 3 2" xfId="30918" xr:uid="{00000000-0005-0000-0000-00005D770000}"/>
    <cellStyle name="Normal 10 6 3 2 2" xfId="30919" xr:uid="{00000000-0005-0000-0000-00005E770000}"/>
    <cellStyle name="Normal 10 6 3 2 2 2" xfId="30920" xr:uid="{00000000-0005-0000-0000-00005F770000}"/>
    <cellStyle name="Normal 10 6 3 2 2 2 2" xfId="30921" xr:uid="{00000000-0005-0000-0000-000060770000}"/>
    <cellStyle name="Normal 10 6 3 2 2 2 3" xfId="30922" xr:uid="{00000000-0005-0000-0000-000061770000}"/>
    <cellStyle name="Normal 10 6 3 2 2 3" xfId="30923" xr:uid="{00000000-0005-0000-0000-000062770000}"/>
    <cellStyle name="Normal 10 6 3 2 2 4" xfId="30924" xr:uid="{00000000-0005-0000-0000-000063770000}"/>
    <cellStyle name="Normal 10 6 3 2 2 5" xfId="30925" xr:uid="{00000000-0005-0000-0000-000064770000}"/>
    <cellStyle name="Normal 10 6 3 2 2 6" xfId="30926" xr:uid="{00000000-0005-0000-0000-000065770000}"/>
    <cellStyle name="Normal 10 6 3 2 3" xfId="30927" xr:uid="{00000000-0005-0000-0000-000066770000}"/>
    <cellStyle name="Normal 10 6 3 2 3 2" xfId="30928" xr:uid="{00000000-0005-0000-0000-000067770000}"/>
    <cellStyle name="Normal 10 6 3 2 3 3" xfId="30929" xr:uid="{00000000-0005-0000-0000-000068770000}"/>
    <cellStyle name="Normal 10 6 3 2 4" xfId="30930" xr:uid="{00000000-0005-0000-0000-000069770000}"/>
    <cellStyle name="Normal 10 6 3 2 5" xfId="30931" xr:uid="{00000000-0005-0000-0000-00006A770000}"/>
    <cellStyle name="Normal 10 6 3 2 6" xfId="30932" xr:uid="{00000000-0005-0000-0000-00006B770000}"/>
    <cellStyle name="Normal 10 6 3 2 7" xfId="30933" xr:uid="{00000000-0005-0000-0000-00006C770000}"/>
    <cellStyle name="Normal 10 6 3 3" xfId="30934" xr:uid="{00000000-0005-0000-0000-00006D770000}"/>
    <cellStyle name="Normal 10 6 3 3 2" xfId="30935" xr:uid="{00000000-0005-0000-0000-00006E770000}"/>
    <cellStyle name="Normal 10 6 3 3 2 2" xfId="30936" xr:uid="{00000000-0005-0000-0000-00006F770000}"/>
    <cellStyle name="Normal 10 6 3 3 2 3" xfId="30937" xr:uid="{00000000-0005-0000-0000-000070770000}"/>
    <cellStyle name="Normal 10 6 3 3 3" xfId="30938" xr:uid="{00000000-0005-0000-0000-000071770000}"/>
    <cellStyle name="Normal 10 6 3 3 4" xfId="30939" xr:uid="{00000000-0005-0000-0000-000072770000}"/>
    <cellStyle name="Normal 10 6 3 3 5" xfId="30940" xr:uid="{00000000-0005-0000-0000-000073770000}"/>
    <cellStyle name="Normal 10 6 3 3 6" xfId="30941" xr:uid="{00000000-0005-0000-0000-000074770000}"/>
    <cellStyle name="Normal 10 6 3 4" xfId="30942" xr:uid="{00000000-0005-0000-0000-000075770000}"/>
    <cellStyle name="Normal 10 6 3 4 2" xfId="30943" xr:uid="{00000000-0005-0000-0000-000076770000}"/>
    <cellStyle name="Normal 10 6 3 4 2 2" xfId="30944" xr:uid="{00000000-0005-0000-0000-000077770000}"/>
    <cellStyle name="Normal 10 6 3 4 2 3" xfId="30945" xr:uid="{00000000-0005-0000-0000-000078770000}"/>
    <cellStyle name="Normal 10 6 3 4 3" xfId="30946" xr:uid="{00000000-0005-0000-0000-000079770000}"/>
    <cellStyle name="Normal 10 6 3 4 4" xfId="30947" xr:uid="{00000000-0005-0000-0000-00007A770000}"/>
    <cellStyle name="Normal 10 6 3 4 5" xfId="30948" xr:uid="{00000000-0005-0000-0000-00007B770000}"/>
    <cellStyle name="Normal 10 6 3 4 6" xfId="30949" xr:uid="{00000000-0005-0000-0000-00007C770000}"/>
    <cellStyle name="Normal 10 6 3 5" xfId="30950" xr:uid="{00000000-0005-0000-0000-00007D770000}"/>
    <cellStyle name="Normal 10 6 3 5 2" xfId="30951" xr:uid="{00000000-0005-0000-0000-00007E770000}"/>
    <cellStyle name="Normal 10 6 3 5 3" xfId="30952" xr:uid="{00000000-0005-0000-0000-00007F770000}"/>
    <cellStyle name="Normal 10 6 3 6" xfId="30953" xr:uid="{00000000-0005-0000-0000-000080770000}"/>
    <cellStyle name="Normal 10 6 3 7" xfId="30954" xr:uid="{00000000-0005-0000-0000-000081770000}"/>
    <cellStyle name="Normal 10 6 3 8" xfId="30955" xr:uid="{00000000-0005-0000-0000-000082770000}"/>
    <cellStyle name="Normal 10 6 3 9" xfId="30956" xr:uid="{00000000-0005-0000-0000-000083770000}"/>
    <cellStyle name="Normal 10 6 4" xfId="30957" xr:uid="{00000000-0005-0000-0000-000084770000}"/>
    <cellStyle name="Normal 10 6 5" xfId="30958" xr:uid="{00000000-0005-0000-0000-000085770000}"/>
    <cellStyle name="Normal 10 6 5 2" xfId="30959" xr:uid="{00000000-0005-0000-0000-000086770000}"/>
    <cellStyle name="Normal 10 6 5 2 2" xfId="30960" xr:uid="{00000000-0005-0000-0000-000087770000}"/>
    <cellStyle name="Normal 10 6 5 2 2 2" xfId="30961" xr:uid="{00000000-0005-0000-0000-000088770000}"/>
    <cellStyle name="Normal 10 6 5 2 2 3" xfId="30962" xr:uid="{00000000-0005-0000-0000-000089770000}"/>
    <cellStyle name="Normal 10 6 5 2 3" xfId="30963" xr:uid="{00000000-0005-0000-0000-00008A770000}"/>
    <cellStyle name="Normal 10 6 5 2 4" xfId="30964" xr:uid="{00000000-0005-0000-0000-00008B770000}"/>
    <cellStyle name="Normal 10 6 5 2 5" xfId="30965" xr:uid="{00000000-0005-0000-0000-00008C770000}"/>
    <cellStyle name="Normal 10 6 5 2 6" xfId="30966" xr:uid="{00000000-0005-0000-0000-00008D770000}"/>
    <cellStyle name="Normal 10 6 5 3" xfId="30967" xr:uid="{00000000-0005-0000-0000-00008E770000}"/>
    <cellStyle name="Normal 10 6 5 3 2" xfId="30968" xr:uid="{00000000-0005-0000-0000-00008F770000}"/>
    <cellStyle name="Normal 10 6 5 3 3" xfId="30969" xr:uid="{00000000-0005-0000-0000-000090770000}"/>
    <cellStyle name="Normal 10 6 5 4" xfId="30970" xr:uid="{00000000-0005-0000-0000-000091770000}"/>
    <cellStyle name="Normal 10 6 5 5" xfId="30971" xr:uid="{00000000-0005-0000-0000-000092770000}"/>
    <cellStyle name="Normal 10 6 5 6" xfId="30972" xr:uid="{00000000-0005-0000-0000-000093770000}"/>
    <cellStyle name="Normal 10 6 5 7" xfId="30973" xr:uid="{00000000-0005-0000-0000-000094770000}"/>
    <cellStyle name="Normal 10 6 6" xfId="30974" xr:uid="{00000000-0005-0000-0000-000095770000}"/>
    <cellStyle name="Normal 10 6 6 2" xfId="30975" xr:uid="{00000000-0005-0000-0000-000096770000}"/>
    <cellStyle name="Normal 10 6 6 2 2" xfId="30976" xr:uid="{00000000-0005-0000-0000-000097770000}"/>
    <cellStyle name="Normal 10 6 6 2 3" xfId="30977" xr:uid="{00000000-0005-0000-0000-000098770000}"/>
    <cellStyle name="Normal 10 6 6 3" xfId="30978" xr:uid="{00000000-0005-0000-0000-000099770000}"/>
    <cellStyle name="Normal 10 6 6 4" xfId="30979" xr:uid="{00000000-0005-0000-0000-00009A770000}"/>
    <cellStyle name="Normal 10 6 6 5" xfId="30980" xr:uid="{00000000-0005-0000-0000-00009B770000}"/>
    <cellStyle name="Normal 10 6 6 6" xfId="30981" xr:uid="{00000000-0005-0000-0000-00009C770000}"/>
    <cellStyle name="Normal 10 6 7" xfId="30982" xr:uid="{00000000-0005-0000-0000-00009D770000}"/>
    <cellStyle name="Normal 10 6 7 2" xfId="30983" xr:uid="{00000000-0005-0000-0000-00009E770000}"/>
    <cellStyle name="Normal 10 6 7 2 2" xfId="30984" xr:uid="{00000000-0005-0000-0000-00009F770000}"/>
    <cellStyle name="Normal 10 6 7 2 3" xfId="30985" xr:uid="{00000000-0005-0000-0000-0000A0770000}"/>
    <cellStyle name="Normal 10 6 7 3" xfId="30986" xr:uid="{00000000-0005-0000-0000-0000A1770000}"/>
    <cellStyle name="Normal 10 6 7 4" xfId="30987" xr:uid="{00000000-0005-0000-0000-0000A2770000}"/>
    <cellStyle name="Normal 10 6 7 5" xfId="30988" xr:uid="{00000000-0005-0000-0000-0000A3770000}"/>
    <cellStyle name="Normal 10 6 7 6" xfId="30989" xr:uid="{00000000-0005-0000-0000-0000A4770000}"/>
    <cellStyle name="Normal 10 6 8" xfId="30990" xr:uid="{00000000-0005-0000-0000-0000A5770000}"/>
    <cellStyle name="Normal 10 6 8 2" xfId="30991" xr:uid="{00000000-0005-0000-0000-0000A6770000}"/>
    <cellStyle name="Normal 10 6 8 2 2" xfId="30992" xr:uid="{00000000-0005-0000-0000-0000A7770000}"/>
    <cellStyle name="Normal 10 6 8 2 3" xfId="30993" xr:uid="{00000000-0005-0000-0000-0000A8770000}"/>
    <cellStyle name="Normal 10 6 8 3" xfId="30994" xr:uid="{00000000-0005-0000-0000-0000A9770000}"/>
    <cellStyle name="Normal 10 6 8 4" xfId="30995" xr:uid="{00000000-0005-0000-0000-0000AA770000}"/>
    <cellStyle name="Normal 10 6 8 5" xfId="30996" xr:uid="{00000000-0005-0000-0000-0000AB770000}"/>
    <cellStyle name="Normal 10 6 8 6" xfId="30997" xr:uid="{00000000-0005-0000-0000-0000AC770000}"/>
    <cellStyle name="Normal 10 6 9" xfId="30998" xr:uid="{00000000-0005-0000-0000-0000AD770000}"/>
    <cellStyle name="Normal 10 6 9 2" xfId="30999" xr:uid="{00000000-0005-0000-0000-0000AE770000}"/>
    <cellStyle name="Normal 10 6 9 2 2" xfId="31000" xr:uid="{00000000-0005-0000-0000-0000AF770000}"/>
    <cellStyle name="Normal 10 6 9 2 3" xfId="31001" xr:uid="{00000000-0005-0000-0000-0000B0770000}"/>
    <cellStyle name="Normal 10 6 9 3" xfId="31002" xr:uid="{00000000-0005-0000-0000-0000B1770000}"/>
    <cellStyle name="Normal 10 6 9 4" xfId="31003" xr:uid="{00000000-0005-0000-0000-0000B2770000}"/>
    <cellStyle name="Normal 10 6 9 5" xfId="31004" xr:uid="{00000000-0005-0000-0000-0000B3770000}"/>
    <cellStyle name="Normal 10 6 9 6" xfId="31005" xr:uid="{00000000-0005-0000-0000-0000B4770000}"/>
    <cellStyle name="Normal 10 7" xfId="31006" xr:uid="{00000000-0005-0000-0000-0000B5770000}"/>
    <cellStyle name="Normal 10 7 10" xfId="31007" xr:uid="{00000000-0005-0000-0000-0000B6770000}"/>
    <cellStyle name="Normal 10 7 11" xfId="31008" xr:uid="{00000000-0005-0000-0000-0000B7770000}"/>
    <cellStyle name="Normal 10 7 2" xfId="31009" xr:uid="{00000000-0005-0000-0000-0000B8770000}"/>
    <cellStyle name="Normal 10 7 2 2" xfId="31010" xr:uid="{00000000-0005-0000-0000-0000B9770000}"/>
    <cellStyle name="Normal 10 7 2 2 2" xfId="31011" xr:uid="{00000000-0005-0000-0000-0000BA770000}"/>
    <cellStyle name="Normal 10 7 2 2 2 2" xfId="31012" xr:uid="{00000000-0005-0000-0000-0000BB770000}"/>
    <cellStyle name="Normal 10 7 2 2 2 3" xfId="31013" xr:uid="{00000000-0005-0000-0000-0000BC770000}"/>
    <cellStyle name="Normal 10 7 2 2 3" xfId="31014" xr:uid="{00000000-0005-0000-0000-0000BD770000}"/>
    <cellStyle name="Normal 10 7 2 2 4" xfId="31015" xr:uid="{00000000-0005-0000-0000-0000BE770000}"/>
    <cellStyle name="Normal 10 7 2 2 5" xfId="31016" xr:uid="{00000000-0005-0000-0000-0000BF770000}"/>
    <cellStyle name="Normal 10 7 2 2 6" xfId="31017" xr:uid="{00000000-0005-0000-0000-0000C0770000}"/>
    <cellStyle name="Normal 10 7 2 3" xfId="31018" xr:uid="{00000000-0005-0000-0000-0000C1770000}"/>
    <cellStyle name="Normal 10 7 2 3 2" xfId="31019" xr:uid="{00000000-0005-0000-0000-0000C2770000}"/>
    <cellStyle name="Normal 10 7 2 3 2 2" xfId="31020" xr:uid="{00000000-0005-0000-0000-0000C3770000}"/>
    <cellStyle name="Normal 10 7 2 3 2 3" xfId="31021" xr:uid="{00000000-0005-0000-0000-0000C4770000}"/>
    <cellStyle name="Normal 10 7 2 3 3" xfId="31022" xr:uid="{00000000-0005-0000-0000-0000C5770000}"/>
    <cellStyle name="Normal 10 7 2 3 4" xfId="31023" xr:uid="{00000000-0005-0000-0000-0000C6770000}"/>
    <cellStyle name="Normal 10 7 2 3 5" xfId="31024" xr:uid="{00000000-0005-0000-0000-0000C7770000}"/>
    <cellStyle name="Normal 10 7 2 3 6" xfId="31025" xr:uid="{00000000-0005-0000-0000-0000C8770000}"/>
    <cellStyle name="Normal 10 7 2 4" xfId="31026" xr:uid="{00000000-0005-0000-0000-0000C9770000}"/>
    <cellStyle name="Normal 10 7 2 4 2" xfId="31027" xr:uid="{00000000-0005-0000-0000-0000CA770000}"/>
    <cellStyle name="Normal 10 7 2 4 3" xfId="31028" xr:uid="{00000000-0005-0000-0000-0000CB770000}"/>
    <cellStyle name="Normal 10 7 2 5" xfId="31029" xr:uid="{00000000-0005-0000-0000-0000CC770000}"/>
    <cellStyle name="Normal 10 7 2 6" xfId="31030" xr:uid="{00000000-0005-0000-0000-0000CD770000}"/>
    <cellStyle name="Normal 10 7 2 7" xfId="31031" xr:uid="{00000000-0005-0000-0000-0000CE770000}"/>
    <cellStyle name="Normal 10 7 2 8" xfId="31032" xr:uid="{00000000-0005-0000-0000-0000CF770000}"/>
    <cellStyle name="Normal 10 7 3" xfId="31033" xr:uid="{00000000-0005-0000-0000-0000D0770000}"/>
    <cellStyle name="Normal 10 7 3 2" xfId="31034" xr:uid="{00000000-0005-0000-0000-0000D1770000}"/>
    <cellStyle name="Normal 10 7 3 2 2" xfId="31035" xr:uid="{00000000-0005-0000-0000-0000D2770000}"/>
    <cellStyle name="Normal 10 7 3 2 2 2" xfId="31036" xr:uid="{00000000-0005-0000-0000-0000D3770000}"/>
    <cellStyle name="Normal 10 7 3 2 2 3" xfId="31037" xr:uid="{00000000-0005-0000-0000-0000D4770000}"/>
    <cellStyle name="Normal 10 7 3 2 3" xfId="31038" xr:uid="{00000000-0005-0000-0000-0000D5770000}"/>
    <cellStyle name="Normal 10 7 3 2 4" xfId="31039" xr:uid="{00000000-0005-0000-0000-0000D6770000}"/>
    <cellStyle name="Normal 10 7 3 2 5" xfId="31040" xr:uid="{00000000-0005-0000-0000-0000D7770000}"/>
    <cellStyle name="Normal 10 7 3 2 6" xfId="31041" xr:uid="{00000000-0005-0000-0000-0000D8770000}"/>
    <cellStyle name="Normal 10 7 3 3" xfId="31042" xr:uid="{00000000-0005-0000-0000-0000D9770000}"/>
    <cellStyle name="Normal 10 7 3 3 2" xfId="31043" xr:uid="{00000000-0005-0000-0000-0000DA770000}"/>
    <cellStyle name="Normal 10 7 3 3 3" xfId="31044" xr:uid="{00000000-0005-0000-0000-0000DB770000}"/>
    <cellStyle name="Normal 10 7 3 4" xfId="31045" xr:uid="{00000000-0005-0000-0000-0000DC770000}"/>
    <cellStyle name="Normal 10 7 3 5" xfId="31046" xr:uid="{00000000-0005-0000-0000-0000DD770000}"/>
    <cellStyle name="Normal 10 7 3 6" xfId="31047" xr:uid="{00000000-0005-0000-0000-0000DE770000}"/>
    <cellStyle name="Normal 10 7 3 7" xfId="31048" xr:uid="{00000000-0005-0000-0000-0000DF770000}"/>
    <cellStyle name="Normal 10 7 4" xfId="31049" xr:uid="{00000000-0005-0000-0000-0000E0770000}"/>
    <cellStyle name="Normal 10 7 4 2" xfId="31050" xr:uid="{00000000-0005-0000-0000-0000E1770000}"/>
    <cellStyle name="Normal 10 7 4 2 2" xfId="31051" xr:uid="{00000000-0005-0000-0000-0000E2770000}"/>
    <cellStyle name="Normal 10 7 4 2 3" xfId="31052" xr:uid="{00000000-0005-0000-0000-0000E3770000}"/>
    <cellStyle name="Normal 10 7 4 3" xfId="31053" xr:uid="{00000000-0005-0000-0000-0000E4770000}"/>
    <cellStyle name="Normal 10 7 4 4" xfId="31054" xr:uid="{00000000-0005-0000-0000-0000E5770000}"/>
    <cellStyle name="Normal 10 7 4 5" xfId="31055" xr:uid="{00000000-0005-0000-0000-0000E6770000}"/>
    <cellStyle name="Normal 10 7 4 6" xfId="31056" xr:uid="{00000000-0005-0000-0000-0000E7770000}"/>
    <cellStyle name="Normal 10 7 5" xfId="31057" xr:uid="{00000000-0005-0000-0000-0000E8770000}"/>
    <cellStyle name="Normal 10 7 5 2" xfId="31058" xr:uid="{00000000-0005-0000-0000-0000E9770000}"/>
    <cellStyle name="Normal 10 7 5 2 2" xfId="31059" xr:uid="{00000000-0005-0000-0000-0000EA770000}"/>
    <cellStyle name="Normal 10 7 5 2 3" xfId="31060" xr:uid="{00000000-0005-0000-0000-0000EB770000}"/>
    <cellStyle name="Normal 10 7 5 3" xfId="31061" xr:uid="{00000000-0005-0000-0000-0000EC770000}"/>
    <cellStyle name="Normal 10 7 5 4" xfId="31062" xr:uid="{00000000-0005-0000-0000-0000ED770000}"/>
    <cellStyle name="Normal 10 7 5 5" xfId="31063" xr:uid="{00000000-0005-0000-0000-0000EE770000}"/>
    <cellStyle name="Normal 10 7 5 6" xfId="31064" xr:uid="{00000000-0005-0000-0000-0000EF770000}"/>
    <cellStyle name="Normal 10 7 6" xfId="31065" xr:uid="{00000000-0005-0000-0000-0000F0770000}"/>
    <cellStyle name="Normal 10 7 6 2" xfId="31066" xr:uid="{00000000-0005-0000-0000-0000F1770000}"/>
    <cellStyle name="Normal 10 7 6 2 2" xfId="31067" xr:uid="{00000000-0005-0000-0000-0000F2770000}"/>
    <cellStyle name="Normal 10 7 6 2 3" xfId="31068" xr:uid="{00000000-0005-0000-0000-0000F3770000}"/>
    <cellStyle name="Normal 10 7 6 3" xfId="31069" xr:uid="{00000000-0005-0000-0000-0000F4770000}"/>
    <cellStyle name="Normal 10 7 6 4" xfId="31070" xr:uid="{00000000-0005-0000-0000-0000F5770000}"/>
    <cellStyle name="Normal 10 7 6 5" xfId="31071" xr:uid="{00000000-0005-0000-0000-0000F6770000}"/>
    <cellStyle name="Normal 10 7 6 6" xfId="31072" xr:uid="{00000000-0005-0000-0000-0000F7770000}"/>
    <cellStyle name="Normal 10 7 7" xfId="31073" xr:uid="{00000000-0005-0000-0000-0000F8770000}"/>
    <cellStyle name="Normal 10 7 7 2" xfId="31074" xr:uid="{00000000-0005-0000-0000-0000F9770000}"/>
    <cellStyle name="Normal 10 7 7 3" xfId="31075" xr:uid="{00000000-0005-0000-0000-0000FA770000}"/>
    <cellStyle name="Normal 10 7 8" xfId="31076" xr:uid="{00000000-0005-0000-0000-0000FB770000}"/>
    <cellStyle name="Normal 10 7 9" xfId="31077" xr:uid="{00000000-0005-0000-0000-0000FC770000}"/>
    <cellStyle name="Normal 10 8" xfId="31078" xr:uid="{00000000-0005-0000-0000-0000FD770000}"/>
    <cellStyle name="Normal 10 8 2" xfId="31079" xr:uid="{00000000-0005-0000-0000-0000FE770000}"/>
    <cellStyle name="Normal 10 8 2 2" xfId="31080" xr:uid="{00000000-0005-0000-0000-0000FF770000}"/>
    <cellStyle name="Normal 10 8 2 3" xfId="31081" xr:uid="{00000000-0005-0000-0000-000000780000}"/>
    <cellStyle name="Normal 10 8 3" xfId="31082" xr:uid="{00000000-0005-0000-0000-000001780000}"/>
    <cellStyle name="Normal 10 8 4" xfId="31083" xr:uid="{00000000-0005-0000-0000-000002780000}"/>
    <cellStyle name="Normal 10 8 5" xfId="31084" xr:uid="{00000000-0005-0000-0000-000003780000}"/>
    <cellStyle name="Normal 10 8 6" xfId="31085" xr:uid="{00000000-0005-0000-0000-000004780000}"/>
    <cellStyle name="Normal 10 9" xfId="31086" xr:uid="{00000000-0005-0000-0000-000005780000}"/>
    <cellStyle name="Normal 10 9 2" xfId="31087" xr:uid="{00000000-0005-0000-0000-000006780000}"/>
    <cellStyle name="Normal 10 9 2 2" xfId="31088" xr:uid="{00000000-0005-0000-0000-000007780000}"/>
    <cellStyle name="Normal 10 9 2 3" xfId="31089" xr:uid="{00000000-0005-0000-0000-000008780000}"/>
    <cellStyle name="Normal 10 9 3" xfId="31090" xr:uid="{00000000-0005-0000-0000-000009780000}"/>
    <cellStyle name="Normal 10 9 4" xfId="31091" xr:uid="{00000000-0005-0000-0000-00000A780000}"/>
    <cellStyle name="Normal 10 9 5" xfId="31092" xr:uid="{00000000-0005-0000-0000-00000B780000}"/>
    <cellStyle name="Normal 10 9 6" xfId="31093" xr:uid="{00000000-0005-0000-0000-00000C780000}"/>
    <cellStyle name="Normal 11" xfId="122" xr:uid="{00000000-0005-0000-0000-00000D780000}"/>
    <cellStyle name="Normal 11 10" xfId="31094" xr:uid="{00000000-0005-0000-0000-00000E780000}"/>
    <cellStyle name="Normal 11 10 2" xfId="31095" xr:uid="{00000000-0005-0000-0000-00000F780000}"/>
    <cellStyle name="Normal 11 10 2 2" xfId="31096" xr:uid="{00000000-0005-0000-0000-000010780000}"/>
    <cellStyle name="Normal 11 10 2 3" xfId="31097" xr:uid="{00000000-0005-0000-0000-000011780000}"/>
    <cellStyle name="Normal 11 10 3" xfId="31098" xr:uid="{00000000-0005-0000-0000-000012780000}"/>
    <cellStyle name="Normal 11 10 4" xfId="31099" xr:uid="{00000000-0005-0000-0000-000013780000}"/>
    <cellStyle name="Normal 11 10 5" xfId="31100" xr:uid="{00000000-0005-0000-0000-000014780000}"/>
    <cellStyle name="Normal 11 10 6" xfId="31101" xr:uid="{00000000-0005-0000-0000-000015780000}"/>
    <cellStyle name="Normal 11 11" xfId="31102" xr:uid="{00000000-0005-0000-0000-000016780000}"/>
    <cellStyle name="Normal 11 11 2" xfId="31103" xr:uid="{00000000-0005-0000-0000-000017780000}"/>
    <cellStyle name="Normal 11 11 2 2" xfId="31104" xr:uid="{00000000-0005-0000-0000-000018780000}"/>
    <cellStyle name="Normal 11 11 2 3" xfId="31105" xr:uid="{00000000-0005-0000-0000-000019780000}"/>
    <cellStyle name="Normal 11 11 3" xfId="31106" xr:uid="{00000000-0005-0000-0000-00001A780000}"/>
    <cellStyle name="Normal 11 11 4" xfId="31107" xr:uid="{00000000-0005-0000-0000-00001B780000}"/>
    <cellStyle name="Normal 11 11 5" xfId="31108" xr:uid="{00000000-0005-0000-0000-00001C780000}"/>
    <cellStyle name="Normal 11 11 6" xfId="31109" xr:uid="{00000000-0005-0000-0000-00001D780000}"/>
    <cellStyle name="Normal 11 12" xfId="31110" xr:uid="{00000000-0005-0000-0000-00001E780000}"/>
    <cellStyle name="Normal 11 12 2" xfId="31111" xr:uid="{00000000-0005-0000-0000-00001F780000}"/>
    <cellStyle name="Normal 11 12 2 2" xfId="31112" xr:uid="{00000000-0005-0000-0000-000020780000}"/>
    <cellStyle name="Normal 11 12 2 3" xfId="31113" xr:uid="{00000000-0005-0000-0000-000021780000}"/>
    <cellStyle name="Normal 11 12 3" xfId="31114" xr:uid="{00000000-0005-0000-0000-000022780000}"/>
    <cellStyle name="Normal 11 12 4" xfId="31115" xr:uid="{00000000-0005-0000-0000-000023780000}"/>
    <cellStyle name="Normal 11 12 5" xfId="31116" xr:uid="{00000000-0005-0000-0000-000024780000}"/>
    <cellStyle name="Normal 11 12 6" xfId="31117" xr:uid="{00000000-0005-0000-0000-000025780000}"/>
    <cellStyle name="Normal 11 13" xfId="31118" xr:uid="{00000000-0005-0000-0000-000026780000}"/>
    <cellStyle name="Normal 11 13 2" xfId="31119" xr:uid="{00000000-0005-0000-0000-000027780000}"/>
    <cellStyle name="Normal 11 13 2 2" xfId="31120" xr:uid="{00000000-0005-0000-0000-000028780000}"/>
    <cellStyle name="Normal 11 13 2 3" xfId="31121" xr:uid="{00000000-0005-0000-0000-000029780000}"/>
    <cellStyle name="Normal 11 13 3" xfId="31122" xr:uid="{00000000-0005-0000-0000-00002A780000}"/>
    <cellStyle name="Normal 11 13 4" xfId="31123" xr:uid="{00000000-0005-0000-0000-00002B780000}"/>
    <cellStyle name="Normal 11 13 5" xfId="31124" xr:uid="{00000000-0005-0000-0000-00002C780000}"/>
    <cellStyle name="Normal 11 13 6" xfId="31125" xr:uid="{00000000-0005-0000-0000-00002D780000}"/>
    <cellStyle name="Normal 11 14" xfId="31126" xr:uid="{00000000-0005-0000-0000-00002E780000}"/>
    <cellStyle name="Normal 11 14 2" xfId="31127" xr:uid="{00000000-0005-0000-0000-00002F780000}"/>
    <cellStyle name="Normal 11 14 3" xfId="31128" xr:uid="{00000000-0005-0000-0000-000030780000}"/>
    <cellStyle name="Normal 11 15" xfId="31129" xr:uid="{00000000-0005-0000-0000-000031780000}"/>
    <cellStyle name="Normal 11 16" xfId="31130" xr:uid="{00000000-0005-0000-0000-000032780000}"/>
    <cellStyle name="Normal 11 17" xfId="31131" xr:uid="{00000000-0005-0000-0000-000033780000}"/>
    <cellStyle name="Normal 11 18" xfId="31132" xr:uid="{00000000-0005-0000-0000-000034780000}"/>
    <cellStyle name="Normal 11 2" xfId="386" xr:uid="{00000000-0005-0000-0000-000035780000}"/>
    <cellStyle name="Normal 11 2 10" xfId="31133" xr:uid="{00000000-0005-0000-0000-000036780000}"/>
    <cellStyle name="Normal 11 2 10 2" xfId="31134" xr:uid="{00000000-0005-0000-0000-000037780000}"/>
    <cellStyle name="Normal 11 2 10 2 2" xfId="31135" xr:uid="{00000000-0005-0000-0000-000038780000}"/>
    <cellStyle name="Normal 11 2 10 2 3" xfId="31136" xr:uid="{00000000-0005-0000-0000-000039780000}"/>
    <cellStyle name="Normal 11 2 10 3" xfId="31137" xr:uid="{00000000-0005-0000-0000-00003A780000}"/>
    <cellStyle name="Normal 11 2 10 4" xfId="31138" xr:uid="{00000000-0005-0000-0000-00003B780000}"/>
    <cellStyle name="Normal 11 2 10 5" xfId="31139" xr:uid="{00000000-0005-0000-0000-00003C780000}"/>
    <cellStyle name="Normal 11 2 10 6" xfId="31140" xr:uid="{00000000-0005-0000-0000-00003D780000}"/>
    <cellStyle name="Normal 11 2 11" xfId="31141" xr:uid="{00000000-0005-0000-0000-00003E780000}"/>
    <cellStyle name="Normal 11 2 11 2" xfId="31142" xr:uid="{00000000-0005-0000-0000-00003F780000}"/>
    <cellStyle name="Normal 11 2 11 2 2" xfId="31143" xr:uid="{00000000-0005-0000-0000-000040780000}"/>
    <cellStyle name="Normal 11 2 11 2 3" xfId="31144" xr:uid="{00000000-0005-0000-0000-000041780000}"/>
    <cellStyle name="Normal 11 2 11 3" xfId="31145" xr:uid="{00000000-0005-0000-0000-000042780000}"/>
    <cellStyle name="Normal 11 2 11 4" xfId="31146" xr:uid="{00000000-0005-0000-0000-000043780000}"/>
    <cellStyle name="Normal 11 2 11 5" xfId="31147" xr:uid="{00000000-0005-0000-0000-000044780000}"/>
    <cellStyle name="Normal 11 2 11 6" xfId="31148" xr:uid="{00000000-0005-0000-0000-000045780000}"/>
    <cellStyle name="Normal 11 2 12" xfId="31149" xr:uid="{00000000-0005-0000-0000-000046780000}"/>
    <cellStyle name="Normal 11 2 12 2" xfId="31150" xr:uid="{00000000-0005-0000-0000-000047780000}"/>
    <cellStyle name="Normal 11 2 12 3" xfId="31151" xr:uid="{00000000-0005-0000-0000-000048780000}"/>
    <cellStyle name="Normal 11 2 13" xfId="31152" xr:uid="{00000000-0005-0000-0000-000049780000}"/>
    <cellStyle name="Normal 11 2 14" xfId="31153" xr:uid="{00000000-0005-0000-0000-00004A780000}"/>
    <cellStyle name="Normal 11 2 15" xfId="31154" xr:uid="{00000000-0005-0000-0000-00004B780000}"/>
    <cellStyle name="Normal 11 2 16" xfId="31155" xr:uid="{00000000-0005-0000-0000-00004C780000}"/>
    <cellStyle name="Normal 11 2 2" xfId="31156" xr:uid="{00000000-0005-0000-0000-00004D780000}"/>
    <cellStyle name="Normal 11 2 2 10" xfId="31157" xr:uid="{00000000-0005-0000-0000-00004E780000}"/>
    <cellStyle name="Normal 11 2 2 10 2" xfId="31158" xr:uid="{00000000-0005-0000-0000-00004F780000}"/>
    <cellStyle name="Normal 11 2 2 10 3" xfId="31159" xr:uid="{00000000-0005-0000-0000-000050780000}"/>
    <cellStyle name="Normal 11 2 2 11" xfId="31160" xr:uid="{00000000-0005-0000-0000-000051780000}"/>
    <cellStyle name="Normal 11 2 2 12" xfId="31161" xr:uid="{00000000-0005-0000-0000-000052780000}"/>
    <cellStyle name="Normal 11 2 2 13" xfId="31162" xr:uid="{00000000-0005-0000-0000-000053780000}"/>
    <cellStyle name="Normal 11 2 2 14" xfId="31163" xr:uid="{00000000-0005-0000-0000-000054780000}"/>
    <cellStyle name="Normal 11 2 2 2" xfId="31164" xr:uid="{00000000-0005-0000-0000-000055780000}"/>
    <cellStyle name="Normal 11 2 2 2 10" xfId="31165" xr:uid="{00000000-0005-0000-0000-000056780000}"/>
    <cellStyle name="Normal 11 2 2 2 11" xfId="31166" xr:uid="{00000000-0005-0000-0000-000057780000}"/>
    <cellStyle name="Normal 11 2 2 2 12" xfId="31167" xr:uid="{00000000-0005-0000-0000-000058780000}"/>
    <cellStyle name="Normal 11 2 2 2 13" xfId="31168" xr:uid="{00000000-0005-0000-0000-000059780000}"/>
    <cellStyle name="Normal 11 2 2 2 2" xfId="31169" xr:uid="{00000000-0005-0000-0000-00005A780000}"/>
    <cellStyle name="Normal 11 2 2 2 2 10" xfId="31170" xr:uid="{00000000-0005-0000-0000-00005B780000}"/>
    <cellStyle name="Normal 11 2 2 2 2 2" xfId="31171" xr:uid="{00000000-0005-0000-0000-00005C780000}"/>
    <cellStyle name="Normal 11 2 2 2 2 2 2" xfId="31172" xr:uid="{00000000-0005-0000-0000-00005D780000}"/>
    <cellStyle name="Normal 11 2 2 2 2 2 2 2" xfId="31173" xr:uid="{00000000-0005-0000-0000-00005E780000}"/>
    <cellStyle name="Normal 11 2 2 2 2 2 2 2 2" xfId="31174" xr:uid="{00000000-0005-0000-0000-00005F780000}"/>
    <cellStyle name="Normal 11 2 2 2 2 2 2 2 3" xfId="31175" xr:uid="{00000000-0005-0000-0000-000060780000}"/>
    <cellStyle name="Normal 11 2 2 2 2 2 2 3" xfId="31176" xr:uid="{00000000-0005-0000-0000-000061780000}"/>
    <cellStyle name="Normal 11 2 2 2 2 2 2 4" xfId="31177" xr:uid="{00000000-0005-0000-0000-000062780000}"/>
    <cellStyle name="Normal 11 2 2 2 2 2 2 5" xfId="31178" xr:uid="{00000000-0005-0000-0000-000063780000}"/>
    <cellStyle name="Normal 11 2 2 2 2 2 2 6" xfId="31179" xr:uid="{00000000-0005-0000-0000-000064780000}"/>
    <cellStyle name="Normal 11 2 2 2 2 2 3" xfId="31180" xr:uid="{00000000-0005-0000-0000-000065780000}"/>
    <cellStyle name="Normal 11 2 2 2 2 2 3 2" xfId="31181" xr:uid="{00000000-0005-0000-0000-000066780000}"/>
    <cellStyle name="Normal 11 2 2 2 2 2 3 2 2" xfId="31182" xr:uid="{00000000-0005-0000-0000-000067780000}"/>
    <cellStyle name="Normal 11 2 2 2 2 2 3 2 3" xfId="31183" xr:uid="{00000000-0005-0000-0000-000068780000}"/>
    <cellStyle name="Normal 11 2 2 2 2 2 3 3" xfId="31184" xr:uid="{00000000-0005-0000-0000-000069780000}"/>
    <cellStyle name="Normal 11 2 2 2 2 2 3 4" xfId="31185" xr:uid="{00000000-0005-0000-0000-00006A780000}"/>
    <cellStyle name="Normal 11 2 2 2 2 2 3 5" xfId="31186" xr:uid="{00000000-0005-0000-0000-00006B780000}"/>
    <cellStyle name="Normal 11 2 2 2 2 2 3 6" xfId="31187" xr:uid="{00000000-0005-0000-0000-00006C780000}"/>
    <cellStyle name="Normal 11 2 2 2 2 2 4" xfId="31188" xr:uid="{00000000-0005-0000-0000-00006D780000}"/>
    <cellStyle name="Normal 11 2 2 2 2 2 4 2" xfId="31189" xr:uid="{00000000-0005-0000-0000-00006E780000}"/>
    <cellStyle name="Normal 11 2 2 2 2 2 4 3" xfId="31190" xr:uid="{00000000-0005-0000-0000-00006F780000}"/>
    <cellStyle name="Normal 11 2 2 2 2 2 5" xfId="31191" xr:uid="{00000000-0005-0000-0000-000070780000}"/>
    <cellStyle name="Normal 11 2 2 2 2 2 6" xfId="31192" xr:uid="{00000000-0005-0000-0000-000071780000}"/>
    <cellStyle name="Normal 11 2 2 2 2 2 7" xfId="31193" xr:uid="{00000000-0005-0000-0000-000072780000}"/>
    <cellStyle name="Normal 11 2 2 2 2 2 8" xfId="31194" xr:uid="{00000000-0005-0000-0000-000073780000}"/>
    <cellStyle name="Normal 11 2 2 2 2 3" xfId="31195" xr:uid="{00000000-0005-0000-0000-000074780000}"/>
    <cellStyle name="Normal 11 2 2 2 2 3 2" xfId="31196" xr:uid="{00000000-0005-0000-0000-000075780000}"/>
    <cellStyle name="Normal 11 2 2 2 2 3 2 2" xfId="31197" xr:uid="{00000000-0005-0000-0000-000076780000}"/>
    <cellStyle name="Normal 11 2 2 2 2 3 2 2 2" xfId="31198" xr:uid="{00000000-0005-0000-0000-000077780000}"/>
    <cellStyle name="Normal 11 2 2 2 2 3 2 2 3" xfId="31199" xr:uid="{00000000-0005-0000-0000-000078780000}"/>
    <cellStyle name="Normal 11 2 2 2 2 3 2 3" xfId="31200" xr:uid="{00000000-0005-0000-0000-000079780000}"/>
    <cellStyle name="Normal 11 2 2 2 2 3 2 4" xfId="31201" xr:uid="{00000000-0005-0000-0000-00007A780000}"/>
    <cellStyle name="Normal 11 2 2 2 2 3 2 5" xfId="31202" xr:uid="{00000000-0005-0000-0000-00007B780000}"/>
    <cellStyle name="Normal 11 2 2 2 2 3 2 6" xfId="31203" xr:uid="{00000000-0005-0000-0000-00007C780000}"/>
    <cellStyle name="Normal 11 2 2 2 2 3 3" xfId="31204" xr:uid="{00000000-0005-0000-0000-00007D780000}"/>
    <cellStyle name="Normal 11 2 2 2 2 3 3 2" xfId="31205" xr:uid="{00000000-0005-0000-0000-00007E780000}"/>
    <cellStyle name="Normal 11 2 2 2 2 3 3 3" xfId="31206" xr:uid="{00000000-0005-0000-0000-00007F780000}"/>
    <cellStyle name="Normal 11 2 2 2 2 3 4" xfId="31207" xr:uid="{00000000-0005-0000-0000-000080780000}"/>
    <cellStyle name="Normal 11 2 2 2 2 3 5" xfId="31208" xr:uid="{00000000-0005-0000-0000-000081780000}"/>
    <cellStyle name="Normal 11 2 2 2 2 3 6" xfId="31209" xr:uid="{00000000-0005-0000-0000-000082780000}"/>
    <cellStyle name="Normal 11 2 2 2 2 3 7" xfId="31210" xr:uid="{00000000-0005-0000-0000-000083780000}"/>
    <cellStyle name="Normal 11 2 2 2 2 4" xfId="31211" xr:uid="{00000000-0005-0000-0000-000084780000}"/>
    <cellStyle name="Normal 11 2 2 2 2 4 2" xfId="31212" xr:uid="{00000000-0005-0000-0000-000085780000}"/>
    <cellStyle name="Normal 11 2 2 2 2 4 2 2" xfId="31213" xr:uid="{00000000-0005-0000-0000-000086780000}"/>
    <cellStyle name="Normal 11 2 2 2 2 4 2 3" xfId="31214" xr:uid="{00000000-0005-0000-0000-000087780000}"/>
    <cellStyle name="Normal 11 2 2 2 2 4 3" xfId="31215" xr:uid="{00000000-0005-0000-0000-000088780000}"/>
    <cellStyle name="Normal 11 2 2 2 2 4 4" xfId="31216" xr:uid="{00000000-0005-0000-0000-000089780000}"/>
    <cellStyle name="Normal 11 2 2 2 2 4 5" xfId="31217" xr:uid="{00000000-0005-0000-0000-00008A780000}"/>
    <cellStyle name="Normal 11 2 2 2 2 4 6" xfId="31218" xr:uid="{00000000-0005-0000-0000-00008B780000}"/>
    <cellStyle name="Normal 11 2 2 2 2 5" xfId="31219" xr:uid="{00000000-0005-0000-0000-00008C780000}"/>
    <cellStyle name="Normal 11 2 2 2 2 5 2" xfId="31220" xr:uid="{00000000-0005-0000-0000-00008D780000}"/>
    <cellStyle name="Normal 11 2 2 2 2 5 2 2" xfId="31221" xr:uid="{00000000-0005-0000-0000-00008E780000}"/>
    <cellStyle name="Normal 11 2 2 2 2 5 2 3" xfId="31222" xr:uid="{00000000-0005-0000-0000-00008F780000}"/>
    <cellStyle name="Normal 11 2 2 2 2 5 3" xfId="31223" xr:uid="{00000000-0005-0000-0000-000090780000}"/>
    <cellStyle name="Normal 11 2 2 2 2 5 4" xfId="31224" xr:uid="{00000000-0005-0000-0000-000091780000}"/>
    <cellStyle name="Normal 11 2 2 2 2 5 5" xfId="31225" xr:uid="{00000000-0005-0000-0000-000092780000}"/>
    <cellStyle name="Normal 11 2 2 2 2 5 6" xfId="31226" xr:uid="{00000000-0005-0000-0000-000093780000}"/>
    <cellStyle name="Normal 11 2 2 2 2 6" xfId="31227" xr:uid="{00000000-0005-0000-0000-000094780000}"/>
    <cellStyle name="Normal 11 2 2 2 2 6 2" xfId="31228" xr:uid="{00000000-0005-0000-0000-000095780000}"/>
    <cellStyle name="Normal 11 2 2 2 2 6 3" xfId="31229" xr:uid="{00000000-0005-0000-0000-000096780000}"/>
    <cellStyle name="Normal 11 2 2 2 2 7" xfId="31230" xr:uid="{00000000-0005-0000-0000-000097780000}"/>
    <cellStyle name="Normal 11 2 2 2 2 8" xfId="31231" xr:uid="{00000000-0005-0000-0000-000098780000}"/>
    <cellStyle name="Normal 11 2 2 2 2 9" xfId="31232" xr:uid="{00000000-0005-0000-0000-000099780000}"/>
    <cellStyle name="Normal 11 2 2 2 3" xfId="31233" xr:uid="{00000000-0005-0000-0000-00009A780000}"/>
    <cellStyle name="Normal 11 2 2 2 3 2" xfId="31234" xr:uid="{00000000-0005-0000-0000-00009B780000}"/>
    <cellStyle name="Normal 11 2 2 2 3 2 2" xfId="31235" xr:uid="{00000000-0005-0000-0000-00009C780000}"/>
    <cellStyle name="Normal 11 2 2 2 3 2 2 2" xfId="31236" xr:uid="{00000000-0005-0000-0000-00009D780000}"/>
    <cellStyle name="Normal 11 2 2 2 3 2 2 2 2" xfId="31237" xr:uid="{00000000-0005-0000-0000-00009E780000}"/>
    <cellStyle name="Normal 11 2 2 2 3 2 2 2 3" xfId="31238" xr:uid="{00000000-0005-0000-0000-00009F780000}"/>
    <cellStyle name="Normal 11 2 2 2 3 2 2 3" xfId="31239" xr:uid="{00000000-0005-0000-0000-0000A0780000}"/>
    <cellStyle name="Normal 11 2 2 2 3 2 2 4" xfId="31240" xr:uid="{00000000-0005-0000-0000-0000A1780000}"/>
    <cellStyle name="Normal 11 2 2 2 3 2 2 5" xfId="31241" xr:uid="{00000000-0005-0000-0000-0000A2780000}"/>
    <cellStyle name="Normal 11 2 2 2 3 2 2 6" xfId="31242" xr:uid="{00000000-0005-0000-0000-0000A3780000}"/>
    <cellStyle name="Normal 11 2 2 2 3 2 3" xfId="31243" xr:uid="{00000000-0005-0000-0000-0000A4780000}"/>
    <cellStyle name="Normal 11 2 2 2 3 2 3 2" xfId="31244" xr:uid="{00000000-0005-0000-0000-0000A5780000}"/>
    <cellStyle name="Normal 11 2 2 2 3 2 3 3" xfId="31245" xr:uid="{00000000-0005-0000-0000-0000A6780000}"/>
    <cellStyle name="Normal 11 2 2 2 3 2 4" xfId="31246" xr:uid="{00000000-0005-0000-0000-0000A7780000}"/>
    <cellStyle name="Normal 11 2 2 2 3 2 5" xfId="31247" xr:uid="{00000000-0005-0000-0000-0000A8780000}"/>
    <cellStyle name="Normal 11 2 2 2 3 2 6" xfId="31248" xr:uid="{00000000-0005-0000-0000-0000A9780000}"/>
    <cellStyle name="Normal 11 2 2 2 3 2 7" xfId="31249" xr:uid="{00000000-0005-0000-0000-0000AA780000}"/>
    <cellStyle name="Normal 11 2 2 2 3 3" xfId="31250" xr:uid="{00000000-0005-0000-0000-0000AB780000}"/>
    <cellStyle name="Normal 11 2 2 2 3 3 2" xfId="31251" xr:uid="{00000000-0005-0000-0000-0000AC780000}"/>
    <cellStyle name="Normal 11 2 2 2 3 3 2 2" xfId="31252" xr:uid="{00000000-0005-0000-0000-0000AD780000}"/>
    <cellStyle name="Normal 11 2 2 2 3 3 2 3" xfId="31253" xr:uid="{00000000-0005-0000-0000-0000AE780000}"/>
    <cellStyle name="Normal 11 2 2 2 3 3 3" xfId="31254" xr:uid="{00000000-0005-0000-0000-0000AF780000}"/>
    <cellStyle name="Normal 11 2 2 2 3 3 4" xfId="31255" xr:uid="{00000000-0005-0000-0000-0000B0780000}"/>
    <cellStyle name="Normal 11 2 2 2 3 3 5" xfId="31256" xr:uid="{00000000-0005-0000-0000-0000B1780000}"/>
    <cellStyle name="Normal 11 2 2 2 3 3 6" xfId="31257" xr:uid="{00000000-0005-0000-0000-0000B2780000}"/>
    <cellStyle name="Normal 11 2 2 2 3 4" xfId="31258" xr:uid="{00000000-0005-0000-0000-0000B3780000}"/>
    <cellStyle name="Normal 11 2 2 2 3 4 2" xfId="31259" xr:uid="{00000000-0005-0000-0000-0000B4780000}"/>
    <cellStyle name="Normal 11 2 2 2 3 4 2 2" xfId="31260" xr:uid="{00000000-0005-0000-0000-0000B5780000}"/>
    <cellStyle name="Normal 11 2 2 2 3 4 2 3" xfId="31261" xr:uid="{00000000-0005-0000-0000-0000B6780000}"/>
    <cellStyle name="Normal 11 2 2 2 3 4 3" xfId="31262" xr:uid="{00000000-0005-0000-0000-0000B7780000}"/>
    <cellStyle name="Normal 11 2 2 2 3 4 4" xfId="31263" xr:uid="{00000000-0005-0000-0000-0000B8780000}"/>
    <cellStyle name="Normal 11 2 2 2 3 4 5" xfId="31264" xr:uid="{00000000-0005-0000-0000-0000B9780000}"/>
    <cellStyle name="Normal 11 2 2 2 3 4 6" xfId="31265" xr:uid="{00000000-0005-0000-0000-0000BA780000}"/>
    <cellStyle name="Normal 11 2 2 2 3 5" xfId="31266" xr:uid="{00000000-0005-0000-0000-0000BB780000}"/>
    <cellStyle name="Normal 11 2 2 2 3 5 2" xfId="31267" xr:uid="{00000000-0005-0000-0000-0000BC780000}"/>
    <cellStyle name="Normal 11 2 2 2 3 5 3" xfId="31268" xr:uid="{00000000-0005-0000-0000-0000BD780000}"/>
    <cellStyle name="Normal 11 2 2 2 3 6" xfId="31269" xr:uid="{00000000-0005-0000-0000-0000BE780000}"/>
    <cellStyle name="Normal 11 2 2 2 3 7" xfId="31270" xr:uid="{00000000-0005-0000-0000-0000BF780000}"/>
    <cellStyle name="Normal 11 2 2 2 3 8" xfId="31271" xr:uid="{00000000-0005-0000-0000-0000C0780000}"/>
    <cellStyle name="Normal 11 2 2 2 3 9" xfId="31272" xr:uid="{00000000-0005-0000-0000-0000C1780000}"/>
    <cellStyle name="Normal 11 2 2 2 4" xfId="31273" xr:uid="{00000000-0005-0000-0000-0000C2780000}"/>
    <cellStyle name="Normal 11 2 2 2 4 2" xfId="31274" xr:uid="{00000000-0005-0000-0000-0000C3780000}"/>
    <cellStyle name="Normal 11 2 2 2 4 2 2" xfId="31275" xr:uid="{00000000-0005-0000-0000-0000C4780000}"/>
    <cellStyle name="Normal 11 2 2 2 4 2 2 2" xfId="31276" xr:uid="{00000000-0005-0000-0000-0000C5780000}"/>
    <cellStyle name="Normal 11 2 2 2 4 2 2 3" xfId="31277" xr:uid="{00000000-0005-0000-0000-0000C6780000}"/>
    <cellStyle name="Normal 11 2 2 2 4 2 3" xfId="31278" xr:uid="{00000000-0005-0000-0000-0000C7780000}"/>
    <cellStyle name="Normal 11 2 2 2 4 2 4" xfId="31279" xr:uid="{00000000-0005-0000-0000-0000C8780000}"/>
    <cellStyle name="Normal 11 2 2 2 4 2 5" xfId="31280" xr:uid="{00000000-0005-0000-0000-0000C9780000}"/>
    <cellStyle name="Normal 11 2 2 2 4 2 6" xfId="31281" xr:uid="{00000000-0005-0000-0000-0000CA780000}"/>
    <cellStyle name="Normal 11 2 2 2 4 3" xfId="31282" xr:uid="{00000000-0005-0000-0000-0000CB780000}"/>
    <cellStyle name="Normal 11 2 2 2 4 3 2" xfId="31283" xr:uid="{00000000-0005-0000-0000-0000CC780000}"/>
    <cellStyle name="Normal 11 2 2 2 4 3 3" xfId="31284" xr:uid="{00000000-0005-0000-0000-0000CD780000}"/>
    <cellStyle name="Normal 11 2 2 2 4 4" xfId="31285" xr:uid="{00000000-0005-0000-0000-0000CE780000}"/>
    <cellStyle name="Normal 11 2 2 2 4 5" xfId="31286" xr:uid="{00000000-0005-0000-0000-0000CF780000}"/>
    <cellStyle name="Normal 11 2 2 2 4 6" xfId="31287" xr:uid="{00000000-0005-0000-0000-0000D0780000}"/>
    <cellStyle name="Normal 11 2 2 2 4 7" xfId="31288" xr:uid="{00000000-0005-0000-0000-0000D1780000}"/>
    <cellStyle name="Normal 11 2 2 2 5" xfId="31289" xr:uid="{00000000-0005-0000-0000-0000D2780000}"/>
    <cellStyle name="Normal 11 2 2 2 5 2" xfId="31290" xr:uid="{00000000-0005-0000-0000-0000D3780000}"/>
    <cellStyle name="Normal 11 2 2 2 5 2 2" xfId="31291" xr:uid="{00000000-0005-0000-0000-0000D4780000}"/>
    <cellStyle name="Normal 11 2 2 2 5 2 3" xfId="31292" xr:uid="{00000000-0005-0000-0000-0000D5780000}"/>
    <cellStyle name="Normal 11 2 2 2 5 3" xfId="31293" xr:uid="{00000000-0005-0000-0000-0000D6780000}"/>
    <cellStyle name="Normal 11 2 2 2 5 4" xfId="31294" xr:uid="{00000000-0005-0000-0000-0000D7780000}"/>
    <cellStyle name="Normal 11 2 2 2 5 5" xfId="31295" xr:uid="{00000000-0005-0000-0000-0000D8780000}"/>
    <cellStyle name="Normal 11 2 2 2 5 6" xfId="31296" xr:uid="{00000000-0005-0000-0000-0000D9780000}"/>
    <cellStyle name="Normal 11 2 2 2 6" xfId="31297" xr:uid="{00000000-0005-0000-0000-0000DA780000}"/>
    <cellStyle name="Normal 11 2 2 2 6 2" xfId="31298" xr:uid="{00000000-0005-0000-0000-0000DB780000}"/>
    <cellStyle name="Normal 11 2 2 2 6 2 2" xfId="31299" xr:uid="{00000000-0005-0000-0000-0000DC780000}"/>
    <cellStyle name="Normal 11 2 2 2 6 2 3" xfId="31300" xr:uid="{00000000-0005-0000-0000-0000DD780000}"/>
    <cellStyle name="Normal 11 2 2 2 6 3" xfId="31301" xr:uid="{00000000-0005-0000-0000-0000DE780000}"/>
    <cellStyle name="Normal 11 2 2 2 6 4" xfId="31302" xr:uid="{00000000-0005-0000-0000-0000DF780000}"/>
    <cellStyle name="Normal 11 2 2 2 6 5" xfId="31303" xr:uid="{00000000-0005-0000-0000-0000E0780000}"/>
    <cellStyle name="Normal 11 2 2 2 6 6" xfId="31304" xr:uid="{00000000-0005-0000-0000-0000E1780000}"/>
    <cellStyle name="Normal 11 2 2 2 7" xfId="31305" xr:uid="{00000000-0005-0000-0000-0000E2780000}"/>
    <cellStyle name="Normal 11 2 2 2 7 2" xfId="31306" xr:uid="{00000000-0005-0000-0000-0000E3780000}"/>
    <cellStyle name="Normal 11 2 2 2 7 2 2" xfId="31307" xr:uid="{00000000-0005-0000-0000-0000E4780000}"/>
    <cellStyle name="Normal 11 2 2 2 7 2 3" xfId="31308" xr:uid="{00000000-0005-0000-0000-0000E5780000}"/>
    <cellStyle name="Normal 11 2 2 2 7 3" xfId="31309" xr:uid="{00000000-0005-0000-0000-0000E6780000}"/>
    <cellStyle name="Normal 11 2 2 2 7 4" xfId="31310" xr:uid="{00000000-0005-0000-0000-0000E7780000}"/>
    <cellStyle name="Normal 11 2 2 2 7 5" xfId="31311" xr:uid="{00000000-0005-0000-0000-0000E8780000}"/>
    <cellStyle name="Normal 11 2 2 2 7 6" xfId="31312" xr:uid="{00000000-0005-0000-0000-0000E9780000}"/>
    <cellStyle name="Normal 11 2 2 2 8" xfId="31313" xr:uid="{00000000-0005-0000-0000-0000EA780000}"/>
    <cellStyle name="Normal 11 2 2 2 8 2" xfId="31314" xr:uid="{00000000-0005-0000-0000-0000EB780000}"/>
    <cellStyle name="Normal 11 2 2 2 8 2 2" xfId="31315" xr:uid="{00000000-0005-0000-0000-0000EC780000}"/>
    <cellStyle name="Normal 11 2 2 2 8 2 3" xfId="31316" xr:uid="{00000000-0005-0000-0000-0000ED780000}"/>
    <cellStyle name="Normal 11 2 2 2 8 3" xfId="31317" xr:uid="{00000000-0005-0000-0000-0000EE780000}"/>
    <cellStyle name="Normal 11 2 2 2 8 4" xfId="31318" xr:uid="{00000000-0005-0000-0000-0000EF780000}"/>
    <cellStyle name="Normal 11 2 2 2 8 5" xfId="31319" xr:uid="{00000000-0005-0000-0000-0000F0780000}"/>
    <cellStyle name="Normal 11 2 2 2 8 6" xfId="31320" xr:uid="{00000000-0005-0000-0000-0000F1780000}"/>
    <cellStyle name="Normal 11 2 2 2 9" xfId="31321" xr:uid="{00000000-0005-0000-0000-0000F2780000}"/>
    <cellStyle name="Normal 11 2 2 2 9 2" xfId="31322" xr:uid="{00000000-0005-0000-0000-0000F3780000}"/>
    <cellStyle name="Normal 11 2 2 2 9 3" xfId="31323" xr:uid="{00000000-0005-0000-0000-0000F4780000}"/>
    <cellStyle name="Normal 11 2 2 3" xfId="31324" xr:uid="{00000000-0005-0000-0000-0000F5780000}"/>
    <cellStyle name="Normal 11 2 2 3 10" xfId="31325" xr:uid="{00000000-0005-0000-0000-0000F6780000}"/>
    <cellStyle name="Normal 11 2 2 3 2" xfId="31326" xr:uid="{00000000-0005-0000-0000-0000F7780000}"/>
    <cellStyle name="Normal 11 2 2 3 2 2" xfId="31327" xr:uid="{00000000-0005-0000-0000-0000F8780000}"/>
    <cellStyle name="Normal 11 2 2 3 2 2 2" xfId="31328" xr:uid="{00000000-0005-0000-0000-0000F9780000}"/>
    <cellStyle name="Normal 11 2 2 3 2 2 2 2" xfId="31329" xr:uid="{00000000-0005-0000-0000-0000FA780000}"/>
    <cellStyle name="Normal 11 2 2 3 2 2 2 3" xfId="31330" xr:uid="{00000000-0005-0000-0000-0000FB780000}"/>
    <cellStyle name="Normal 11 2 2 3 2 2 3" xfId="31331" xr:uid="{00000000-0005-0000-0000-0000FC780000}"/>
    <cellStyle name="Normal 11 2 2 3 2 2 4" xfId="31332" xr:uid="{00000000-0005-0000-0000-0000FD780000}"/>
    <cellStyle name="Normal 11 2 2 3 2 2 5" xfId="31333" xr:uid="{00000000-0005-0000-0000-0000FE780000}"/>
    <cellStyle name="Normal 11 2 2 3 2 2 6" xfId="31334" xr:uid="{00000000-0005-0000-0000-0000FF780000}"/>
    <cellStyle name="Normal 11 2 2 3 2 3" xfId="31335" xr:uid="{00000000-0005-0000-0000-000000790000}"/>
    <cellStyle name="Normal 11 2 2 3 2 3 2" xfId="31336" xr:uid="{00000000-0005-0000-0000-000001790000}"/>
    <cellStyle name="Normal 11 2 2 3 2 3 2 2" xfId="31337" xr:uid="{00000000-0005-0000-0000-000002790000}"/>
    <cellStyle name="Normal 11 2 2 3 2 3 2 3" xfId="31338" xr:uid="{00000000-0005-0000-0000-000003790000}"/>
    <cellStyle name="Normal 11 2 2 3 2 3 3" xfId="31339" xr:uid="{00000000-0005-0000-0000-000004790000}"/>
    <cellStyle name="Normal 11 2 2 3 2 3 4" xfId="31340" xr:uid="{00000000-0005-0000-0000-000005790000}"/>
    <cellStyle name="Normal 11 2 2 3 2 3 5" xfId="31341" xr:uid="{00000000-0005-0000-0000-000006790000}"/>
    <cellStyle name="Normal 11 2 2 3 2 3 6" xfId="31342" xr:uid="{00000000-0005-0000-0000-000007790000}"/>
    <cellStyle name="Normal 11 2 2 3 2 4" xfId="31343" xr:uid="{00000000-0005-0000-0000-000008790000}"/>
    <cellStyle name="Normal 11 2 2 3 2 4 2" xfId="31344" xr:uid="{00000000-0005-0000-0000-000009790000}"/>
    <cellStyle name="Normal 11 2 2 3 2 4 3" xfId="31345" xr:uid="{00000000-0005-0000-0000-00000A790000}"/>
    <cellStyle name="Normal 11 2 2 3 2 5" xfId="31346" xr:uid="{00000000-0005-0000-0000-00000B790000}"/>
    <cellStyle name="Normal 11 2 2 3 2 6" xfId="31347" xr:uid="{00000000-0005-0000-0000-00000C790000}"/>
    <cellStyle name="Normal 11 2 2 3 2 7" xfId="31348" xr:uid="{00000000-0005-0000-0000-00000D790000}"/>
    <cellStyle name="Normal 11 2 2 3 2 8" xfId="31349" xr:uid="{00000000-0005-0000-0000-00000E790000}"/>
    <cellStyle name="Normal 11 2 2 3 3" xfId="31350" xr:uid="{00000000-0005-0000-0000-00000F790000}"/>
    <cellStyle name="Normal 11 2 2 3 3 2" xfId="31351" xr:uid="{00000000-0005-0000-0000-000010790000}"/>
    <cellStyle name="Normal 11 2 2 3 3 2 2" xfId="31352" xr:uid="{00000000-0005-0000-0000-000011790000}"/>
    <cellStyle name="Normal 11 2 2 3 3 2 2 2" xfId="31353" xr:uid="{00000000-0005-0000-0000-000012790000}"/>
    <cellStyle name="Normal 11 2 2 3 3 2 2 3" xfId="31354" xr:uid="{00000000-0005-0000-0000-000013790000}"/>
    <cellStyle name="Normal 11 2 2 3 3 2 3" xfId="31355" xr:uid="{00000000-0005-0000-0000-000014790000}"/>
    <cellStyle name="Normal 11 2 2 3 3 2 4" xfId="31356" xr:uid="{00000000-0005-0000-0000-000015790000}"/>
    <cellStyle name="Normal 11 2 2 3 3 2 5" xfId="31357" xr:uid="{00000000-0005-0000-0000-000016790000}"/>
    <cellStyle name="Normal 11 2 2 3 3 2 6" xfId="31358" xr:uid="{00000000-0005-0000-0000-000017790000}"/>
    <cellStyle name="Normal 11 2 2 3 3 3" xfId="31359" xr:uid="{00000000-0005-0000-0000-000018790000}"/>
    <cellStyle name="Normal 11 2 2 3 3 3 2" xfId="31360" xr:uid="{00000000-0005-0000-0000-000019790000}"/>
    <cellStyle name="Normal 11 2 2 3 3 3 3" xfId="31361" xr:uid="{00000000-0005-0000-0000-00001A790000}"/>
    <cellStyle name="Normal 11 2 2 3 3 4" xfId="31362" xr:uid="{00000000-0005-0000-0000-00001B790000}"/>
    <cellStyle name="Normal 11 2 2 3 3 5" xfId="31363" xr:uid="{00000000-0005-0000-0000-00001C790000}"/>
    <cellStyle name="Normal 11 2 2 3 3 6" xfId="31364" xr:uid="{00000000-0005-0000-0000-00001D790000}"/>
    <cellStyle name="Normal 11 2 2 3 3 7" xfId="31365" xr:uid="{00000000-0005-0000-0000-00001E790000}"/>
    <cellStyle name="Normal 11 2 2 3 4" xfId="31366" xr:uid="{00000000-0005-0000-0000-00001F790000}"/>
    <cellStyle name="Normal 11 2 2 3 4 2" xfId="31367" xr:uid="{00000000-0005-0000-0000-000020790000}"/>
    <cellStyle name="Normal 11 2 2 3 4 2 2" xfId="31368" xr:uid="{00000000-0005-0000-0000-000021790000}"/>
    <cellStyle name="Normal 11 2 2 3 4 2 3" xfId="31369" xr:uid="{00000000-0005-0000-0000-000022790000}"/>
    <cellStyle name="Normal 11 2 2 3 4 3" xfId="31370" xr:uid="{00000000-0005-0000-0000-000023790000}"/>
    <cellStyle name="Normal 11 2 2 3 4 4" xfId="31371" xr:uid="{00000000-0005-0000-0000-000024790000}"/>
    <cellStyle name="Normal 11 2 2 3 4 5" xfId="31372" xr:uid="{00000000-0005-0000-0000-000025790000}"/>
    <cellStyle name="Normal 11 2 2 3 4 6" xfId="31373" xr:uid="{00000000-0005-0000-0000-000026790000}"/>
    <cellStyle name="Normal 11 2 2 3 5" xfId="31374" xr:uid="{00000000-0005-0000-0000-000027790000}"/>
    <cellStyle name="Normal 11 2 2 3 5 2" xfId="31375" xr:uid="{00000000-0005-0000-0000-000028790000}"/>
    <cellStyle name="Normal 11 2 2 3 5 2 2" xfId="31376" xr:uid="{00000000-0005-0000-0000-000029790000}"/>
    <cellStyle name="Normal 11 2 2 3 5 2 3" xfId="31377" xr:uid="{00000000-0005-0000-0000-00002A790000}"/>
    <cellStyle name="Normal 11 2 2 3 5 3" xfId="31378" xr:uid="{00000000-0005-0000-0000-00002B790000}"/>
    <cellStyle name="Normal 11 2 2 3 5 4" xfId="31379" xr:uid="{00000000-0005-0000-0000-00002C790000}"/>
    <cellStyle name="Normal 11 2 2 3 5 5" xfId="31380" xr:uid="{00000000-0005-0000-0000-00002D790000}"/>
    <cellStyle name="Normal 11 2 2 3 5 6" xfId="31381" xr:uid="{00000000-0005-0000-0000-00002E790000}"/>
    <cellStyle name="Normal 11 2 2 3 6" xfId="31382" xr:uid="{00000000-0005-0000-0000-00002F790000}"/>
    <cellStyle name="Normal 11 2 2 3 6 2" xfId="31383" xr:uid="{00000000-0005-0000-0000-000030790000}"/>
    <cellStyle name="Normal 11 2 2 3 6 3" xfId="31384" xr:uid="{00000000-0005-0000-0000-000031790000}"/>
    <cellStyle name="Normal 11 2 2 3 7" xfId="31385" xr:uid="{00000000-0005-0000-0000-000032790000}"/>
    <cellStyle name="Normal 11 2 2 3 8" xfId="31386" xr:uid="{00000000-0005-0000-0000-000033790000}"/>
    <cellStyle name="Normal 11 2 2 3 9" xfId="31387" xr:uid="{00000000-0005-0000-0000-000034790000}"/>
    <cellStyle name="Normal 11 2 2 4" xfId="31388" xr:uid="{00000000-0005-0000-0000-000035790000}"/>
    <cellStyle name="Normal 11 2 2 4 2" xfId="31389" xr:uid="{00000000-0005-0000-0000-000036790000}"/>
    <cellStyle name="Normal 11 2 2 4 2 2" xfId="31390" xr:uid="{00000000-0005-0000-0000-000037790000}"/>
    <cellStyle name="Normal 11 2 2 4 2 2 2" xfId="31391" xr:uid="{00000000-0005-0000-0000-000038790000}"/>
    <cellStyle name="Normal 11 2 2 4 2 2 2 2" xfId="31392" xr:uid="{00000000-0005-0000-0000-000039790000}"/>
    <cellStyle name="Normal 11 2 2 4 2 2 2 3" xfId="31393" xr:uid="{00000000-0005-0000-0000-00003A790000}"/>
    <cellStyle name="Normal 11 2 2 4 2 2 3" xfId="31394" xr:uid="{00000000-0005-0000-0000-00003B790000}"/>
    <cellStyle name="Normal 11 2 2 4 2 2 4" xfId="31395" xr:uid="{00000000-0005-0000-0000-00003C790000}"/>
    <cellStyle name="Normal 11 2 2 4 2 2 5" xfId="31396" xr:uid="{00000000-0005-0000-0000-00003D790000}"/>
    <cellStyle name="Normal 11 2 2 4 2 2 6" xfId="31397" xr:uid="{00000000-0005-0000-0000-00003E790000}"/>
    <cellStyle name="Normal 11 2 2 4 2 3" xfId="31398" xr:uid="{00000000-0005-0000-0000-00003F790000}"/>
    <cellStyle name="Normal 11 2 2 4 2 3 2" xfId="31399" xr:uid="{00000000-0005-0000-0000-000040790000}"/>
    <cellStyle name="Normal 11 2 2 4 2 3 3" xfId="31400" xr:uid="{00000000-0005-0000-0000-000041790000}"/>
    <cellStyle name="Normal 11 2 2 4 2 4" xfId="31401" xr:uid="{00000000-0005-0000-0000-000042790000}"/>
    <cellStyle name="Normal 11 2 2 4 2 5" xfId="31402" xr:uid="{00000000-0005-0000-0000-000043790000}"/>
    <cellStyle name="Normal 11 2 2 4 2 6" xfId="31403" xr:uid="{00000000-0005-0000-0000-000044790000}"/>
    <cellStyle name="Normal 11 2 2 4 2 7" xfId="31404" xr:uid="{00000000-0005-0000-0000-000045790000}"/>
    <cellStyle name="Normal 11 2 2 4 3" xfId="31405" xr:uid="{00000000-0005-0000-0000-000046790000}"/>
    <cellStyle name="Normal 11 2 2 4 3 2" xfId="31406" xr:uid="{00000000-0005-0000-0000-000047790000}"/>
    <cellStyle name="Normal 11 2 2 4 3 2 2" xfId="31407" xr:uid="{00000000-0005-0000-0000-000048790000}"/>
    <cellStyle name="Normal 11 2 2 4 3 2 3" xfId="31408" xr:uid="{00000000-0005-0000-0000-000049790000}"/>
    <cellStyle name="Normal 11 2 2 4 3 3" xfId="31409" xr:uid="{00000000-0005-0000-0000-00004A790000}"/>
    <cellStyle name="Normal 11 2 2 4 3 4" xfId="31410" xr:uid="{00000000-0005-0000-0000-00004B790000}"/>
    <cellStyle name="Normal 11 2 2 4 3 5" xfId="31411" xr:uid="{00000000-0005-0000-0000-00004C790000}"/>
    <cellStyle name="Normal 11 2 2 4 3 6" xfId="31412" xr:uid="{00000000-0005-0000-0000-00004D790000}"/>
    <cellStyle name="Normal 11 2 2 4 4" xfId="31413" xr:uid="{00000000-0005-0000-0000-00004E790000}"/>
    <cellStyle name="Normal 11 2 2 4 4 2" xfId="31414" xr:uid="{00000000-0005-0000-0000-00004F790000}"/>
    <cellStyle name="Normal 11 2 2 4 4 2 2" xfId="31415" xr:uid="{00000000-0005-0000-0000-000050790000}"/>
    <cellStyle name="Normal 11 2 2 4 4 2 3" xfId="31416" xr:uid="{00000000-0005-0000-0000-000051790000}"/>
    <cellStyle name="Normal 11 2 2 4 4 3" xfId="31417" xr:uid="{00000000-0005-0000-0000-000052790000}"/>
    <cellStyle name="Normal 11 2 2 4 4 4" xfId="31418" xr:uid="{00000000-0005-0000-0000-000053790000}"/>
    <cellStyle name="Normal 11 2 2 4 4 5" xfId="31419" xr:uid="{00000000-0005-0000-0000-000054790000}"/>
    <cellStyle name="Normal 11 2 2 4 4 6" xfId="31420" xr:uid="{00000000-0005-0000-0000-000055790000}"/>
    <cellStyle name="Normal 11 2 2 4 5" xfId="31421" xr:uid="{00000000-0005-0000-0000-000056790000}"/>
    <cellStyle name="Normal 11 2 2 4 5 2" xfId="31422" xr:uid="{00000000-0005-0000-0000-000057790000}"/>
    <cellStyle name="Normal 11 2 2 4 5 3" xfId="31423" xr:uid="{00000000-0005-0000-0000-000058790000}"/>
    <cellStyle name="Normal 11 2 2 4 6" xfId="31424" xr:uid="{00000000-0005-0000-0000-000059790000}"/>
    <cellStyle name="Normal 11 2 2 4 7" xfId="31425" xr:uid="{00000000-0005-0000-0000-00005A790000}"/>
    <cellStyle name="Normal 11 2 2 4 8" xfId="31426" xr:uid="{00000000-0005-0000-0000-00005B790000}"/>
    <cellStyle name="Normal 11 2 2 4 9" xfId="31427" xr:uid="{00000000-0005-0000-0000-00005C790000}"/>
    <cellStyle name="Normal 11 2 2 5" xfId="31428" xr:uid="{00000000-0005-0000-0000-00005D790000}"/>
    <cellStyle name="Normal 11 2 2 5 2" xfId="31429" xr:uid="{00000000-0005-0000-0000-00005E790000}"/>
    <cellStyle name="Normal 11 2 2 5 2 2" xfId="31430" xr:uid="{00000000-0005-0000-0000-00005F790000}"/>
    <cellStyle name="Normal 11 2 2 5 2 2 2" xfId="31431" xr:uid="{00000000-0005-0000-0000-000060790000}"/>
    <cellStyle name="Normal 11 2 2 5 2 2 3" xfId="31432" xr:uid="{00000000-0005-0000-0000-000061790000}"/>
    <cellStyle name="Normal 11 2 2 5 2 3" xfId="31433" xr:uid="{00000000-0005-0000-0000-000062790000}"/>
    <cellStyle name="Normal 11 2 2 5 2 4" xfId="31434" xr:uid="{00000000-0005-0000-0000-000063790000}"/>
    <cellStyle name="Normal 11 2 2 5 2 5" xfId="31435" xr:uid="{00000000-0005-0000-0000-000064790000}"/>
    <cellStyle name="Normal 11 2 2 5 2 6" xfId="31436" xr:uid="{00000000-0005-0000-0000-000065790000}"/>
    <cellStyle name="Normal 11 2 2 5 3" xfId="31437" xr:uid="{00000000-0005-0000-0000-000066790000}"/>
    <cellStyle name="Normal 11 2 2 5 3 2" xfId="31438" xr:uid="{00000000-0005-0000-0000-000067790000}"/>
    <cellStyle name="Normal 11 2 2 5 3 3" xfId="31439" xr:uid="{00000000-0005-0000-0000-000068790000}"/>
    <cellStyle name="Normal 11 2 2 5 4" xfId="31440" xr:uid="{00000000-0005-0000-0000-000069790000}"/>
    <cellStyle name="Normal 11 2 2 5 5" xfId="31441" xr:uid="{00000000-0005-0000-0000-00006A790000}"/>
    <cellStyle name="Normal 11 2 2 5 6" xfId="31442" xr:uid="{00000000-0005-0000-0000-00006B790000}"/>
    <cellStyle name="Normal 11 2 2 5 7" xfId="31443" xr:uid="{00000000-0005-0000-0000-00006C790000}"/>
    <cellStyle name="Normal 11 2 2 6" xfId="31444" xr:uid="{00000000-0005-0000-0000-00006D790000}"/>
    <cellStyle name="Normal 11 2 2 6 2" xfId="31445" xr:uid="{00000000-0005-0000-0000-00006E790000}"/>
    <cellStyle name="Normal 11 2 2 6 2 2" xfId="31446" xr:uid="{00000000-0005-0000-0000-00006F790000}"/>
    <cellStyle name="Normal 11 2 2 6 2 3" xfId="31447" xr:uid="{00000000-0005-0000-0000-000070790000}"/>
    <cellStyle name="Normal 11 2 2 6 3" xfId="31448" xr:uid="{00000000-0005-0000-0000-000071790000}"/>
    <cellStyle name="Normal 11 2 2 6 4" xfId="31449" xr:uid="{00000000-0005-0000-0000-000072790000}"/>
    <cellStyle name="Normal 11 2 2 6 5" xfId="31450" xr:uid="{00000000-0005-0000-0000-000073790000}"/>
    <cellStyle name="Normal 11 2 2 6 6" xfId="31451" xr:uid="{00000000-0005-0000-0000-000074790000}"/>
    <cellStyle name="Normal 11 2 2 7" xfId="31452" xr:uid="{00000000-0005-0000-0000-000075790000}"/>
    <cellStyle name="Normal 11 2 2 7 2" xfId="31453" xr:uid="{00000000-0005-0000-0000-000076790000}"/>
    <cellStyle name="Normal 11 2 2 7 2 2" xfId="31454" xr:uid="{00000000-0005-0000-0000-000077790000}"/>
    <cellStyle name="Normal 11 2 2 7 2 3" xfId="31455" xr:uid="{00000000-0005-0000-0000-000078790000}"/>
    <cellStyle name="Normal 11 2 2 7 3" xfId="31456" xr:uid="{00000000-0005-0000-0000-000079790000}"/>
    <cellStyle name="Normal 11 2 2 7 4" xfId="31457" xr:uid="{00000000-0005-0000-0000-00007A790000}"/>
    <cellStyle name="Normal 11 2 2 7 5" xfId="31458" xr:uid="{00000000-0005-0000-0000-00007B790000}"/>
    <cellStyle name="Normal 11 2 2 7 6" xfId="31459" xr:uid="{00000000-0005-0000-0000-00007C790000}"/>
    <cellStyle name="Normal 11 2 2 8" xfId="31460" xr:uid="{00000000-0005-0000-0000-00007D790000}"/>
    <cellStyle name="Normal 11 2 2 8 2" xfId="31461" xr:uid="{00000000-0005-0000-0000-00007E790000}"/>
    <cellStyle name="Normal 11 2 2 8 2 2" xfId="31462" xr:uid="{00000000-0005-0000-0000-00007F790000}"/>
    <cellStyle name="Normal 11 2 2 8 2 3" xfId="31463" xr:uid="{00000000-0005-0000-0000-000080790000}"/>
    <cellStyle name="Normal 11 2 2 8 3" xfId="31464" xr:uid="{00000000-0005-0000-0000-000081790000}"/>
    <cellStyle name="Normal 11 2 2 8 4" xfId="31465" xr:uid="{00000000-0005-0000-0000-000082790000}"/>
    <cellStyle name="Normal 11 2 2 8 5" xfId="31466" xr:uid="{00000000-0005-0000-0000-000083790000}"/>
    <cellStyle name="Normal 11 2 2 8 6" xfId="31467" xr:uid="{00000000-0005-0000-0000-000084790000}"/>
    <cellStyle name="Normal 11 2 2 9" xfId="31468" xr:uid="{00000000-0005-0000-0000-000085790000}"/>
    <cellStyle name="Normal 11 2 2 9 2" xfId="31469" xr:uid="{00000000-0005-0000-0000-000086790000}"/>
    <cellStyle name="Normal 11 2 2 9 2 2" xfId="31470" xr:uid="{00000000-0005-0000-0000-000087790000}"/>
    <cellStyle name="Normal 11 2 2 9 2 3" xfId="31471" xr:uid="{00000000-0005-0000-0000-000088790000}"/>
    <cellStyle name="Normal 11 2 2 9 3" xfId="31472" xr:uid="{00000000-0005-0000-0000-000089790000}"/>
    <cellStyle name="Normal 11 2 2 9 4" xfId="31473" xr:uid="{00000000-0005-0000-0000-00008A790000}"/>
    <cellStyle name="Normal 11 2 2 9 5" xfId="31474" xr:uid="{00000000-0005-0000-0000-00008B790000}"/>
    <cellStyle name="Normal 11 2 2 9 6" xfId="31475" xr:uid="{00000000-0005-0000-0000-00008C790000}"/>
    <cellStyle name="Normal 11 2 3" xfId="31476" xr:uid="{00000000-0005-0000-0000-00008D790000}"/>
    <cellStyle name="Normal 11 2 3 10" xfId="31477" xr:uid="{00000000-0005-0000-0000-00008E790000}"/>
    <cellStyle name="Normal 11 2 3 10 2" xfId="31478" xr:uid="{00000000-0005-0000-0000-00008F790000}"/>
    <cellStyle name="Normal 11 2 3 10 3" xfId="31479" xr:uid="{00000000-0005-0000-0000-000090790000}"/>
    <cellStyle name="Normal 11 2 3 11" xfId="31480" xr:uid="{00000000-0005-0000-0000-000091790000}"/>
    <cellStyle name="Normal 11 2 3 12" xfId="31481" xr:uid="{00000000-0005-0000-0000-000092790000}"/>
    <cellStyle name="Normal 11 2 3 13" xfId="31482" xr:uid="{00000000-0005-0000-0000-000093790000}"/>
    <cellStyle name="Normal 11 2 3 14" xfId="31483" xr:uid="{00000000-0005-0000-0000-000094790000}"/>
    <cellStyle name="Normal 11 2 3 2" xfId="31484" xr:uid="{00000000-0005-0000-0000-000095790000}"/>
    <cellStyle name="Normal 11 2 3 2 10" xfId="31485" xr:uid="{00000000-0005-0000-0000-000096790000}"/>
    <cellStyle name="Normal 11 2 3 2 11" xfId="31486" xr:uid="{00000000-0005-0000-0000-000097790000}"/>
    <cellStyle name="Normal 11 2 3 2 12" xfId="31487" xr:uid="{00000000-0005-0000-0000-000098790000}"/>
    <cellStyle name="Normal 11 2 3 2 13" xfId="31488" xr:uid="{00000000-0005-0000-0000-000099790000}"/>
    <cellStyle name="Normal 11 2 3 2 2" xfId="31489" xr:uid="{00000000-0005-0000-0000-00009A790000}"/>
    <cellStyle name="Normal 11 2 3 2 2 10" xfId="31490" xr:uid="{00000000-0005-0000-0000-00009B790000}"/>
    <cellStyle name="Normal 11 2 3 2 2 2" xfId="31491" xr:uid="{00000000-0005-0000-0000-00009C790000}"/>
    <cellStyle name="Normal 11 2 3 2 2 2 2" xfId="31492" xr:uid="{00000000-0005-0000-0000-00009D790000}"/>
    <cellStyle name="Normal 11 2 3 2 2 2 2 2" xfId="31493" xr:uid="{00000000-0005-0000-0000-00009E790000}"/>
    <cellStyle name="Normal 11 2 3 2 2 2 2 2 2" xfId="31494" xr:uid="{00000000-0005-0000-0000-00009F790000}"/>
    <cellStyle name="Normal 11 2 3 2 2 2 2 2 3" xfId="31495" xr:uid="{00000000-0005-0000-0000-0000A0790000}"/>
    <cellStyle name="Normal 11 2 3 2 2 2 2 3" xfId="31496" xr:uid="{00000000-0005-0000-0000-0000A1790000}"/>
    <cellStyle name="Normal 11 2 3 2 2 2 2 4" xfId="31497" xr:uid="{00000000-0005-0000-0000-0000A2790000}"/>
    <cellStyle name="Normal 11 2 3 2 2 2 2 5" xfId="31498" xr:uid="{00000000-0005-0000-0000-0000A3790000}"/>
    <cellStyle name="Normal 11 2 3 2 2 2 2 6" xfId="31499" xr:uid="{00000000-0005-0000-0000-0000A4790000}"/>
    <cellStyle name="Normal 11 2 3 2 2 2 3" xfId="31500" xr:uid="{00000000-0005-0000-0000-0000A5790000}"/>
    <cellStyle name="Normal 11 2 3 2 2 2 3 2" xfId="31501" xr:uid="{00000000-0005-0000-0000-0000A6790000}"/>
    <cellStyle name="Normal 11 2 3 2 2 2 3 2 2" xfId="31502" xr:uid="{00000000-0005-0000-0000-0000A7790000}"/>
    <cellStyle name="Normal 11 2 3 2 2 2 3 2 3" xfId="31503" xr:uid="{00000000-0005-0000-0000-0000A8790000}"/>
    <cellStyle name="Normal 11 2 3 2 2 2 3 3" xfId="31504" xr:uid="{00000000-0005-0000-0000-0000A9790000}"/>
    <cellStyle name="Normal 11 2 3 2 2 2 3 4" xfId="31505" xr:uid="{00000000-0005-0000-0000-0000AA790000}"/>
    <cellStyle name="Normal 11 2 3 2 2 2 3 5" xfId="31506" xr:uid="{00000000-0005-0000-0000-0000AB790000}"/>
    <cellStyle name="Normal 11 2 3 2 2 2 3 6" xfId="31507" xr:uid="{00000000-0005-0000-0000-0000AC790000}"/>
    <cellStyle name="Normal 11 2 3 2 2 2 4" xfId="31508" xr:uid="{00000000-0005-0000-0000-0000AD790000}"/>
    <cellStyle name="Normal 11 2 3 2 2 2 4 2" xfId="31509" xr:uid="{00000000-0005-0000-0000-0000AE790000}"/>
    <cellStyle name="Normal 11 2 3 2 2 2 4 3" xfId="31510" xr:uid="{00000000-0005-0000-0000-0000AF790000}"/>
    <cellStyle name="Normal 11 2 3 2 2 2 5" xfId="31511" xr:uid="{00000000-0005-0000-0000-0000B0790000}"/>
    <cellStyle name="Normal 11 2 3 2 2 2 6" xfId="31512" xr:uid="{00000000-0005-0000-0000-0000B1790000}"/>
    <cellStyle name="Normal 11 2 3 2 2 2 7" xfId="31513" xr:uid="{00000000-0005-0000-0000-0000B2790000}"/>
    <cellStyle name="Normal 11 2 3 2 2 2 8" xfId="31514" xr:uid="{00000000-0005-0000-0000-0000B3790000}"/>
    <cellStyle name="Normal 11 2 3 2 2 3" xfId="31515" xr:uid="{00000000-0005-0000-0000-0000B4790000}"/>
    <cellStyle name="Normal 11 2 3 2 2 3 2" xfId="31516" xr:uid="{00000000-0005-0000-0000-0000B5790000}"/>
    <cellStyle name="Normal 11 2 3 2 2 3 2 2" xfId="31517" xr:uid="{00000000-0005-0000-0000-0000B6790000}"/>
    <cellStyle name="Normal 11 2 3 2 2 3 2 2 2" xfId="31518" xr:uid="{00000000-0005-0000-0000-0000B7790000}"/>
    <cellStyle name="Normal 11 2 3 2 2 3 2 2 3" xfId="31519" xr:uid="{00000000-0005-0000-0000-0000B8790000}"/>
    <cellStyle name="Normal 11 2 3 2 2 3 2 3" xfId="31520" xr:uid="{00000000-0005-0000-0000-0000B9790000}"/>
    <cellStyle name="Normal 11 2 3 2 2 3 2 4" xfId="31521" xr:uid="{00000000-0005-0000-0000-0000BA790000}"/>
    <cellStyle name="Normal 11 2 3 2 2 3 2 5" xfId="31522" xr:uid="{00000000-0005-0000-0000-0000BB790000}"/>
    <cellStyle name="Normal 11 2 3 2 2 3 2 6" xfId="31523" xr:uid="{00000000-0005-0000-0000-0000BC790000}"/>
    <cellStyle name="Normal 11 2 3 2 2 3 3" xfId="31524" xr:uid="{00000000-0005-0000-0000-0000BD790000}"/>
    <cellStyle name="Normal 11 2 3 2 2 3 3 2" xfId="31525" xr:uid="{00000000-0005-0000-0000-0000BE790000}"/>
    <cellStyle name="Normal 11 2 3 2 2 3 3 3" xfId="31526" xr:uid="{00000000-0005-0000-0000-0000BF790000}"/>
    <cellStyle name="Normal 11 2 3 2 2 3 4" xfId="31527" xr:uid="{00000000-0005-0000-0000-0000C0790000}"/>
    <cellStyle name="Normal 11 2 3 2 2 3 5" xfId="31528" xr:uid="{00000000-0005-0000-0000-0000C1790000}"/>
    <cellStyle name="Normal 11 2 3 2 2 3 6" xfId="31529" xr:uid="{00000000-0005-0000-0000-0000C2790000}"/>
    <cellStyle name="Normal 11 2 3 2 2 3 7" xfId="31530" xr:uid="{00000000-0005-0000-0000-0000C3790000}"/>
    <cellStyle name="Normal 11 2 3 2 2 4" xfId="31531" xr:uid="{00000000-0005-0000-0000-0000C4790000}"/>
    <cellStyle name="Normal 11 2 3 2 2 4 2" xfId="31532" xr:uid="{00000000-0005-0000-0000-0000C5790000}"/>
    <cellStyle name="Normal 11 2 3 2 2 4 2 2" xfId="31533" xr:uid="{00000000-0005-0000-0000-0000C6790000}"/>
    <cellStyle name="Normal 11 2 3 2 2 4 2 3" xfId="31534" xr:uid="{00000000-0005-0000-0000-0000C7790000}"/>
    <cellStyle name="Normal 11 2 3 2 2 4 3" xfId="31535" xr:uid="{00000000-0005-0000-0000-0000C8790000}"/>
    <cellStyle name="Normal 11 2 3 2 2 4 4" xfId="31536" xr:uid="{00000000-0005-0000-0000-0000C9790000}"/>
    <cellStyle name="Normal 11 2 3 2 2 4 5" xfId="31537" xr:uid="{00000000-0005-0000-0000-0000CA790000}"/>
    <cellStyle name="Normal 11 2 3 2 2 4 6" xfId="31538" xr:uid="{00000000-0005-0000-0000-0000CB790000}"/>
    <cellStyle name="Normal 11 2 3 2 2 5" xfId="31539" xr:uid="{00000000-0005-0000-0000-0000CC790000}"/>
    <cellStyle name="Normal 11 2 3 2 2 5 2" xfId="31540" xr:uid="{00000000-0005-0000-0000-0000CD790000}"/>
    <cellStyle name="Normal 11 2 3 2 2 5 2 2" xfId="31541" xr:uid="{00000000-0005-0000-0000-0000CE790000}"/>
    <cellStyle name="Normal 11 2 3 2 2 5 2 3" xfId="31542" xr:uid="{00000000-0005-0000-0000-0000CF790000}"/>
    <cellStyle name="Normal 11 2 3 2 2 5 3" xfId="31543" xr:uid="{00000000-0005-0000-0000-0000D0790000}"/>
    <cellStyle name="Normal 11 2 3 2 2 5 4" xfId="31544" xr:uid="{00000000-0005-0000-0000-0000D1790000}"/>
    <cellStyle name="Normal 11 2 3 2 2 5 5" xfId="31545" xr:uid="{00000000-0005-0000-0000-0000D2790000}"/>
    <cellStyle name="Normal 11 2 3 2 2 5 6" xfId="31546" xr:uid="{00000000-0005-0000-0000-0000D3790000}"/>
    <cellStyle name="Normal 11 2 3 2 2 6" xfId="31547" xr:uid="{00000000-0005-0000-0000-0000D4790000}"/>
    <cellStyle name="Normal 11 2 3 2 2 6 2" xfId="31548" xr:uid="{00000000-0005-0000-0000-0000D5790000}"/>
    <cellStyle name="Normal 11 2 3 2 2 6 3" xfId="31549" xr:uid="{00000000-0005-0000-0000-0000D6790000}"/>
    <cellStyle name="Normal 11 2 3 2 2 7" xfId="31550" xr:uid="{00000000-0005-0000-0000-0000D7790000}"/>
    <cellStyle name="Normal 11 2 3 2 2 8" xfId="31551" xr:uid="{00000000-0005-0000-0000-0000D8790000}"/>
    <cellStyle name="Normal 11 2 3 2 2 9" xfId="31552" xr:uid="{00000000-0005-0000-0000-0000D9790000}"/>
    <cellStyle name="Normal 11 2 3 2 3" xfId="31553" xr:uid="{00000000-0005-0000-0000-0000DA790000}"/>
    <cellStyle name="Normal 11 2 3 2 3 2" xfId="31554" xr:uid="{00000000-0005-0000-0000-0000DB790000}"/>
    <cellStyle name="Normal 11 2 3 2 3 2 2" xfId="31555" xr:uid="{00000000-0005-0000-0000-0000DC790000}"/>
    <cellStyle name="Normal 11 2 3 2 3 2 2 2" xfId="31556" xr:uid="{00000000-0005-0000-0000-0000DD790000}"/>
    <cellStyle name="Normal 11 2 3 2 3 2 2 2 2" xfId="31557" xr:uid="{00000000-0005-0000-0000-0000DE790000}"/>
    <cellStyle name="Normal 11 2 3 2 3 2 2 2 3" xfId="31558" xr:uid="{00000000-0005-0000-0000-0000DF790000}"/>
    <cellStyle name="Normal 11 2 3 2 3 2 2 3" xfId="31559" xr:uid="{00000000-0005-0000-0000-0000E0790000}"/>
    <cellStyle name="Normal 11 2 3 2 3 2 2 4" xfId="31560" xr:uid="{00000000-0005-0000-0000-0000E1790000}"/>
    <cellStyle name="Normal 11 2 3 2 3 2 2 5" xfId="31561" xr:uid="{00000000-0005-0000-0000-0000E2790000}"/>
    <cellStyle name="Normal 11 2 3 2 3 2 2 6" xfId="31562" xr:uid="{00000000-0005-0000-0000-0000E3790000}"/>
    <cellStyle name="Normal 11 2 3 2 3 2 3" xfId="31563" xr:uid="{00000000-0005-0000-0000-0000E4790000}"/>
    <cellStyle name="Normal 11 2 3 2 3 2 3 2" xfId="31564" xr:uid="{00000000-0005-0000-0000-0000E5790000}"/>
    <cellStyle name="Normal 11 2 3 2 3 2 3 3" xfId="31565" xr:uid="{00000000-0005-0000-0000-0000E6790000}"/>
    <cellStyle name="Normal 11 2 3 2 3 2 4" xfId="31566" xr:uid="{00000000-0005-0000-0000-0000E7790000}"/>
    <cellStyle name="Normal 11 2 3 2 3 2 5" xfId="31567" xr:uid="{00000000-0005-0000-0000-0000E8790000}"/>
    <cellStyle name="Normal 11 2 3 2 3 2 6" xfId="31568" xr:uid="{00000000-0005-0000-0000-0000E9790000}"/>
    <cellStyle name="Normal 11 2 3 2 3 2 7" xfId="31569" xr:uid="{00000000-0005-0000-0000-0000EA790000}"/>
    <cellStyle name="Normal 11 2 3 2 3 3" xfId="31570" xr:uid="{00000000-0005-0000-0000-0000EB790000}"/>
    <cellStyle name="Normal 11 2 3 2 3 3 2" xfId="31571" xr:uid="{00000000-0005-0000-0000-0000EC790000}"/>
    <cellStyle name="Normal 11 2 3 2 3 3 2 2" xfId="31572" xr:uid="{00000000-0005-0000-0000-0000ED790000}"/>
    <cellStyle name="Normal 11 2 3 2 3 3 2 3" xfId="31573" xr:uid="{00000000-0005-0000-0000-0000EE790000}"/>
    <cellStyle name="Normal 11 2 3 2 3 3 3" xfId="31574" xr:uid="{00000000-0005-0000-0000-0000EF790000}"/>
    <cellStyle name="Normal 11 2 3 2 3 3 4" xfId="31575" xr:uid="{00000000-0005-0000-0000-0000F0790000}"/>
    <cellStyle name="Normal 11 2 3 2 3 3 5" xfId="31576" xr:uid="{00000000-0005-0000-0000-0000F1790000}"/>
    <cellStyle name="Normal 11 2 3 2 3 3 6" xfId="31577" xr:uid="{00000000-0005-0000-0000-0000F2790000}"/>
    <cellStyle name="Normal 11 2 3 2 3 4" xfId="31578" xr:uid="{00000000-0005-0000-0000-0000F3790000}"/>
    <cellStyle name="Normal 11 2 3 2 3 4 2" xfId="31579" xr:uid="{00000000-0005-0000-0000-0000F4790000}"/>
    <cellStyle name="Normal 11 2 3 2 3 4 2 2" xfId="31580" xr:uid="{00000000-0005-0000-0000-0000F5790000}"/>
    <cellStyle name="Normal 11 2 3 2 3 4 2 3" xfId="31581" xr:uid="{00000000-0005-0000-0000-0000F6790000}"/>
    <cellStyle name="Normal 11 2 3 2 3 4 3" xfId="31582" xr:uid="{00000000-0005-0000-0000-0000F7790000}"/>
    <cellStyle name="Normal 11 2 3 2 3 4 4" xfId="31583" xr:uid="{00000000-0005-0000-0000-0000F8790000}"/>
    <cellStyle name="Normal 11 2 3 2 3 4 5" xfId="31584" xr:uid="{00000000-0005-0000-0000-0000F9790000}"/>
    <cellStyle name="Normal 11 2 3 2 3 4 6" xfId="31585" xr:uid="{00000000-0005-0000-0000-0000FA790000}"/>
    <cellStyle name="Normal 11 2 3 2 3 5" xfId="31586" xr:uid="{00000000-0005-0000-0000-0000FB790000}"/>
    <cellStyle name="Normal 11 2 3 2 3 5 2" xfId="31587" xr:uid="{00000000-0005-0000-0000-0000FC790000}"/>
    <cellStyle name="Normal 11 2 3 2 3 5 3" xfId="31588" xr:uid="{00000000-0005-0000-0000-0000FD790000}"/>
    <cellStyle name="Normal 11 2 3 2 3 6" xfId="31589" xr:uid="{00000000-0005-0000-0000-0000FE790000}"/>
    <cellStyle name="Normal 11 2 3 2 3 7" xfId="31590" xr:uid="{00000000-0005-0000-0000-0000FF790000}"/>
    <cellStyle name="Normal 11 2 3 2 3 8" xfId="31591" xr:uid="{00000000-0005-0000-0000-0000007A0000}"/>
    <cellStyle name="Normal 11 2 3 2 3 9" xfId="31592" xr:uid="{00000000-0005-0000-0000-0000017A0000}"/>
    <cellStyle name="Normal 11 2 3 2 4" xfId="31593" xr:uid="{00000000-0005-0000-0000-0000027A0000}"/>
    <cellStyle name="Normal 11 2 3 2 4 2" xfId="31594" xr:uid="{00000000-0005-0000-0000-0000037A0000}"/>
    <cellStyle name="Normal 11 2 3 2 4 2 2" xfId="31595" xr:uid="{00000000-0005-0000-0000-0000047A0000}"/>
    <cellStyle name="Normal 11 2 3 2 4 2 2 2" xfId="31596" xr:uid="{00000000-0005-0000-0000-0000057A0000}"/>
    <cellStyle name="Normal 11 2 3 2 4 2 2 3" xfId="31597" xr:uid="{00000000-0005-0000-0000-0000067A0000}"/>
    <cellStyle name="Normal 11 2 3 2 4 2 3" xfId="31598" xr:uid="{00000000-0005-0000-0000-0000077A0000}"/>
    <cellStyle name="Normal 11 2 3 2 4 2 4" xfId="31599" xr:uid="{00000000-0005-0000-0000-0000087A0000}"/>
    <cellStyle name="Normal 11 2 3 2 4 2 5" xfId="31600" xr:uid="{00000000-0005-0000-0000-0000097A0000}"/>
    <cellStyle name="Normal 11 2 3 2 4 2 6" xfId="31601" xr:uid="{00000000-0005-0000-0000-00000A7A0000}"/>
    <cellStyle name="Normal 11 2 3 2 4 3" xfId="31602" xr:uid="{00000000-0005-0000-0000-00000B7A0000}"/>
    <cellStyle name="Normal 11 2 3 2 4 3 2" xfId="31603" xr:uid="{00000000-0005-0000-0000-00000C7A0000}"/>
    <cellStyle name="Normal 11 2 3 2 4 3 3" xfId="31604" xr:uid="{00000000-0005-0000-0000-00000D7A0000}"/>
    <cellStyle name="Normal 11 2 3 2 4 4" xfId="31605" xr:uid="{00000000-0005-0000-0000-00000E7A0000}"/>
    <cellStyle name="Normal 11 2 3 2 4 5" xfId="31606" xr:uid="{00000000-0005-0000-0000-00000F7A0000}"/>
    <cellStyle name="Normal 11 2 3 2 4 6" xfId="31607" xr:uid="{00000000-0005-0000-0000-0000107A0000}"/>
    <cellStyle name="Normal 11 2 3 2 4 7" xfId="31608" xr:uid="{00000000-0005-0000-0000-0000117A0000}"/>
    <cellStyle name="Normal 11 2 3 2 5" xfId="31609" xr:uid="{00000000-0005-0000-0000-0000127A0000}"/>
    <cellStyle name="Normal 11 2 3 2 5 2" xfId="31610" xr:uid="{00000000-0005-0000-0000-0000137A0000}"/>
    <cellStyle name="Normal 11 2 3 2 5 2 2" xfId="31611" xr:uid="{00000000-0005-0000-0000-0000147A0000}"/>
    <cellStyle name="Normal 11 2 3 2 5 2 3" xfId="31612" xr:uid="{00000000-0005-0000-0000-0000157A0000}"/>
    <cellStyle name="Normal 11 2 3 2 5 3" xfId="31613" xr:uid="{00000000-0005-0000-0000-0000167A0000}"/>
    <cellStyle name="Normal 11 2 3 2 5 4" xfId="31614" xr:uid="{00000000-0005-0000-0000-0000177A0000}"/>
    <cellStyle name="Normal 11 2 3 2 5 5" xfId="31615" xr:uid="{00000000-0005-0000-0000-0000187A0000}"/>
    <cellStyle name="Normal 11 2 3 2 5 6" xfId="31616" xr:uid="{00000000-0005-0000-0000-0000197A0000}"/>
    <cellStyle name="Normal 11 2 3 2 6" xfId="31617" xr:uid="{00000000-0005-0000-0000-00001A7A0000}"/>
    <cellStyle name="Normal 11 2 3 2 6 2" xfId="31618" xr:uid="{00000000-0005-0000-0000-00001B7A0000}"/>
    <cellStyle name="Normal 11 2 3 2 6 2 2" xfId="31619" xr:uid="{00000000-0005-0000-0000-00001C7A0000}"/>
    <cellStyle name="Normal 11 2 3 2 6 2 3" xfId="31620" xr:uid="{00000000-0005-0000-0000-00001D7A0000}"/>
    <cellStyle name="Normal 11 2 3 2 6 3" xfId="31621" xr:uid="{00000000-0005-0000-0000-00001E7A0000}"/>
    <cellStyle name="Normal 11 2 3 2 6 4" xfId="31622" xr:uid="{00000000-0005-0000-0000-00001F7A0000}"/>
    <cellStyle name="Normal 11 2 3 2 6 5" xfId="31623" xr:uid="{00000000-0005-0000-0000-0000207A0000}"/>
    <cellStyle name="Normal 11 2 3 2 6 6" xfId="31624" xr:uid="{00000000-0005-0000-0000-0000217A0000}"/>
    <cellStyle name="Normal 11 2 3 2 7" xfId="31625" xr:uid="{00000000-0005-0000-0000-0000227A0000}"/>
    <cellStyle name="Normal 11 2 3 2 7 2" xfId="31626" xr:uid="{00000000-0005-0000-0000-0000237A0000}"/>
    <cellStyle name="Normal 11 2 3 2 7 2 2" xfId="31627" xr:uid="{00000000-0005-0000-0000-0000247A0000}"/>
    <cellStyle name="Normal 11 2 3 2 7 2 3" xfId="31628" xr:uid="{00000000-0005-0000-0000-0000257A0000}"/>
    <cellStyle name="Normal 11 2 3 2 7 3" xfId="31629" xr:uid="{00000000-0005-0000-0000-0000267A0000}"/>
    <cellStyle name="Normal 11 2 3 2 7 4" xfId="31630" xr:uid="{00000000-0005-0000-0000-0000277A0000}"/>
    <cellStyle name="Normal 11 2 3 2 7 5" xfId="31631" xr:uid="{00000000-0005-0000-0000-0000287A0000}"/>
    <cellStyle name="Normal 11 2 3 2 7 6" xfId="31632" xr:uid="{00000000-0005-0000-0000-0000297A0000}"/>
    <cellStyle name="Normal 11 2 3 2 8" xfId="31633" xr:uid="{00000000-0005-0000-0000-00002A7A0000}"/>
    <cellStyle name="Normal 11 2 3 2 8 2" xfId="31634" xr:uid="{00000000-0005-0000-0000-00002B7A0000}"/>
    <cellStyle name="Normal 11 2 3 2 8 2 2" xfId="31635" xr:uid="{00000000-0005-0000-0000-00002C7A0000}"/>
    <cellStyle name="Normal 11 2 3 2 8 2 3" xfId="31636" xr:uid="{00000000-0005-0000-0000-00002D7A0000}"/>
    <cellStyle name="Normal 11 2 3 2 8 3" xfId="31637" xr:uid="{00000000-0005-0000-0000-00002E7A0000}"/>
    <cellStyle name="Normal 11 2 3 2 8 4" xfId="31638" xr:uid="{00000000-0005-0000-0000-00002F7A0000}"/>
    <cellStyle name="Normal 11 2 3 2 8 5" xfId="31639" xr:uid="{00000000-0005-0000-0000-0000307A0000}"/>
    <cellStyle name="Normal 11 2 3 2 8 6" xfId="31640" xr:uid="{00000000-0005-0000-0000-0000317A0000}"/>
    <cellStyle name="Normal 11 2 3 2 9" xfId="31641" xr:uid="{00000000-0005-0000-0000-0000327A0000}"/>
    <cellStyle name="Normal 11 2 3 2 9 2" xfId="31642" xr:uid="{00000000-0005-0000-0000-0000337A0000}"/>
    <cellStyle name="Normal 11 2 3 2 9 3" xfId="31643" xr:uid="{00000000-0005-0000-0000-0000347A0000}"/>
    <cellStyle name="Normal 11 2 3 3" xfId="31644" xr:uid="{00000000-0005-0000-0000-0000357A0000}"/>
    <cellStyle name="Normal 11 2 3 3 10" xfId="31645" xr:uid="{00000000-0005-0000-0000-0000367A0000}"/>
    <cellStyle name="Normal 11 2 3 3 2" xfId="31646" xr:uid="{00000000-0005-0000-0000-0000377A0000}"/>
    <cellStyle name="Normal 11 2 3 3 2 2" xfId="31647" xr:uid="{00000000-0005-0000-0000-0000387A0000}"/>
    <cellStyle name="Normal 11 2 3 3 2 2 2" xfId="31648" xr:uid="{00000000-0005-0000-0000-0000397A0000}"/>
    <cellStyle name="Normal 11 2 3 3 2 2 2 2" xfId="31649" xr:uid="{00000000-0005-0000-0000-00003A7A0000}"/>
    <cellStyle name="Normal 11 2 3 3 2 2 2 3" xfId="31650" xr:uid="{00000000-0005-0000-0000-00003B7A0000}"/>
    <cellStyle name="Normal 11 2 3 3 2 2 3" xfId="31651" xr:uid="{00000000-0005-0000-0000-00003C7A0000}"/>
    <cellStyle name="Normal 11 2 3 3 2 2 4" xfId="31652" xr:uid="{00000000-0005-0000-0000-00003D7A0000}"/>
    <cellStyle name="Normal 11 2 3 3 2 2 5" xfId="31653" xr:uid="{00000000-0005-0000-0000-00003E7A0000}"/>
    <cellStyle name="Normal 11 2 3 3 2 2 6" xfId="31654" xr:uid="{00000000-0005-0000-0000-00003F7A0000}"/>
    <cellStyle name="Normal 11 2 3 3 2 3" xfId="31655" xr:uid="{00000000-0005-0000-0000-0000407A0000}"/>
    <cellStyle name="Normal 11 2 3 3 2 3 2" xfId="31656" xr:uid="{00000000-0005-0000-0000-0000417A0000}"/>
    <cellStyle name="Normal 11 2 3 3 2 3 2 2" xfId="31657" xr:uid="{00000000-0005-0000-0000-0000427A0000}"/>
    <cellStyle name="Normal 11 2 3 3 2 3 2 3" xfId="31658" xr:uid="{00000000-0005-0000-0000-0000437A0000}"/>
    <cellStyle name="Normal 11 2 3 3 2 3 3" xfId="31659" xr:uid="{00000000-0005-0000-0000-0000447A0000}"/>
    <cellStyle name="Normal 11 2 3 3 2 3 4" xfId="31660" xr:uid="{00000000-0005-0000-0000-0000457A0000}"/>
    <cellStyle name="Normal 11 2 3 3 2 3 5" xfId="31661" xr:uid="{00000000-0005-0000-0000-0000467A0000}"/>
    <cellStyle name="Normal 11 2 3 3 2 3 6" xfId="31662" xr:uid="{00000000-0005-0000-0000-0000477A0000}"/>
    <cellStyle name="Normal 11 2 3 3 2 4" xfId="31663" xr:uid="{00000000-0005-0000-0000-0000487A0000}"/>
    <cellStyle name="Normal 11 2 3 3 2 4 2" xfId="31664" xr:uid="{00000000-0005-0000-0000-0000497A0000}"/>
    <cellStyle name="Normal 11 2 3 3 2 4 3" xfId="31665" xr:uid="{00000000-0005-0000-0000-00004A7A0000}"/>
    <cellStyle name="Normal 11 2 3 3 2 5" xfId="31666" xr:uid="{00000000-0005-0000-0000-00004B7A0000}"/>
    <cellStyle name="Normal 11 2 3 3 2 6" xfId="31667" xr:uid="{00000000-0005-0000-0000-00004C7A0000}"/>
    <cellStyle name="Normal 11 2 3 3 2 7" xfId="31668" xr:uid="{00000000-0005-0000-0000-00004D7A0000}"/>
    <cellStyle name="Normal 11 2 3 3 2 8" xfId="31669" xr:uid="{00000000-0005-0000-0000-00004E7A0000}"/>
    <cellStyle name="Normal 11 2 3 3 3" xfId="31670" xr:uid="{00000000-0005-0000-0000-00004F7A0000}"/>
    <cellStyle name="Normal 11 2 3 3 3 2" xfId="31671" xr:uid="{00000000-0005-0000-0000-0000507A0000}"/>
    <cellStyle name="Normal 11 2 3 3 3 2 2" xfId="31672" xr:uid="{00000000-0005-0000-0000-0000517A0000}"/>
    <cellStyle name="Normal 11 2 3 3 3 2 2 2" xfId="31673" xr:uid="{00000000-0005-0000-0000-0000527A0000}"/>
    <cellStyle name="Normal 11 2 3 3 3 2 2 3" xfId="31674" xr:uid="{00000000-0005-0000-0000-0000537A0000}"/>
    <cellStyle name="Normal 11 2 3 3 3 2 3" xfId="31675" xr:uid="{00000000-0005-0000-0000-0000547A0000}"/>
    <cellStyle name="Normal 11 2 3 3 3 2 4" xfId="31676" xr:uid="{00000000-0005-0000-0000-0000557A0000}"/>
    <cellStyle name="Normal 11 2 3 3 3 2 5" xfId="31677" xr:uid="{00000000-0005-0000-0000-0000567A0000}"/>
    <cellStyle name="Normal 11 2 3 3 3 2 6" xfId="31678" xr:uid="{00000000-0005-0000-0000-0000577A0000}"/>
    <cellStyle name="Normal 11 2 3 3 3 3" xfId="31679" xr:uid="{00000000-0005-0000-0000-0000587A0000}"/>
    <cellStyle name="Normal 11 2 3 3 3 3 2" xfId="31680" xr:uid="{00000000-0005-0000-0000-0000597A0000}"/>
    <cellStyle name="Normal 11 2 3 3 3 3 3" xfId="31681" xr:uid="{00000000-0005-0000-0000-00005A7A0000}"/>
    <cellStyle name="Normal 11 2 3 3 3 4" xfId="31682" xr:uid="{00000000-0005-0000-0000-00005B7A0000}"/>
    <cellStyle name="Normal 11 2 3 3 3 5" xfId="31683" xr:uid="{00000000-0005-0000-0000-00005C7A0000}"/>
    <cellStyle name="Normal 11 2 3 3 3 6" xfId="31684" xr:uid="{00000000-0005-0000-0000-00005D7A0000}"/>
    <cellStyle name="Normal 11 2 3 3 3 7" xfId="31685" xr:uid="{00000000-0005-0000-0000-00005E7A0000}"/>
    <cellStyle name="Normal 11 2 3 3 4" xfId="31686" xr:uid="{00000000-0005-0000-0000-00005F7A0000}"/>
    <cellStyle name="Normal 11 2 3 3 4 2" xfId="31687" xr:uid="{00000000-0005-0000-0000-0000607A0000}"/>
    <cellStyle name="Normal 11 2 3 3 4 2 2" xfId="31688" xr:uid="{00000000-0005-0000-0000-0000617A0000}"/>
    <cellStyle name="Normal 11 2 3 3 4 2 3" xfId="31689" xr:uid="{00000000-0005-0000-0000-0000627A0000}"/>
    <cellStyle name="Normal 11 2 3 3 4 3" xfId="31690" xr:uid="{00000000-0005-0000-0000-0000637A0000}"/>
    <cellStyle name="Normal 11 2 3 3 4 4" xfId="31691" xr:uid="{00000000-0005-0000-0000-0000647A0000}"/>
    <cellStyle name="Normal 11 2 3 3 4 5" xfId="31692" xr:uid="{00000000-0005-0000-0000-0000657A0000}"/>
    <cellStyle name="Normal 11 2 3 3 4 6" xfId="31693" xr:uid="{00000000-0005-0000-0000-0000667A0000}"/>
    <cellStyle name="Normal 11 2 3 3 5" xfId="31694" xr:uid="{00000000-0005-0000-0000-0000677A0000}"/>
    <cellStyle name="Normal 11 2 3 3 5 2" xfId="31695" xr:uid="{00000000-0005-0000-0000-0000687A0000}"/>
    <cellStyle name="Normal 11 2 3 3 5 2 2" xfId="31696" xr:uid="{00000000-0005-0000-0000-0000697A0000}"/>
    <cellStyle name="Normal 11 2 3 3 5 2 3" xfId="31697" xr:uid="{00000000-0005-0000-0000-00006A7A0000}"/>
    <cellStyle name="Normal 11 2 3 3 5 3" xfId="31698" xr:uid="{00000000-0005-0000-0000-00006B7A0000}"/>
    <cellStyle name="Normal 11 2 3 3 5 4" xfId="31699" xr:uid="{00000000-0005-0000-0000-00006C7A0000}"/>
    <cellStyle name="Normal 11 2 3 3 5 5" xfId="31700" xr:uid="{00000000-0005-0000-0000-00006D7A0000}"/>
    <cellStyle name="Normal 11 2 3 3 5 6" xfId="31701" xr:uid="{00000000-0005-0000-0000-00006E7A0000}"/>
    <cellStyle name="Normal 11 2 3 3 6" xfId="31702" xr:uid="{00000000-0005-0000-0000-00006F7A0000}"/>
    <cellStyle name="Normal 11 2 3 3 6 2" xfId="31703" xr:uid="{00000000-0005-0000-0000-0000707A0000}"/>
    <cellStyle name="Normal 11 2 3 3 6 3" xfId="31704" xr:uid="{00000000-0005-0000-0000-0000717A0000}"/>
    <cellStyle name="Normal 11 2 3 3 7" xfId="31705" xr:uid="{00000000-0005-0000-0000-0000727A0000}"/>
    <cellStyle name="Normal 11 2 3 3 8" xfId="31706" xr:uid="{00000000-0005-0000-0000-0000737A0000}"/>
    <cellStyle name="Normal 11 2 3 3 9" xfId="31707" xr:uid="{00000000-0005-0000-0000-0000747A0000}"/>
    <cellStyle name="Normal 11 2 3 4" xfId="31708" xr:uid="{00000000-0005-0000-0000-0000757A0000}"/>
    <cellStyle name="Normal 11 2 3 4 2" xfId="31709" xr:uid="{00000000-0005-0000-0000-0000767A0000}"/>
    <cellStyle name="Normal 11 2 3 4 2 2" xfId="31710" xr:uid="{00000000-0005-0000-0000-0000777A0000}"/>
    <cellStyle name="Normal 11 2 3 4 2 2 2" xfId="31711" xr:uid="{00000000-0005-0000-0000-0000787A0000}"/>
    <cellStyle name="Normal 11 2 3 4 2 2 2 2" xfId="31712" xr:uid="{00000000-0005-0000-0000-0000797A0000}"/>
    <cellStyle name="Normal 11 2 3 4 2 2 2 3" xfId="31713" xr:uid="{00000000-0005-0000-0000-00007A7A0000}"/>
    <cellStyle name="Normal 11 2 3 4 2 2 3" xfId="31714" xr:uid="{00000000-0005-0000-0000-00007B7A0000}"/>
    <cellStyle name="Normal 11 2 3 4 2 2 4" xfId="31715" xr:uid="{00000000-0005-0000-0000-00007C7A0000}"/>
    <cellStyle name="Normal 11 2 3 4 2 2 5" xfId="31716" xr:uid="{00000000-0005-0000-0000-00007D7A0000}"/>
    <cellStyle name="Normal 11 2 3 4 2 2 6" xfId="31717" xr:uid="{00000000-0005-0000-0000-00007E7A0000}"/>
    <cellStyle name="Normal 11 2 3 4 2 3" xfId="31718" xr:uid="{00000000-0005-0000-0000-00007F7A0000}"/>
    <cellStyle name="Normal 11 2 3 4 2 3 2" xfId="31719" xr:uid="{00000000-0005-0000-0000-0000807A0000}"/>
    <cellStyle name="Normal 11 2 3 4 2 3 3" xfId="31720" xr:uid="{00000000-0005-0000-0000-0000817A0000}"/>
    <cellStyle name="Normal 11 2 3 4 2 4" xfId="31721" xr:uid="{00000000-0005-0000-0000-0000827A0000}"/>
    <cellStyle name="Normal 11 2 3 4 2 5" xfId="31722" xr:uid="{00000000-0005-0000-0000-0000837A0000}"/>
    <cellStyle name="Normal 11 2 3 4 2 6" xfId="31723" xr:uid="{00000000-0005-0000-0000-0000847A0000}"/>
    <cellStyle name="Normal 11 2 3 4 2 7" xfId="31724" xr:uid="{00000000-0005-0000-0000-0000857A0000}"/>
    <cellStyle name="Normal 11 2 3 4 3" xfId="31725" xr:uid="{00000000-0005-0000-0000-0000867A0000}"/>
    <cellStyle name="Normal 11 2 3 4 3 2" xfId="31726" xr:uid="{00000000-0005-0000-0000-0000877A0000}"/>
    <cellStyle name="Normal 11 2 3 4 3 2 2" xfId="31727" xr:uid="{00000000-0005-0000-0000-0000887A0000}"/>
    <cellStyle name="Normal 11 2 3 4 3 2 3" xfId="31728" xr:uid="{00000000-0005-0000-0000-0000897A0000}"/>
    <cellStyle name="Normal 11 2 3 4 3 3" xfId="31729" xr:uid="{00000000-0005-0000-0000-00008A7A0000}"/>
    <cellStyle name="Normal 11 2 3 4 3 4" xfId="31730" xr:uid="{00000000-0005-0000-0000-00008B7A0000}"/>
    <cellStyle name="Normal 11 2 3 4 3 5" xfId="31731" xr:uid="{00000000-0005-0000-0000-00008C7A0000}"/>
    <cellStyle name="Normal 11 2 3 4 3 6" xfId="31732" xr:uid="{00000000-0005-0000-0000-00008D7A0000}"/>
    <cellStyle name="Normal 11 2 3 4 4" xfId="31733" xr:uid="{00000000-0005-0000-0000-00008E7A0000}"/>
    <cellStyle name="Normal 11 2 3 4 4 2" xfId="31734" xr:uid="{00000000-0005-0000-0000-00008F7A0000}"/>
    <cellStyle name="Normal 11 2 3 4 4 2 2" xfId="31735" xr:uid="{00000000-0005-0000-0000-0000907A0000}"/>
    <cellStyle name="Normal 11 2 3 4 4 2 3" xfId="31736" xr:uid="{00000000-0005-0000-0000-0000917A0000}"/>
    <cellStyle name="Normal 11 2 3 4 4 3" xfId="31737" xr:uid="{00000000-0005-0000-0000-0000927A0000}"/>
    <cellStyle name="Normal 11 2 3 4 4 4" xfId="31738" xr:uid="{00000000-0005-0000-0000-0000937A0000}"/>
    <cellStyle name="Normal 11 2 3 4 4 5" xfId="31739" xr:uid="{00000000-0005-0000-0000-0000947A0000}"/>
    <cellStyle name="Normal 11 2 3 4 4 6" xfId="31740" xr:uid="{00000000-0005-0000-0000-0000957A0000}"/>
    <cellStyle name="Normal 11 2 3 4 5" xfId="31741" xr:uid="{00000000-0005-0000-0000-0000967A0000}"/>
    <cellStyle name="Normal 11 2 3 4 5 2" xfId="31742" xr:uid="{00000000-0005-0000-0000-0000977A0000}"/>
    <cellStyle name="Normal 11 2 3 4 5 3" xfId="31743" xr:uid="{00000000-0005-0000-0000-0000987A0000}"/>
    <cellStyle name="Normal 11 2 3 4 6" xfId="31744" xr:uid="{00000000-0005-0000-0000-0000997A0000}"/>
    <cellStyle name="Normal 11 2 3 4 7" xfId="31745" xr:uid="{00000000-0005-0000-0000-00009A7A0000}"/>
    <cellStyle name="Normal 11 2 3 4 8" xfId="31746" xr:uid="{00000000-0005-0000-0000-00009B7A0000}"/>
    <cellStyle name="Normal 11 2 3 4 9" xfId="31747" xr:uid="{00000000-0005-0000-0000-00009C7A0000}"/>
    <cellStyle name="Normal 11 2 3 5" xfId="31748" xr:uid="{00000000-0005-0000-0000-00009D7A0000}"/>
    <cellStyle name="Normal 11 2 3 5 2" xfId="31749" xr:uid="{00000000-0005-0000-0000-00009E7A0000}"/>
    <cellStyle name="Normal 11 2 3 5 2 2" xfId="31750" xr:uid="{00000000-0005-0000-0000-00009F7A0000}"/>
    <cellStyle name="Normal 11 2 3 5 2 2 2" xfId="31751" xr:uid="{00000000-0005-0000-0000-0000A07A0000}"/>
    <cellStyle name="Normal 11 2 3 5 2 2 3" xfId="31752" xr:uid="{00000000-0005-0000-0000-0000A17A0000}"/>
    <cellStyle name="Normal 11 2 3 5 2 3" xfId="31753" xr:uid="{00000000-0005-0000-0000-0000A27A0000}"/>
    <cellStyle name="Normal 11 2 3 5 2 4" xfId="31754" xr:uid="{00000000-0005-0000-0000-0000A37A0000}"/>
    <cellStyle name="Normal 11 2 3 5 2 5" xfId="31755" xr:uid="{00000000-0005-0000-0000-0000A47A0000}"/>
    <cellStyle name="Normal 11 2 3 5 2 6" xfId="31756" xr:uid="{00000000-0005-0000-0000-0000A57A0000}"/>
    <cellStyle name="Normal 11 2 3 5 3" xfId="31757" xr:uid="{00000000-0005-0000-0000-0000A67A0000}"/>
    <cellStyle name="Normal 11 2 3 5 3 2" xfId="31758" xr:uid="{00000000-0005-0000-0000-0000A77A0000}"/>
    <cellStyle name="Normal 11 2 3 5 3 3" xfId="31759" xr:uid="{00000000-0005-0000-0000-0000A87A0000}"/>
    <cellStyle name="Normal 11 2 3 5 4" xfId="31760" xr:uid="{00000000-0005-0000-0000-0000A97A0000}"/>
    <cellStyle name="Normal 11 2 3 5 5" xfId="31761" xr:uid="{00000000-0005-0000-0000-0000AA7A0000}"/>
    <cellStyle name="Normal 11 2 3 5 6" xfId="31762" xr:uid="{00000000-0005-0000-0000-0000AB7A0000}"/>
    <cellStyle name="Normal 11 2 3 5 7" xfId="31763" xr:uid="{00000000-0005-0000-0000-0000AC7A0000}"/>
    <cellStyle name="Normal 11 2 3 6" xfId="31764" xr:uid="{00000000-0005-0000-0000-0000AD7A0000}"/>
    <cellStyle name="Normal 11 2 3 6 2" xfId="31765" xr:uid="{00000000-0005-0000-0000-0000AE7A0000}"/>
    <cellStyle name="Normal 11 2 3 6 2 2" xfId="31766" xr:uid="{00000000-0005-0000-0000-0000AF7A0000}"/>
    <cellStyle name="Normal 11 2 3 6 2 3" xfId="31767" xr:uid="{00000000-0005-0000-0000-0000B07A0000}"/>
    <cellStyle name="Normal 11 2 3 6 3" xfId="31768" xr:uid="{00000000-0005-0000-0000-0000B17A0000}"/>
    <cellStyle name="Normal 11 2 3 6 4" xfId="31769" xr:uid="{00000000-0005-0000-0000-0000B27A0000}"/>
    <cellStyle name="Normal 11 2 3 6 5" xfId="31770" xr:uid="{00000000-0005-0000-0000-0000B37A0000}"/>
    <cellStyle name="Normal 11 2 3 6 6" xfId="31771" xr:uid="{00000000-0005-0000-0000-0000B47A0000}"/>
    <cellStyle name="Normal 11 2 3 7" xfId="31772" xr:uid="{00000000-0005-0000-0000-0000B57A0000}"/>
    <cellStyle name="Normal 11 2 3 7 2" xfId="31773" xr:uid="{00000000-0005-0000-0000-0000B67A0000}"/>
    <cellStyle name="Normal 11 2 3 7 2 2" xfId="31774" xr:uid="{00000000-0005-0000-0000-0000B77A0000}"/>
    <cellStyle name="Normal 11 2 3 7 2 3" xfId="31775" xr:uid="{00000000-0005-0000-0000-0000B87A0000}"/>
    <cellStyle name="Normal 11 2 3 7 3" xfId="31776" xr:uid="{00000000-0005-0000-0000-0000B97A0000}"/>
    <cellStyle name="Normal 11 2 3 7 4" xfId="31777" xr:uid="{00000000-0005-0000-0000-0000BA7A0000}"/>
    <cellStyle name="Normal 11 2 3 7 5" xfId="31778" xr:uid="{00000000-0005-0000-0000-0000BB7A0000}"/>
    <cellStyle name="Normal 11 2 3 7 6" xfId="31779" xr:uid="{00000000-0005-0000-0000-0000BC7A0000}"/>
    <cellStyle name="Normal 11 2 3 8" xfId="31780" xr:uid="{00000000-0005-0000-0000-0000BD7A0000}"/>
    <cellStyle name="Normal 11 2 3 8 2" xfId="31781" xr:uid="{00000000-0005-0000-0000-0000BE7A0000}"/>
    <cellStyle name="Normal 11 2 3 8 2 2" xfId="31782" xr:uid="{00000000-0005-0000-0000-0000BF7A0000}"/>
    <cellStyle name="Normal 11 2 3 8 2 3" xfId="31783" xr:uid="{00000000-0005-0000-0000-0000C07A0000}"/>
    <cellStyle name="Normal 11 2 3 8 3" xfId="31784" xr:uid="{00000000-0005-0000-0000-0000C17A0000}"/>
    <cellStyle name="Normal 11 2 3 8 4" xfId="31785" xr:uid="{00000000-0005-0000-0000-0000C27A0000}"/>
    <cellStyle name="Normal 11 2 3 8 5" xfId="31786" xr:uid="{00000000-0005-0000-0000-0000C37A0000}"/>
    <cellStyle name="Normal 11 2 3 8 6" xfId="31787" xr:uid="{00000000-0005-0000-0000-0000C47A0000}"/>
    <cellStyle name="Normal 11 2 3 9" xfId="31788" xr:uid="{00000000-0005-0000-0000-0000C57A0000}"/>
    <cellStyle name="Normal 11 2 3 9 2" xfId="31789" xr:uid="{00000000-0005-0000-0000-0000C67A0000}"/>
    <cellStyle name="Normal 11 2 3 9 2 2" xfId="31790" xr:uid="{00000000-0005-0000-0000-0000C77A0000}"/>
    <cellStyle name="Normal 11 2 3 9 2 3" xfId="31791" xr:uid="{00000000-0005-0000-0000-0000C87A0000}"/>
    <cellStyle name="Normal 11 2 3 9 3" xfId="31792" xr:uid="{00000000-0005-0000-0000-0000C97A0000}"/>
    <cellStyle name="Normal 11 2 3 9 4" xfId="31793" xr:uid="{00000000-0005-0000-0000-0000CA7A0000}"/>
    <cellStyle name="Normal 11 2 3 9 5" xfId="31794" xr:uid="{00000000-0005-0000-0000-0000CB7A0000}"/>
    <cellStyle name="Normal 11 2 3 9 6" xfId="31795" xr:uid="{00000000-0005-0000-0000-0000CC7A0000}"/>
    <cellStyle name="Normal 11 2 4" xfId="31796" xr:uid="{00000000-0005-0000-0000-0000CD7A0000}"/>
    <cellStyle name="Normal 11 2 4 10" xfId="31797" xr:uid="{00000000-0005-0000-0000-0000CE7A0000}"/>
    <cellStyle name="Normal 11 2 4 11" xfId="31798" xr:uid="{00000000-0005-0000-0000-0000CF7A0000}"/>
    <cellStyle name="Normal 11 2 4 12" xfId="31799" xr:uid="{00000000-0005-0000-0000-0000D07A0000}"/>
    <cellStyle name="Normal 11 2 4 13" xfId="31800" xr:uid="{00000000-0005-0000-0000-0000D17A0000}"/>
    <cellStyle name="Normal 11 2 4 2" xfId="31801" xr:uid="{00000000-0005-0000-0000-0000D27A0000}"/>
    <cellStyle name="Normal 11 2 4 2 10" xfId="31802" xr:uid="{00000000-0005-0000-0000-0000D37A0000}"/>
    <cellStyle name="Normal 11 2 4 2 2" xfId="31803" xr:uid="{00000000-0005-0000-0000-0000D47A0000}"/>
    <cellStyle name="Normal 11 2 4 2 2 2" xfId="31804" xr:uid="{00000000-0005-0000-0000-0000D57A0000}"/>
    <cellStyle name="Normal 11 2 4 2 2 2 2" xfId="31805" xr:uid="{00000000-0005-0000-0000-0000D67A0000}"/>
    <cellStyle name="Normal 11 2 4 2 2 2 2 2" xfId="31806" xr:uid="{00000000-0005-0000-0000-0000D77A0000}"/>
    <cellStyle name="Normal 11 2 4 2 2 2 2 3" xfId="31807" xr:uid="{00000000-0005-0000-0000-0000D87A0000}"/>
    <cellStyle name="Normal 11 2 4 2 2 2 3" xfId="31808" xr:uid="{00000000-0005-0000-0000-0000D97A0000}"/>
    <cellStyle name="Normal 11 2 4 2 2 2 4" xfId="31809" xr:uid="{00000000-0005-0000-0000-0000DA7A0000}"/>
    <cellStyle name="Normal 11 2 4 2 2 2 5" xfId="31810" xr:uid="{00000000-0005-0000-0000-0000DB7A0000}"/>
    <cellStyle name="Normal 11 2 4 2 2 2 6" xfId="31811" xr:uid="{00000000-0005-0000-0000-0000DC7A0000}"/>
    <cellStyle name="Normal 11 2 4 2 2 3" xfId="31812" xr:uid="{00000000-0005-0000-0000-0000DD7A0000}"/>
    <cellStyle name="Normal 11 2 4 2 2 3 2" xfId="31813" xr:uid="{00000000-0005-0000-0000-0000DE7A0000}"/>
    <cellStyle name="Normal 11 2 4 2 2 3 2 2" xfId="31814" xr:uid="{00000000-0005-0000-0000-0000DF7A0000}"/>
    <cellStyle name="Normal 11 2 4 2 2 3 2 3" xfId="31815" xr:uid="{00000000-0005-0000-0000-0000E07A0000}"/>
    <cellStyle name="Normal 11 2 4 2 2 3 3" xfId="31816" xr:uid="{00000000-0005-0000-0000-0000E17A0000}"/>
    <cellStyle name="Normal 11 2 4 2 2 3 4" xfId="31817" xr:uid="{00000000-0005-0000-0000-0000E27A0000}"/>
    <cellStyle name="Normal 11 2 4 2 2 3 5" xfId="31818" xr:uid="{00000000-0005-0000-0000-0000E37A0000}"/>
    <cellStyle name="Normal 11 2 4 2 2 3 6" xfId="31819" xr:uid="{00000000-0005-0000-0000-0000E47A0000}"/>
    <cellStyle name="Normal 11 2 4 2 2 4" xfId="31820" xr:uid="{00000000-0005-0000-0000-0000E57A0000}"/>
    <cellStyle name="Normal 11 2 4 2 2 4 2" xfId="31821" xr:uid="{00000000-0005-0000-0000-0000E67A0000}"/>
    <cellStyle name="Normal 11 2 4 2 2 4 3" xfId="31822" xr:uid="{00000000-0005-0000-0000-0000E77A0000}"/>
    <cellStyle name="Normal 11 2 4 2 2 5" xfId="31823" xr:uid="{00000000-0005-0000-0000-0000E87A0000}"/>
    <cellStyle name="Normal 11 2 4 2 2 6" xfId="31824" xr:uid="{00000000-0005-0000-0000-0000E97A0000}"/>
    <cellStyle name="Normal 11 2 4 2 2 7" xfId="31825" xr:uid="{00000000-0005-0000-0000-0000EA7A0000}"/>
    <cellStyle name="Normal 11 2 4 2 2 8" xfId="31826" xr:uid="{00000000-0005-0000-0000-0000EB7A0000}"/>
    <cellStyle name="Normal 11 2 4 2 3" xfId="31827" xr:uid="{00000000-0005-0000-0000-0000EC7A0000}"/>
    <cellStyle name="Normal 11 2 4 2 3 2" xfId="31828" xr:uid="{00000000-0005-0000-0000-0000ED7A0000}"/>
    <cellStyle name="Normal 11 2 4 2 3 2 2" xfId="31829" xr:uid="{00000000-0005-0000-0000-0000EE7A0000}"/>
    <cellStyle name="Normal 11 2 4 2 3 2 2 2" xfId="31830" xr:uid="{00000000-0005-0000-0000-0000EF7A0000}"/>
    <cellStyle name="Normal 11 2 4 2 3 2 2 3" xfId="31831" xr:uid="{00000000-0005-0000-0000-0000F07A0000}"/>
    <cellStyle name="Normal 11 2 4 2 3 2 3" xfId="31832" xr:uid="{00000000-0005-0000-0000-0000F17A0000}"/>
    <cellStyle name="Normal 11 2 4 2 3 2 4" xfId="31833" xr:uid="{00000000-0005-0000-0000-0000F27A0000}"/>
    <cellStyle name="Normal 11 2 4 2 3 2 5" xfId="31834" xr:uid="{00000000-0005-0000-0000-0000F37A0000}"/>
    <cellStyle name="Normal 11 2 4 2 3 2 6" xfId="31835" xr:uid="{00000000-0005-0000-0000-0000F47A0000}"/>
    <cellStyle name="Normal 11 2 4 2 3 3" xfId="31836" xr:uid="{00000000-0005-0000-0000-0000F57A0000}"/>
    <cellStyle name="Normal 11 2 4 2 3 3 2" xfId="31837" xr:uid="{00000000-0005-0000-0000-0000F67A0000}"/>
    <cellStyle name="Normal 11 2 4 2 3 3 3" xfId="31838" xr:uid="{00000000-0005-0000-0000-0000F77A0000}"/>
    <cellStyle name="Normal 11 2 4 2 3 4" xfId="31839" xr:uid="{00000000-0005-0000-0000-0000F87A0000}"/>
    <cellStyle name="Normal 11 2 4 2 3 5" xfId="31840" xr:uid="{00000000-0005-0000-0000-0000F97A0000}"/>
    <cellStyle name="Normal 11 2 4 2 3 6" xfId="31841" xr:uid="{00000000-0005-0000-0000-0000FA7A0000}"/>
    <cellStyle name="Normal 11 2 4 2 3 7" xfId="31842" xr:uid="{00000000-0005-0000-0000-0000FB7A0000}"/>
    <cellStyle name="Normal 11 2 4 2 4" xfId="31843" xr:uid="{00000000-0005-0000-0000-0000FC7A0000}"/>
    <cellStyle name="Normal 11 2 4 2 4 2" xfId="31844" xr:uid="{00000000-0005-0000-0000-0000FD7A0000}"/>
    <cellStyle name="Normal 11 2 4 2 4 2 2" xfId="31845" xr:uid="{00000000-0005-0000-0000-0000FE7A0000}"/>
    <cellStyle name="Normal 11 2 4 2 4 2 3" xfId="31846" xr:uid="{00000000-0005-0000-0000-0000FF7A0000}"/>
    <cellStyle name="Normal 11 2 4 2 4 3" xfId="31847" xr:uid="{00000000-0005-0000-0000-0000007B0000}"/>
    <cellStyle name="Normal 11 2 4 2 4 4" xfId="31848" xr:uid="{00000000-0005-0000-0000-0000017B0000}"/>
    <cellStyle name="Normal 11 2 4 2 4 5" xfId="31849" xr:uid="{00000000-0005-0000-0000-0000027B0000}"/>
    <cellStyle name="Normal 11 2 4 2 4 6" xfId="31850" xr:uid="{00000000-0005-0000-0000-0000037B0000}"/>
    <cellStyle name="Normal 11 2 4 2 5" xfId="31851" xr:uid="{00000000-0005-0000-0000-0000047B0000}"/>
    <cellStyle name="Normal 11 2 4 2 5 2" xfId="31852" xr:uid="{00000000-0005-0000-0000-0000057B0000}"/>
    <cellStyle name="Normal 11 2 4 2 5 2 2" xfId="31853" xr:uid="{00000000-0005-0000-0000-0000067B0000}"/>
    <cellStyle name="Normal 11 2 4 2 5 2 3" xfId="31854" xr:uid="{00000000-0005-0000-0000-0000077B0000}"/>
    <cellStyle name="Normal 11 2 4 2 5 3" xfId="31855" xr:uid="{00000000-0005-0000-0000-0000087B0000}"/>
    <cellStyle name="Normal 11 2 4 2 5 4" xfId="31856" xr:uid="{00000000-0005-0000-0000-0000097B0000}"/>
    <cellStyle name="Normal 11 2 4 2 5 5" xfId="31857" xr:uid="{00000000-0005-0000-0000-00000A7B0000}"/>
    <cellStyle name="Normal 11 2 4 2 5 6" xfId="31858" xr:uid="{00000000-0005-0000-0000-00000B7B0000}"/>
    <cellStyle name="Normal 11 2 4 2 6" xfId="31859" xr:uid="{00000000-0005-0000-0000-00000C7B0000}"/>
    <cellStyle name="Normal 11 2 4 2 6 2" xfId="31860" xr:uid="{00000000-0005-0000-0000-00000D7B0000}"/>
    <cellStyle name="Normal 11 2 4 2 6 3" xfId="31861" xr:uid="{00000000-0005-0000-0000-00000E7B0000}"/>
    <cellStyle name="Normal 11 2 4 2 7" xfId="31862" xr:uid="{00000000-0005-0000-0000-00000F7B0000}"/>
    <cellStyle name="Normal 11 2 4 2 8" xfId="31863" xr:uid="{00000000-0005-0000-0000-0000107B0000}"/>
    <cellStyle name="Normal 11 2 4 2 9" xfId="31864" xr:uid="{00000000-0005-0000-0000-0000117B0000}"/>
    <cellStyle name="Normal 11 2 4 3" xfId="31865" xr:uid="{00000000-0005-0000-0000-0000127B0000}"/>
    <cellStyle name="Normal 11 2 4 3 2" xfId="31866" xr:uid="{00000000-0005-0000-0000-0000137B0000}"/>
    <cellStyle name="Normal 11 2 4 3 2 2" xfId="31867" xr:uid="{00000000-0005-0000-0000-0000147B0000}"/>
    <cellStyle name="Normal 11 2 4 3 2 2 2" xfId="31868" xr:uid="{00000000-0005-0000-0000-0000157B0000}"/>
    <cellStyle name="Normal 11 2 4 3 2 2 2 2" xfId="31869" xr:uid="{00000000-0005-0000-0000-0000167B0000}"/>
    <cellStyle name="Normal 11 2 4 3 2 2 2 3" xfId="31870" xr:uid="{00000000-0005-0000-0000-0000177B0000}"/>
    <cellStyle name="Normal 11 2 4 3 2 2 3" xfId="31871" xr:uid="{00000000-0005-0000-0000-0000187B0000}"/>
    <cellStyle name="Normal 11 2 4 3 2 2 4" xfId="31872" xr:uid="{00000000-0005-0000-0000-0000197B0000}"/>
    <cellStyle name="Normal 11 2 4 3 2 2 5" xfId="31873" xr:uid="{00000000-0005-0000-0000-00001A7B0000}"/>
    <cellStyle name="Normal 11 2 4 3 2 2 6" xfId="31874" xr:uid="{00000000-0005-0000-0000-00001B7B0000}"/>
    <cellStyle name="Normal 11 2 4 3 2 3" xfId="31875" xr:uid="{00000000-0005-0000-0000-00001C7B0000}"/>
    <cellStyle name="Normal 11 2 4 3 2 3 2" xfId="31876" xr:uid="{00000000-0005-0000-0000-00001D7B0000}"/>
    <cellStyle name="Normal 11 2 4 3 2 3 3" xfId="31877" xr:uid="{00000000-0005-0000-0000-00001E7B0000}"/>
    <cellStyle name="Normal 11 2 4 3 2 4" xfId="31878" xr:uid="{00000000-0005-0000-0000-00001F7B0000}"/>
    <cellStyle name="Normal 11 2 4 3 2 5" xfId="31879" xr:uid="{00000000-0005-0000-0000-0000207B0000}"/>
    <cellStyle name="Normal 11 2 4 3 2 6" xfId="31880" xr:uid="{00000000-0005-0000-0000-0000217B0000}"/>
    <cellStyle name="Normal 11 2 4 3 2 7" xfId="31881" xr:uid="{00000000-0005-0000-0000-0000227B0000}"/>
    <cellStyle name="Normal 11 2 4 3 3" xfId="31882" xr:uid="{00000000-0005-0000-0000-0000237B0000}"/>
    <cellStyle name="Normal 11 2 4 3 3 2" xfId="31883" xr:uid="{00000000-0005-0000-0000-0000247B0000}"/>
    <cellStyle name="Normal 11 2 4 3 3 2 2" xfId="31884" xr:uid="{00000000-0005-0000-0000-0000257B0000}"/>
    <cellStyle name="Normal 11 2 4 3 3 2 3" xfId="31885" xr:uid="{00000000-0005-0000-0000-0000267B0000}"/>
    <cellStyle name="Normal 11 2 4 3 3 3" xfId="31886" xr:uid="{00000000-0005-0000-0000-0000277B0000}"/>
    <cellStyle name="Normal 11 2 4 3 3 4" xfId="31887" xr:uid="{00000000-0005-0000-0000-0000287B0000}"/>
    <cellStyle name="Normal 11 2 4 3 3 5" xfId="31888" xr:uid="{00000000-0005-0000-0000-0000297B0000}"/>
    <cellStyle name="Normal 11 2 4 3 3 6" xfId="31889" xr:uid="{00000000-0005-0000-0000-00002A7B0000}"/>
    <cellStyle name="Normal 11 2 4 3 4" xfId="31890" xr:uid="{00000000-0005-0000-0000-00002B7B0000}"/>
    <cellStyle name="Normal 11 2 4 3 4 2" xfId="31891" xr:uid="{00000000-0005-0000-0000-00002C7B0000}"/>
    <cellStyle name="Normal 11 2 4 3 4 2 2" xfId="31892" xr:uid="{00000000-0005-0000-0000-00002D7B0000}"/>
    <cellStyle name="Normal 11 2 4 3 4 2 3" xfId="31893" xr:uid="{00000000-0005-0000-0000-00002E7B0000}"/>
    <cellStyle name="Normal 11 2 4 3 4 3" xfId="31894" xr:uid="{00000000-0005-0000-0000-00002F7B0000}"/>
    <cellStyle name="Normal 11 2 4 3 4 4" xfId="31895" xr:uid="{00000000-0005-0000-0000-0000307B0000}"/>
    <cellStyle name="Normal 11 2 4 3 4 5" xfId="31896" xr:uid="{00000000-0005-0000-0000-0000317B0000}"/>
    <cellStyle name="Normal 11 2 4 3 4 6" xfId="31897" xr:uid="{00000000-0005-0000-0000-0000327B0000}"/>
    <cellStyle name="Normal 11 2 4 3 5" xfId="31898" xr:uid="{00000000-0005-0000-0000-0000337B0000}"/>
    <cellStyle name="Normal 11 2 4 3 5 2" xfId="31899" xr:uid="{00000000-0005-0000-0000-0000347B0000}"/>
    <cellStyle name="Normal 11 2 4 3 5 3" xfId="31900" xr:uid="{00000000-0005-0000-0000-0000357B0000}"/>
    <cellStyle name="Normal 11 2 4 3 6" xfId="31901" xr:uid="{00000000-0005-0000-0000-0000367B0000}"/>
    <cellStyle name="Normal 11 2 4 3 7" xfId="31902" xr:uid="{00000000-0005-0000-0000-0000377B0000}"/>
    <cellStyle name="Normal 11 2 4 3 8" xfId="31903" xr:uid="{00000000-0005-0000-0000-0000387B0000}"/>
    <cellStyle name="Normal 11 2 4 3 9" xfId="31904" xr:uid="{00000000-0005-0000-0000-0000397B0000}"/>
    <cellStyle name="Normal 11 2 4 4" xfId="31905" xr:uid="{00000000-0005-0000-0000-00003A7B0000}"/>
    <cellStyle name="Normal 11 2 4 4 2" xfId="31906" xr:uid="{00000000-0005-0000-0000-00003B7B0000}"/>
    <cellStyle name="Normal 11 2 4 4 2 2" xfId="31907" xr:uid="{00000000-0005-0000-0000-00003C7B0000}"/>
    <cellStyle name="Normal 11 2 4 4 2 2 2" xfId="31908" xr:uid="{00000000-0005-0000-0000-00003D7B0000}"/>
    <cellStyle name="Normal 11 2 4 4 2 2 3" xfId="31909" xr:uid="{00000000-0005-0000-0000-00003E7B0000}"/>
    <cellStyle name="Normal 11 2 4 4 2 3" xfId="31910" xr:uid="{00000000-0005-0000-0000-00003F7B0000}"/>
    <cellStyle name="Normal 11 2 4 4 2 4" xfId="31911" xr:uid="{00000000-0005-0000-0000-0000407B0000}"/>
    <cellStyle name="Normal 11 2 4 4 2 5" xfId="31912" xr:uid="{00000000-0005-0000-0000-0000417B0000}"/>
    <cellStyle name="Normal 11 2 4 4 2 6" xfId="31913" xr:uid="{00000000-0005-0000-0000-0000427B0000}"/>
    <cellStyle name="Normal 11 2 4 4 3" xfId="31914" xr:uid="{00000000-0005-0000-0000-0000437B0000}"/>
    <cellStyle name="Normal 11 2 4 4 3 2" xfId="31915" xr:uid="{00000000-0005-0000-0000-0000447B0000}"/>
    <cellStyle name="Normal 11 2 4 4 3 3" xfId="31916" xr:uid="{00000000-0005-0000-0000-0000457B0000}"/>
    <cellStyle name="Normal 11 2 4 4 4" xfId="31917" xr:uid="{00000000-0005-0000-0000-0000467B0000}"/>
    <cellStyle name="Normal 11 2 4 4 5" xfId="31918" xr:uid="{00000000-0005-0000-0000-0000477B0000}"/>
    <cellStyle name="Normal 11 2 4 4 6" xfId="31919" xr:uid="{00000000-0005-0000-0000-0000487B0000}"/>
    <cellStyle name="Normal 11 2 4 4 7" xfId="31920" xr:uid="{00000000-0005-0000-0000-0000497B0000}"/>
    <cellStyle name="Normal 11 2 4 5" xfId="31921" xr:uid="{00000000-0005-0000-0000-00004A7B0000}"/>
    <cellStyle name="Normal 11 2 4 5 2" xfId="31922" xr:uid="{00000000-0005-0000-0000-00004B7B0000}"/>
    <cellStyle name="Normal 11 2 4 5 2 2" xfId="31923" xr:uid="{00000000-0005-0000-0000-00004C7B0000}"/>
    <cellStyle name="Normal 11 2 4 5 2 3" xfId="31924" xr:uid="{00000000-0005-0000-0000-00004D7B0000}"/>
    <cellStyle name="Normal 11 2 4 5 3" xfId="31925" xr:uid="{00000000-0005-0000-0000-00004E7B0000}"/>
    <cellStyle name="Normal 11 2 4 5 4" xfId="31926" xr:uid="{00000000-0005-0000-0000-00004F7B0000}"/>
    <cellStyle name="Normal 11 2 4 5 5" xfId="31927" xr:uid="{00000000-0005-0000-0000-0000507B0000}"/>
    <cellStyle name="Normal 11 2 4 5 6" xfId="31928" xr:uid="{00000000-0005-0000-0000-0000517B0000}"/>
    <cellStyle name="Normal 11 2 4 6" xfId="31929" xr:uid="{00000000-0005-0000-0000-0000527B0000}"/>
    <cellStyle name="Normal 11 2 4 6 2" xfId="31930" xr:uid="{00000000-0005-0000-0000-0000537B0000}"/>
    <cellStyle name="Normal 11 2 4 6 2 2" xfId="31931" xr:uid="{00000000-0005-0000-0000-0000547B0000}"/>
    <cellStyle name="Normal 11 2 4 6 2 3" xfId="31932" xr:uid="{00000000-0005-0000-0000-0000557B0000}"/>
    <cellStyle name="Normal 11 2 4 6 3" xfId="31933" xr:uid="{00000000-0005-0000-0000-0000567B0000}"/>
    <cellStyle name="Normal 11 2 4 6 4" xfId="31934" xr:uid="{00000000-0005-0000-0000-0000577B0000}"/>
    <cellStyle name="Normal 11 2 4 6 5" xfId="31935" xr:uid="{00000000-0005-0000-0000-0000587B0000}"/>
    <cellStyle name="Normal 11 2 4 6 6" xfId="31936" xr:uid="{00000000-0005-0000-0000-0000597B0000}"/>
    <cellStyle name="Normal 11 2 4 7" xfId="31937" xr:uid="{00000000-0005-0000-0000-00005A7B0000}"/>
    <cellStyle name="Normal 11 2 4 7 2" xfId="31938" xr:uid="{00000000-0005-0000-0000-00005B7B0000}"/>
    <cellStyle name="Normal 11 2 4 7 2 2" xfId="31939" xr:uid="{00000000-0005-0000-0000-00005C7B0000}"/>
    <cellStyle name="Normal 11 2 4 7 2 3" xfId="31940" xr:uid="{00000000-0005-0000-0000-00005D7B0000}"/>
    <cellStyle name="Normal 11 2 4 7 3" xfId="31941" xr:uid="{00000000-0005-0000-0000-00005E7B0000}"/>
    <cellStyle name="Normal 11 2 4 7 4" xfId="31942" xr:uid="{00000000-0005-0000-0000-00005F7B0000}"/>
    <cellStyle name="Normal 11 2 4 7 5" xfId="31943" xr:uid="{00000000-0005-0000-0000-0000607B0000}"/>
    <cellStyle name="Normal 11 2 4 7 6" xfId="31944" xr:uid="{00000000-0005-0000-0000-0000617B0000}"/>
    <cellStyle name="Normal 11 2 4 8" xfId="31945" xr:uid="{00000000-0005-0000-0000-0000627B0000}"/>
    <cellStyle name="Normal 11 2 4 8 2" xfId="31946" xr:uid="{00000000-0005-0000-0000-0000637B0000}"/>
    <cellStyle name="Normal 11 2 4 8 2 2" xfId="31947" xr:uid="{00000000-0005-0000-0000-0000647B0000}"/>
    <cellStyle name="Normal 11 2 4 8 2 3" xfId="31948" xr:uid="{00000000-0005-0000-0000-0000657B0000}"/>
    <cellStyle name="Normal 11 2 4 8 3" xfId="31949" xr:uid="{00000000-0005-0000-0000-0000667B0000}"/>
    <cellStyle name="Normal 11 2 4 8 4" xfId="31950" xr:uid="{00000000-0005-0000-0000-0000677B0000}"/>
    <cellStyle name="Normal 11 2 4 8 5" xfId="31951" xr:uid="{00000000-0005-0000-0000-0000687B0000}"/>
    <cellStyle name="Normal 11 2 4 8 6" xfId="31952" xr:uid="{00000000-0005-0000-0000-0000697B0000}"/>
    <cellStyle name="Normal 11 2 4 9" xfId="31953" xr:uid="{00000000-0005-0000-0000-00006A7B0000}"/>
    <cellStyle name="Normal 11 2 4 9 2" xfId="31954" xr:uid="{00000000-0005-0000-0000-00006B7B0000}"/>
    <cellStyle name="Normal 11 2 4 9 3" xfId="31955" xr:uid="{00000000-0005-0000-0000-00006C7B0000}"/>
    <cellStyle name="Normal 11 2 5" xfId="31956" xr:uid="{00000000-0005-0000-0000-00006D7B0000}"/>
    <cellStyle name="Normal 11 2 5 10" xfId="31957" xr:uid="{00000000-0005-0000-0000-00006E7B0000}"/>
    <cellStyle name="Normal 11 2 5 2" xfId="31958" xr:uid="{00000000-0005-0000-0000-00006F7B0000}"/>
    <cellStyle name="Normal 11 2 5 2 2" xfId="31959" xr:uid="{00000000-0005-0000-0000-0000707B0000}"/>
    <cellStyle name="Normal 11 2 5 2 2 2" xfId="31960" xr:uid="{00000000-0005-0000-0000-0000717B0000}"/>
    <cellStyle name="Normal 11 2 5 2 2 2 2" xfId="31961" xr:uid="{00000000-0005-0000-0000-0000727B0000}"/>
    <cellStyle name="Normal 11 2 5 2 2 2 3" xfId="31962" xr:uid="{00000000-0005-0000-0000-0000737B0000}"/>
    <cellStyle name="Normal 11 2 5 2 2 3" xfId="31963" xr:uid="{00000000-0005-0000-0000-0000747B0000}"/>
    <cellStyle name="Normal 11 2 5 2 2 4" xfId="31964" xr:uid="{00000000-0005-0000-0000-0000757B0000}"/>
    <cellStyle name="Normal 11 2 5 2 2 5" xfId="31965" xr:uid="{00000000-0005-0000-0000-0000767B0000}"/>
    <cellStyle name="Normal 11 2 5 2 2 6" xfId="31966" xr:uid="{00000000-0005-0000-0000-0000777B0000}"/>
    <cellStyle name="Normal 11 2 5 2 3" xfId="31967" xr:uid="{00000000-0005-0000-0000-0000787B0000}"/>
    <cellStyle name="Normal 11 2 5 2 3 2" xfId="31968" xr:uid="{00000000-0005-0000-0000-0000797B0000}"/>
    <cellStyle name="Normal 11 2 5 2 3 2 2" xfId="31969" xr:uid="{00000000-0005-0000-0000-00007A7B0000}"/>
    <cellStyle name="Normal 11 2 5 2 3 2 3" xfId="31970" xr:uid="{00000000-0005-0000-0000-00007B7B0000}"/>
    <cellStyle name="Normal 11 2 5 2 3 3" xfId="31971" xr:uid="{00000000-0005-0000-0000-00007C7B0000}"/>
    <cellStyle name="Normal 11 2 5 2 3 4" xfId="31972" xr:uid="{00000000-0005-0000-0000-00007D7B0000}"/>
    <cellStyle name="Normal 11 2 5 2 3 5" xfId="31973" xr:uid="{00000000-0005-0000-0000-00007E7B0000}"/>
    <cellStyle name="Normal 11 2 5 2 3 6" xfId="31974" xr:uid="{00000000-0005-0000-0000-00007F7B0000}"/>
    <cellStyle name="Normal 11 2 5 2 4" xfId="31975" xr:uid="{00000000-0005-0000-0000-0000807B0000}"/>
    <cellStyle name="Normal 11 2 5 2 4 2" xfId="31976" xr:uid="{00000000-0005-0000-0000-0000817B0000}"/>
    <cellStyle name="Normal 11 2 5 2 4 3" xfId="31977" xr:uid="{00000000-0005-0000-0000-0000827B0000}"/>
    <cellStyle name="Normal 11 2 5 2 5" xfId="31978" xr:uid="{00000000-0005-0000-0000-0000837B0000}"/>
    <cellStyle name="Normal 11 2 5 2 6" xfId="31979" xr:uid="{00000000-0005-0000-0000-0000847B0000}"/>
    <cellStyle name="Normal 11 2 5 2 7" xfId="31980" xr:uid="{00000000-0005-0000-0000-0000857B0000}"/>
    <cellStyle name="Normal 11 2 5 2 8" xfId="31981" xr:uid="{00000000-0005-0000-0000-0000867B0000}"/>
    <cellStyle name="Normal 11 2 5 3" xfId="31982" xr:uid="{00000000-0005-0000-0000-0000877B0000}"/>
    <cellStyle name="Normal 11 2 5 3 2" xfId="31983" xr:uid="{00000000-0005-0000-0000-0000887B0000}"/>
    <cellStyle name="Normal 11 2 5 3 2 2" xfId="31984" xr:uid="{00000000-0005-0000-0000-0000897B0000}"/>
    <cellStyle name="Normal 11 2 5 3 2 2 2" xfId="31985" xr:uid="{00000000-0005-0000-0000-00008A7B0000}"/>
    <cellStyle name="Normal 11 2 5 3 2 2 3" xfId="31986" xr:uid="{00000000-0005-0000-0000-00008B7B0000}"/>
    <cellStyle name="Normal 11 2 5 3 2 3" xfId="31987" xr:uid="{00000000-0005-0000-0000-00008C7B0000}"/>
    <cellStyle name="Normal 11 2 5 3 2 4" xfId="31988" xr:uid="{00000000-0005-0000-0000-00008D7B0000}"/>
    <cellStyle name="Normal 11 2 5 3 2 5" xfId="31989" xr:uid="{00000000-0005-0000-0000-00008E7B0000}"/>
    <cellStyle name="Normal 11 2 5 3 2 6" xfId="31990" xr:uid="{00000000-0005-0000-0000-00008F7B0000}"/>
    <cellStyle name="Normal 11 2 5 3 3" xfId="31991" xr:uid="{00000000-0005-0000-0000-0000907B0000}"/>
    <cellStyle name="Normal 11 2 5 3 3 2" xfId="31992" xr:uid="{00000000-0005-0000-0000-0000917B0000}"/>
    <cellStyle name="Normal 11 2 5 3 3 3" xfId="31993" xr:uid="{00000000-0005-0000-0000-0000927B0000}"/>
    <cellStyle name="Normal 11 2 5 3 4" xfId="31994" xr:uid="{00000000-0005-0000-0000-0000937B0000}"/>
    <cellStyle name="Normal 11 2 5 3 5" xfId="31995" xr:uid="{00000000-0005-0000-0000-0000947B0000}"/>
    <cellStyle name="Normal 11 2 5 3 6" xfId="31996" xr:uid="{00000000-0005-0000-0000-0000957B0000}"/>
    <cellStyle name="Normal 11 2 5 3 7" xfId="31997" xr:uid="{00000000-0005-0000-0000-0000967B0000}"/>
    <cellStyle name="Normal 11 2 5 4" xfId="31998" xr:uid="{00000000-0005-0000-0000-0000977B0000}"/>
    <cellStyle name="Normal 11 2 5 4 2" xfId="31999" xr:uid="{00000000-0005-0000-0000-0000987B0000}"/>
    <cellStyle name="Normal 11 2 5 4 2 2" xfId="32000" xr:uid="{00000000-0005-0000-0000-0000997B0000}"/>
    <cellStyle name="Normal 11 2 5 4 2 3" xfId="32001" xr:uid="{00000000-0005-0000-0000-00009A7B0000}"/>
    <cellStyle name="Normal 11 2 5 4 3" xfId="32002" xr:uid="{00000000-0005-0000-0000-00009B7B0000}"/>
    <cellStyle name="Normal 11 2 5 4 4" xfId="32003" xr:uid="{00000000-0005-0000-0000-00009C7B0000}"/>
    <cellStyle name="Normal 11 2 5 4 5" xfId="32004" xr:uid="{00000000-0005-0000-0000-00009D7B0000}"/>
    <cellStyle name="Normal 11 2 5 4 6" xfId="32005" xr:uid="{00000000-0005-0000-0000-00009E7B0000}"/>
    <cellStyle name="Normal 11 2 5 5" xfId="32006" xr:uid="{00000000-0005-0000-0000-00009F7B0000}"/>
    <cellStyle name="Normal 11 2 5 5 2" xfId="32007" xr:uid="{00000000-0005-0000-0000-0000A07B0000}"/>
    <cellStyle name="Normal 11 2 5 5 2 2" xfId="32008" xr:uid="{00000000-0005-0000-0000-0000A17B0000}"/>
    <cellStyle name="Normal 11 2 5 5 2 3" xfId="32009" xr:uid="{00000000-0005-0000-0000-0000A27B0000}"/>
    <cellStyle name="Normal 11 2 5 5 3" xfId="32010" xr:uid="{00000000-0005-0000-0000-0000A37B0000}"/>
    <cellStyle name="Normal 11 2 5 5 4" xfId="32011" xr:uid="{00000000-0005-0000-0000-0000A47B0000}"/>
    <cellStyle name="Normal 11 2 5 5 5" xfId="32012" xr:uid="{00000000-0005-0000-0000-0000A57B0000}"/>
    <cellStyle name="Normal 11 2 5 5 6" xfId="32013" xr:uid="{00000000-0005-0000-0000-0000A67B0000}"/>
    <cellStyle name="Normal 11 2 5 6" xfId="32014" xr:uid="{00000000-0005-0000-0000-0000A77B0000}"/>
    <cellStyle name="Normal 11 2 5 6 2" xfId="32015" xr:uid="{00000000-0005-0000-0000-0000A87B0000}"/>
    <cellStyle name="Normal 11 2 5 6 3" xfId="32016" xr:uid="{00000000-0005-0000-0000-0000A97B0000}"/>
    <cellStyle name="Normal 11 2 5 7" xfId="32017" xr:uid="{00000000-0005-0000-0000-0000AA7B0000}"/>
    <cellStyle name="Normal 11 2 5 8" xfId="32018" xr:uid="{00000000-0005-0000-0000-0000AB7B0000}"/>
    <cellStyle name="Normal 11 2 5 9" xfId="32019" xr:uid="{00000000-0005-0000-0000-0000AC7B0000}"/>
    <cellStyle name="Normal 11 2 6" xfId="32020" xr:uid="{00000000-0005-0000-0000-0000AD7B0000}"/>
    <cellStyle name="Normal 11 2 6 2" xfId="32021" xr:uid="{00000000-0005-0000-0000-0000AE7B0000}"/>
    <cellStyle name="Normal 11 2 6 2 2" xfId="32022" xr:uid="{00000000-0005-0000-0000-0000AF7B0000}"/>
    <cellStyle name="Normal 11 2 6 2 2 2" xfId="32023" xr:uid="{00000000-0005-0000-0000-0000B07B0000}"/>
    <cellStyle name="Normal 11 2 6 2 2 2 2" xfId="32024" xr:uid="{00000000-0005-0000-0000-0000B17B0000}"/>
    <cellStyle name="Normal 11 2 6 2 2 2 3" xfId="32025" xr:uid="{00000000-0005-0000-0000-0000B27B0000}"/>
    <cellStyle name="Normal 11 2 6 2 2 3" xfId="32026" xr:uid="{00000000-0005-0000-0000-0000B37B0000}"/>
    <cellStyle name="Normal 11 2 6 2 2 4" xfId="32027" xr:uid="{00000000-0005-0000-0000-0000B47B0000}"/>
    <cellStyle name="Normal 11 2 6 2 2 5" xfId="32028" xr:uid="{00000000-0005-0000-0000-0000B57B0000}"/>
    <cellStyle name="Normal 11 2 6 2 2 6" xfId="32029" xr:uid="{00000000-0005-0000-0000-0000B67B0000}"/>
    <cellStyle name="Normal 11 2 6 2 3" xfId="32030" xr:uid="{00000000-0005-0000-0000-0000B77B0000}"/>
    <cellStyle name="Normal 11 2 6 2 3 2" xfId="32031" xr:uid="{00000000-0005-0000-0000-0000B87B0000}"/>
    <cellStyle name="Normal 11 2 6 2 3 3" xfId="32032" xr:uid="{00000000-0005-0000-0000-0000B97B0000}"/>
    <cellStyle name="Normal 11 2 6 2 4" xfId="32033" xr:uid="{00000000-0005-0000-0000-0000BA7B0000}"/>
    <cellStyle name="Normal 11 2 6 2 5" xfId="32034" xr:uid="{00000000-0005-0000-0000-0000BB7B0000}"/>
    <cellStyle name="Normal 11 2 6 2 6" xfId="32035" xr:uid="{00000000-0005-0000-0000-0000BC7B0000}"/>
    <cellStyle name="Normal 11 2 6 2 7" xfId="32036" xr:uid="{00000000-0005-0000-0000-0000BD7B0000}"/>
    <cellStyle name="Normal 11 2 6 3" xfId="32037" xr:uid="{00000000-0005-0000-0000-0000BE7B0000}"/>
    <cellStyle name="Normal 11 2 6 3 2" xfId="32038" xr:uid="{00000000-0005-0000-0000-0000BF7B0000}"/>
    <cellStyle name="Normal 11 2 6 3 2 2" xfId="32039" xr:uid="{00000000-0005-0000-0000-0000C07B0000}"/>
    <cellStyle name="Normal 11 2 6 3 2 3" xfId="32040" xr:uid="{00000000-0005-0000-0000-0000C17B0000}"/>
    <cellStyle name="Normal 11 2 6 3 3" xfId="32041" xr:uid="{00000000-0005-0000-0000-0000C27B0000}"/>
    <cellStyle name="Normal 11 2 6 3 4" xfId="32042" xr:uid="{00000000-0005-0000-0000-0000C37B0000}"/>
    <cellStyle name="Normal 11 2 6 3 5" xfId="32043" xr:uid="{00000000-0005-0000-0000-0000C47B0000}"/>
    <cellStyle name="Normal 11 2 6 3 6" xfId="32044" xr:uid="{00000000-0005-0000-0000-0000C57B0000}"/>
    <cellStyle name="Normal 11 2 6 4" xfId="32045" xr:uid="{00000000-0005-0000-0000-0000C67B0000}"/>
    <cellStyle name="Normal 11 2 6 4 2" xfId="32046" xr:uid="{00000000-0005-0000-0000-0000C77B0000}"/>
    <cellStyle name="Normal 11 2 6 4 2 2" xfId="32047" xr:uid="{00000000-0005-0000-0000-0000C87B0000}"/>
    <cellStyle name="Normal 11 2 6 4 2 3" xfId="32048" xr:uid="{00000000-0005-0000-0000-0000C97B0000}"/>
    <cellStyle name="Normal 11 2 6 4 3" xfId="32049" xr:uid="{00000000-0005-0000-0000-0000CA7B0000}"/>
    <cellStyle name="Normal 11 2 6 4 4" xfId="32050" xr:uid="{00000000-0005-0000-0000-0000CB7B0000}"/>
    <cellStyle name="Normal 11 2 6 4 5" xfId="32051" xr:uid="{00000000-0005-0000-0000-0000CC7B0000}"/>
    <cellStyle name="Normal 11 2 6 4 6" xfId="32052" xr:uid="{00000000-0005-0000-0000-0000CD7B0000}"/>
    <cellStyle name="Normal 11 2 6 5" xfId="32053" xr:uid="{00000000-0005-0000-0000-0000CE7B0000}"/>
    <cellStyle name="Normal 11 2 6 5 2" xfId="32054" xr:uid="{00000000-0005-0000-0000-0000CF7B0000}"/>
    <cellStyle name="Normal 11 2 6 5 3" xfId="32055" xr:uid="{00000000-0005-0000-0000-0000D07B0000}"/>
    <cellStyle name="Normal 11 2 6 6" xfId="32056" xr:uid="{00000000-0005-0000-0000-0000D17B0000}"/>
    <cellStyle name="Normal 11 2 6 7" xfId="32057" xr:uid="{00000000-0005-0000-0000-0000D27B0000}"/>
    <cellStyle name="Normal 11 2 6 8" xfId="32058" xr:uid="{00000000-0005-0000-0000-0000D37B0000}"/>
    <cellStyle name="Normal 11 2 6 9" xfId="32059" xr:uid="{00000000-0005-0000-0000-0000D47B0000}"/>
    <cellStyle name="Normal 11 2 7" xfId="32060" xr:uid="{00000000-0005-0000-0000-0000D57B0000}"/>
    <cellStyle name="Normal 11 2 7 2" xfId="32061" xr:uid="{00000000-0005-0000-0000-0000D67B0000}"/>
    <cellStyle name="Normal 11 2 7 2 2" xfId="32062" xr:uid="{00000000-0005-0000-0000-0000D77B0000}"/>
    <cellStyle name="Normal 11 2 7 2 2 2" xfId="32063" xr:uid="{00000000-0005-0000-0000-0000D87B0000}"/>
    <cellStyle name="Normal 11 2 7 2 2 3" xfId="32064" xr:uid="{00000000-0005-0000-0000-0000D97B0000}"/>
    <cellStyle name="Normal 11 2 7 2 3" xfId="32065" xr:uid="{00000000-0005-0000-0000-0000DA7B0000}"/>
    <cellStyle name="Normal 11 2 7 2 4" xfId="32066" xr:uid="{00000000-0005-0000-0000-0000DB7B0000}"/>
    <cellStyle name="Normal 11 2 7 2 5" xfId="32067" xr:uid="{00000000-0005-0000-0000-0000DC7B0000}"/>
    <cellStyle name="Normal 11 2 7 2 6" xfId="32068" xr:uid="{00000000-0005-0000-0000-0000DD7B0000}"/>
    <cellStyle name="Normal 11 2 7 3" xfId="32069" xr:uid="{00000000-0005-0000-0000-0000DE7B0000}"/>
    <cellStyle name="Normal 11 2 7 3 2" xfId="32070" xr:uid="{00000000-0005-0000-0000-0000DF7B0000}"/>
    <cellStyle name="Normal 11 2 7 3 3" xfId="32071" xr:uid="{00000000-0005-0000-0000-0000E07B0000}"/>
    <cellStyle name="Normal 11 2 7 4" xfId="32072" xr:uid="{00000000-0005-0000-0000-0000E17B0000}"/>
    <cellStyle name="Normal 11 2 7 5" xfId="32073" xr:uid="{00000000-0005-0000-0000-0000E27B0000}"/>
    <cellStyle name="Normal 11 2 7 6" xfId="32074" xr:uid="{00000000-0005-0000-0000-0000E37B0000}"/>
    <cellStyle name="Normal 11 2 7 7" xfId="32075" xr:uid="{00000000-0005-0000-0000-0000E47B0000}"/>
    <cellStyle name="Normal 11 2 8" xfId="32076" xr:uid="{00000000-0005-0000-0000-0000E57B0000}"/>
    <cellStyle name="Normal 11 2 8 2" xfId="32077" xr:uid="{00000000-0005-0000-0000-0000E67B0000}"/>
    <cellStyle name="Normal 11 2 8 2 2" xfId="32078" xr:uid="{00000000-0005-0000-0000-0000E77B0000}"/>
    <cellStyle name="Normal 11 2 8 2 3" xfId="32079" xr:uid="{00000000-0005-0000-0000-0000E87B0000}"/>
    <cellStyle name="Normal 11 2 8 3" xfId="32080" xr:uid="{00000000-0005-0000-0000-0000E97B0000}"/>
    <cellStyle name="Normal 11 2 8 4" xfId="32081" xr:uid="{00000000-0005-0000-0000-0000EA7B0000}"/>
    <cellStyle name="Normal 11 2 8 5" xfId="32082" xr:uid="{00000000-0005-0000-0000-0000EB7B0000}"/>
    <cellStyle name="Normal 11 2 8 6" xfId="32083" xr:uid="{00000000-0005-0000-0000-0000EC7B0000}"/>
    <cellStyle name="Normal 11 2 9" xfId="32084" xr:uid="{00000000-0005-0000-0000-0000ED7B0000}"/>
    <cellStyle name="Normal 11 2 9 2" xfId="32085" xr:uid="{00000000-0005-0000-0000-0000EE7B0000}"/>
    <cellStyle name="Normal 11 2 9 2 2" xfId="32086" xr:uid="{00000000-0005-0000-0000-0000EF7B0000}"/>
    <cellStyle name="Normal 11 2 9 2 3" xfId="32087" xr:uid="{00000000-0005-0000-0000-0000F07B0000}"/>
    <cellStyle name="Normal 11 2 9 3" xfId="32088" xr:uid="{00000000-0005-0000-0000-0000F17B0000}"/>
    <cellStyle name="Normal 11 2 9 4" xfId="32089" xr:uid="{00000000-0005-0000-0000-0000F27B0000}"/>
    <cellStyle name="Normal 11 2 9 5" xfId="32090" xr:uid="{00000000-0005-0000-0000-0000F37B0000}"/>
    <cellStyle name="Normal 11 2 9 6" xfId="32091" xr:uid="{00000000-0005-0000-0000-0000F47B0000}"/>
    <cellStyle name="Normal 11 3" xfId="387" xr:uid="{00000000-0005-0000-0000-0000F57B0000}"/>
    <cellStyle name="Normal 11 3 10" xfId="32092" xr:uid="{00000000-0005-0000-0000-0000F67B0000}"/>
    <cellStyle name="Normal 11 3 10 2" xfId="32093" xr:uid="{00000000-0005-0000-0000-0000F77B0000}"/>
    <cellStyle name="Normal 11 3 10 2 2" xfId="32094" xr:uid="{00000000-0005-0000-0000-0000F87B0000}"/>
    <cellStyle name="Normal 11 3 10 2 3" xfId="32095" xr:uid="{00000000-0005-0000-0000-0000F97B0000}"/>
    <cellStyle name="Normal 11 3 10 3" xfId="32096" xr:uid="{00000000-0005-0000-0000-0000FA7B0000}"/>
    <cellStyle name="Normal 11 3 10 4" xfId="32097" xr:uid="{00000000-0005-0000-0000-0000FB7B0000}"/>
    <cellStyle name="Normal 11 3 10 5" xfId="32098" xr:uid="{00000000-0005-0000-0000-0000FC7B0000}"/>
    <cellStyle name="Normal 11 3 10 6" xfId="32099" xr:uid="{00000000-0005-0000-0000-0000FD7B0000}"/>
    <cellStyle name="Normal 11 3 11" xfId="32100" xr:uid="{00000000-0005-0000-0000-0000FE7B0000}"/>
    <cellStyle name="Normal 11 3 11 2" xfId="32101" xr:uid="{00000000-0005-0000-0000-0000FF7B0000}"/>
    <cellStyle name="Normal 11 3 11 2 2" xfId="32102" xr:uid="{00000000-0005-0000-0000-0000007C0000}"/>
    <cellStyle name="Normal 11 3 11 2 3" xfId="32103" xr:uid="{00000000-0005-0000-0000-0000017C0000}"/>
    <cellStyle name="Normal 11 3 11 3" xfId="32104" xr:uid="{00000000-0005-0000-0000-0000027C0000}"/>
    <cellStyle name="Normal 11 3 11 4" xfId="32105" xr:uid="{00000000-0005-0000-0000-0000037C0000}"/>
    <cellStyle name="Normal 11 3 11 5" xfId="32106" xr:uid="{00000000-0005-0000-0000-0000047C0000}"/>
    <cellStyle name="Normal 11 3 11 6" xfId="32107" xr:uid="{00000000-0005-0000-0000-0000057C0000}"/>
    <cellStyle name="Normal 11 3 12" xfId="32108" xr:uid="{00000000-0005-0000-0000-0000067C0000}"/>
    <cellStyle name="Normal 11 3 12 2" xfId="32109" xr:uid="{00000000-0005-0000-0000-0000077C0000}"/>
    <cellStyle name="Normal 11 3 12 3" xfId="32110" xr:uid="{00000000-0005-0000-0000-0000087C0000}"/>
    <cellStyle name="Normal 11 3 13" xfId="32111" xr:uid="{00000000-0005-0000-0000-0000097C0000}"/>
    <cellStyle name="Normal 11 3 14" xfId="32112" xr:uid="{00000000-0005-0000-0000-00000A7C0000}"/>
    <cellStyle name="Normal 11 3 15" xfId="32113" xr:uid="{00000000-0005-0000-0000-00000B7C0000}"/>
    <cellStyle name="Normal 11 3 16" xfId="32114" xr:uid="{00000000-0005-0000-0000-00000C7C0000}"/>
    <cellStyle name="Normal 11 3 2" xfId="32115" xr:uid="{00000000-0005-0000-0000-00000D7C0000}"/>
    <cellStyle name="Normal 11 3 2 10" xfId="32116" xr:uid="{00000000-0005-0000-0000-00000E7C0000}"/>
    <cellStyle name="Normal 11 3 2 10 2" xfId="32117" xr:uid="{00000000-0005-0000-0000-00000F7C0000}"/>
    <cellStyle name="Normal 11 3 2 10 3" xfId="32118" xr:uid="{00000000-0005-0000-0000-0000107C0000}"/>
    <cellStyle name="Normal 11 3 2 11" xfId="32119" xr:uid="{00000000-0005-0000-0000-0000117C0000}"/>
    <cellStyle name="Normal 11 3 2 12" xfId="32120" xr:uid="{00000000-0005-0000-0000-0000127C0000}"/>
    <cellStyle name="Normal 11 3 2 13" xfId="32121" xr:uid="{00000000-0005-0000-0000-0000137C0000}"/>
    <cellStyle name="Normal 11 3 2 14" xfId="32122" xr:uid="{00000000-0005-0000-0000-0000147C0000}"/>
    <cellStyle name="Normal 11 3 2 2" xfId="32123" xr:uid="{00000000-0005-0000-0000-0000157C0000}"/>
    <cellStyle name="Normal 11 3 2 2 10" xfId="32124" xr:uid="{00000000-0005-0000-0000-0000167C0000}"/>
    <cellStyle name="Normal 11 3 2 2 11" xfId="32125" xr:uid="{00000000-0005-0000-0000-0000177C0000}"/>
    <cellStyle name="Normal 11 3 2 2 12" xfId="32126" xr:uid="{00000000-0005-0000-0000-0000187C0000}"/>
    <cellStyle name="Normal 11 3 2 2 13" xfId="32127" xr:uid="{00000000-0005-0000-0000-0000197C0000}"/>
    <cellStyle name="Normal 11 3 2 2 2" xfId="32128" xr:uid="{00000000-0005-0000-0000-00001A7C0000}"/>
    <cellStyle name="Normal 11 3 2 2 2 10" xfId="32129" xr:uid="{00000000-0005-0000-0000-00001B7C0000}"/>
    <cellStyle name="Normal 11 3 2 2 2 2" xfId="32130" xr:uid="{00000000-0005-0000-0000-00001C7C0000}"/>
    <cellStyle name="Normal 11 3 2 2 2 2 2" xfId="32131" xr:uid="{00000000-0005-0000-0000-00001D7C0000}"/>
    <cellStyle name="Normal 11 3 2 2 2 2 2 2" xfId="32132" xr:uid="{00000000-0005-0000-0000-00001E7C0000}"/>
    <cellStyle name="Normal 11 3 2 2 2 2 2 2 2" xfId="32133" xr:uid="{00000000-0005-0000-0000-00001F7C0000}"/>
    <cellStyle name="Normal 11 3 2 2 2 2 2 2 3" xfId="32134" xr:uid="{00000000-0005-0000-0000-0000207C0000}"/>
    <cellStyle name="Normal 11 3 2 2 2 2 2 3" xfId="32135" xr:uid="{00000000-0005-0000-0000-0000217C0000}"/>
    <cellStyle name="Normal 11 3 2 2 2 2 2 4" xfId="32136" xr:uid="{00000000-0005-0000-0000-0000227C0000}"/>
    <cellStyle name="Normal 11 3 2 2 2 2 2 5" xfId="32137" xr:uid="{00000000-0005-0000-0000-0000237C0000}"/>
    <cellStyle name="Normal 11 3 2 2 2 2 2 6" xfId="32138" xr:uid="{00000000-0005-0000-0000-0000247C0000}"/>
    <cellStyle name="Normal 11 3 2 2 2 2 3" xfId="32139" xr:uid="{00000000-0005-0000-0000-0000257C0000}"/>
    <cellStyle name="Normal 11 3 2 2 2 2 3 2" xfId="32140" xr:uid="{00000000-0005-0000-0000-0000267C0000}"/>
    <cellStyle name="Normal 11 3 2 2 2 2 3 2 2" xfId="32141" xr:uid="{00000000-0005-0000-0000-0000277C0000}"/>
    <cellStyle name="Normal 11 3 2 2 2 2 3 2 3" xfId="32142" xr:uid="{00000000-0005-0000-0000-0000287C0000}"/>
    <cellStyle name="Normal 11 3 2 2 2 2 3 3" xfId="32143" xr:uid="{00000000-0005-0000-0000-0000297C0000}"/>
    <cellStyle name="Normal 11 3 2 2 2 2 3 4" xfId="32144" xr:uid="{00000000-0005-0000-0000-00002A7C0000}"/>
    <cellStyle name="Normal 11 3 2 2 2 2 3 5" xfId="32145" xr:uid="{00000000-0005-0000-0000-00002B7C0000}"/>
    <cellStyle name="Normal 11 3 2 2 2 2 3 6" xfId="32146" xr:uid="{00000000-0005-0000-0000-00002C7C0000}"/>
    <cellStyle name="Normal 11 3 2 2 2 2 4" xfId="32147" xr:uid="{00000000-0005-0000-0000-00002D7C0000}"/>
    <cellStyle name="Normal 11 3 2 2 2 2 4 2" xfId="32148" xr:uid="{00000000-0005-0000-0000-00002E7C0000}"/>
    <cellStyle name="Normal 11 3 2 2 2 2 4 3" xfId="32149" xr:uid="{00000000-0005-0000-0000-00002F7C0000}"/>
    <cellStyle name="Normal 11 3 2 2 2 2 5" xfId="32150" xr:uid="{00000000-0005-0000-0000-0000307C0000}"/>
    <cellStyle name="Normal 11 3 2 2 2 2 6" xfId="32151" xr:uid="{00000000-0005-0000-0000-0000317C0000}"/>
    <cellStyle name="Normal 11 3 2 2 2 2 7" xfId="32152" xr:uid="{00000000-0005-0000-0000-0000327C0000}"/>
    <cellStyle name="Normal 11 3 2 2 2 2 8" xfId="32153" xr:uid="{00000000-0005-0000-0000-0000337C0000}"/>
    <cellStyle name="Normal 11 3 2 2 2 3" xfId="32154" xr:uid="{00000000-0005-0000-0000-0000347C0000}"/>
    <cellStyle name="Normal 11 3 2 2 2 3 2" xfId="32155" xr:uid="{00000000-0005-0000-0000-0000357C0000}"/>
    <cellStyle name="Normal 11 3 2 2 2 3 2 2" xfId="32156" xr:uid="{00000000-0005-0000-0000-0000367C0000}"/>
    <cellStyle name="Normal 11 3 2 2 2 3 2 2 2" xfId="32157" xr:uid="{00000000-0005-0000-0000-0000377C0000}"/>
    <cellStyle name="Normal 11 3 2 2 2 3 2 2 3" xfId="32158" xr:uid="{00000000-0005-0000-0000-0000387C0000}"/>
    <cellStyle name="Normal 11 3 2 2 2 3 2 3" xfId="32159" xr:uid="{00000000-0005-0000-0000-0000397C0000}"/>
    <cellStyle name="Normal 11 3 2 2 2 3 2 4" xfId="32160" xr:uid="{00000000-0005-0000-0000-00003A7C0000}"/>
    <cellStyle name="Normal 11 3 2 2 2 3 2 5" xfId="32161" xr:uid="{00000000-0005-0000-0000-00003B7C0000}"/>
    <cellStyle name="Normal 11 3 2 2 2 3 2 6" xfId="32162" xr:uid="{00000000-0005-0000-0000-00003C7C0000}"/>
    <cellStyle name="Normal 11 3 2 2 2 3 3" xfId="32163" xr:uid="{00000000-0005-0000-0000-00003D7C0000}"/>
    <cellStyle name="Normal 11 3 2 2 2 3 3 2" xfId="32164" xr:uid="{00000000-0005-0000-0000-00003E7C0000}"/>
    <cellStyle name="Normal 11 3 2 2 2 3 3 3" xfId="32165" xr:uid="{00000000-0005-0000-0000-00003F7C0000}"/>
    <cellStyle name="Normal 11 3 2 2 2 3 4" xfId="32166" xr:uid="{00000000-0005-0000-0000-0000407C0000}"/>
    <cellStyle name="Normal 11 3 2 2 2 3 5" xfId="32167" xr:uid="{00000000-0005-0000-0000-0000417C0000}"/>
    <cellStyle name="Normal 11 3 2 2 2 3 6" xfId="32168" xr:uid="{00000000-0005-0000-0000-0000427C0000}"/>
    <cellStyle name="Normal 11 3 2 2 2 3 7" xfId="32169" xr:uid="{00000000-0005-0000-0000-0000437C0000}"/>
    <cellStyle name="Normal 11 3 2 2 2 4" xfId="32170" xr:uid="{00000000-0005-0000-0000-0000447C0000}"/>
    <cellStyle name="Normal 11 3 2 2 2 4 2" xfId="32171" xr:uid="{00000000-0005-0000-0000-0000457C0000}"/>
    <cellStyle name="Normal 11 3 2 2 2 4 2 2" xfId="32172" xr:uid="{00000000-0005-0000-0000-0000467C0000}"/>
    <cellStyle name="Normal 11 3 2 2 2 4 2 3" xfId="32173" xr:uid="{00000000-0005-0000-0000-0000477C0000}"/>
    <cellStyle name="Normal 11 3 2 2 2 4 3" xfId="32174" xr:uid="{00000000-0005-0000-0000-0000487C0000}"/>
    <cellStyle name="Normal 11 3 2 2 2 4 4" xfId="32175" xr:uid="{00000000-0005-0000-0000-0000497C0000}"/>
    <cellStyle name="Normal 11 3 2 2 2 4 5" xfId="32176" xr:uid="{00000000-0005-0000-0000-00004A7C0000}"/>
    <cellStyle name="Normal 11 3 2 2 2 4 6" xfId="32177" xr:uid="{00000000-0005-0000-0000-00004B7C0000}"/>
    <cellStyle name="Normal 11 3 2 2 2 5" xfId="32178" xr:uid="{00000000-0005-0000-0000-00004C7C0000}"/>
    <cellStyle name="Normal 11 3 2 2 2 5 2" xfId="32179" xr:uid="{00000000-0005-0000-0000-00004D7C0000}"/>
    <cellStyle name="Normal 11 3 2 2 2 5 2 2" xfId="32180" xr:uid="{00000000-0005-0000-0000-00004E7C0000}"/>
    <cellStyle name="Normal 11 3 2 2 2 5 2 3" xfId="32181" xr:uid="{00000000-0005-0000-0000-00004F7C0000}"/>
    <cellStyle name="Normal 11 3 2 2 2 5 3" xfId="32182" xr:uid="{00000000-0005-0000-0000-0000507C0000}"/>
    <cellStyle name="Normal 11 3 2 2 2 5 4" xfId="32183" xr:uid="{00000000-0005-0000-0000-0000517C0000}"/>
    <cellStyle name="Normal 11 3 2 2 2 5 5" xfId="32184" xr:uid="{00000000-0005-0000-0000-0000527C0000}"/>
    <cellStyle name="Normal 11 3 2 2 2 5 6" xfId="32185" xr:uid="{00000000-0005-0000-0000-0000537C0000}"/>
    <cellStyle name="Normal 11 3 2 2 2 6" xfId="32186" xr:uid="{00000000-0005-0000-0000-0000547C0000}"/>
    <cellStyle name="Normal 11 3 2 2 2 6 2" xfId="32187" xr:uid="{00000000-0005-0000-0000-0000557C0000}"/>
    <cellStyle name="Normal 11 3 2 2 2 6 3" xfId="32188" xr:uid="{00000000-0005-0000-0000-0000567C0000}"/>
    <cellStyle name="Normal 11 3 2 2 2 7" xfId="32189" xr:uid="{00000000-0005-0000-0000-0000577C0000}"/>
    <cellStyle name="Normal 11 3 2 2 2 8" xfId="32190" xr:uid="{00000000-0005-0000-0000-0000587C0000}"/>
    <cellStyle name="Normal 11 3 2 2 2 9" xfId="32191" xr:uid="{00000000-0005-0000-0000-0000597C0000}"/>
    <cellStyle name="Normal 11 3 2 2 3" xfId="32192" xr:uid="{00000000-0005-0000-0000-00005A7C0000}"/>
    <cellStyle name="Normal 11 3 2 2 3 2" xfId="32193" xr:uid="{00000000-0005-0000-0000-00005B7C0000}"/>
    <cellStyle name="Normal 11 3 2 2 3 2 2" xfId="32194" xr:uid="{00000000-0005-0000-0000-00005C7C0000}"/>
    <cellStyle name="Normal 11 3 2 2 3 2 2 2" xfId="32195" xr:uid="{00000000-0005-0000-0000-00005D7C0000}"/>
    <cellStyle name="Normal 11 3 2 2 3 2 2 2 2" xfId="32196" xr:uid="{00000000-0005-0000-0000-00005E7C0000}"/>
    <cellStyle name="Normal 11 3 2 2 3 2 2 2 3" xfId="32197" xr:uid="{00000000-0005-0000-0000-00005F7C0000}"/>
    <cellStyle name="Normal 11 3 2 2 3 2 2 3" xfId="32198" xr:uid="{00000000-0005-0000-0000-0000607C0000}"/>
    <cellStyle name="Normal 11 3 2 2 3 2 2 4" xfId="32199" xr:uid="{00000000-0005-0000-0000-0000617C0000}"/>
    <cellStyle name="Normal 11 3 2 2 3 2 2 5" xfId="32200" xr:uid="{00000000-0005-0000-0000-0000627C0000}"/>
    <cellStyle name="Normal 11 3 2 2 3 2 2 6" xfId="32201" xr:uid="{00000000-0005-0000-0000-0000637C0000}"/>
    <cellStyle name="Normal 11 3 2 2 3 2 3" xfId="32202" xr:uid="{00000000-0005-0000-0000-0000647C0000}"/>
    <cellStyle name="Normal 11 3 2 2 3 2 3 2" xfId="32203" xr:uid="{00000000-0005-0000-0000-0000657C0000}"/>
    <cellStyle name="Normal 11 3 2 2 3 2 3 3" xfId="32204" xr:uid="{00000000-0005-0000-0000-0000667C0000}"/>
    <cellStyle name="Normal 11 3 2 2 3 2 4" xfId="32205" xr:uid="{00000000-0005-0000-0000-0000677C0000}"/>
    <cellStyle name="Normal 11 3 2 2 3 2 5" xfId="32206" xr:uid="{00000000-0005-0000-0000-0000687C0000}"/>
    <cellStyle name="Normal 11 3 2 2 3 2 6" xfId="32207" xr:uid="{00000000-0005-0000-0000-0000697C0000}"/>
    <cellStyle name="Normal 11 3 2 2 3 2 7" xfId="32208" xr:uid="{00000000-0005-0000-0000-00006A7C0000}"/>
    <cellStyle name="Normal 11 3 2 2 3 3" xfId="32209" xr:uid="{00000000-0005-0000-0000-00006B7C0000}"/>
    <cellStyle name="Normal 11 3 2 2 3 3 2" xfId="32210" xr:uid="{00000000-0005-0000-0000-00006C7C0000}"/>
    <cellStyle name="Normal 11 3 2 2 3 3 2 2" xfId="32211" xr:uid="{00000000-0005-0000-0000-00006D7C0000}"/>
    <cellStyle name="Normal 11 3 2 2 3 3 2 3" xfId="32212" xr:uid="{00000000-0005-0000-0000-00006E7C0000}"/>
    <cellStyle name="Normal 11 3 2 2 3 3 3" xfId="32213" xr:uid="{00000000-0005-0000-0000-00006F7C0000}"/>
    <cellStyle name="Normal 11 3 2 2 3 3 4" xfId="32214" xr:uid="{00000000-0005-0000-0000-0000707C0000}"/>
    <cellStyle name="Normal 11 3 2 2 3 3 5" xfId="32215" xr:uid="{00000000-0005-0000-0000-0000717C0000}"/>
    <cellStyle name="Normal 11 3 2 2 3 3 6" xfId="32216" xr:uid="{00000000-0005-0000-0000-0000727C0000}"/>
    <cellStyle name="Normal 11 3 2 2 3 4" xfId="32217" xr:uid="{00000000-0005-0000-0000-0000737C0000}"/>
    <cellStyle name="Normal 11 3 2 2 3 4 2" xfId="32218" xr:uid="{00000000-0005-0000-0000-0000747C0000}"/>
    <cellStyle name="Normal 11 3 2 2 3 4 2 2" xfId="32219" xr:uid="{00000000-0005-0000-0000-0000757C0000}"/>
    <cellStyle name="Normal 11 3 2 2 3 4 2 3" xfId="32220" xr:uid="{00000000-0005-0000-0000-0000767C0000}"/>
    <cellStyle name="Normal 11 3 2 2 3 4 3" xfId="32221" xr:uid="{00000000-0005-0000-0000-0000777C0000}"/>
    <cellStyle name="Normal 11 3 2 2 3 4 4" xfId="32222" xr:uid="{00000000-0005-0000-0000-0000787C0000}"/>
    <cellStyle name="Normal 11 3 2 2 3 4 5" xfId="32223" xr:uid="{00000000-0005-0000-0000-0000797C0000}"/>
    <cellStyle name="Normal 11 3 2 2 3 4 6" xfId="32224" xr:uid="{00000000-0005-0000-0000-00007A7C0000}"/>
    <cellStyle name="Normal 11 3 2 2 3 5" xfId="32225" xr:uid="{00000000-0005-0000-0000-00007B7C0000}"/>
    <cellStyle name="Normal 11 3 2 2 3 5 2" xfId="32226" xr:uid="{00000000-0005-0000-0000-00007C7C0000}"/>
    <cellStyle name="Normal 11 3 2 2 3 5 3" xfId="32227" xr:uid="{00000000-0005-0000-0000-00007D7C0000}"/>
    <cellStyle name="Normal 11 3 2 2 3 6" xfId="32228" xr:uid="{00000000-0005-0000-0000-00007E7C0000}"/>
    <cellStyle name="Normal 11 3 2 2 3 7" xfId="32229" xr:uid="{00000000-0005-0000-0000-00007F7C0000}"/>
    <cellStyle name="Normal 11 3 2 2 3 8" xfId="32230" xr:uid="{00000000-0005-0000-0000-0000807C0000}"/>
    <cellStyle name="Normal 11 3 2 2 3 9" xfId="32231" xr:uid="{00000000-0005-0000-0000-0000817C0000}"/>
    <cellStyle name="Normal 11 3 2 2 4" xfId="32232" xr:uid="{00000000-0005-0000-0000-0000827C0000}"/>
    <cellStyle name="Normal 11 3 2 2 4 2" xfId="32233" xr:uid="{00000000-0005-0000-0000-0000837C0000}"/>
    <cellStyle name="Normal 11 3 2 2 4 2 2" xfId="32234" xr:uid="{00000000-0005-0000-0000-0000847C0000}"/>
    <cellStyle name="Normal 11 3 2 2 4 2 2 2" xfId="32235" xr:uid="{00000000-0005-0000-0000-0000857C0000}"/>
    <cellStyle name="Normal 11 3 2 2 4 2 2 3" xfId="32236" xr:uid="{00000000-0005-0000-0000-0000867C0000}"/>
    <cellStyle name="Normal 11 3 2 2 4 2 3" xfId="32237" xr:uid="{00000000-0005-0000-0000-0000877C0000}"/>
    <cellStyle name="Normal 11 3 2 2 4 2 4" xfId="32238" xr:uid="{00000000-0005-0000-0000-0000887C0000}"/>
    <cellStyle name="Normal 11 3 2 2 4 2 5" xfId="32239" xr:uid="{00000000-0005-0000-0000-0000897C0000}"/>
    <cellStyle name="Normal 11 3 2 2 4 2 6" xfId="32240" xr:uid="{00000000-0005-0000-0000-00008A7C0000}"/>
    <cellStyle name="Normal 11 3 2 2 4 3" xfId="32241" xr:uid="{00000000-0005-0000-0000-00008B7C0000}"/>
    <cellStyle name="Normal 11 3 2 2 4 3 2" xfId="32242" xr:uid="{00000000-0005-0000-0000-00008C7C0000}"/>
    <cellStyle name="Normal 11 3 2 2 4 3 3" xfId="32243" xr:uid="{00000000-0005-0000-0000-00008D7C0000}"/>
    <cellStyle name="Normal 11 3 2 2 4 4" xfId="32244" xr:uid="{00000000-0005-0000-0000-00008E7C0000}"/>
    <cellStyle name="Normal 11 3 2 2 4 5" xfId="32245" xr:uid="{00000000-0005-0000-0000-00008F7C0000}"/>
    <cellStyle name="Normal 11 3 2 2 4 6" xfId="32246" xr:uid="{00000000-0005-0000-0000-0000907C0000}"/>
    <cellStyle name="Normal 11 3 2 2 4 7" xfId="32247" xr:uid="{00000000-0005-0000-0000-0000917C0000}"/>
    <cellStyle name="Normal 11 3 2 2 5" xfId="32248" xr:uid="{00000000-0005-0000-0000-0000927C0000}"/>
    <cellStyle name="Normal 11 3 2 2 5 2" xfId="32249" xr:uid="{00000000-0005-0000-0000-0000937C0000}"/>
    <cellStyle name="Normal 11 3 2 2 5 2 2" xfId="32250" xr:uid="{00000000-0005-0000-0000-0000947C0000}"/>
    <cellStyle name="Normal 11 3 2 2 5 2 3" xfId="32251" xr:uid="{00000000-0005-0000-0000-0000957C0000}"/>
    <cellStyle name="Normal 11 3 2 2 5 3" xfId="32252" xr:uid="{00000000-0005-0000-0000-0000967C0000}"/>
    <cellStyle name="Normal 11 3 2 2 5 4" xfId="32253" xr:uid="{00000000-0005-0000-0000-0000977C0000}"/>
    <cellStyle name="Normal 11 3 2 2 5 5" xfId="32254" xr:uid="{00000000-0005-0000-0000-0000987C0000}"/>
    <cellStyle name="Normal 11 3 2 2 5 6" xfId="32255" xr:uid="{00000000-0005-0000-0000-0000997C0000}"/>
    <cellStyle name="Normal 11 3 2 2 6" xfId="32256" xr:uid="{00000000-0005-0000-0000-00009A7C0000}"/>
    <cellStyle name="Normal 11 3 2 2 6 2" xfId="32257" xr:uid="{00000000-0005-0000-0000-00009B7C0000}"/>
    <cellStyle name="Normal 11 3 2 2 6 2 2" xfId="32258" xr:uid="{00000000-0005-0000-0000-00009C7C0000}"/>
    <cellStyle name="Normal 11 3 2 2 6 2 3" xfId="32259" xr:uid="{00000000-0005-0000-0000-00009D7C0000}"/>
    <cellStyle name="Normal 11 3 2 2 6 3" xfId="32260" xr:uid="{00000000-0005-0000-0000-00009E7C0000}"/>
    <cellStyle name="Normal 11 3 2 2 6 4" xfId="32261" xr:uid="{00000000-0005-0000-0000-00009F7C0000}"/>
    <cellStyle name="Normal 11 3 2 2 6 5" xfId="32262" xr:uid="{00000000-0005-0000-0000-0000A07C0000}"/>
    <cellStyle name="Normal 11 3 2 2 6 6" xfId="32263" xr:uid="{00000000-0005-0000-0000-0000A17C0000}"/>
    <cellStyle name="Normal 11 3 2 2 7" xfId="32264" xr:uid="{00000000-0005-0000-0000-0000A27C0000}"/>
    <cellStyle name="Normal 11 3 2 2 7 2" xfId="32265" xr:uid="{00000000-0005-0000-0000-0000A37C0000}"/>
    <cellStyle name="Normal 11 3 2 2 7 2 2" xfId="32266" xr:uid="{00000000-0005-0000-0000-0000A47C0000}"/>
    <cellStyle name="Normal 11 3 2 2 7 2 3" xfId="32267" xr:uid="{00000000-0005-0000-0000-0000A57C0000}"/>
    <cellStyle name="Normal 11 3 2 2 7 3" xfId="32268" xr:uid="{00000000-0005-0000-0000-0000A67C0000}"/>
    <cellStyle name="Normal 11 3 2 2 7 4" xfId="32269" xr:uid="{00000000-0005-0000-0000-0000A77C0000}"/>
    <cellStyle name="Normal 11 3 2 2 7 5" xfId="32270" xr:uid="{00000000-0005-0000-0000-0000A87C0000}"/>
    <cellStyle name="Normal 11 3 2 2 7 6" xfId="32271" xr:uid="{00000000-0005-0000-0000-0000A97C0000}"/>
    <cellStyle name="Normal 11 3 2 2 8" xfId="32272" xr:uid="{00000000-0005-0000-0000-0000AA7C0000}"/>
    <cellStyle name="Normal 11 3 2 2 8 2" xfId="32273" xr:uid="{00000000-0005-0000-0000-0000AB7C0000}"/>
    <cellStyle name="Normal 11 3 2 2 8 2 2" xfId="32274" xr:uid="{00000000-0005-0000-0000-0000AC7C0000}"/>
    <cellStyle name="Normal 11 3 2 2 8 2 3" xfId="32275" xr:uid="{00000000-0005-0000-0000-0000AD7C0000}"/>
    <cellStyle name="Normal 11 3 2 2 8 3" xfId="32276" xr:uid="{00000000-0005-0000-0000-0000AE7C0000}"/>
    <cellStyle name="Normal 11 3 2 2 8 4" xfId="32277" xr:uid="{00000000-0005-0000-0000-0000AF7C0000}"/>
    <cellStyle name="Normal 11 3 2 2 8 5" xfId="32278" xr:uid="{00000000-0005-0000-0000-0000B07C0000}"/>
    <cellStyle name="Normal 11 3 2 2 8 6" xfId="32279" xr:uid="{00000000-0005-0000-0000-0000B17C0000}"/>
    <cellStyle name="Normal 11 3 2 2 9" xfId="32280" xr:uid="{00000000-0005-0000-0000-0000B27C0000}"/>
    <cellStyle name="Normal 11 3 2 2 9 2" xfId="32281" xr:uid="{00000000-0005-0000-0000-0000B37C0000}"/>
    <cellStyle name="Normal 11 3 2 2 9 3" xfId="32282" xr:uid="{00000000-0005-0000-0000-0000B47C0000}"/>
    <cellStyle name="Normal 11 3 2 3" xfId="32283" xr:uid="{00000000-0005-0000-0000-0000B57C0000}"/>
    <cellStyle name="Normal 11 3 2 3 10" xfId="32284" xr:uid="{00000000-0005-0000-0000-0000B67C0000}"/>
    <cellStyle name="Normal 11 3 2 3 2" xfId="32285" xr:uid="{00000000-0005-0000-0000-0000B77C0000}"/>
    <cellStyle name="Normal 11 3 2 3 2 2" xfId="32286" xr:uid="{00000000-0005-0000-0000-0000B87C0000}"/>
    <cellStyle name="Normal 11 3 2 3 2 2 2" xfId="32287" xr:uid="{00000000-0005-0000-0000-0000B97C0000}"/>
    <cellStyle name="Normal 11 3 2 3 2 2 2 2" xfId="32288" xr:uid="{00000000-0005-0000-0000-0000BA7C0000}"/>
    <cellStyle name="Normal 11 3 2 3 2 2 2 3" xfId="32289" xr:uid="{00000000-0005-0000-0000-0000BB7C0000}"/>
    <cellStyle name="Normal 11 3 2 3 2 2 3" xfId="32290" xr:uid="{00000000-0005-0000-0000-0000BC7C0000}"/>
    <cellStyle name="Normal 11 3 2 3 2 2 4" xfId="32291" xr:uid="{00000000-0005-0000-0000-0000BD7C0000}"/>
    <cellStyle name="Normal 11 3 2 3 2 2 5" xfId="32292" xr:uid="{00000000-0005-0000-0000-0000BE7C0000}"/>
    <cellStyle name="Normal 11 3 2 3 2 2 6" xfId="32293" xr:uid="{00000000-0005-0000-0000-0000BF7C0000}"/>
    <cellStyle name="Normal 11 3 2 3 2 3" xfId="32294" xr:uid="{00000000-0005-0000-0000-0000C07C0000}"/>
    <cellStyle name="Normal 11 3 2 3 2 3 2" xfId="32295" xr:uid="{00000000-0005-0000-0000-0000C17C0000}"/>
    <cellStyle name="Normal 11 3 2 3 2 3 2 2" xfId="32296" xr:uid="{00000000-0005-0000-0000-0000C27C0000}"/>
    <cellStyle name="Normal 11 3 2 3 2 3 2 3" xfId="32297" xr:uid="{00000000-0005-0000-0000-0000C37C0000}"/>
    <cellStyle name="Normal 11 3 2 3 2 3 3" xfId="32298" xr:uid="{00000000-0005-0000-0000-0000C47C0000}"/>
    <cellStyle name="Normal 11 3 2 3 2 3 4" xfId="32299" xr:uid="{00000000-0005-0000-0000-0000C57C0000}"/>
    <cellStyle name="Normal 11 3 2 3 2 3 5" xfId="32300" xr:uid="{00000000-0005-0000-0000-0000C67C0000}"/>
    <cellStyle name="Normal 11 3 2 3 2 3 6" xfId="32301" xr:uid="{00000000-0005-0000-0000-0000C77C0000}"/>
    <cellStyle name="Normal 11 3 2 3 2 4" xfId="32302" xr:uid="{00000000-0005-0000-0000-0000C87C0000}"/>
    <cellStyle name="Normal 11 3 2 3 2 4 2" xfId="32303" xr:uid="{00000000-0005-0000-0000-0000C97C0000}"/>
    <cellStyle name="Normal 11 3 2 3 2 4 3" xfId="32304" xr:uid="{00000000-0005-0000-0000-0000CA7C0000}"/>
    <cellStyle name="Normal 11 3 2 3 2 5" xfId="32305" xr:uid="{00000000-0005-0000-0000-0000CB7C0000}"/>
    <cellStyle name="Normal 11 3 2 3 2 6" xfId="32306" xr:uid="{00000000-0005-0000-0000-0000CC7C0000}"/>
    <cellStyle name="Normal 11 3 2 3 2 7" xfId="32307" xr:uid="{00000000-0005-0000-0000-0000CD7C0000}"/>
    <cellStyle name="Normal 11 3 2 3 2 8" xfId="32308" xr:uid="{00000000-0005-0000-0000-0000CE7C0000}"/>
    <cellStyle name="Normal 11 3 2 3 3" xfId="32309" xr:uid="{00000000-0005-0000-0000-0000CF7C0000}"/>
    <cellStyle name="Normal 11 3 2 3 3 2" xfId="32310" xr:uid="{00000000-0005-0000-0000-0000D07C0000}"/>
    <cellStyle name="Normal 11 3 2 3 3 2 2" xfId="32311" xr:uid="{00000000-0005-0000-0000-0000D17C0000}"/>
    <cellStyle name="Normal 11 3 2 3 3 2 2 2" xfId="32312" xr:uid="{00000000-0005-0000-0000-0000D27C0000}"/>
    <cellStyle name="Normal 11 3 2 3 3 2 2 3" xfId="32313" xr:uid="{00000000-0005-0000-0000-0000D37C0000}"/>
    <cellStyle name="Normal 11 3 2 3 3 2 3" xfId="32314" xr:uid="{00000000-0005-0000-0000-0000D47C0000}"/>
    <cellStyle name="Normal 11 3 2 3 3 2 4" xfId="32315" xr:uid="{00000000-0005-0000-0000-0000D57C0000}"/>
    <cellStyle name="Normal 11 3 2 3 3 2 5" xfId="32316" xr:uid="{00000000-0005-0000-0000-0000D67C0000}"/>
    <cellStyle name="Normal 11 3 2 3 3 2 6" xfId="32317" xr:uid="{00000000-0005-0000-0000-0000D77C0000}"/>
    <cellStyle name="Normal 11 3 2 3 3 3" xfId="32318" xr:uid="{00000000-0005-0000-0000-0000D87C0000}"/>
    <cellStyle name="Normal 11 3 2 3 3 3 2" xfId="32319" xr:uid="{00000000-0005-0000-0000-0000D97C0000}"/>
    <cellStyle name="Normal 11 3 2 3 3 3 3" xfId="32320" xr:uid="{00000000-0005-0000-0000-0000DA7C0000}"/>
    <cellStyle name="Normal 11 3 2 3 3 4" xfId="32321" xr:uid="{00000000-0005-0000-0000-0000DB7C0000}"/>
    <cellStyle name="Normal 11 3 2 3 3 5" xfId="32322" xr:uid="{00000000-0005-0000-0000-0000DC7C0000}"/>
    <cellStyle name="Normal 11 3 2 3 3 6" xfId="32323" xr:uid="{00000000-0005-0000-0000-0000DD7C0000}"/>
    <cellStyle name="Normal 11 3 2 3 3 7" xfId="32324" xr:uid="{00000000-0005-0000-0000-0000DE7C0000}"/>
    <cellStyle name="Normal 11 3 2 3 4" xfId="32325" xr:uid="{00000000-0005-0000-0000-0000DF7C0000}"/>
    <cellStyle name="Normal 11 3 2 3 4 2" xfId="32326" xr:uid="{00000000-0005-0000-0000-0000E07C0000}"/>
    <cellStyle name="Normal 11 3 2 3 4 2 2" xfId="32327" xr:uid="{00000000-0005-0000-0000-0000E17C0000}"/>
    <cellStyle name="Normal 11 3 2 3 4 2 3" xfId="32328" xr:uid="{00000000-0005-0000-0000-0000E27C0000}"/>
    <cellStyle name="Normal 11 3 2 3 4 3" xfId="32329" xr:uid="{00000000-0005-0000-0000-0000E37C0000}"/>
    <cellStyle name="Normal 11 3 2 3 4 4" xfId="32330" xr:uid="{00000000-0005-0000-0000-0000E47C0000}"/>
    <cellStyle name="Normal 11 3 2 3 4 5" xfId="32331" xr:uid="{00000000-0005-0000-0000-0000E57C0000}"/>
    <cellStyle name="Normal 11 3 2 3 4 6" xfId="32332" xr:uid="{00000000-0005-0000-0000-0000E67C0000}"/>
    <cellStyle name="Normal 11 3 2 3 5" xfId="32333" xr:uid="{00000000-0005-0000-0000-0000E77C0000}"/>
    <cellStyle name="Normal 11 3 2 3 5 2" xfId="32334" xr:uid="{00000000-0005-0000-0000-0000E87C0000}"/>
    <cellStyle name="Normal 11 3 2 3 5 2 2" xfId="32335" xr:uid="{00000000-0005-0000-0000-0000E97C0000}"/>
    <cellStyle name="Normal 11 3 2 3 5 2 3" xfId="32336" xr:uid="{00000000-0005-0000-0000-0000EA7C0000}"/>
    <cellStyle name="Normal 11 3 2 3 5 3" xfId="32337" xr:uid="{00000000-0005-0000-0000-0000EB7C0000}"/>
    <cellStyle name="Normal 11 3 2 3 5 4" xfId="32338" xr:uid="{00000000-0005-0000-0000-0000EC7C0000}"/>
    <cellStyle name="Normal 11 3 2 3 5 5" xfId="32339" xr:uid="{00000000-0005-0000-0000-0000ED7C0000}"/>
    <cellStyle name="Normal 11 3 2 3 5 6" xfId="32340" xr:uid="{00000000-0005-0000-0000-0000EE7C0000}"/>
    <cellStyle name="Normal 11 3 2 3 6" xfId="32341" xr:uid="{00000000-0005-0000-0000-0000EF7C0000}"/>
    <cellStyle name="Normal 11 3 2 3 6 2" xfId="32342" xr:uid="{00000000-0005-0000-0000-0000F07C0000}"/>
    <cellStyle name="Normal 11 3 2 3 6 3" xfId="32343" xr:uid="{00000000-0005-0000-0000-0000F17C0000}"/>
    <cellStyle name="Normal 11 3 2 3 7" xfId="32344" xr:uid="{00000000-0005-0000-0000-0000F27C0000}"/>
    <cellStyle name="Normal 11 3 2 3 8" xfId="32345" xr:uid="{00000000-0005-0000-0000-0000F37C0000}"/>
    <cellStyle name="Normal 11 3 2 3 9" xfId="32346" xr:uid="{00000000-0005-0000-0000-0000F47C0000}"/>
    <cellStyle name="Normal 11 3 2 4" xfId="32347" xr:uid="{00000000-0005-0000-0000-0000F57C0000}"/>
    <cellStyle name="Normal 11 3 2 4 2" xfId="32348" xr:uid="{00000000-0005-0000-0000-0000F67C0000}"/>
    <cellStyle name="Normal 11 3 2 4 2 2" xfId="32349" xr:uid="{00000000-0005-0000-0000-0000F77C0000}"/>
    <cellStyle name="Normal 11 3 2 4 2 2 2" xfId="32350" xr:uid="{00000000-0005-0000-0000-0000F87C0000}"/>
    <cellStyle name="Normal 11 3 2 4 2 2 2 2" xfId="32351" xr:uid="{00000000-0005-0000-0000-0000F97C0000}"/>
    <cellStyle name="Normal 11 3 2 4 2 2 2 3" xfId="32352" xr:uid="{00000000-0005-0000-0000-0000FA7C0000}"/>
    <cellStyle name="Normal 11 3 2 4 2 2 3" xfId="32353" xr:uid="{00000000-0005-0000-0000-0000FB7C0000}"/>
    <cellStyle name="Normal 11 3 2 4 2 2 4" xfId="32354" xr:uid="{00000000-0005-0000-0000-0000FC7C0000}"/>
    <cellStyle name="Normal 11 3 2 4 2 2 5" xfId="32355" xr:uid="{00000000-0005-0000-0000-0000FD7C0000}"/>
    <cellStyle name="Normal 11 3 2 4 2 2 6" xfId="32356" xr:uid="{00000000-0005-0000-0000-0000FE7C0000}"/>
    <cellStyle name="Normal 11 3 2 4 2 3" xfId="32357" xr:uid="{00000000-0005-0000-0000-0000FF7C0000}"/>
    <cellStyle name="Normal 11 3 2 4 2 3 2" xfId="32358" xr:uid="{00000000-0005-0000-0000-0000007D0000}"/>
    <cellStyle name="Normal 11 3 2 4 2 3 3" xfId="32359" xr:uid="{00000000-0005-0000-0000-0000017D0000}"/>
    <cellStyle name="Normal 11 3 2 4 2 4" xfId="32360" xr:uid="{00000000-0005-0000-0000-0000027D0000}"/>
    <cellStyle name="Normal 11 3 2 4 2 5" xfId="32361" xr:uid="{00000000-0005-0000-0000-0000037D0000}"/>
    <cellStyle name="Normal 11 3 2 4 2 6" xfId="32362" xr:uid="{00000000-0005-0000-0000-0000047D0000}"/>
    <cellStyle name="Normal 11 3 2 4 2 7" xfId="32363" xr:uid="{00000000-0005-0000-0000-0000057D0000}"/>
    <cellStyle name="Normal 11 3 2 4 3" xfId="32364" xr:uid="{00000000-0005-0000-0000-0000067D0000}"/>
    <cellStyle name="Normal 11 3 2 4 3 2" xfId="32365" xr:uid="{00000000-0005-0000-0000-0000077D0000}"/>
    <cellStyle name="Normal 11 3 2 4 3 2 2" xfId="32366" xr:uid="{00000000-0005-0000-0000-0000087D0000}"/>
    <cellStyle name="Normal 11 3 2 4 3 2 3" xfId="32367" xr:uid="{00000000-0005-0000-0000-0000097D0000}"/>
    <cellStyle name="Normal 11 3 2 4 3 3" xfId="32368" xr:uid="{00000000-0005-0000-0000-00000A7D0000}"/>
    <cellStyle name="Normal 11 3 2 4 3 4" xfId="32369" xr:uid="{00000000-0005-0000-0000-00000B7D0000}"/>
    <cellStyle name="Normal 11 3 2 4 3 5" xfId="32370" xr:uid="{00000000-0005-0000-0000-00000C7D0000}"/>
    <cellStyle name="Normal 11 3 2 4 3 6" xfId="32371" xr:uid="{00000000-0005-0000-0000-00000D7D0000}"/>
    <cellStyle name="Normal 11 3 2 4 4" xfId="32372" xr:uid="{00000000-0005-0000-0000-00000E7D0000}"/>
    <cellStyle name="Normal 11 3 2 4 4 2" xfId="32373" xr:uid="{00000000-0005-0000-0000-00000F7D0000}"/>
    <cellStyle name="Normal 11 3 2 4 4 2 2" xfId="32374" xr:uid="{00000000-0005-0000-0000-0000107D0000}"/>
    <cellStyle name="Normal 11 3 2 4 4 2 3" xfId="32375" xr:uid="{00000000-0005-0000-0000-0000117D0000}"/>
    <cellStyle name="Normal 11 3 2 4 4 3" xfId="32376" xr:uid="{00000000-0005-0000-0000-0000127D0000}"/>
    <cellStyle name="Normal 11 3 2 4 4 4" xfId="32377" xr:uid="{00000000-0005-0000-0000-0000137D0000}"/>
    <cellStyle name="Normal 11 3 2 4 4 5" xfId="32378" xr:uid="{00000000-0005-0000-0000-0000147D0000}"/>
    <cellStyle name="Normal 11 3 2 4 4 6" xfId="32379" xr:uid="{00000000-0005-0000-0000-0000157D0000}"/>
    <cellStyle name="Normal 11 3 2 4 5" xfId="32380" xr:uid="{00000000-0005-0000-0000-0000167D0000}"/>
    <cellStyle name="Normal 11 3 2 4 5 2" xfId="32381" xr:uid="{00000000-0005-0000-0000-0000177D0000}"/>
    <cellStyle name="Normal 11 3 2 4 5 3" xfId="32382" xr:uid="{00000000-0005-0000-0000-0000187D0000}"/>
    <cellStyle name="Normal 11 3 2 4 6" xfId="32383" xr:uid="{00000000-0005-0000-0000-0000197D0000}"/>
    <cellStyle name="Normal 11 3 2 4 7" xfId="32384" xr:uid="{00000000-0005-0000-0000-00001A7D0000}"/>
    <cellStyle name="Normal 11 3 2 4 8" xfId="32385" xr:uid="{00000000-0005-0000-0000-00001B7D0000}"/>
    <cellStyle name="Normal 11 3 2 4 9" xfId="32386" xr:uid="{00000000-0005-0000-0000-00001C7D0000}"/>
    <cellStyle name="Normal 11 3 2 5" xfId="32387" xr:uid="{00000000-0005-0000-0000-00001D7D0000}"/>
    <cellStyle name="Normal 11 3 2 5 2" xfId="32388" xr:uid="{00000000-0005-0000-0000-00001E7D0000}"/>
    <cellStyle name="Normal 11 3 2 5 2 2" xfId="32389" xr:uid="{00000000-0005-0000-0000-00001F7D0000}"/>
    <cellStyle name="Normal 11 3 2 5 2 2 2" xfId="32390" xr:uid="{00000000-0005-0000-0000-0000207D0000}"/>
    <cellStyle name="Normal 11 3 2 5 2 2 3" xfId="32391" xr:uid="{00000000-0005-0000-0000-0000217D0000}"/>
    <cellStyle name="Normal 11 3 2 5 2 3" xfId="32392" xr:uid="{00000000-0005-0000-0000-0000227D0000}"/>
    <cellStyle name="Normal 11 3 2 5 2 4" xfId="32393" xr:uid="{00000000-0005-0000-0000-0000237D0000}"/>
    <cellStyle name="Normal 11 3 2 5 2 5" xfId="32394" xr:uid="{00000000-0005-0000-0000-0000247D0000}"/>
    <cellStyle name="Normal 11 3 2 5 2 6" xfId="32395" xr:uid="{00000000-0005-0000-0000-0000257D0000}"/>
    <cellStyle name="Normal 11 3 2 5 3" xfId="32396" xr:uid="{00000000-0005-0000-0000-0000267D0000}"/>
    <cellStyle name="Normal 11 3 2 5 3 2" xfId="32397" xr:uid="{00000000-0005-0000-0000-0000277D0000}"/>
    <cellStyle name="Normal 11 3 2 5 3 3" xfId="32398" xr:uid="{00000000-0005-0000-0000-0000287D0000}"/>
    <cellStyle name="Normal 11 3 2 5 4" xfId="32399" xr:uid="{00000000-0005-0000-0000-0000297D0000}"/>
    <cellStyle name="Normal 11 3 2 5 5" xfId="32400" xr:uid="{00000000-0005-0000-0000-00002A7D0000}"/>
    <cellStyle name="Normal 11 3 2 5 6" xfId="32401" xr:uid="{00000000-0005-0000-0000-00002B7D0000}"/>
    <cellStyle name="Normal 11 3 2 5 7" xfId="32402" xr:uid="{00000000-0005-0000-0000-00002C7D0000}"/>
    <cellStyle name="Normal 11 3 2 6" xfId="32403" xr:uid="{00000000-0005-0000-0000-00002D7D0000}"/>
    <cellStyle name="Normal 11 3 2 6 2" xfId="32404" xr:uid="{00000000-0005-0000-0000-00002E7D0000}"/>
    <cellStyle name="Normal 11 3 2 6 2 2" xfId="32405" xr:uid="{00000000-0005-0000-0000-00002F7D0000}"/>
    <cellStyle name="Normal 11 3 2 6 2 3" xfId="32406" xr:uid="{00000000-0005-0000-0000-0000307D0000}"/>
    <cellStyle name="Normal 11 3 2 6 3" xfId="32407" xr:uid="{00000000-0005-0000-0000-0000317D0000}"/>
    <cellStyle name="Normal 11 3 2 6 4" xfId="32408" xr:uid="{00000000-0005-0000-0000-0000327D0000}"/>
    <cellStyle name="Normal 11 3 2 6 5" xfId="32409" xr:uid="{00000000-0005-0000-0000-0000337D0000}"/>
    <cellStyle name="Normal 11 3 2 6 6" xfId="32410" xr:uid="{00000000-0005-0000-0000-0000347D0000}"/>
    <cellStyle name="Normal 11 3 2 7" xfId="32411" xr:uid="{00000000-0005-0000-0000-0000357D0000}"/>
    <cellStyle name="Normal 11 3 2 7 2" xfId="32412" xr:uid="{00000000-0005-0000-0000-0000367D0000}"/>
    <cellStyle name="Normal 11 3 2 7 2 2" xfId="32413" xr:uid="{00000000-0005-0000-0000-0000377D0000}"/>
    <cellStyle name="Normal 11 3 2 7 2 3" xfId="32414" xr:uid="{00000000-0005-0000-0000-0000387D0000}"/>
    <cellStyle name="Normal 11 3 2 7 3" xfId="32415" xr:uid="{00000000-0005-0000-0000-0000397D0000}"/>
    <cellStyle name="Normal 11 3 2 7 4" xfId="32416" xr:uid="{00000000-0005-0000-0000-00003A7D0000}"/>
    <cellStyle name="Normal 11 3 2 7 5" xfId="32417" xr:uid="{00000000-0005-0000-0000-00003B7D0000}"/>
    <cellStyle name="Normal 11 3 2 7 6" xfId="32418" xr:uid="{00000000-0005-0000-0000-00003C7D0000}"/>
    <cellStyle name="Normal 11 3 2 8" xfId="32419" xr:uid="{00000000-0005-0000-0000-00003D7D0000}"/>
    <cellStyle name="Normal 11 3 2 8 2" xfId="32420" xr:uid="{00000000-0005-0000-0000-00003E7D0000}"/>
    <cellStyle name="Normal 11 3 2 8 2 2" xfId="32421" xr:uid="{00000000-0005-0000-0000-00003F7D0000}"/>
    <cellStyle name="Normal 11 3 2 8 2 3" xfId="32422" xr:uid="{00000000-0005-0000-0000-0000407D0000}"/>
    <cellStyle name="Normal 11 3 2 8 3" xfId="32423" xr:uid="{00000000-0005-0000-0000-0000417D0000}"/>
    <cellStyle name="Normal 11 3 2 8 4" xfId="32424" xr:uid="{00000000-0005-0000-0000-0000427D0000}"/>
    <cellStyle name="Normal 11 3 2 8 5" xfId="32425" xr:uid="{00000000-0005-0000-0000-0000437D0000}"/>
    <cellStyle name="Normal 11 3 2 8 6" xfId="32426" xr:uid="{00000000-0005-0000-0000-0000447D0000}"/>
    <cellStyle name="Normal 11 3 2 9" xfId="32427" xr:uid="{00000000-0005-0000-0000-0000457D0000}"/>
    <cellStyle name="Normal 11 3 2 9 2" xfId="32428" xr:uid="{00000000-0005-0000-0000-0000467D0000}"/>
    <cellStyle name="Normal 11 3 2 9 2 2" xfId="32429" xr:uid="{00000000-0005-0000-0000-0000477D0000}"/>
    <cellStyle name="Normal 11 3 2 9 2 3" xfId="32430" xr:uid="{00000000-0005-0000-0000-0000487D0000}"/>
    <cellStyle name="Normal 11 3 2 9 3" xfId="32431" xr:uid="{00000000-0005-0000-0000-0000497D0000}"/>
    <cellStyle name="Normal 11 3 2 9 4" xfId="32432" xr:uid="{00000000-0005-0000-0000-00004A7D0000}"/>
    <cellStyle name="Normal 11 3 2 9 5" xfId="32433" xr:uid="{00000000-0005-0000-0000-00004B7D0000}"/>
    <cellStyle name="Normal 11 3 2 9 6" xfId="32434" xr:uid="{00000000-0005-0000-0000-00004C7D0000}"/>
    <cellStyle name="Normal 11 3 3" xfId="32435" xr:uid="{00000000-0005-0000-0000-00004D7D0000}"/>
    <cellStyle name="Normal 11 3 3 10" xfId="32436" xr:uid="{00000000-0005-0000-0000-00004E7D0000}"/>
    <cellStyle name="Normal 11 3 3 10 2" xfId="32437" xr:uid="{00000000-0005-0000-0000-00004F7D0000}"/>
    <cellStyle name="Normal 11 3 3 10 3" xfId="32438" xr:uid="{00000000-0005-0000-0000-0000507D0000}"/>
    <cellStyle name="Normal 11 3 3 11" xfId="32439" xr:uid="{00000000-0005-0000-0000-0000517D0000}"/>
    <cellStyle name="Normal 11 3 3 12" xfId="32440" xr:uid="{00000000-0005-0000-0000-0000527D0000}"/>
    <cellStyle name="Normal 11 3 3 13" xfId="32441" xr:uid="{00000000-0005-0000-0000-0000537D0000}"/>
    <cellStyle name="Normal 11 3 3 14" xfId="32442" xr:uid="{00000000-0005-0000-0000-0000547D0000}"/>
    <cellStyle name="Normal 11 3 3 2" xfId="32443" xr:uid="{00000000-0005-0000-0000-0000557D0000}"/>
    <cellStyle name="Normal 11 3 3 2 10" xfId="32444" xr:uid="{00000000-0005-0000-0000-0000567D0000}"/>
    <cellStyle name="Normal 11 3 3 2 11" xfId="32445" xr:uid="{00000000-0005-0000-0000-0000577D0000}"/>
    <cellStyle name="Normal 11 3 3 2 12" xfId="32446" xr:uid="{00000000-0005-0000-0000-0000587D0000}"/>
    <cellStyle name="Normal 11 3 3 2 13" xfId="32447" xr:uid="{00000000-0005-0000-0000-0000597D0000}"/>
    <cellStyle name="Normal 11 3 3 2 2" xfId="32448" xr:uid="{00000000-0005-0000-0000-00005A7D0000}"/>
    <cellStyle name="Normal 11 3 3 2 2 10" xfId="32449" xr:uid="{00000000-0005-0000-0000-00005B7D0000}"/>
    <cellStyle name="Normal 11 3 3 2 2 2" xfId="32450" xr:uid="{00000000-0005-0000-0000-00005C7D0000}"/>
    <cellStyle name="Normal 11 3 3 2 2 2 2" xfId="32451" xr:uid="{00000000-0005-0000-0000-00005D7D0000}"/>
    <cellStyle name="Normal 11 3 3 2 2 2 2 2" xfId="32452" xr:uid="{00000000-0005-0000-0000-00005E7D0000}"/>
    <cellStyle name="Normal 11 3 3 2 2 2 2 2 2" xfId="32453" xr:uid="{00000000-0005-0000-0000-00005F7D0000}"/>
    <cellStyle name="Normal 11 3 3 2 2 2 2 2 3" xfId="32454" xr:uid="{00000000-0005-0000-0000-0000607D0000}"/>
    <cellStyle name="Normal 11 3 3 2 2 2 2 3" xfId="32455" xr:uid="{00000000-0005-0000-0000-0000617D0000}"/>
    <cellStyle name="Normal 11 3 3 2 2 2 2 4" xfId="32456" xr:uid="{00000000-0005-0000-0000-0000627D0000}"/>
    <cellStyle name="Normal 11 3 3 2 2 2 2 5" xfId="32457" xr:uid="{00000000-0005-0000-0000-0000637D0000}"/>
    <cellStyle name="Normal 11 3 3 2 2 2 2 6" xfId="32458" xr:uid="{00000000-0005-0000-0000-0000647D0000}"/>
    <cellStyle name="Normal 11 3 3 2 2 2 3" xfId="32459" xr:uid="{00000000-0005-0000-0000-0000657D0000}"/>
    <cellStyle name="Normal 11 3 3 2 2 2 3 2" xfId="32460" xr:uid="{00000000-0005-0000-0000-0000667D0000}"/>
    <cellStyle name="Normal 11 3 3 2 2 2 3 2 2" xfId="32461" xr:uid="{00000000-0005-0000-0000-0000677D0000}"/>
    <cellStyle name="Normal 11 3 3 2 2 2 3 2 3" xfId="32462" xr:uid="{00000000-0005-0000-0000-0000687D0000}"/>
    <cellStyle name="Normal 11 3 3 2 2 2 3 3" xfId="32463" xr:uid="{00000000-0005-0000-0000-0000697D0000}"/>
    <cellStyle name="Normal 11 3 3 2 2 2 3 4" xfId="32464" xr:uid="{00000000-0005-0000-0000-00006A7D0000}"/>
    <cellStyle name="Normal 11 3 3 2 2 2 3 5" xfId="32465" xr:uid="{00000000-0005-0000-0000-00006B7D0000}"/>
    <cellStyle name="Normal 11 3 3 2 2 2 3 6" xfId="32466" xr:uid="{00000000-0005-0000-0000-00006C7D0000}"/>
    <cellStyle name="Normal 11 3 3 2 2 2 4" xfId="32467" xr:uid="{00000000-0005-0000-0000-00006D7D0000}"/>
    <cellStyle name="Normal 11 3 3 2 2 2 4 2" xfId="32468" xr:uid="{00000000-0005-0000-0000-00006E7D0000}"/>
    <cellStyle name="Normal 11 3 3 2 2 2 4 3" xfId="32469" xr:uid="{00000000-0005-0000-0000-00006F7D0000}"/>
    <cellStyle name="Normal 11 3 3 2 2 2 5" xfId="32470" xr:uid="{00000000-0005-0000-0000-0000707D0000}"/>
    <cellStyle name="Normal 11 3 3 2 2 2 6" xfId="32471" xr:uid="{00000000-0005-0000-0000-0000717D0000}"/>
    <cellStyle name="Normal 11 3 3 2 2 2 7" xfId="32472" xr:uid="{00000000-0005-0000-0000-0000727D0000}"/>
    <cellStyle name="Normal 11 3 3 2 2 2 8" xfId="32473" xr:uid="{00000000-0005-0000-0000-0000737D0000}"/>
    <cellStyle name="Normal 11 3 3 2 2 3" xfId="32474" xr:uid="{00000000-0005-0000-0000-0000747D0000}"/>
    <cellStyle name="Normal 11 3 3 2 2 3 2" xfId="32475" xr:uid="{00000000-0005-0000-0000-0000757D0000}"/>
    <cellStyle name="Normal 11 3 3 2 2 3 2 2" xfId="32476" xr:uid="{00000000-0005-0000-0000-0000767D0000}"/>
    <cellStyle name="Normal 11 3 3 2 2 3 2 2 2" xfId="32477" xr:uid="{00000000-0005-0000-0000-0000777D0000}"/>
    <cellStyle name="Normal 11 3 3 2 2 3 2 2 3" xfId="32478" xr:uid="{00000000-0005-0000-0000-0000787D0000}"/>
    <cellStyle name="Normal 11 3 3 2 2 3 2 3" xfId="32479" xr:uid="{00000000-0005-0000-0000-0000797D0000}"/>
    <cellStyle name="Normal 11 3 3 2 2 3 2 4" xfId="32480" xr:uid="{00000000-0005-0000-0000-00007A7D0000}"/>
    <cellStyle name="Normal 11 3 3 2 2 3 2 5" xfId="32481" xr:uid="{00000000-0005-0000-0000-00007B7D0000}"/>
    <cellStyle name="Normal 11 3 3 2 2 3 2 6" xfId="32482" xr:uid="{00000000-0005-0000-0000-00007C7D0000}"/>
    <cellStyle name="Normal 11 3 3 2 2 3 3" xfId="32483" xr:uid="{00000000-0005-0000-0000-00007D7D0000}"/>
    <cellStyle name="Normal 11 3 3 2 2 3 3 2" xfId="32484" xr:uid="{00000000-0005-0000-0000-00007E7D0000}"/>
    <cellStyle name="Normal 11 3 3 2 2 3 3 3" xfId="32485" xr:uid="{00000000-0005-0000-0000-00007F7D0000}"/>
    <cellStyle name="Normal 11 3 3 2 2 3 4" xfId="32486" xr:uid="{00000000-0005-0000-0000-0000807D0000}"/>
    <cellStyle name="Normal 11 3 3 2 2 3 5" xfId="32487" xr:uid="{00000000-0005-0000-0000-0000817D0000}"/>
    <cellStyle name="Normal 11 3 3 2 2 3 6" xfId="32488" xr:uid="{00000000-0005-0000-0000-0000827D0000}"/>
    <cellStyle name="Normal 11 3 3 2 2 3 7" xfId="32489" xr:uid="{00000000-0005-0000-0000-0000837D0000}"/>
    <cellStyle name="Normal 11 3 3 2 2 4" xfId="32490" xr:uid="{00000000-0005-0000-0000-0000847D0000}"/>
    <cellStyle name="Normal 11 3 3 2 2 4 2" xfId="32491" xr:uid="{00000000-0005-0000-0000-0000857D0000}"/>
    <cellStyle name="Normal 11 3 3 2 2 4 2 2" xfId="32492" xr:uid="{00000000-0005-0000-0000-0000867D0000}"/>
    <cellStyle name="Normal 11 3 3 2 2 4 2 3" xfId="32493" xr:uid="{00000000-0005-0000-0000-0000877D0000}"/>
    <cellStyle name="Normal 11 3 3 2 2 4 3" xfId="32494" xr:uid="{00000000-0005-0000-0000-0000887D0000}"/>
    <cellStyle name="Normal 11 3 3 2 2 4 4" xfId="32495" xr:uid="{00000000-0005-0000-0000-0000897D0000}"/>
    <cellStyle name="Normal 11 3 3 2 2 4 5" xfId="32496" xr:uid="{00000000-0005-0000-0000-00008A7D0000}"/>
    <cellStyle name="Normal 11 3 3 2 2 4 6" xfId="32497" xr:uid="{00000000-0005-0000-0000-00008B7D0000}"/>
    <cellStyle name="Normal 11 3 3 2 2 5" xfId="32498" xr:uid="{00000000-0005-0000-0000-00008C7D0000}"/>
    <cellStyle name="Normal 11 3 3 2 2 5 2" xfId="32499" xr:uid="{00000000-0005-0000-0000-00008D7D0000}"/>
    <cellStyle name="Normal 11 3 3 2 2 5 2 2" xfId="32500" xr:uid="{00000000-0005-0000-0000-00008E7D0000}"/>
    <cellStyle name="Normal 11 3 3 2 2 5 2 3" xfId="32501" xr:uid="{00000000-0005-0000-0000-00008F7D0000}"/>
    <cellStyle name="Normal 11 3 3 2 2 5 3" xfId="32502" xr:uid="{00000000-0005-0000-0000-0000907D0000}"/>
    <cellStyle name="Normal 11 3 3 2 2 5 4" xfId="32503" xr:uid="{00000000-0005-0000-0000-0000917D0000}"/>
    <cellStyle name="Normal 11 3 3 2 2 5 5" xfId="32504" xr:uid="{00000000-0005-0000-0000-0000927D0000}"/>
    <cellStyle name="Normal 11 3 3 2 2 5 6" xfId="32505" xr:uid="{00000000-0005-0000-0000-0000937D0000}"/>
    <cellStyle name="Normal 11 3 3 2 2 6" xfId="32506" xr:uid="{00000000-0005-0000-0000-0000947D0000}"/>
    <cellStyle name="Normal 11 3 3 2 2 6 2" xfId="32507" xr:uid="{00000000-0005-0000-0000-0000957D0000}"/>
    <cellStyle name="Normal 11 3 3 2 2 6 3" xfId="32508" xr:uid="{00000000-0005-0000-0000-0000967D0000}"/>
    <cellStyle name="Normal 11 3 3 2 2 7" xfId="32509" xr:uid="{00000000-0005-0000-0000-0000977D0000}"/>
    <cellStyle name="Normal 11 3 3 2 2 8" xfId="32510" xr:uid="{00000000-0005-0000-0000-0000987D0000}"/>
    <cellStyle name="Normal 11 3 3 2 2 9" xfId="32511" xr:uid="{00000000-0005-0000-0000-0000997D0000}"/>
    <cellStyle name="Normal 11 3 3 2 3" xfId="32512" xr:uid="{00000000-0005-0000-0000-00009A7D0000}"/>
    <cellStyle name="Normal 11 3 3 2 3 2" xfId="32513" xr:uid="{00000000-0005-0000-0000-00009B7D0000}"/>
    <cellStyle name="Normal 11 3 3 2 3 2 2" xfId="32514" xr:uid="{00000000-0005-0000-0000-00009C7D0000}"/>
    <cellStyle name="Normal 11 3 3 2 3 2 2 2" xfId="32515" xr:uid="{00000000-0005-0000-0000-00009D7D0000}"/>
    <cellStyle name="Normal 11 3 3 2 3 2 2 2 2" xfId="32516" xr:uid="{00000000-0005-0000-0000-00009E7D0000}"/>
    <cellStyle name="Normal 11 3 3 2 3 2 2 2 3" xfId="32517" xr:uid="{00000000-0005-0000-0000-00009F7D0000}"/>
    <cellStyle name="Normal 11 3 3 2 3 2 2 3" xfId="32518" xr:uid="{00000000-0005-0000-0000-0000A07D0000}"/>
    <cellStyle name="Normal 11 3 3 2 3 2 2 4" xfId="32519" xr:uid="{00000000-0005-0000-0000-0000A17D0000}"/>
    <cellStyle name="Normal 11 3 3 2 3 2 2 5" xfId="32520" xr:uid="{00000000-0005-0000-0000-0000A27D0000}"/>
    <cellStyle name="Normal 11 3 3 2 3 2 2 6" xfId="32521" xr:uid="{00000000-0005-0000-0000-0000A37D0000}"/>
    <cellStyle name="Normal 11 3 3 2 3 2 3" xfId="32522" xr:uid="{00000000-0005-0000-0000-0000A47D0000}"/>
    <cellStyle name="Normal 11 3 3 2 3 2 3 2" xfId="32523" xr:uid="{00000000-0005-0000-0000-0000A57D0000}"/>
    <cellStyle name="Normal 11 3 3 2 3 2 3 3" xfId="32524" xr:uid="{00000000-0005-0000-0000-0000A67D0000}"/>
    <cellStyle name="Normal 11 3 3 2 3 2 4" xfId="32525" xr:uid="{00000000-0005-0000-0000-0000A77D0000}"/>
    <cellStyle name="Normal 11 3 3 2 3 2 5" xfId="32526" xr:uid="{00000000-0005-0000-0000-0000A87D0000}"/>
    <cellStyle name="Normal 11 3 3 2 3 2 6" xfId="32527" xr:uid="{00000000-0005-0000-0000-0000A97D0000}"/>
    <cellStyle name="Normal 11 3 3 2 3 2 7" xfId="32528" xr:uid="{00000000-0005-0000-0000-0000AA7D0000}"/>
    <cellStyle name="Normal 11 3 3 2 3 3" xfId="32529" xr:uid="{00000000-0005-0000-0000-0000AB7D0000}"/>
    <cellStyle name="Normal 11 3 3 2 3 3 2" xfId="32530" xr:uid="{00000000-0005-0000-0000-0000AC7D0000}"/>
    <cellStyle name="Normal 11 3 3 2 3 3 2 2" xfId="32531" xr:uid="{00000000-0005-0000-0000-0000AD7D0000}"/>
    <cellStyle name="Normal 11 3 3 2 3 3 2 3" xfId="32532" xr:uid="{00000000-0005-0000-0000-0000AE7D0000}"/>
    <cellStyle name="Normal 11 3 3 2 3 3 3" xfId="32533" xr:uid="{00000000-0005-0000-0000-0000AF7D0000}"/>
    <cellStyle name="Normal 11 3 3 2 3 3 4" xfId="32534" xr:uid="{00000000-0005-0000-0000-0000B07D0000}"/>
    <cellStyle name="Normal 11 3 3 2 3 3 5" xfId="32535" xr:uid="{00000000-0005-0000-0000-0000B17D0000}"/>
    <cellStyle name="Normal 11 3 3 2 3 3 6" xfId="32536" xr:uid="{00000000-0005-0000-0000-0000B27D0000}"/>
    <cellStyle name="Normal 11 3 3 2 3 4" xfId="32537" xr:uid="{00000000-0005-0000-0000-0000B37D0000}"/>
    <cellStyle name="Normal 11 3 3 2 3 4 2" xfId="32538" xr:uid="{00000000-0005-0000-0000-0000B47D0000}"/>
    <cellStyle name="Normal 11 3 3 2 3 4 2 2" xfId="32539" xr:uid="{00000000-0005-0000-0000-0000B57D0000}"/>
    <cellStyle name="Normal 11 3 3 2 3 4 2 3" xfId="32540" xr:uid="{00000000-0005-0000-0000-0000B67D0000}"/>
    <cellStyle name="Normal 11 3 3 2 3 4 3" xfId="32541" xr:uid="{00000000-0005-0000-0000-0000B77D0000}"/>
    <cellStyle name="Normal 11 3 3 2 3 4 4" xfId="32542" xr:uid="{00000000-0005-0000-0000-0000B87D0000}"/>
    <cellStyle name="Normal 11 3 3 2 3 4 5" xfId="32543" xr:uid="{00000000-0005-0000-0000-0000B97D0000}"/>
    <cellStyle name="Normal 11 3 3 2 3 4 6" xfId="32544" xr:uid="{00000000-0005-0000-0000-0000BA7D0000}"/>
    <cellStyle name="Normal 11 3 3 2 3 5" xfId="32545" xr:uid="{00000000-0005-0000-0000-0000BB7D0000}"/>
    <cellStyle name="Normal 11 3 3 2 3 5 2" xfId="32546" xr:uid="{00000000-0005-0000-0000-0000BC7D0000}"/>
    <cellStyle name="Normal 11 3 3 2 3 5 3" xfId="32547" xr:uid="{00000000-0005-0000-0000-0000BD7D0000}"/>
    <cellStyle name="Normal 11 3 3 2 3 6" xfId="32548" xr:uid="{00000000-0005-0000-0000-0000BE7D0000}"/>
    <cellStyle name="Normal 11 3 3 2 3 7" xfId="32549" xr:uid="{00000000-0005-0000-0000-0000BF7D0000}"/>
    <cellStyle name="Normal 11 3 3 2 3 8" xfId="32550" xr:uid="{00000000-0005-0000-0000-0000C07D0000}"/>
    <cellStyle name="Normal 11 3 3 2 3 9" xfId="32551" xr:uid="{00000000-0005-0000-0000-0000C17D0000}"/>
    <cellStyle name="Normal 11 3 3 2 4" xfId="32552" xr:uid="{00000000-0005-0000-0000-0000C27D0000}"/>
    <cellStyle name="Normal 11 3 3 2 4 2" xfId="32553" xr:uid="{00000000-0005-0000-0000-0000C37D0000}"/>
    <cellStyle name="Normal 11 3 3 2 4 2 2" xfId="32554" xr:uid="{00000000-0005-0000-0000-0000C47D0000}"/>
    <cellStyle name="Normal 11 3 3 2 4 2 2 2" xfId="32555" xr:uid="{00000000-0005-0000-0000-0000C57D0000}"/>
    <cellStyle name="Normal 11 3 3 2 4 2 2 3" xfId="32556" xr:uid="{00000000-0005-0000-0000-0000C67D0000}"/>
    <cellStyle name="Normal 11 3 3 2 4 2 3" xfId="32557" xr:uid="{00000000-0005-0000-0000-0000C77D0000}"/>
    <cellStyle name="Normal 11 3 3 2 4 2 4" xfId="32558" xr:uid="{00000000-0005-0000-0000-0000C87D0000}"/>
    <cellStyle name="Normal 11 3 3 2 4 2 5" xfId="32559" xr:uid="{00000000-0005-0000-0000-0000C97D0000}"/>
    <cellStyle name="Normal 11 3 3 2 4 2 6" xfId="32560" xr:uid="{00000000-0005-0000-0000-0000CA7D0000}"/>
    <cellStyle name="Normal 11 3 3 2 4 3" xfId="32561" xr:uid="{00000000-0005-0000-0000-0000CB7D0000}"/>
    <cellStyle name="Normal 11 3 3 2 4 3 2" xfId="32562" xr:uid="{00000000-0005-0000-0000-0000CC7D0000}"/>
    <cellStyle name="Normal 11 3 3 2 4 3 3" xfId="32563" xr:uid="{00000000-0005-0000-0000-0000CD7D0000}"/>
    <cellStyle name="Normal 11 3 3 2 4 4" xfId="32564" xr:uid="{00000000-0005-0000-0000-0000CE7D0000}"/>
    <cellStyle name="Normal 11 3 3 2 4 5" xfId="32565" xr:uid="{00000000-0005-0000-0000-0000CF7D0000}"/>
    <cellStyle name="Normal 11 3 3 2 4 6" xfId="32566" xr:uid="{00000000-0005-0000-0000-0000D07D0000}"/>
    <cellStyle name="Normal 11 3 3 2 4 7" xfId="32567" xr:uid="{00000000-0005-0000-0000-0000D17D0000}"/>
    <cellStyle name="Normal 11 3 3 2 5" xfId="32568" xr:uid="{00000000-0005-0000-0000-0000D27D0000}"/>
    <cellStyle name="Normal 11 3 3 2 5 2" xfId="32569" xr:uid="{00000000-0005-0000-0000-0000D37D0000}"/>
    <cellStyle name="Normal 11 3 3 2 5 2 2" xfId="32570" xr:uid="{00000000-0005-0000-0000-0000D47D0000}"/>
    <cellStyle name="Normal 11 3 3 2 5 2 3" xfId="32571" xr:uid="{00000000-0005-0000-0000-0000D57D0000}"/>
    <cellStyle name="Normal 11 3 3 2 5 3" xfId="32572" xr:uid="{00000000-0005-0000-0000-0000D67D0000}"/>
    <cellStyle name="Normal 11 3 3 2 5 4" xfId="32573" xr:uid="{00000000-0005-0000-0000-0000D77D0000}"/>
    <cellStyle name="Normal 11 3 3 2 5 5" xfId="32574" xr:uid="{00000000-0005-0000-0000-0000D87D0000}"/>
    <cellStyle name="Normal 11 3 3 2 5 6" xfId="32575" xr:uid="{00000000-0005-0000-0000-0000D97D0000}"/>
    <cellStyle name="Normal 11 3 3 2 6" xfId="32576" xr:uid="{00000000-0005-0000-0000-0000DA7D0000}"/>
    <cellStyle name="Normal 11 3 3 2 6 2" xfId="32577" xr:uid="{00000000-0005-0000-0000-0000DB7D0000}"/>
    <cellStyle name="Normal 11 3 3 2 6 2 2" xfId="32578" xr:uid="{00000000-0005-0000-0000-0000DC7D0000}"/>
    <cellStyle name="Normal 11 3 3 2 6 2 3" xfId="32579" xr:uid="{00000000-0005-0000-0000-0000DD7D0000}"/>
    <cellStyle name="Normal 11 3 3 2 6 3" xfId="32580" xr:uid="{00000000-0005-0000-0000-0000DE7D0000}"/>
    <cellStyle name="Normal 11 3 3 2 6 4" xfId="32581" xr:uid="{00000000-0005-0000-0000-0000DF7D0000}"/>
    <cellStyle name="Normal 11 3 3 2 6 5" xfId="32582" xr:uid="{00000000-0005-0000-0000-0000E07D0000}"/>
    <cellStyle name="Normal 11 3 3 2 6 6" xfId="32583" xr:uid="{00000000-0005-0000-0000-0000E17D0000}"/>
    <cellStyle name="Normal 11 3 3 2 7" xfId="32584" xr:uid="{00000000-0005-0000-0000-0000E27D0000}"/>
    <cellStyle name="Normal 11 3 3 2 7 2" xfId="32585" xr:uid="{00000000-0005-0000-0000-0000E37D0000}"/>
    <cellStyle name="Normal 11 3 3 2 7 2 2" xfId="32586" xr:uid="{00000000-0005-0000-0000-0000E47D0000}"/>
    <cellStyle name="Normal 11 3 3 2 7 2 3" xfId="32587" xr:uid="{00000000-0005-0000-0000-0000E57D0000}"/>
    <cellStyle name="Normal 11 3 3 2 7 3" xfId="32588" xr:uid="{00000000-0005-0000-0000-0000E67D0000}"/>
    <cellStyle name="Normal 11 3 3 2 7 4" xfId="32589" xr:uid="{00000000-0005-0000-0000-0000E77D0000}"/>
    <cellStyle name="Normal 11 3 3 2 7 5" xfId="32590" xr:uid="{00000000-0005-0000-0000-0000E87D0000}"/>
    <cellStyle name="Normal 11 3 3 2 7 6" xfId="32591" xr:uid="{00000000-0005-0000-0000-0000E97D0000}"/>
    <cellStyle name="Normal 11 3 3 2 8" xfId="32592" xr:uid="{00000000-0005-0000-0000-0000EA7D0000}"/>
    <cellStyle name="Normal 11 3 3 2 8 2" xfId="32593" xr:uid="{00000000-0005-0000-0000-0000EB7D0000}"/>
    <cellStyle name="Normal 11 3 3 2 8 2 2" xfId="32594" xr:uid="{00000000-0005-0000-0000-0000EC7D0000}"/>
    <cellStyle name="Normal 11 3 3 2 8 2 3" xfId="32595" xr:uid="{00000000-0005-0000-0000-0000ED7D0000}"/>
    <cellStyle name="Normal 11 3 3 2 8 3" xfId="32596" xr:uid="{00000000-0005-0000-0000-0000EE7D0000}"/>
    <cellStyle name="Normal 11 3 3 2 8 4" xfId="32597" xr:uid="{00000000-0005-0000-0000-0000EF7D0000}"/>
    <cellStyle name="Normal 11 3 3 2 8 5" xfId="32598" xr:uid="{00000000-0005-0000-0000-0000F07D0000}"/>
    <cellStyle name="Normal 11 3 3 2 8 6" xfId="32599" xr:uid="{00000000-0005-0000-0000-0000F17D0000}"/>
    <cellStyle name="Normal 11 3 3 2 9" xfId="32600" xr:uid="{00000000-0005-0000-0000-0000F27D0000}"/>
    <cellStyle name="Normal 11 3 3 2 9 2" xfId="32601" xr:uid="{00000000-0005-0000-0000-0000F37D0000}"/>
    <cellStyle name="Normal 11 3 3 2 9 3" xfId="32602" xr:uid="{00000000-0005-0000-0000-0000F47D0000}"/>
    <cellStyle name="Normal 11 3 3 3" xfId="32603" xr:uid="{00000000-0005-0000-0000-0000F57D0000}"/>
    <cellStyle name="Normal 11 3 3 3 10" xfId="32604" xr:uid="{00000000-0005-0000-0000-0000F67D0000}"/>
    <cellStyle name="Normal 11 3 3 3 2" xfId="32605" xr:uid="{00000000-0005-0000-0000-0000F77D0000}"/>
    <cellStyle name="Normal 11 3 3 3 2 2" xfId="32606" xr:uid="{00000000-0005-0000-0000-0000F87D0000}"/>
    <cellStyle name="Normal 11 3 3 3 2 2 2" xfId="32607" xr:uid="{00000000-0005-0000-0000-0000F97D0000}"/>
    <cellStyle name="Normal 11 3 3 3 2 2 2 2" xfId="32608" xr:uid="{00000000-0005-0000-0000-0000FA7D0000}"/>
    <cellStyle name="Normal 11 3 3 3 2 2 2 3" xfId="32609" xr:uid="{00000000-0005-0000-0000-0000FB7D0000}"/>
    <cellStyle name="Normal 11 3 3 3 2 2 3" xfId="32610" xr:uid="{00000000-0005-0000-0000-0000FC7D0000}"/>
    <cellStyle name="Normal 11 3 3 3 2 2 4" xfId="32611" xr:uid="{00000000-0005-0000-0000-0000FD7D0000}"/>
    <cellStyle name="Normal 11 3 3 3 2 2 5" xfId="32612" xr:uid="{00000000-0005-0000-0000-0000FE7D0000}"/>
    <cellStyle name="Normal 11 3 3 3 2 2 6" xfId="32613" xr:uid="{00000000-0005-0000-0000-0000FF7D0000}"/>
    <cellStyle name="Normal 11 3 3 3 2 3" xfId="32614" xr:uid="{00000000-0005-0000-0000-0000007E0000}"/>
    <cellStyle name="Normal 11 3 3 3 2 3 2" xfId="32615" xr:uid="{00000000-0005-0000-0000-0000017E0000}"/>
    <cellStyle name="Normal 11 3 3 3 2 3 2 2" xfId="32616" xr:uid="{00000000-0005-0000-0000-0000027E0000}"/>
    <cellStyle name="Normal 11 3 3 3 2 3 2 3" xfId="32617" xr:uid="{00000000-0005-0000-0000-0000037E0000}"/>
    <cellStyle name="Normal 11 3 3 3 2 3 3" xfId="32618" xr:uid="{00000000-0005-0000-0000-0000047E0000}"/>
    <cellStyle name="Normal 11 3 3 3 2 3 4" xfId="32619" xr:uid="{00000000-0005-0000-0000-0000057E0000}"/>
    <cellStyle name="Normal 11 3 3 3 2 3 5" xfId="32620" xr:uid="{00000000-0005-0000-0000-0000067E0000}"/>
    <cellStyle name="Normal 11 3 3 3 2 3 6" xfId="32621" xr:uid="{00000000-0005-0000-0000-0000077E0000}"/>
    <cellStyle name="Normal 11 3 3 3 2 4" xfId="32622" xr:uid="{00000000-0005-0000-0000-0000087E0000}"/>
    <cellStyle name="Normal 11 3 3 3 2 4 2" xfId="32623" xr:uid="{00000000-0005-0000-0000-0000097E0000}"/>
    <cellStyle name="Normal 11 3 3 3 2 4 3" xfId="32624" xr:uid="{00000000-0005-0000-0000-00000A7E0000}"/>
    <cellStyle name="Normal 11 3 3 3 2 5" xfId="32625" xr:uid="{00000000-0005-0000-0000-00000B7E0000}"/>
    <cellStyle name="Normal 11 3 3 3 2 6" xfId="32626" xr:uid="{00000000-0005-0000-0000-00000C7E0000}"/>
    <cellStyle name="Normal 11 3 3 3 2 7" xfId="32627" xr:uid="{00000000-0005-0000-0000-00000D7E0000}"/>
    <cellStyle name="Normal 11 3 3 3 2 8" xfId="32628" xr:uid="{00000000-0005-0000-0000-00000E7E0000}"/>
    <cellStyle name="Normal 11 3 3 3 3" xfId="32629" xr:uid="{00000000-0005-0000-0000-00000F7E0000}"/>
    <cellStyle name="Normal 11 3 3 3 3 2" xfId="32630" xr:uid="{00000000-0005-0000-0000-0000107E0000}"/>
    <cellStyle name="Normal 11 3 3 3 3 2 2" xfId="32631" xr:uid="{00000000-0005-0000-0000-0000117E0000}"/>
    <cellStyle name="Normal 11 3 3 3 3 2 2 2" xfId="32632" xr:uid="{00000000-0005-0000-0000-0000127E0000}"/>
    <cellStyle name="Normal 11 3 3 3 3 2 2 3" xfId="32633" xr:uid="{00000000-0005-0000-0000-0000137E0000}"/>
    <cellStyle name="Normal 11 3 3 3 3 2 3" xfId="32634" xr:uid="{00000000-0005-0000-0000-0000147E0000}"/>
    <cellStyle name="Normal 11 3 3 3 3 2 4" xfId="32635" xr:uid="{00000000-0005-0000-0000-0000157E0000}"/>
    <cellStyle name="Normal 11 3 3 3 3 2 5" xfId="32636" xr:uid="{00000000-0005-0000-0000-0000167E0000}"/>
    <cellStyle name="Normal 11 3 3 3 3 2 6" xfId="32637" xr:uid="{00000000-0005-0000-0000-0000177E0000}"/>
    <cellStyle name="Normal 11 3 3 3 3 3" xfId="32638" xr:uid="{00000000-0005-0000-0000-0000187E0000}"/>
    <cellStyle name="Normal 11 3 3 3 3 3 2" xfId="32639" xr:uid="{00000000-0005-0000-0000-0000197E0000}"/>
    <cellStyle name="Normal 11 3 3 3 3 3 3" xfId="32640" xr:uid="{00000000-0005-0000-0000-00001A7E0000}"/>
    <cellStyle name="Normal 11 3 3 3 3 4" xfId="32641" xr:uid="{00000000-0005-0000-0000-00001B7E0000}"/>
    <cellStyle name="Normal 11 3 3 3 3 5" xfId="32642" xr:uid="{00000000-0005-0000-0000-00001C7E0000}"/>
    <cellStyle name="Normal 11 3 3 3 3 6" xfId="32643" xr:uid="{00000000-0005-0000-0000-00001D7E0000}"/>
    <cellStyle name="Normal 11 3 3 3 3 7" xfId="32644" xr:uid="{00000000-0005-0000-0000-00001E7E0000}"/>
    <cellStyle name="Normal 11 3 3 3 4" xfId="32645" xr:uid="{00000000-0005-0000-0000-00001F7E0000}"/>
    <cellStyle name="Normal 11 3 3 3 4 2" xfId="32646" xr:uid="{00000000-0005-0000-0000-0000207E0000}"/>
    <cellStyle name="Normal 11 3 3 3 4 2 2" xfId="32647" xr:uid="{00000000-0005-0000-0000-0000217E0000}"/>
    <cellStyle name="Normal 11 3 3 3 4 2 3" xfId="32648" xr:uid="{00000000-0005-0000-0000-0000227E0000}"/>
    <cellStyle name="Normal 11 3 3 3 4 3" xfId="32649" xr:uid="{00000000-0005-0000-0000-0000237E0000}"/>
    <cellStyle name="Normal 11 3 3 3 4 4" xfId="32650" xr:uid="{00000000-0005-0000-0000-0000247E0000}"/>
    <cellStyle name="Normal 11 3 3 3 4 5" xfId="32651" xr:uid="{00000000-0005-0000-0000-0000257E0000}"/>
    <cellStyle name="Normal 11 3 3 3 4 6" xfId="32652" xr:uid="{00000000-0005-0000-0000-0000267E0000}"/>
    <cellStyle name="Normal 11 3 3 3 5" xfId="32653" xr:uid="{00000000-0005-0000-0000-0000277E0000}"/>
    <cellStyle name="Normal 11 3 3 3 5 2" xfId="32654" xr:uid="{00000000-0005-0000-0000-0000287E0000}"/>
    <cellStyle name="Normal 11 3 3 3 5 2 2" xfId="32655" xr:uid="{00000000-0005-0000-0000-0000297E0000}"/>
    <cellStyle name="Normal 11 3 3 3 5 2 3" xfId="32656" xr:uid="{00000000-0005-0000-0000-00002A7E0000}"/>
    <cellStyle name="Normal 11 3 3 3 5 3" xfId="32657" xr:uid="{00000000-0005-0000-0000-00002B7E0000}"/>
    <cellStyle name="Normal 11 3 3 3 5 4" xfId="32658" xr:uid="{00000000-0005-0000-0000-00002C7E0000}"/>
    <cellStyle name="Normal 11 3 3 3 5 5" xfId="32659" xr:uid="{00000000-0005-0000-0000-00002D7E0000}"/>
    <cellStyle name="Normal 11 3 3 3 5 6" xfId="32660" xr:uid="{00000000-0005-0000-0000-00002E7E0000}"/>
    <cellStyle name="Normal 11 3 3 3 6" xfId="32661" xr:uid="{00000000-0005-0000-0000-00002F7E0000}"/>
    <cellStyle name="Normal 11 3 3 3 6 2" xfId="32662" xr:uid="{00000000-0005-0000-0000-0000307E0000}"/>
    <cellStyle name="Normal 11 3 3 3 6 3" xfId="32663" xr:uid="{00000000-0005-0000-0000-0000317E0000}"/>
    <cellStyle name="Normal 11 3 3 3 7" xfId="32664" xr:uid="{00000000-0005-0000-0000-0000327E0000}"/>
    <cellStyle name="Normal 11 3 3 3 8" xfId="32665" xr:uid="{00000000-0005-0000-0000-0000337E0000}"/>
    <cellStyle name="Normal 11 3 3 3 9" xfId="32666" xr:uid="{00000000-0005-0000-0000-0000347E0000}"/>
    <cellStyle name="Normal 11 3 3 4" xfId="32667" xr:uid="{00000000-0005-0000-0000-0000357E0000}"/>
    <cellStyle name="Normal 11 3 3 4 2" xfId="32668" xr:uid="{00000000-0005-0000-0000-0000367E0000}"/>
    <cellStyle name="Normal 11 3 3 4 2 2" xfId="32669" xr:uid="{00000000-0005-0000-0000-0000377E0000}"/>
    <cellStyle name="Normal 11 3 3 4 2 2 2" xfId="32670" xr:uid="{00000000-0005-0000-0000-0000387E0000}"/>
    <cellStyle name="Normal 11 3 3 4 2 2 2 2" xfId="32671" xr:uid="{00000000-0005-0000-0000-0000397E0000}"/>
    <cellStyle name="Normal 11 3 3 4 2 2 2 3" xfId="32672" xr:uid="{00000000-0005-0000-0000-00003A7E0000}"/>
    <cellStyle name="Normal 11 3 3 4 2 2 3" xfId="32673" xr:uid="{00000000-0005-0000-0000-00003B7E0000}"/>
    <cellStyle name="Normal 11 3 3 4 2 2 4" xfId="32674" xr:uid="{00000000-0005-0000-0000-00003C7E0000}"/>
    <cellStyle name="Normal 11 3 3 4 2 2 5" xfId="32675" xr:uid="{00000000-0005-0000-0000-00003D7E0000}"/>
    <cellStyle name="Normal 11 3 3 4 2 2 6" xfId="32676" xr:uid="{00000000-0005-0000-0000-00003E7E0000}"/>
    <cellStyle name="Normal 11 3 3 4 2 3" xfId="32677" xr:uid="{00000000-0005-0000-0000-00003F7E0000}"/>
    <cellStyle name="Normal 11 3 3 4 2 3 2" xfId="32678" xr:uid="{00000000-0005-0000-0000-0000407E0000}"/>
    <cellStyle name="Normal 11 3 3 4 2 3 3" xfId="32679" xr:uid="{00000000-0005-0000-0000-0000417E0000}"/>
    <cellStyle name="Normal 11 3 3 4 2 4" xfId="32680" xr:uid="{00000000-0005-0000-0000-0000427E0000}"/>
    <cellStyle name="Normal 11 3 3 4 2 5" xfId="32681" xr:uid="{00000000-0005-0000-0000-0000437E0000}"/>
    <cellStyle name="Normal 11 3 3 4 2 6" xfId="32682" xr:uid="{00000000-0005-0000-0000-0000447E0000}"/>
    <cellStyle name="Normal 11 3 3 4 2 7" xfId="32683" xr:uid="{00000000-0005-0000-0000-0000457E0000}"/>
    <cellStyle name="Normal 11 3 3 4 3" xfId="32684" xr:uid="{00000000-0005-0000-0000-0000467E0000}"/>
    <cellStyle name="Normal 11 3 3 4 3 2" xfId="32685" xr:uid="{00000000-0005-0000-0000-0000477E0000}"/>
    <cellStyle name="Normal 11 3 3 4 3 2 2" xfId="32686" xr:uid="{00000000-0005-0000-0000-0000487E0000}"/>
    <cellStyle name="Normal 11 3 3 4 3 2 3" xfId="32687" xr:uid="{00000000-0005-0000-0000-0000497E0000}"/>
    <cellStyle name="Normal 11 3 3 4 3 3" xfId="32688" xr:uid="{00000000-0005-0000-0000-00004A7E0000}"/>
    <cellStyle name="Normal 11 3 3 4 3 4" xfId="32689" xr:uid="{00000000-0005-0000-0000-00004B7E0000}"/>
    <cellStyle name="Normal 11 3 3 4 3 5" xfId="32690" xr:uid="{00000000-0005-0000-0000-00004C7E0000}"/>
    <cellStyle name="Normal 11 3 3 4 3 6" xfId="32691" xr:uid="{00000000-0005-0000-0000-00004D7E0000}"/>
    <cellStyle name="Normal 11 3 3 4 4" xfId="32692" xr:uid="{00000000-0005-0000-0000-00004E7E0000}"/>
    <cellStyle name="Normal 11 3 3 4 4 2" xfId="32693" xr:uid="{00000000-0005-0000-0000-00004F7E0000}"/>
    <cellStyle name="Normal 11 3 3 4 4 2 2" xfId="32694" xr:uid="{00000000-0005-0000-0000-0000507E0000}"/>
    <cellStyle name="Normal 11 3 3 4 4 2 3" xfId="32695" xr:uid="{00000000-0005-0000-0000-0000517E0000}"/>
    <cellStyle name="Normal 11 3 3 4 4 3" xfId="32696" xr:uid="{00000000-0005-0000-0000-0000527E0000}"/>
    <cellStyle name="Normal 11 3 3 4 4 4" xfId="32697" xr:uid="{00000000-0005-0000-0000-0000537E0000}"/>
    <cellStyle name="Normal 11 3 3 4 4 5" xfId="32698" xr:uid="{00000000-0005-0000-0000-0000547E0000}"/>
    <cellStyle name="Normal 11 3 3 4 4 6" xfId="32699" xr:uid="{00000000-0005-0000-0000-0000557E0000}"/>
    <cellStyle name="Normal 11 3 3 4 5" xfId="32700" xr:uid="{00000000-0005-0000-0000-0000567E0000}"/>
    <cellStyle name="Normal 11 3 3 4 5 2" xfId="32701" xr:uid="{00000000-0005-0000-0000-0000577E0000}"/>
    <cellStyle name="Normal 11 3 3 4 5 3" xfId="32702" xr:uid="{00000000-0005-0000-0000-0000587E0000}"/>
    <cellStyle name="Normal 11 3 3 4 6" xfId="32703" xr:uid="{00000000-0005-0000-0000-0000597E0000}"/>
    <cellStyle name="Normal 11 3 3 4 7" xfId="32704" xr:uid="{00000000-0005-0000-0000-00005A7E0000}"/>
    <cellStyle name="Normal 11 3 3 4 8" xfId="32705" xr:uid="{00000000-0005-0000-0000-00005B7E0000}"/>
    <cellStyle name="Normal 11 3 3 4 9" xfId="32706" xr:uid="{00000000-0005-0000-0000-00005C7E0000}"/>
    <cellStyle name="Normal 11 3 3 5" xfId="32707" xr:uid="{00000000-0005-0000-0000-00005D7E0000}"/>
    <cellStyle name="Normal 11 3 3 5 2" xfId="32708" xr:uid="{00000000-0005-0000-0000-00005E7E0000}"/>
    <cellStyle name="Normal 11 3 3 5 2 2" xfId="32709" xr:uid="{00000000-0005-0000-0000-00005F7E0000}"/>
    <cellStyle name="Normal 11 3 3 5 2 2 2" xfId="32710" xr:uid="{00000000-0005-0000-0000-0000607E0000}"/>
    <cellStyle name="Normal 11 3 3 5 2 2 3" xfId="32711" xr:uid="{00000000-0005-0000-0000-0000617E0000}"/>
    <cellStyle name="Normal 11 3 3 5 2 3" xfId="32712" xr:uid="{00000000-0005-0000-0000-0000627E0000}"/>
    <cellStyle name="Normal 11 3 3 5 2 4" xfId="32713" xr:uid="{00000000-0005-0000-0000-0000637E0000}"/>
    <cellStyle name="Normal 11 3 3 5 2 5" xfId="32714" xr:uid="{00000000-0005-0000-0000-0000647E0000}"/>
    <cellStyle name="Normal 11 3 3 5 2 6" xfId="32715" xr:uid="{00000000-0005-0000-0000-0000657E0000}"/>
    <cellStyle name="Normal 11 3 3 5 3" xfId="32716" xr:uid="{00000000-0005-0000-0000-0000667E0000}"/>
    <cellStyle name="Normal 11 3 3 5 3 2" xfId="32717" xr:uid="{00000000-0005-0000-0000-0000677E0000}"/>
    <cellStyle name="Normal 11 3 3 5 3 3" xfId="32718" xr:uid="{00000000-0005-0000-0000-0000687E0000}"/>
    <cellStyle name="Normal 11 3 3 5 4" xfId="32719" xr:uid="{00000000-0005-0000-0000-0000697E0000}"/>
    <cellStyle name="Normal 11 3 3 5 5" xfId="32720" xr:uid="{00000000-0005-0000-0000-00006A7E0000}"/>
    <cellStyle name="Normal 11 3 3 5 6" xfId="32721" xr:uid="{00000000-0005-0000-0000-00006B7E0000}"/>
    <cellStyle name="Normal 11 3 3 5 7" xfId="32722" xr:uid="{00000000-0005-0000-0000-00006C7E0000}"/>
    <cellStyle name="Normal 11 3 3 6" xfId="32723" xr:uid="{00000000-0005-0000-0000-00006D7E0000}"/>
    <cellStyle name="Normal 11 3 3 6 2" xfId="32724" xr:uid="{00000000-0005-0000-0000-00006E7E0000}"/>
    <cellStyle name="Normal 11 3 3 6 2 2" xfId="32725" xr:uid="{00000000-0005-0000-0000-00006F7E0000}"/>
    <cellStyle name="Normal 11 3 3 6 2 3" xfId="32726" xr:uid="{00000000-0005-0000-0000-0000707E0000}"/>
    <cellStyle name="Normal 11 3 3 6 3" xfId="32727" xr:uid="{00000000-0005-0000-0000-0000717E0000}"/>
    <cellStyle name="Normal 11 3 3 6 4" xfId="32728" xr:uid="{00000000-0005-0000-0000-0000727E0000}"/>
    <cellStyle name="Normal 11 3 3 6 5" xfId="32729" xr:uid="{00000000-0005-0000-0000-0000737E0000}"/>
    <cellStyle name="Normal 11 3 3 6 6" xfId="32730" xr:uid="{00000000-0005-0000-0000-0000747E0000}"/>
    <cellStyle name="Normal 11 3 3 7" xfId="32731" xr:uid="{00000000-0005-0000-0000-0000757E0000}"/>
    <cellStyle name="Normal 11 3 3 7 2" xfId="32732" xr:uid="{00000000-0005-0000-0000-0000767E0000}"/>
    <cellStyle name="Normal 11 3 3 7 2 2" xfId="32733" xr:uid="{00000000-0005-0000-0000-0000777E0000}"/>
    <cellStyle name="Normal 11 3 3 7 2 3" xfId="32734" xr:uid="{00000000-0005-0000-0000-0000787E0000}"/>
    <cellStyle name="Normal 11 3 3 7 3" xfId="32735" xr:uid="{00000000-0005-0000-0000-0000797E0000}"/>
    <cellStyle name="Normal 11 3 3 7 4" xfId="32736" xr:uid="{00000000-0005-0000-0000-00007A7E0000}"/>
    <cellStyle name="Normal 11 3 3 7 5" xfId="32737" xr:uid="{00000000-0005-0000-0000-00007B7E0000}"/>
    <cellStyle name="Normal 11 3 3 7 6" xfId="32738" xr:uid="{00000000-0005-0000-0000-00007C7E0000}"/>
    <cellStyle name="Normal 11 3 3 8" xfId="32739" xr:uid="{00000000-0005-0000-0000-00007D7E0000}"/>
    <cellStyle name="Normal 11 3 3 8 2" xfId="32740" xr:uid="{00000000-0005-0000-0000-00007E7E0000}"/>
    <cellStyle name="Normal 11 3 3 8 2 2" xfId="32741" xr:uid="{00000000-0005-0000-0000-00007F7E0000}"/>
    <cellStyle name="Normal 11 3 3 8 2 3" xfId="32742" xr:uid="{00000000-0005-0000-0000-0000807E0000}"/>
    <cellStyle name="Normal 11 3 3 8 3" xfId="32743" xr:uid="{00000000-0005-0000-0000-0000817E0000}"/>
    <cellStyle name="Normal 11 3 3 8 4" xfId="32744" xr:uid="{00000000-0005-0000-0000-0000827E0000}"/>
    <cellStyle name="Normal 11 3 3 8 5" xfId="32745" xr:uid="{00000000-0005-0000-0000-0000837E0000}"/>
    <cellStyle name="Normal 11 3 3 8 6" xfId="32746" xr:uid="{00000000-0005-0000-0000-0000847E0000}"/>
    <cellStyle name="Normal 11 3 3 9" xfId="32747" xr:uid="{00000000-0005-0000-0000-0000857E0000}"/>
    <cellStyle name="Normal 11 3 3 9 2" xfId="32748" xr:uid="{00000000-0005-0000-0000-0000867E0000}"/>
    <cellStyle name="Normal 11 3 3 9 2 2" xfId="32749" xr:uid="{00000000-0005-0000-0000-0000877E0000}"/>
    <cellStyle name="Normal 11 3 3 9 2 3" xfId="32750" xr:uid="{00000000-0005-0000-0000-0000887E0000}"/>
    <cellStyle name="Normal 11 3 3 9 3" xfId="32751" xr:uid="{00000000-0005-0000-0000-0000897E0000}"/>
    <cellStyle name="Normal 11 3 3 9 4" xfId="32752" xr:uid="{00000000-0005-0000-0000-00008A7E0000}"/>
    <cellStyle name="Normal 11 3 3 9 5" xfId="32753" xr:uid="{00000000-0005-0000-0000-00008B7E0000}"/>
    <cellStyle name="Normal 11 3 3 9 6" xfId="32754" xr:uid="{00000000-0005-0000-0000-00008C7E0000}"/>
    <cellStyle name="Normal 11 3 4" xfId="32755" xr:uid="{00000000-0005-0000-0000-00008D7E0000}"/>
    <cellStyle name="Normal 11 3 4 10" xfId="32756" xr:uid="{00000000-0005-0000-0000-00008E7E0000}"/>
    <cellStyle name="Normal 11 3 4 11" xfId="32757" xr:uid="{00000000-0005-0000-0000-00008F7E0000}"/>
    <cellStyle name="Normal 11 3 4 12" xfId="32758" xr:uid="{00000000-0005-0000-0000-0000907E0000}"/>
    <cellStyle name="Normal 11 3 4 13" xfId="32759" xr:uid="{00000000-0005-0000-0000-0000917E0000}"/>
    <cellStyle name="Normal 11 3 4 2" xfId="32760" xr:uid="{00000000-0005-0000-0000-0000927E0000}"/>
    <cellStyle name="Normal 11 3 4 2 10" xfId="32761" xr:uid="{00000000-0005-0000-0000-0000937E0000}"/>
    <cellStyle name="Normal 11 3 4 2 2" xfId="32762" xr:uid="{00000000-0005-0000-0000-0000947E0000}"/>
    <cellStyle name="Normal 11 3 4 2 2 2" xfId="32763" xr:uid="{00000000-0005-0000-0000-0000957E0000}"/>
    <cellStyle name="Normal 11 3 4 2 2 2 2" xfId="32764" xr:uid="{00000000-0005-0000-0000-0000967E0000}"/>
    <cellStyle name="Normal 11 3 4 2 2 2 2 2" xfId="32765" xr:uid="{00000000-0005-0000-0000-0000977E0000}"/>
    <cellStyle name="Normal 11 3 4 2 2 2 2 3" xfId="32766" xr:uid="{00000000-0005-0000-0000-0000987E0000}"/>
    <cellStyle name="Normal 11 3 4 2 2 2 3" xfId="32767" xr:uid="{00000000-0005-0000-0000-0000997E0000}"/>
    <cellStyle name="Normal 11 3 4 2 2 2 4" xfId="32768" xr:uid="{00000000-0005-0000-0000-00009A7E0000}"/>
    <cellStyle name="Normal 11 3 4 2 2 2 5" xfId="32769" xr:uid="{00000000-0005-0000-0000-00009B7E0000}"/>
    <cellStyle name="Normal 11 3 4 2 2 2 6" xfId="32770" xr:uid="{00000000-0005-0000-0000-00009C7E0000}"/>
    <cellStyle name="Normal 11 3 4 2 2 3" xfId="32771" xr:uid="{00000000-0005-0000-0000-00009D7E0000}"/>
    <cellStyle name="Normal 11 3 4 2 2 3 2" xfId="32772" xr:uid="{00000000-0005-0000-0000-00009E7E0000}"/>
    <cellStyle name="Normal 11 3 4 2 2 3 2 2" xfId="32773" xr:uid="{00000000-0005-0000-0000-00009F7E0000}"/>
    <cellStyle name="Normal 11 3 4 2 2 3 2 3" xfId="32774" xr:uid="{00000000-0005-0000-0000-0000A07E0000}"/>
    <cellStyle name="Normal 11 3 4 2 2 3 3" xfId="32775" xr:uid="{00000000-0005-0000-0000-0000A17E0000}"/>
    <cellStyle name="Normal 11 3 4 2 2 3 4" xfId="32776" xr:uid="{00000000-0005-0000-0000-0000A27E0000}"/>
    <cellStyle name="Normal 11 3 4 2 2 3 5" xfId="32777" xr:uid="{00000000-0005-0000-0000-0000A37E0000}"/>
    <cellStyle name="Normal 11 3 4 2 2 3 6" xfId="32778" xr:uid="{00000000-0005-0000-0000-0000A47E0000}"/>
    <cellStyle name="Normal 11 3 4 2 2 4" xfId="32779" xr:uid="{00000000-0005-0000-0000-0000A57E0000}"/>
    <cellStyle name="Normal 11 3 4 2 2 4 2" xfId="32780" xr:uid="{00000000-0005-0000-0000-0000A67E0000}"/>
    <cellStyle name="Normal 11 3 4 2 2 4 3" xfId="32781" xr:uid="{00000000-0005-0000-0000-0000A77E0000}"/>
    <cellStyle name="Normal 11 3 4 2 2 5" xfId="32782" xr:uid="{00000000-0005-0000-0000-0000A87E0000}"/>
    <cellStyle name="Normal 11 3 4 2 2 6" xfId="32783" xr:uid="{00000000-0005-0000-0000-0000A97E0000}"/>
    <cellStyle name="Normal 11 3 4 2 2 7" xfId="32784" xr:uid="{00000000-0005-0000-0000-0000AA7E0000}"/>
    <cellStyle name="Normal 11 3 4 2 2 8" xfId="32785" xr:uid="{00000000-0005-0000-0000-0000AB7E0000}"/>
    <cellStyle name="Normal 11 3 4 2 3" xfId="32786" xr:uid="{00000000-0005-0000-0000-0000AC7E0000}"/>
    <cellStyle name="Normal 11 3 4 2 3 2" xfId="32787" xr:uid="{00000000-0005-0000-0000-0000AD7E0000}"/>
    <cellStyle name="Normal 11 3 4 2 3 2 2" xfId="32788" xr:uid="{00000000-0005-0000-0000-0000AE7E0000}"/>
    <cellStyle name="Normal 11 3 4 2 3 2 2 2" xfId="32789" xr:uid="{00000000-0005-0000-0000-0000AF7E0000}"/>
    <cellStyle name="Normal 11 3 4 2 3 2 2 3" xfId="32790" xr:uid="{00000000-0005-0000-0000-0000B07E0000}"/>
    <cellStyle name="Normal 11 3 4 2 3 2 3" xfId="32791" xr:uid="{00000000-0005-0000-0000-0000B17E0000}"/>
    <cellStyle name="Normal 11 3 4 2 3 2 4" xfId="32792" xr:uid="{00000000-0005-0000-0000-0000B27E0000}"/>
    <cellStyle name="Normal 11 3 4 2 3 2 5" xfId="32793" xr:uid="{00000000-0005-0000-0000-0000B37E0000}"/>
    <cellStyle name="Normal 11 3 4 2 3 2 6" xfId="32794" xr:uid="{00000000-0005-0000-0000-0000B47E0000}"/>
    <cellStyle name="Normal 11 3 4 2 3 3" xfId="32795" xr:uid="{00000000-0005-0000-0000-0000B57E0000}"/>
    <cellStyle name="Normal 11 3 4 2 3 3 2" xfId="32796" xr:uid="{00000000-0005-0000-0000-0000B67E0000}"/>
    <cellStyle name="Normal 11 3 4 2 3 3 3" xfId="32797" xr:uid="{00000000-0005-0000-0000-0000B77E0000}"/>
    <cellStyle name="Normal 11 3 4 2 3 4" xfId="32798" xr:uid="{00000000-0005-0000-0000-0000B87E0000}"/>
    <cellStyle name="Normal 11 3 4 2 3 5" xfId="32799" xr:uid="{00000000-0005-0000-0000-0000B97E0000}"/>
    <cellStyle name="Normal 11 3 4 2 3 6" xfId="32800" xr:uid="{00000000-0005-0000-0000-0000BA7E0000}"/>
    <cellStyle name="Normal 11 3 4 2 3 7" xfId="32801" xr:uid="{00000000-0005-0000-0000-0000BB7E0000}"/>
    <cellStyle name="Normal 11 3 4 2 4" xfId="32802" xr:uid="{00000000-0005-0000-0000-0000BC7E0000}"/>
    <cellStyle name="Normal 11 3 4 2 4 2" xfId="32803" xr:uid="{00000000-0005-0000-0000-0000BD7E0000}"/>
    <cellStyle name="Normal 11 3 4 2 4 2 2" xfId="32804" xr:uid="{00000000-0005-0000-0000-0000BE7E0000}"/>
    <cellStyle name="Normal 11 3 4 2 4 2 3" xfId="32805" xr:uid="{00000000-0005-0000-0000-0000BF7E0000}"/>
    <cellStyle name="Normal 11 3 4 2 4 3" xfId="32806" xr:uid="{00000000-0005-0000-0000-0000C07E0000}"/>
    <cellStyle name="Normal 11 3 4 2 4 4" xfId="32807" xr:uid="{00000000-0005-0000-0000-0000C17E0000}"/>
    <cellStyle name="Normal 11 3 4 2 4 5" xfId="32808" xr:uid="{00000000-0005-0000-0000-0000C27E0000}"/>
    <cellStyle name="Normal 11 3 4 2 4 6" xfId="32809" xr:uid="{00000000-0005-0000-0000-0000C37E0000}"/>
    <cellStyle name="Normal 11 3 4 2 5" xfId="32810" xr:uid="{00000000-0005-0000-0000-0000C47E0000}"/>
    <cellStyle name="Normal 11 3 4 2 5 2" xfId="32811" xr:uid="{00000000-0005-0000-0000-0000C57E0000}"/>
    <cellStyle name="Normal 11 3 4 2 5 2 2" xfId="32812" xr:uid="{00000000-0005-0000-0000-0000C67E0000}"/>
    <cellStyle name="Normal 11 3 4 2 5 2 3" xfId="32813" xr:uid="{00000000-0005-0000-0000-0000C77E0000}"/>
    <cellStyle name="Normal 11 3 4 2 5 3" xfId="32814" xr:uid="{00000000-0005-0000-0000-0000C87E0000}"/>
    <cellStyle name="Normal 11 3 4 2 5 4" xfId="32815" xr:uid="{00000000-0005-0000-0000-0000C97E0000}"/>
    <cellStyle name="Normal 11 3 4 2 5 5" xfId="32816" xr:uid="{00000000-0005-0000-0000-0000CA7E0000}"/>
    <cellStyle name="Normal 11 3 4 2 5 6" xfId="32817" xr:uid="{00000000-0005-0000-0000-0000CB7E0000}"/>
    <cellStyle name="Normal 11 3 4 2 6" xfId="32818" xr:uid="{00000000-0005-0000-0000-0000CC7E0000}"/>
    <cellStyle name="Normal 11 3 4 2 6 2" xfId="32819" xr:uid="{00000000-0005-0000-0000-0000CD7E0000}"/>
    <cellStyle name="Normal 11 3 4 2 6 3" xfId="32820" xr:uid="{00000000-0005-0000-0000-0000CE7E0000}"/>
    <cellStyle name="Normal 11 3 4 2 7" xfId="32821" xr:uid="{00000000-0005-0000-0000-0000CF7E0000}"/>
    <cellStyle name="Normal 11 3 4 2 8" xfId="32822" xr:uid="{00000000-0005-0000-0000-0000D07E0000}"/>
    <cellStyle name="Normal 11 3 4 2 9" xfId="32823" xr:uid="{00000000-0005-0000-0000-0000D17E0000}"/>
    <cellStyle name="Normal 11 3 4 3" xfId="32824" xr:uid="{00000000-0005-0000-0000-0000D27E0000}"/>
    <cellStyle name="Normal 11 3 4 3 2" xfId="32825" xr:uid="{00000000-0005-0000-0000-0000D37E0000}"/>
    <cellStyle name="Normal 11 3 4 3 2 2" xfId="32826" xr:uid="{00000000-0005-0000-0000-0000D47E0000}"/>
    <cellStyle name="Normal 11 3 4 3 2 2 2" xfId="32827" xr:uid="{00000000-0005-0000-0000-0000D57E0000}"/>
    <cellStyle name="Normal 11 3 4 3 2 2 2 2" xfId="32828" xr:uid="{00000000-0005-0000-0000-0000D67E0000}"/>
    <cellStyle name="Normal 11 3 4 3 2 2 2 3" xfId="32829" xr:uid="{00000000-0005-0000-0000-0000D77E0000}"/>
    <cellStyle name="Normal 11 3 4 3 2 2 3" xfId="32830" xr:uid="{00000000-0005-0000-0000-0000D87E0000}"/>
    <cellStyle name="Normal 11 3 4 3 2 2 4" xfId="32831" xr:uid="{00000000-0005-0000-0000-0000D97E0000}"/>
    <cellStyle name="Normal 11 3 4 3 2 2 5" xfId="32832" xr:uid="{00000000-0005-0000-0000-0000DA7E0000}"/>
    <cellStyle name="Normal 11 3 4 3 2 2 6" xfId="32833" xr:uid="{00000000-0005-0000-0000-0000DB7E0000}"/>
    <cellStyle name="Normal 11 3 4 3 2 3" xfId="32834" xr:uid="{00000000-0005-0000-0000-0000DC7E0000}"/>
    <cellStyle name="Normal 11 3 4 3 2 3 2" xfId="32835" xr:uid="{00000000-0005-0000-0000-0000DD7E0000}"/>
    <cellStyle name="Normal 11 3 4 3 2 3 3" xfId="32836" xr:uid="{00000000-0005-0000-0000-0000DE7E0000}"/>
    <cellStyle name="Normal 11 3 4 3 2 4" xfId="32837" xr:uid="{00000000-0005-0000-0000-0000DF7E0000}"/>
    <cellStyle name="Normal 11 3 4 3 2 5" xfId="32838" xr:uid="{00000000-0005-0000-0000-0000E07E0000}"/>
    <cellStyle name="Normal 11 3 4 3 2 6" xfId="32839" xr:uid="{00000000-0005-0000-0000-0000E17E0000}"/>
    <cellStyle name="Normal 11 3 4 3 2 7" xfId="32840" xr:uid="{00000000-0005-0000-0000-0000E27E0000}"/>
    <cellStyle name="Normal 11 3 4 3 3" xfId="32841" xr:uid="{00000000-0005-0000-0000-0000E37E0000}"/>
    <cellStyle name="Normal 11 3 4 3 3 2" xfId="32842" xr:uid="{00000000-0005-0000-0000-0000E47E0000}"/>
    <cellStyle name="Normal 11 3 4 3 3 2 2" xfId="32843" xr:uid="{00000000-0005-0000-0000-0000E57E0000}"/>
    <cellStyle name="Normal 11 3 4 3 3 2 3" xfId="32844" xr:uid="{00000000-0005-0000-0000-0000E67E0000}"/>
    <cellStyle name="Normal 11 3 4 3 3 3" xfId="32845" xr:uid="{00000000-0005-0000-0000-0000E77E0000}"/>
    <cellStyle name="Normal 11 3 4 3 3 4" xfId="32846" xr:uid="{00000000-0005-0000-0000-0000E87E0000}"/>
    <cellStyle name="Normal 11 3 4 3 3 5" xfId="32847" xr:uid="{00000000-0005-0000-0000-0000E97E0000}"/>
    <cellStyle name="Normal 11 3 4 3 3 6" xfId="32848" xr:uid="{00000000-0005-0000-0000-0000EA7E0000}"/>
    <cellStyle name="Normal 11 3 4 3 4" xfId="32849" xr:uid="{00000000-0005-0000-0000-0000EB7E0000}"/>
    <cellStyle name="Normal 11 3 4 3 4 2" xfId="32850" xr:uid="{00000000-0005-0000-0000-0000EC7E0000}"/>
    <cellStyle name="Normal 11 3 4 3 4 2 2" xfId="32851" xr:uid="{00000000-0005-0000-0000-0000ED7E0000}"/>
    <cellStyle name="Normal 11 3 4 3 4 2 3" xfId="32852" xr:uid="{00000000-0005-0000-0000-0000EE7E0000}"/>
    <cellStyle name="Normal 11 3 4 3 4 3" xfId="32853" xr:uid="{00000000-0005-0000-0000-0000EF7E0000}"/>
    <cellStyle name="Normal 11 3 4 3 4 4" xfId="32854" xr:uid="{00000000-0005-0000-0000-0000F07E0000}"/>
    <cellStyle name="Normal 11 3 4 3 4 5" xfId="32855" xr:uid="{00000000-0005-0000-0000-0000F17E0000}"/>
    <cellStyle name="Normal 11 3 4 3 4 6" xfId="32856" xr:uid="{00000000-0005-0000-0000-0000F27E0000}"/>
    <cellStyle name="Normal 11 3 4 3 5" xfId="32857" xr:uid="{00000000-0005-0000-0000-0000F37E0000}"/>
    <cellStyle name="Normal 11 3 4 3 5 2" xfId="32858" xr:uid="{00000000-0005-0000-0000-0000F47E0000}"/>
    <cellStyle name="Normal 11 3 4 3 5 3" xfId="32859" xr:uid="{00000000-0005-0000-0000-0000F57E0000}"/>
    <cellStyle name="Normal 11 3 4 3 6" xfId="32860" xr:uid="{00000000-0005-0000-0000-0000F67E0000}"/>
    <cellStyle name="Normal 11 3 4 3 7" xfId="32861" xr:uid="{00000000-0005-0000-0000-0000F77E0000}"/>
    <cellStyle name="Normal 11 3 4 3 8" xfId="32862" xr:uid="{00000000-0005-0000-0000-0000F87E0000}"/>
    <cellStyle name="Normal 11 3 4 3 9" xfId="32863" xr:uid="{00000000-0005-0000-0000-0000F97E0000}"/>
    <cellStyle name="Normal 11 3 4 4" xfId="32864" xr:uid="{00000000-0005-0000-0000-0000FA7E0000}"/>
    <cellStyle name="Normal 11 3 4 4 2" xfId="32865" xr:uid="{00000000-0005-0000-0000-0000FB7E0000}"/>
    <cellStyle name="Normal 11 3 4 4 2 2" xfId="32866" xr:uid="{00000000-0005-0000-0000-0000FC7E0000}"/>
    <cellStyle name="Normal 11 3 4 4 2 2 2" xfId="32867" xr:uid="{00000000-0005-0000-0000-0000FD7E0000}"/>
    <cellStyle name="Normal 11 3 4 4 2 2 3" xfId="32868" xr:uid="{00000000-0005-0000-0000-0000FE7E0000}"/>
    <cellStyle name="Normal 11 3 4 4 2 3" xfId="32869" xr:uid="{00000000-0005-0000-0000-0000FF7E0000}"/>
    <cellStyle name="Normal 11 3 4 4 2 4" xfId="32870" xr:uid="{00000000-0005-0000-0000-0000007F0000}"/>
    <cellStyle name="Normal 11 3 4 4 2 5" xfId="32871" xr:uid="{00000000-0005-0000-0000-0000017F0000}"/>
    <cellStyle name="Normal 11 3 4 4 2 6" xfId="32872" xr:uid="{00000000-0005-0000-0000-0000027F0000}"/>
    <cellStyle name="Normal 11 3 4 4 3" xfId="32873" xr:uid="{00000000-0005-0000-0000-0000037F0000}"/>
    <cellStyle name="Normal 11 3 4 4 3 2" xfId="32874" xr:uid="{00000000-0005-0000-0000-0000047F0000}"/>
    <cellStyle name="Normal 11 3 4 4 3 3" xfId="32875" xr:uid="{00000000-0005-0000-0000-0000057F0000}"/>
    <cellStyle name="Normal 11 3 4 4 4" xfId="32876" xr:uid="{00000000-0005-0000-0000-0000067F0000}"/>
    <cellStyle name="Normal 11 3 4 4 5" xfId="32877" xr:uid="{00000000-0005-0000-0000-0000077F0000}"/>
    <cellStyle name="Normal 11 3 4 4 6" xfId="32878" xr:uid="{00000000-0005-0000-0000-0000087F0000}"/>
    <cellStyle name="Normal 11 3 4 4 7" xfId="32879" xr:uid="{00000000-0005-0000-0000-0000097F0000}"/>
    <cellStyle name="Normal 11 3 4 5" xfId="32880" xr:uid="{00000000-0005-0000-0000-00000A7F0000}"/>
    <cellStyle name="Normal 11 3 4 5 2" xfId="32881" xr:uid="{00000000-0005-0000-0000-00000B7F0000}"/>
    <cellStyle name="Normal 11 3 4 5 2 2" xfId="32882" xr:uid="{00000000-0005-0000-0000-00000C7F0000}"/>
    <cellStyle name="Normal 11 3 4 5 2 3" xfId="32883" xr:uid="{00000000-0005-0000-0000-00000D7F0000}"/>
    <cellStyle name="Normal 11 3 4 5 3" xfId="32884" xr:uid="{00000000-0005-0000-0000-00000E7F0000}"/>
    <cellStyle name="Normal 11 3 4 5 4" xfId="32885" xr:uid="{00000000-0005-0000-0000-00000F7F0000}"/>
    <cellStyle name="Normal 11 3 4 5 5" xfId="32886" xr:uid="{00000000-0005-0000-0000-0000107F0000}"/>
    <cellStyle name="Normal 11 3 4 5 6" xfId="32887" xr:uid="{00000000-0005-0000-0000-0000117F0000}"/>
    <cellStyle name="Normal 11 3 4 6" xfId="32888" xr:uid="{00000000-0005-0000-0000-0000127F0000}"/>
    <cellStyle name="Normal 11 3 4 6 2" xfId="32889" xr:uid="{00000000-0005-0000-0000-0000137F0000}"/>
    <cellStyle name="Normal 11 3 4 6 2 2" xfId="32890" xr:uid="{00000000-0005-0000-0000-0000147F0000}"/>
    <cellStyle name="Normal 11 3 4 6 2 3" xfId="32891" xr:uid="{00000000-0005-0000-0000-0000157F0000}"/>
    <cellStyle name="Normal 11 3 4 6 3" xfId="32892" xr:uid="{00000000-0005-0000-0000-0000167F0000}"/>
    <cellStyle name="Normal 11 3 4 6 4" xfId="32893" xr:uid="{00000000-0005-0000-0000-0000177F0000}"/>
    <cellStyle name="Normal 11 3 4 6 5" xfId="32894" xr:uid="{00000000-0005-0000-0000-0000187F0000}"/>
    <cellStyle name="Normal 11 3 4 6 6" xfId="32895" xr:uid="{00000000-0005-0000-0000-0000197F0000}"/>
    <cellStyle name="Normal 11 3 4 7" xfId="32896" xr:uid="{00000000-0005-0000-0000-00001A7F0000}"/>
    <cellStyle name="Normal 11 3 4 7 2" xfId="32897" xr:uid="{00000000-0005-0000-0000-00001B7F0000}"/>
    <cellStyle name="Normal 11 3 4 7 2 2" xfId="32898" xr:uid="{00000000-0005-0000-0000-00001C7F0000}"/>
    <cellStyle name="Normal 11 3 4 7 2 3" xfId="32899" xr:uid="{00000000-0005-0000-0000-00001D7F0000}"/>
    <cellStyle name="Normal 11 3 4 7 3" xfId="32900" xr:uid="{00000000-0005-0000-0000-00001E7F0000}"/>
    <cellStyle name="Normal 11 3 4 7 4" xfId="32901" xr:uid="{00000000-0005-0000-0000-00001F7F0000}"/>
    <cellStyle name="Normal 11 3 4 7 5" xfId="32902" xr:uid="{00000000-0005-0000-0000-0000207F0000}"/>
    <cellStyle name="Normal 11 3 4 7 6" xfId="32903" xr:uid="{00000000-0005-0000-0000-0000217F0000}"/>
    <cellStyle name="Normal 11 3 4 8" xfId="32904" xr:uid="{00000000-0005-0000-0000-0000227F0000}"/>
    <cellStyle name="Normal 11 3 4 8 2" xfId="32905" xr:uid="{00000000-0005-0000-0000-0000237F0000}"/>
    <cellStyle name="Normal 11 3 4 8 2 2" xfId="32906" xr:uid="{00000000-0005-0000-0000-0000247F0000}"/>
    <cellStyle name="Normal 11 3 4 8 2 3" xfId="32907" xr:uid="{00000000-0005-0000-0000-0000257F0000}"/>
    <cellStyle name="Normal 11 3 4 8 3" xfId="32908" xr:uid="{00000000-0005-0000-0000-0000267F0000}"/>
    <cellStyle name="Normal 11 3 4 8 4" xfId="32909" xr:uid="{00000000-0005-0000-0000-0000277F0000}"/>
    <cellStyle name="Normal 11 3 4 8 5" xfId="32910" xr:uid="{00000000-0005-0000-0000-0000287F0000}"/>
    <cellStyle name="Normal 11 3 4 8 6" xfId="32911" xr:uid="{00000000-0005-0000-0000-0000297F0000}"/>
    <cellStyle name="Normal 11 3 4 9" xfId="32912" xr:uid="{00000000-0005-0000-0000-00002A7F0000}"/>
    <cellStyle name="Normal 11 3 4 9 2" xfId="32913" xr:uid="{00000000-0005-0000-0000-00002B7F0000}"/>
    <cellStyle name="Normal 11 3 4 9 3" xfId="32914" xr:uid="{00000000-0005-0000-0000-00002C7F0000}"/>
    <cellStyle name="Normal 11 3 5" xfId="32915" xr:uid="{00000000-0005-0000-0000-00002D7F0000}"/>
    <cellStyle name="Normal 11 3 5 10" xfId="32916" xr:uid="{00000000-0005-0000-0000-00002E7F0000}"/>
    <cellStyle name="Normal 11 3 5 2" xfId="32917" xr:uid="{00000000-0005-0000-0000-00002F7F0000}"/>
    <cellStyle name="Normal 11 3 5 2 2" xfId="32918" xr:uid="{00000000-0005-0000-0000-0000307F0000}"/>
    <cellStyle name="Normal 11 3 5 2 2 2" xfId="32919" xr:uid="{00000000-0005-0000-0000-0000317F0000}"/>
    <cellStyle name="Normal 11 3 5 2 2 2 2" xfId="32920" xr:uid="{00000000-0005-0000-0000-0000327F0000}"/>
    <cellStyle name="Normal 11 3 5 2 2 2 3" xfId="32921" xr:uid="{00000000-0005-0000-0000-0000337F0000}"/>
    <cellStyle name="Normal 11 3 5 2 2 3" xfId="32922" xr:uid="{00000000-0005-0000-0000-0000347F0000}"/>
    <cellStyle name="Normal 11 3 5 2 2 4" xfId="32923" xr:uid="{00000000-0005-0000-0000-0000357F0000}"/>
    <cellStyle name="Normal 11 3 5 2 2 5" xfId="32924" xr:uid="{00000000-0005-0000-0000-0000367F0000}"/>
    <cellStyle name="Normal 11 3 5 2 2 6" xfId="32925" xr:uid="{00000000-0005-0000-0000-0000377F0000}"/>
    <cellStyle name="Normal 11 3 5 2 3" xfId="32926" xr:uid="{00000000-0005-0000-0000-0000387F0000}"/>
    <cellStyle name="Normal 11 3 5 2 3 2" xfId="32927" xr:uid="{00000000-0005-0000-0000-0000397F0000}"/>
    <cellStyle name="Normal 11 3 5 2 3 2 2" xfId="32928" xr:uid="{00000000-0005-0000-0000-00003A7F0000}"/>
    <cellStyle name="Normal 11 3 5 2 3 2 3" xfId="32929" xr:uid="{00000000-0005-0000-0000-00003B7F0000}"/>
    <cellStyle name="Normal 11 3 5 2 3 3" xfId="32930" xr:uid="{00000000-0005-0000-0000-00003C7F0000}"/>
    <cellStyle name="Normal 11 3 5 2 3 4" xfId="32931" xr:uid="{00000000-0005-0000-0000-00003D7F0000}"/>
    <cellStyle name="Normal 11 3 5 2 3 5" xfId="32932" xr:uid="{00000000-0005-0000-0000-00003E7F0000}"/>
    <cellStyle name="Normal 11 3 5 2 3 6" xfId="32933" xr:uid="{00000000-0005-0000-0000-00003F7F0000}"/>
    <cellStyle name="Normal 11 3 5 2 4" xfId="32934" xr:uid="{00000000-0005-0000-0000-0000407F0000}"/>
    <cellStyle name="Normal 11 3 5 2 4 2" xfId="32935" xr:uid="{00000000-0005-0000-0000-0000417F0000}"/>
    <cellStyle name="Normal 11 3 5 2 4 3" xfId="32936" xr:uid="{00000000-0005-0000-0000-0000427F0000}"/>
    <cellStyle name="Normal 11 3 5 2 5" xfId="32937" xr:uid="{00000000-0005-0000-0000-0000437F0000}"/>
    <cellStyle name="Normal 11 3 5 2 6" xfId="32938" xr:uid="{00000000-0005-0000-0000-0000447F0000}"/>
    <cellStyle name="Normal 11 3 5 2 7" xfId="32939" xr:uid="{00000000-0005-0000-0000-0000457F0000}"/>
    <cellStyle name="Normal 11 3 5 2 8" xfId="32940" xr:uid="{00000000-0005-0000-0000-0000467F0000}"/>
    <cellStyle name="Normal 11 3 5 3" xfId="32941" xr:uid="{00000000-0005-0000-0000-0000477F0000}"/>
    <cellStyle name="Normal 11 3 5 3 2" xfId="32942" xr:uid="{00000000-0005-0000-0000-0000487F0000}"/>
    <cellStyle name="Normal 11 3 5 3 2 2" xfId="32943" xr:uid="{00000000-0005-0000-0000-0000497F0000}"/>
    <cellStyle name="Normal 11 3 5 3 2 2 2" xfId="32944" xr:uid="{00000000-0005-0000-0000-00004A7F0000}"/>
    <cellStyle name="Normal 11 3 5 3 2 2 3" xfId="32945" xr:uid="{00000000-0005-0000-0000-00004B7F0000}"/>
    <cellStyle name="Normal 11 3 5 3 2 3" xfId="32946" xr:uid="{00000000-0005-0000-0000-00004C7F0000}"/>
    <cellStyle name="Normal 11 3 5 3 2 4" xfId="32947" xr:uid="{00000000-0005-0000-0000-00004D7F0000}"/>
    <cellStyle name="Normal 11 3 5 3 2 5" xfId="32948" xr:uid="{00000000-0005-0000-0000-00004E7F0000}"/>
    <cellStyle name="Normal 11 3 5 3 2 6" xfId="32949" xr:uid="{00000000-0005-0000-0000-00004F7F0000}"/>
    <cellStyle name="Normal 11 3 5 3 3" xfId="32950" xr:uid="{00000000-0005-0000-0000-0000507F0000}"/>
    <cellStyle name="Normal 11 3 5 3 3 2" xfId="32951" xr:uid="{00000000-0005-0000-0000-0000517F0000}"/>
    <cellStyle name="Normal 11 3 5 3 3 3" xfId="32952" xr:uid="{00000000-0005-0000-0000-0000527F0000}"/>
    <cellStyle name="Normal 11 3 5 3 4" xfId="32953" xr:uid="{00000000-0005-0000-0000-0000537F0000}"/>
    <cellStyle name="Normal 11 3 5 3 5" xfId="32954" xr:uid="{00000000-0005-0000-0000-0000547F0000}"/>
    <cellStyle name="Normal 11 3 5 3 6" xfId="32955" xr:uid="{00000000-0005-0000-0000-0000557F0000}"/>
    <cellStyle name="Normal 11 3 5 3 7" xfId="32956" xr:uid="{00000000-0005-0000-0000-0000567F0000}"/>
    <cellStyle name="Normal 11 3 5 4" xfId="32957" xr:uid="{00000000-0005-0000-0000-0000577F0000}"/>
    <cellStyle name="Normal 11 3 5 4 2" xfId="32958" xr:uid="{00000000-0005-0000-0000-0000587F0000}"/>
    <cellStyle name="Normal 11 3 5 4 2 2" xfId="32959" xr:uid="{00000000-0005-0000-0000-0000597F0000}"/>
    <cellStyle name="Normal 11 3 5 4 2 3" xfId="32960" xr:uid="{00000000-0005-0000-0000-00005A7F0000}"/>
    <cellStyle name="Normal 11 3 5 4 3" xfId="32961" xr:uid="{00000000-0005-0000-0000-00005B7F0000}"/>
    <cellStyle name="Normal 11 3 5 4 4" xfId="32962" xr:uid="{00000000-0005-0000-0000-00005C7F0000}"/>
    <cellStyle name="Normal 11 3 5 4 5" xfId="32963" xr:uid="{00000000-0005-0000-0000-00005D7F0000}"/>
    <cellStyle name="Normal 11 3 5 4 6" xfId="32964" xr:uid="{00000000-0005-0000-0000-00005E7F0000}"/>
    <cellStyle name="Normal 11 3 5 5" xfId="32965" xr:uid="{00000000-0005-0000-0000-00005F7F0000}"/>
    <cellStyle name="Normal 11 3 5 5 2" xfId="32966" xr:uid="{00000000-0005-0000-0000-0000607F0000}"/>
    <cellStyle name="Normal 11 3 5 5 2 2" xfId="32967" xr:uid="{00000000-0005-0000-0000-0000617F0000}"/>
    <cellStyle name="Normal 11 3 5 5 2 3" xfId="32968" xr:uid="{00000000-0005-0000-0000-0000627F0000}"/>
    <cellStyle name="Normal 11 3 5 5 3" xfId="32969" xr:uid="{00000000-0005-0000-0000-0000637F0000}"/>
    <cellStyle name="Normal 11 3 5 5 4" xfId="32970" xr:uid="{00000000-0005-0000-0000-0000647F0000}"/>
    <cellStyle name="Normal 11 3 5 5 5" xfId="32971" xr:uid="{00000000-0005-0000-0000-0000657F0000}"/>
    <cellStyle name="Normal 11 3 5 5 6" xfId="32972" xr:uid="{00000000-0005-0000-0000-0000667F0000}"/>
    <cellStyle name="Normal 11 3 5 6" xfId="32973" xr:uid="{00000000-0005-0000-0000-0000677F0000}"/>
    <cellStyle name="Normal 11 3 5 6 2" xfId="32974" xr:uid="{00000000-0005-0000-0000-0000687F0000}"/>
    <cellStyle name="Normal 11 3 5 6 3" xfId="32975" xr:uid="{00000000-0005-0000-0000-0000697F0000}"/>
    <cellStyle name="Normal 11 3 5 7" xfId="32976" xr:uid="{00000000-0005-0000-0000-00006A7F0000}"/>
    <cellStyle name="Normal 11 3 5 8" xfId="32977" xr:uid="{00000000-0005-0000-0000-00006B7F0000}"/>
    <cellStyle name="Normal 11 3 5 9" xfId="32978" xr:uid="{00000000-0005-0000-0000-00006C7F0000}"/>
    <cellStyle name="Normal 11 3 6" xfId="32979" xr:uid="{00000000-0005-0000-0000-00006D7F0000}"/>
    <cellStyle name="Normal 11 3 6 2" xfId="32980" xr:uid="{00000000-0005-0000-0000-00006E7F0000}"/>
    <cellStyle name="Normal 11 3 6 2 2" xfId="32981" xr:uid="{00000000-0005-0000-0000-00006F7F0000}"/>
    <cellStyle name="Normal 11 3 6 2 2 2" xfId="32982" xr:uid="{00000000-0005-0000-0000-0000707F0000}"/>
    <cellStyle name="Normal 11 3 6 2 2 2 2" xfId="32983" xr:uid="{00000000-0005-0000-0000-0000717F0000}"/>
    <cellStyle name="Normal 11 3 6 2 2 2 3" xfId="32984" xr:uid="{00000000-0005-0000-0000-0000727F0000}"/>
    <cellStyle name="Normal 11 3 6 2 2 3" xfId="32985" xr:uid="{00000000-0005-0000-0000-0000737F0000}"/>
    <cellStyle name="Normal 11 3 6 2 2 4" xfId="32986" xr:uid="{00000000-0005-0000-0000-0000747F0000}"/>
    <cellStyle name="Normal 11 3 6 2 2 5" xfId="32987" xr:uid="{00000000-0005-0000-0000-0000757F0000}"/>
    <cellStyle name="Normal 11 3 6 2 2 6" xfId="32988" xr:uid="{00000000-0005-0000-0000-0000767F0000}"/>
    <cellStyle name="Normal 11 3 6 2 3" xfId="32989" xr:uid="{00000000-0005-0000-0000-0000777F0000}"/>
    <cellStyle name="Normal 11 3 6 2 3 2" xfId="32990" xr:uid="{00000000-0005-0000-0000-0000787F0000}"/>
    <cellStyle name="Normal 11 3 6 2 3 3" xfId="32991" xr:uid="{00000000-0005-0000-0000-0000797F0000}"/>
    <cellStyle name="Normal 11 3 6 2 4" xfId="32992" xr:uid="{00000000-0005-0000-0000-00007A7F0000}"/>
    <cellStyle name="Normal 11 3 6 2 5" xfId="32993" xr:uid="{00000000-0005-0000-0000-00007B7F0000}"/>
    <cellStyle name="Normal 11 3 6 2 6" xfId="32994" xr:uid="{00000000-0005-0000-0000-00007C7F0000}"/>
    <cellStyle name="Normal 11 3 6 2 7" xfId="32995" xr:uid="{00000000-0005-0000-0000-00007D7F0000}"/>
    <cellStyle name="Normal 11 3 6 3" xfId="32996" xr:uid="{00000000-0005-0000-0000-00007E7F0000}"/>
    <cellStyle name="Normal 11 3 6 3 2" xfId="32997" xr:uid="{00000000-0005-0000-0000-00007F7F0000}"/>
    <cellStyle name="Normal 11 3 6 3 2 2" xfId="32998" xr:uid="{00000000-0005-0000-0000-0000807F0000}"/>
    <cellStyle name="Normal 11 3 6 3 2 3" xfId="32999" xr:uid="{00000000-0005-0000-0000-0000817F0000}"/>
    <cellStyle name="Normal 11 3 6 3 3" xfId="33000" xr:uid="{00000000-0005-0000-0000-0000827F0000}"/>
    <cellStyle name="Normal 11 3 6 3 4" xfId="33001" xr:uid="{00000000-0005-0000-0000-0000837F0000}"/>
    <cellStyle name="Normal 11 3 6 3 5" xfId="33002" xr:uid="{00000000-0005-0000-0000-0000847F0000}"/>
    <cellStyle name="Normal 11 3 6 3 6" xfId="33003" xr:uid="{00000000-0005-0000-0000-0000857F0000}"/>
    <cellStyle name="Normal 11 3 6 4" xfId="33004" xr:uid="{00000000-0005-0000-0000-0000867F0000}"/>
    <cellStyle name="Normal 11 3 6 4 2" xfId="33005" xr:uid="{00000000-0005-0000-0000-0000877F0000}"/>
    <cellStyle name="Normal 11 3 6 4 2 2" xfId="33006" xr:uid="{00000000-0005-0000-0000-0000887F0000}"/>
    <cellStyle name="Normal 11 3 6 4 2 3" xfId="33007" xr:uid="{00000000-0005-0000-0000-0000897F0000}"/>
    <cellStyle name="Normal 11 3 6 4 3" xfId="33008" xr:uid="{00000000-0005-0000-0000-00008A7F0000}"/>
    <cellStyle name="Normal 11 3 6 4 4" xfId="33009" xr:uid="{00000000-0005-0000-0000-00008B7F0000}"/>
    <cellStyle name="Normal 11 3 6 4 5" xfId="33010" xr:uid="{00000000-0005-0000-0000-00008C7F0000}"/>
    <cellStyle name="Normal 11 3 6 4 6" xfId="33011" xr:uid="{00000000-0005-0000-0000-00008D7F0000}"/>
    <cellStyle name="Normal 11 3 6 5" xfId="33012" xr:uid="{00000000-0005-0000-0000-00008E7F0000}"/>
    <cellStyle name="Normal 11 3 6 5 2" xfId="33013" xr:uid="{00000000-0005-0000-0000-00008F7F0000}"/>
    <cellStyle name="Normal 11 3 6 5 3" xfId="33014" xr:uid="{00000000-0005-0000-0000-0000907F0000}"/>
    <cellStyle name="Normal 11 3 6 6" xfId="33015" xr:uid="{00000000-0005-0000-0000-0000917F0000}"/>
    <cellStyle name="Normal 11 3 6 7" xfId="33016" xr:uid="{00000000-0005-0000-0000-0000927F0000}"/>
    <cellStyle name="Normal 11 3 6 8" xfId="33017" xr:uid="{00000000-0005-0000-0000-0000937F0000}"/>
    <cellStyle name="Normal 11 3 6 9" xfId="33018" xr:uid="{00000000-0005-0000-0000-0000947F0000}"/>
    <cellStyle name="Normal 11 3 7" xfId="33019" xr:uid="{00000000-0005-0000-0000-0000957F0000}"/>
    <cellStyle name="Normal 11 3 7 2" xfId="33020" xr:uid="{00000000-0005-0000-0000-0000967F0000}"/>
    <cellStyle name="Normal 11 3 7 2 2" xfId="33021" xr:uid="{00000000-0005-0000-0000-0000977F0000}"/>
    <cellStyle name="Normal 11 3 7 2 2 2" xfId="33022" xr:uid="{00000000-0005-0000-0000-0000987F0000}"/>
    <cellStyle name="Normal 11 3 7 2 2 3" xfId="33023" xr:uid="{00000000-0005-0000-0000-0000997F0000}"/>
    <cellStyle name="Normal 11 3 7 2 3" xfId="33024" xr:uid="{00000000-0005-0000-0000-00009A7F0000}"/>
    <cellStyle name="Normal 11 3 7 2 4" xfId="33025" xr:uid="{00000000-0005-0000-0000-00009B7F0000}"/>
    <cellStyle name="Normal 11 3 7 2 5" xfId="33026" xr:uid="{00000000-0005-0000-0000-00009C7F0000}"/>
    <cellStyle name="Normal 11 3 7 2 6" xfId="33027" xr:uid="{00000000-0005-0000-0000-00009D7F0000}"/>
    <cellStyle name="Normal 11 3 7 3" xfId="33028" xr:uid="{00000000-0005-0000-0000-00009E7F0000}"/>
    <cellStyle name="Normal 11 3 7 3 2" xfId="33029" xr:uid="{00000000-0005-0000-0000-00009F7F0000}"/>
    <cellStyle name="Normal 11 3 7 3 3" xfId="33030" xr:uid="{00000000-0005-0000-0000-0000A07F0000}"/>
    <cellStyle name="Normal 11 3 7 4" xfId="33031" xr:uid="{00000000-0005-0000-0000-0000A17F0000}"/>
    <cellStyle name="Normal 11 3 7 5" xfId="33032" xr:uid="{00000000-0005-0000-0000-0000A27F0000}"/>
    <cellStyle name="Normal 11 3 7 6" xfId="33033" xr:uid="{00000000-0005-0000-0000-0000A37F0000}"/>
    <cellStyle name="Normal 11 3 7 7" xfId="33034" xr:uid="{00000000-0005-0000-0000-0000A47F0000}"/>
    <cellStyle name="Normal 11 3 8" xfId="33035" xr:uid="{00000000-0005-0000-0000-0000A57F0000}"/>
    <cellStyle name="Normal 11 3 8 2" xfId="33036" xr:uid="{00000000-0005-0000-0000-0000A67F0000}"/>
    <cellStyle name="Normal 11 3 8 2 2" xfId="33037" xr:uid="{00000000-0005-0000-0000-0000A77F0000}"/>
    <cellStyle name="Normal 11 3 8 2 3" xfId="33038" xr:uid="{00000000-0005-0000-0000-0000A87F0000}"/>
    <cellStyle name="Normal 11 3 8 3" xfId="33039" xr:uid="{00000000-0005-0000-0000-0000A97F0000}"/>
    <cellStyle name="Normal 11 3 8 4" xfId="33040" xr:uid="{00000000-0005-0000-0000-0000AA7F0000}"/>
    <cellStyle name="Normal 11 3 8 5" xfId="33041" xr:uid="{00000000-0005-0000-0000-0000AB7F0000}"/>
    <cellStyle name="Normal 11 3 8 6" xfId="33042" xr:uid="{00000000-0005-0000-0000-0000AC7F0000}"/>
    <cellStyle name="Normal 11 3 9" xfId="33043" xr:uid="{00000000-0005-0000-0000-0000AD7F0000}"/>
    <cellStyle name="Normal 11 3 9 2" xfId="33044" xr:uid="{00000000-0005-0000-0000-0000AE7F0000}"/>
    <cellStyle name="Normal 11 3 9 2 2" xfId="33045" xr:uid="{00000000-0005-0000-0000-0000AF7F0000}"/>
    <cellStyle name="Normal 11 3 9 2 3" xfId="33046" xr:uid="{00000000-0005-0000-0000-0000B07F0000}"/>
    <cellStyle name="Normal 11 3 9 3" xfId="33047" xr:uid="{00000000-0005-0000-0000-0000B17F0000}"/>
    <cellStyle name="Normal 11 3 9 4" xfId="33048" xr:uid="{00000000-0005-0000-0000-0000B27F0000}"/>
    <cellStyle name="Normal 11 3 9 5" xfId="33049" xr:uid="{00000000-0005-0000-0000-0000B37F0000}"/>
    <cellStyle name="Normal 11 3 9 6" xfId="33050" xr:uid="{00000000-0005-0000-0000-0000B47F0000}"/>
    <cellStyle name="Normal 11 4" xfId="33051" xr:uid="{00000000-0005-0000-0000-0000B57F0000}"/>
    <cellStyle name="Normal 11 4 10" xfId="33052" xr:uid="{00000000-0005-0000-0000-0000B67F0000}"/>
    <cellStyle name="Normal 11 4 10 2" xfId="33053" xr:uid="{00000000-0005-0000-0000-0000B77F0000}"/>
    <cellStyle name="Normal 11 4 10 3" xfId="33054" xr:uid="{00000000-0005-0000-0000-0000B87F0000}"/>
    <cellStyle name="Normal 11 4 11" xfId="33055" xr:uid="{00000000-0005-0000-0000-0000B97F0000}"/>
    <cellStyle name="Normal 11 4 12" xfId="33056" xr:uid="{00000000-0005-0000-0000-0000BA7F0000}"/>
    <cellStyle name="Normal 11 4 13" xfId="33057" xr:uid="{00000000-0005-0000-0000-0000BB7F0000}"/>
    <cellStyle name="Normal 11 4 14" xfId="33058" xr:uid="{00000000-0005-0000-0000-0000BC7F0000}"/>
    <cellStyle name="Normal 11 4 2" xfId="33059" xr:uid="{00000000-0005-0000-0000-0000BD7F0000}"/>
    <cellStyle name="Normal 11 4 2 10" xfId="33060" xr:uid="{00000000-0005-0000-0000-0000BE7F0000}"/>
    <cellStyle name="Normal 11 4 2 11" xfId="33061" xr:uid="{00000000-0005-0000-0000-0000BF7F0000}"/>
    <cellStyle name="Normal 11 4 2 12" xfId="33062" xr:uid="{00000000-0005-0000-0000-0000C07F0000}"/>
    <cellStyle name="Normal 11 4 2 13" xfId="33063" xr:uid="{00000000-0005-0000-0000-0000C17F0000}"/>
    <cellStyle name="Normal 11 4 2 2" xfId="33064" xr:uid="{00000000-0005-0000-0000-0000C27F0000}"/>
    <cellStyle name="Normal 11 4 2 2 10" xfId="33065" xr:uid="{00000000-0005-0000-0000-0000C37F0000}"/>
    <cellStyle name="Normal 11 4 2 2 2" xfId="33066" xr:uid="{00000000-0005-0000-0000-0000C47F0000}"/>
    <cellStyle name="Normal 11 4 2 2 2 2" xfId="33067" xr:uid="{00000000-0005-0000-0000-0000C57F0000}"/>
    <cellStyle name="Normal 11 4 2 2 2 2 2" xfId="33068" xr:uid="{00000000-0005-0000-0000-0000C67F0000}"/>
    <cellStyle name="Normal 11 4 2 2 2 2 2 2" xfId="33069" xr:uid="{00000000-0005-0000-0000-0000C77F0000}"/>
    <cellStyle name="Normal 11 4 2 2 2 2 2 3" xfId="33070" xr:uid="{00000000-0005-0000-0000-0000C87F0000}"/>
    <cellStyle name="Normal 11 4 2 2 2 2 3" xfId="33071" xr:uid="{00000000-0005-0000-0000-0000C97F0000}"/>
    <cellStyle name="Normal 11 4 2 2 2 2 4" xfId="33072" xr:uid="{00000000-0005-0000-0000-0000CA7F0000}"/>
    <cellStyle name="Normal 11 4 2 2 2 2 5" xfId="33073" xr:uid="{00000000-0005-0000-0000-0000CB7F0000}"/>
    <cellStyle name="Normal 11 4 2 2 2 2 6" xfId="33074" xr:uid="{00000000-0005-0000-0000-0000CC7F0000}"/>
    <cellStyle name="Normal 11 4 2 2 2 3" xfId="33075" xr:uid="{00000000-0005-0000-0000-0000CD7F0000}"/>
    <cellStyle name="Normal 11 4 2 2 2 3 2" xfId="33076" xr:uid="{00000000-0005-0000-0000-0000CE7F0000}"/>
    <cellStyle name="Normal 11 4 2 2 2 3 2 2" xfId="33077" xr:uid="{00000000-0005-0000-0000-0000CF7F0000}"/>
    <cellStyle name="Normal 11 4 2 2 2 3 2 3" xfId="33078" xr:uid="{00000000-0005-0000-0000-0000D07F0000}"/>
    <cellStyle name="Normal 11 4 2 2 2 3 3" xfId="33079" xr:uid="{00000000-0005-0000-0000-0000D17F0000}"/>
    <cellStyle name="Normal 11 4 2 2 2 3 4" xfId="33080" xr:uid="{00000000-0005-0000-0000-0000D27F0000}"/>
    <cellStyle name="Normal 11 4 2 2 2 3 5" xfId="33081" xr:uid="{00000000-0005-0000-0000-0000D37F0000}"/>
    <cellStyle name="Normal 11 4 2 2 2 3 6" xfId="33082" xr:uid="{00000000-0005-0000-0000-0000D47F0000}"/>
    <cellStyle name="Normal 11 4 2 2 2 4" xfId="33083" xr:uid="{00000000-0005-0000-0000-0000D57F0000}"/>
    <cellStyle name="Normal 11 4 2 2 2 4 2" xfId="33084" xr:uid="{00000000-0005-0000-0000-0000D67F0000}"/>
    <cellStyle name="Normal 11 4 2 2 2 4 3" xfId="33085" xr:uid="{00000000-0005-0000-0000-0000D77F0000}"/>
    <cellStyle name="Normal 11 4 2 2 2 5" xfId="33086" xr:uid="{00000000-0005-0000-0000-0000D87F0000}"/>
    <cellStyle name="Normal 11 4 2 2 2 6" xfId="33087" xr:uid="{00000000-0005-0000-0000-0000D97F0000}"/>
    <cellStyle name="Normal 11 4 2 2 2 7" xfId="33088" xr:uid="{00000000-0005-0000-0000-0000DA7F0000}"/>
    <cellStyle name="Normal 11 4 2 2 2 8" xfId="33089" xr:uid="{00000000-0005-0000-0000-0000DB7F0000}"/>
    <cellStyle name="Normal 11 4 2 2 3" xfId="33090" xr:uid="{00000000-0005-0000-0000-0000DC7F0000}"/>
    <cellStyle name="Normal 11 4 2 2 3 2" xfId="33091" xr:uid="{00000000-0005-0000-0000-0000DD7F0000}"/>
    <cellStyle name="Normal 11 4 2 2 3 2 2" xfId="33092" xr:uid="{00000000-0005-0000-0000-0000DE7F0000}"/>
    <cellStyle name="Normal 11 4 2 2 3 2 2 2" xfId="33093" xr:uid="{00000000-0005-0000-0000-0000DF7F0000}"/>
    <cellStyle name="Normal 11 4 2 2 3 2 2 3" xfId="33094" xr:uid="{00000000-0005-0000-0000-0000E07F0000}"/>
    <cellStyle name="Normal 11 4 2 2 3 2 3" xfId="33095" xr:uid="{00000000-0005-0000-0000-0000E17F0000}"/>
    <cellStyle name="Normal 11 4 2 2 3 2 4" xfId="33096" xr:uid="{00000000-0005-0000-0000-0000E27F0000}"/>
    <cellStyle name="Normal 11 4 2 2 3 2 5" xfId="33097" xr:uid="{00000000-0005-0000-0000-0000E37F0000}"/>
    <cellStyle name="Normal 11 4 2 2 3 2 6" xfId="33098" xr:uid="{00000000-0005-0000-0000-0000E47F0000}"/>
    <cellStyle name="Normal 11 4 2 2 3 3" xfId="33099" xr:uid="{00000000-0005-0000-0000-0000E57F0000}"/>
    <cellStyle name="Normal 11 4 2 2 3 3 2" xfId="33100" xr:uid="{00000000-0005-0000-0000-0000E67F0000}"/>
    <cellStyle name="Normal 11 4 2 2 3 3 3" xfId="33101" xr:uid="{00000000-0005-0000-0000-0000E77F0000}"/>
    <cellStyle name="Normal 11 4 2 2 3 4" xfId="33102" xr:uid="{00000000-0005-0000-0000-0000E87F0000}"/>
    <cellStyle name="Normal 11 4 2 2 3 5" xfId="33103" xr:uid="{00000000-0005-0000-0000-0000E97F0000}"/>
    <cellStyle name="Normal 11 4 2 2 3 6" xfId="33104" xr:uid="{00000000-0005-0000-0000-0000EA7F0000}"/>
    <cellStyle name="Normal 11 4 2 2 3 7" xfId="33105" xr:uid="{00000000-0005-0000-0000-0000EB7F0000}"/>
    <cellStyle name="Normal 11 4 2 2 4" xfId="33106" xr:uid="{00000000-0005-0000-0000-0000EC7F0000}"/>
    <cellStyle name="Normal 11 4 2 2 4 2" xfId="33107" xr:uid="{00000000-0005-0000-0000-0000ED7F0000}"/>
    <cellStyle name="Normal 11 4 2 2 4 2 2" xfId="33108" xr:uid="{00000000-0005-0000-0000-0000EE7F0000}"/>
    <cellStyle name="Normal 11 4 2 2 4 2 3" xfId="33109" xr:uid="{00000000-0005-0000-0000-0000EF7F0000}"/>
    <cellStyle name="Normal 11 4 2 2 4 3" xfId="33110" xr:uid="{00000000-0005-0000-0000-0000F07F0000}"/>
    <cellStyle name="Normal 11 4 2 2 4 4" xfId="33111" xr:uid="{00000000-0005-0000-0000-0000F17F0000}"/>
    <cellStyle name="Normal 11 4 2 2 4 5" xfId="33112" xr:uid="{00000000-0005-0000-0000-0000F27F0000}"/>
    <cellStyle name="Normal 11 4 2 2 4 6" xfId="33113" xr:uid="{00000000-0005-0000-0000-0000F37F0000}"/>
    <cellStyle name="Normal 11 4 2 2 5" xfId="33114" xr:uid="{00000000-0005-0000-0000-0000F47F0000}"/>
    <cellStyle name="Normal 11 4 2 2 5 2" xfId="33115" xr:uid="{00000000-0005-0000-0000-0000F57F0000}"/>
    <cellStyle name="Normal 11 4 2 2 5 2 2" xfId="33116" xr:uid="{00000000-0005-0000-0000-0000F67F0000}"/>
    <cellStyle name="Normal 11 4 2 2 5 2 3" xfId="33117" xr:uid="{00000000-0005-0000-0000-0000F77F0000}"/>
    <cellStyle name="Normal 11 4 2 2 5 3" xfId="33118" xr:uid="{00000000-0005-0000-0000-0000F87F0000}"/>
    <cellStyle name="Normal 11 4 2 2 5 4" xfId="33119" xr:uid="{00000000-0005-0000-0000-0000F97F0000}"/>
    <cellStyle name="Normal 11 4 2 2 5 5" xfId="33120" xr:uid="{00000000-0005-0000-0000-0000FA7F0000}"/>
    <cellStyle name="Normal 11 4 2 2 5 6" xfId="33121" xr:uid="{00000000-0005-0000-0000-0000FB7F0000}"/>
    <cellStyle name="Normal 11 4 2 2 6" xfId="33122" xr:uid="{00000000-0005-0000-0000-0000FC7F0000}"/>
    <cellStyle name="Normal 11 4 2 2 6 2" xfId="33123" xr:uid="{00000000-0005-0000-0000-0000FD7F0000}"/>
    <cellStyle name="Normal 11 4 2 2 6 3" xfId="33124" xr:uid="{00000000-0005-0000-0000-0000FE7F0000}"/>
    <cellStyle name="Normal 11 4 2 2 7" xfId="33125" xr:uid="{00000000-0005-0000-0000-0000FF7F0000}"/>
    <cellStyle name="Normal 11 4 2 2 8" xfId="33126" xr:uid="{00000000-0005-0000-0000-000000800000}"/>
    <cellStyle name="Normal 11 4 2 2 9" xfId="33127" xr:uid="{00000000-0005-0000-0000-000001800000}"/>
    <cellStyle name="Normal 11 4 2 3" xfId="33128" xr:uid="{00000000-0005-0000-0000-000002800000}"/>
    <cellStyle name="Normal 11 4 2 3 2" xfId="33129" xr:uid="{00000000-0005-0000-0000-000003800000}"/>
    <cellStyle name="Normal 11 4 2 3 2 2" xfId="33130" xr:uid="{00000000-0005-0000-0000-000004800000}"/>
    <cellStyle name="Normal 11 4 2 3 2 2 2" xfId="33131" xr:uid="{00000000-0005-0000-0000-000005800000}"/>
    <cellStyle name="Normal 11 4 2 3 2 2 2 2" xfId="33132" xr:uid="{00000000-0005-0000-0000-000006800000}"/>
    <cellStyle name="Normal 11 4 2 3 2 2 2 3" xfId="33133" xr:uid="{00000000-0005-0000-0000-000007800000}"/>
    <cellStyle name="Normal 11 4 2 3 2 2 3" xfId="33134" xr:uid="{00000000-0005-0000-0000-000008800000}"/>
    <cellStyle name="Normal 11 4 2 3 2 2 4" xfId="33135" xr:uid="{00000000-0005-0000-0000-000009800000}"/>
    <cellStyle name="Normal 11 4 2 3 2 2 5" xfId="33136" xr:uid="{00000000-0005-0000-0000-00000A800000}"/>
    <cellStyle name="Normal 11 4 2 3 2 2 6" xfId="33137" xr:uid="{00000000-0005-0000-0000-00000B800000}"/>
    <cellStyle name="Normal 11 4 2 3 2 3" xfId="33138" xr:uid="{00000000-0005-0000-0000-00000C800000}"/>
    <cellStyle name="Normal 11 4 2 3 2 3 2" xfId="33139" xr:uid="{00000000-0005-0000-0000-00000D800000}"/>
    <cellStyle name="Normal 11 4 2 3 2 3 3" xfId="33140" xr:uid="{00000000-0005-0000-0000-00000E800000}"/>
    <cellStyle name="Normal 11 4 2 3 2 4" xfId="33141" xr:uid="{00000000-0005-0000-0000-00000F800000}"/>
    <cellStyle name="Normal 11 4 2 3 2 5" xfId="33142" xr:uid="{00000000-0005-0000-0000-000010800000}"/>
    <cellStyle name="Normal 11 4 2 3 2 6" xfId="33143" xr:uid="{00000000-0005-0000-0000-000011800000}"/>
    <cellStyle name="Normal 11 4 2 3 2 7" xfId="33144" xr:uid="{00000000-0005-0000-0000-000012800000}"/>
    <cellStyle name="Normal 11 4 2 3 3" xfId="33145" xr:uid="{00000000-0005-0000-0000-000013800000}"/>
    <cellStyle name="Normal 11 4 2 3 3 2" xfId="33146" xr:uid="{00000000-0005-0000-0000-000014800000}"/>
    <cellStyle name="Normal 11 4 2 3 3 2 2" xfId="33147" xr:uid="{00000000-0005-0000-0000-000015800000}"/>
    <cellStyle name="Normal 11 4 2 3 3 2 3" xfId="33148" xr:uid="{00000000-0005-0000-0000-000016800000}"/>
    <cellStyle name="Normal 11 4 2 3 3 3" xfId="33149" xr:uid="{00000000-0005-0000-0000-000017800000}"/>
    <cellStyle name="Normal 11 4 2 3 3 4" xfId="33150" xr:uid="{00000000-0005-0000-0000-000018800000}"/>
    <cellStyle name="Normal 11 4 2 3 3 5" xfId="33151" xr:uid="{00000000-0005-0000-0000-000019800000}"/>
    <cellStyle name="Normal 11 4 2 3 3 6" xfId="33152" xr:uid="{00000000-0005-0000-0000-00001A800000}"/>
    <cellStyle name="Normal 11 4 2 3 4" xfId="33153" xr:uid="{00000000-0005-0000-0000-00001B800000}"/>
    <cellStyle name="Normal 11 4 2 3 4 2" xfId="33154" xr:uid="{00000000-0005-0000-0000-00001C800000}"/>
    <cellStyle name="Normal 11 4 2 3 4 2 2" xfId="33155" xr:uid="{00000000-0005-0000-0000-00001D800000}"/>
    <cellStyle name="Normal 11 4 2 3 4 2 3" xfId="33156" xr:uid="{00000000-0005-0000-0000-00001E800000}"/>
    <cellStyle name="Normal 11 4 2 3 4 3" xfId="33157" xr:uid="{00000000-0005-0000-0000-00001F800000}"/>
    <cellStyle name="Normal 11 4 2 3 4 4" xfId="33158" xr:uid="{00000000-0005-0000-0000-000020800000}"/>
    <cellStyle name="Normal 11 4 2 3 4 5" xfId="33159" xr:uid="{00000000-0005-0000-0000-000021800000}"/>
    <cellStyle name="Normal 11 4 2 3 4 6" xfId="33160" xr:uid="{00000000-0005-0000-0000-000022800000}"/>
    <cellStyle name="Normal 11 4 2 3 5" xfId="33161" xr:uid="{00000000-0005-0000-0000-000023800000}"/>
    <cellStyle name="Normal 11 4 2 3 5 2" xfId="33162" xr:uid="{00000000-0005-0000-0000-000024800000}"/>
    <cellStyle name="Normal 11 4 2 3 5 3" xfId="33163" xr:uid="{00000000-0005-0000-0000-000025800000}"/>
    <cellStyle name="Normal 11 4 2 3 6" xfId="33164" xr:uid="{00000000-0005-0000-0000-000026800000}"/>
    <cellStyle name="Normal 11 4 2 3 7" xfId="33165" xr:uid="{00000000-0005-0000-0000-000027800000}"/>
    <cellStyle name="Normal 11 4 2 3 8" xfId="33166" xr:uid="{00000000-0005-0000-0000-000028800000}"/>
    <cellStyle name="Normal 11 4 2 3 9" xfId="33167" xr:uid="{00000000-0005-0000-0000-000029800000}"/>
    <cellStyle name="Normal 11 4 2 4" xfId="33168" xr:uid="{00000000-0005-0000-0000-00002A800000}"/>
    <cellStyle name="Normal 11 4 2 4 2" xfId="33169" xr:uid="{00000000-0005-0000-0000-00002B800000}"/>
    <cellStyle name="Normal 11 4 2 4 2 2" xfId="33170" xr:uid="{00000000-0005-0000-0000-00002C800000}"/>
    <cellStyle name="Normal 11 4 2 4 2 2 2" xfId="33171" xr:uid="{00000000-0005-0000-0000-00002D800000}"/>
    <cellStyle name="Normal 11 4 2 4 2 2 3" xfId="33172" xr:uid="{00000000-0005-0000-0000-00002E800000}"/>
    <cellStyle name="Normal 11 4 2 4 2 3" xfId="33173" xr:uid="{00000000-0005-0000-0000-00002F800000}"/>
    <cellStyle name="Normal 11 4 2 4 2 4" xfId="33174" xr:uid="{00000000-0005-0000-0000-000030800000}"/>
    <cellStyle name="Normal 11 4 2 4 2 5" xfId="33175" xr:uid="{00000000-0005-0000-0000-000031800000}"/>
    <cellStyle name="Normal 11 4 2 4 2 6" xfId="33176" xr:uid="{00000000-0005-0000-0000-000032800000}"/>
    <cellStyle name="Normal 11 4 2 4 3" xfId="33177" xr:uid="{00000000-0005-0000-0000-000033800000}"/>
    <cellStyle name="Normal 11 4 2 4 3 2" xfId="33178" xr:uid="{00000000-0005-0000-0000-000034800000}"/>
    <cellStyle name="Normal 11 4 2 4 3 3" xfId="33179" xr:uid="{00000000-0005-0000-0000-000035800000}"/>
    <cellStyle name="Normal 11 4 2 4 4" xfId="33180" xr:uid="{00000000-0005-0000-0000-000036800000}"/>
    <cellStyle name="Normal 11 4 2 4 5" xfId="33181" xr:uid="{00000000-0005-0000-0000-000037800000}"/>
    <cellStyle name="Normal 11 4 2 4 6" xfId="33182" xr:uid="{00000000-0005-0000-0000-000038800000}"/>
    <cellStyle name="Normal 11 4 2 4 7" xfId="33183" xr:uid="{00000000-0005-0000-0000-000039800000}"/>
    <cellStyle name="Normal 11 4 2 5" xfId="33184" xr:uid="{00000000-0005-0000-0000-00003A800000}"/>
    <cellStyle name="Normal 11 4 2 5 2" xfId="33185" xr:uid="{00000000-0005-0000-0000-00003B800000}"/>
    <cellStyle name="Normal 11 4 2 5 2 2" xfId="33186" xr:uid="{00000000-0005-0000-0000-00003C800000}"/>
    <cellStyle name="Normal 11 4 2 5 2 3" xfId="33187" xr:uid="{00000000-0005-0000-0000-00003D800000}"/>
    <cellStyle name="Normal 11 4 2 5 3" xfId="33188" xr:uid="{00000000-0005-0000-0000-00003E800000}"/>
    <cellStyle name="Normal 11 4 2 5 4" xfId="33189" xr:uid="{00000000-0005-0000-0000-00003F800000}"/>
    <cellStyle name="Normal 11 4 2 5 5" xfId="33190" xr:uid="{00000000-0005-0000-0000-000040800000}"/>
    <cellStyle name="Normal 11 4 2 5 6" xfId="33191" xr:uid="{00000000-0005-0000-0000-000041800000}"/>
    <cellStyle name="Normal 11 4 2 6" xfId="33192" xr:uid="{00000000-0005-0000-0000-000042800000}"/>
    <cellStyle name="Normal 11 4 2 6 2" xfId="33193" xr:uid="{00000000-0005-0000-0000-000043800000}"/>
    <cellStyle name="Normal 11 4 2 6 2 2" xfId="33194" xr:uid="{00000000-0005-0000-0000-000044800000}"/>
    <cellStyle name="Normal 11 4 2 6 2 3" xfId="33195" xr:uid="{00000000-0005-0000-0000-000045800000}"/>
    <cellStyle name="Normal 11 4 2 6 3" xfId="33196" xr:uid="{00000000-0005-0000-0000-000046800000}"/>
    <cellStyle name="Normal 11 4 2 6 4" xfId="33197" xr:uid="{00000000-0005-0000-0000-000047800000}"/>
    <cellStyle name="Normal 11 4 2 6 5" xfId="33198" xr:uid="{00000000-0005-0000-0000-000048800000}"/>
    <cellStyle name="Normal 11 4 2 6 6" xfId="33199" xr:uid="{00000000-0005-0000-0000-000049800000}"/>
    <cellStyle name="Normal 11 4 2 7" xfId="33200" xr:uid="{00000000-0005-0000-0000-00004A800000}"/>
    <cellStyle name="Normal 11 4 2 7 2" xfId="33201" xr:uid="{00000000-0005-0000-0000-00004B800000}"/>
    <cellStyle name="Normal 11 4 2 7 2 2" xfId="33202" xr:uid="{00000000-0005-0000-0000-00004C800000}"/>
    <cellStyle name="Normal 11 4 2 7 2 3" xfId="33203" xr:uid="{00000000-0005-0000-0000-00004D800000}"/>
    <cellStyle name="Normal 11 4 2 7 3" xfId="33204" xr:uid="{00000000-0005-0000-0000-00004E800000}"/>
    <cellStyle name="Normal 11 4 2 7 4" xfId="33205" xr:uid="{00000000-0005-0000-0000-00004F800000}"/>
    <cellStyle name="Normal 11 4 2 7 5" xfId="33206" xr:uid="{00000000-0005-0000-0000-000050800000}"/>
    <cellStyle name="Normal 11 4 2 7 6" xfId="33207" xr:uid="{00000000-0005-0000-0000-000051800000}"/>
    <cellStyle name="Normal 11 4 2 8" xfId="33208" xr:uid="{00000000-0005-0000-0000-000052800000}"/>
    <cellStyle name="Normal 11 4 2 8 2" xfId="33209" xr:uid="{00000000-0005-0000-0000-000053800000}"/>
    <cellStyle name="Normal 11 4 2 8 2 2" xfId="33210" xr:uid="{00000000-0005-0000-0000-000054800000}"/>
    <cellStyle name="Normal 11 4 2 8 2 3" xfId="33211" xr:uid="{00000000-0005-0000-0000-000055800000}"/>
    <cellStyle name="Normal 11 4 2 8 3" xfId="33212" xr:uid="{00000000-0005-0000-0000-000056800000}"/>
    <cellStyle name="Normal 11 4 2 8 4" xfId="33213" xr:uid="{00000000-0005-0000-0000-000057800000}"/>
    <cellStyle name="Normal 11 4 2 8 5" xfId="33214" xr:uid="{00000000-0005-0000-0000-000058800000}"/>
    <cellStyle name="Normal 11 4 2 8 6" xfId="33215" xr:uid="{00000000-0005-0000-0000-000059800000}"/>
    <cellStyle name="Normal 11 4 2 9" xfId="33216" xr:uid="{00000000-0005-0000-0000-00005A800000}"/>
    <cellStyle name="Normal 11 4 2 9 2" xfId="33217" xr:uid="{00000000-0005-0000-0000-00005B800000}"/>
    <cellStyle name="Normal 11 4 2 9 3" xfId="33218" xr:uid="{00000000-0005-0000-0000-00005C800000}"/>
    <cellStyle name="Normal 11 4 3" xfId="33219" xr:uid="{00000000-0005-0000-0000-00005D800000}"/>
    <cellStyle name="Normal 11 4 3 10" xfId="33220" xr:uid="{00000000-0005-0000-0000-00005E800000}"/>
    <cellStyle name="Normal 11 4 3 2" xfId="33221" xr:uid="{00000000-0005-0000-0000-00005F800000}"/>
    <cellStyle name="Normal 11 4 3 2 2" xfId="33222" xr:uid="{00000000-0005-0000-0000-000060800000}"/>
    <cellStyle name="Normal 11 4 3 2 2 2" xfId="33223" xr:uid="{00000000-0005-0000-0000-000061800000}"/>
    <cellStyle name="Normal 11 4 3 2 2 2 2" xfId="33224" xr:uid="{00000000-0005-0000-0000-000062800000}"/>
    <cellStyle name="Normal 11 4 3 2 2 2 3" xfId="33225" xr:uid="{00000000-0005-0000-0000-000063800000}"/>
    <cellStyle name="Normal 11 4 3 2 2 3" xfId="33226" xr:uid="{00000000-0005-0000-0000-000064800000}"/>
    <cellStyle name="Normal 11 4 3 2 2 4" xfId="33227" xr:uid="{00000000-0005-0000-0000-000065800000}"/>
    <cellStyle name="Normal 11 4 3 2 2 5" xfId="33228" xr:uid="{00000000-0005-0000-0000-000066800000}"/>
    <cellStyle name="Normal 11 4 3 2 2 6" xfId="33229" xr:uid="{00000000-0005-0000-0000-000067800000}"/>
    <cellStyle name="Normal 11 4 3 2 3" xfId="33230" xr:uid="{00000000-0005-0000-0000-000068800000}"/>
    <cellStyle name="Normal 11 4 3 2 3 2" xfId="33231" xr:uid="{00000000-0005-0000-0000-000069800000}"/>
    <cellStyle name="Normal 11 4 3 2 3 2 2" xfId="33232" xr:uid="{00000000-0005-0000-0000-00006A800000}"/>
    <cellStyle name="Normal 11 4 3 2 3 2 3" xfId="33233" xr:uid="{00000000-0005-0000-0000-00006B800000}"/>
    <cellStyle name="Normal 11 4 3 2 3 3" xfId="33234" xr:uid="{00000000-0005-0000-0000-00006C800000}"/>
    <cellStyle name="Normal 11 4 3 2 3 4" xfId="33235" xr:uid="{00000000-0005-0000-0000-00006D800000}"/>
    <cellStyle name="Normal 11 4 3 2 3 5" xfId="33236" xr:uid="{00000000-0005-0000-0000-00006E800000}"/>
    <cellStyle name="Normal 11 4 3 2 3 6" xfId="33237" xr:uid="{00000000-0005-0000-0000-00006F800000}"/>
    <cellStyle name="Normal 11 4 3 2 4" xfId="33238" xr:uid="{00000000-0005-0000-0000-000070800000}"/>
    <cellStyle name="Normal 11 4 3 2 4 2" xfId="33239" xr:uid="{00000000-0005-0000-0000-000071800000}"/>
    <cellStyle name="Normal 11 4 3 2 4 3" xfId="33240" xr:uid="{00000000-0005-0000-0000-000072800000}"/>
    <cellStyle name="Normal 11 4 3 2 5" xfId="33241" xr:uid="{00000000-0005-0000-0000-000073800000}"/>
    <cellStyle name="Normal 11 4 3 2 6" xfId="33242" xr:uid="{00000000-0005-0000-0000-000074800000}"/>
    <cellStyle name="Normal 11 4 3 2 7" xfId="33243" xr:uid="{00000000-0005-0000-0000-000075800000}"/>
    <cellStyle name="Normal 11 4 3 2 8" xfId="33244" xr:uid="{00000000-0005-0000-0000-000076800000}"/>
    <cellStyle name="Normal 11 4 3 3" xfId="33245" xr:uid="{00000000-0005-0000-0000-000077800000}"/>
    <cellStyle name="Normal 11 4 3 3 2" xfId="33246" xr:uid="{00000000-0005-0000-0000-000078800000}"/>
    <cellStyle name="Normal 11 4 3 3 2 2" xfId="33247" xr:uid="{00000000-0005-0000-0000-000079800000}"/>
    <cellStyle name="Normal 11 4 3 3 2 2 2" xfId="33248" xr:uid="{00000000-0005-0000-0000-00007A800000}"/>
    <cellStyle name="Normal 11 4 3 3 2 2 3" xfId="33249" xr:uid="{00000000-0005-0000-0000-00007B800000}"/>
    <cellStyle name="Normal 11 4 3 3 2 3" xfId="33250" xr:uid="{00000000-0005-0000-0000-00007C800000}"/>
    <cellStyle name="Normal 11 4 3 3 2 4" xfId="33251" xr:uid="{00000000-0005-0000-0000-00007D800000}"/>
    <cellStyle name="Normal 11 4 3 3 2 5" xfId="33252" xr:uid="{00000000-0005-0000-0000-00007E800000}"/>
    <cellStyle name="Normal 11 4 3 3 2 6" xfId="33253" xr:uid="{00000000-0005-0000-0000-00007F800000}"/>
    <cellStyle name="Normal 11 4 3 3 3" xfId="33254" xr:uid="{00000000-0005-0000-0000-000080800000}"/>
    <cellStyle name="Normal 11 4 3 3 3 2" xfId="33255" xr:uid="{00000000-0005-0000-0000-000081800000}"/>
    <cellStyle name="Normal 11 4 3 3 3 3" xfId="33256" xr:uid="{00000000-0005-0000-0000-000082800000}"/>
    <cellStyle name="Normal 11 4 3 3 4" xfId="33257" xr:uid="{00000000-0005-0000-0000-000083800000}"/>
    <cellStyle name="Normal 11 4 3 3 5" xfId="33258" xr:uid="{00000000-0005-0000-0000-000084800000}"/>
    <cellStyle name="Normal 11 4 3 3 6" xfId="33259" xr:uid="{00000000-0005-0000-0000-000085800000}"/>
    <cellStyle name="Normal 11 4 3 3 7" xfId="33260" xr:uid="{00000000-0005-0000-0000-000086800000}"/>
    <cellStyle name="Normal 11 4 3 4" xfId="33261" xr:uid="{00000000-0005-0000-0000-000087800000}"/>
    <cellStyle name="Normal 11 4 3 4 2" xfId="33262" xr:uid="{00000000-0005-0000-0000-000088800000}"/>
    <cellStyle name="Normal 11 4 3 4 2 2" xfId="33263" xr:uid="{00000000-0005-0000-0000-000089800000}"/>
    <cellStyle name="Normal 11 4 3 4 2 3" xfId="33264" xr:uid="{00000000-0005-0000-0000-00008A800000}"/>
    <cellStyle name="Normal 11 4 3 4 3" xfId="33265" xr:uid="{00000000-0005-0000-0000-00008B800000}"/>
    <cellStyle name="Normal 11 4 3 4 4" xfId="33266" xr:uid="{00000000-0005-0000-0000-00008C800000}"/>
    <cellStyle name="Normal 11 4 3 4 5" xfId="33267" xr:uid="{00000000-0005-0000-0000-00008D800000}"/>
    <cellStyle name="Normal 11 4 3 4 6" xfId="33268" xr:uid="{00000000-0005-0000-0000-00008E800000}"/>
    <cellStyle name="Normal 11 4 3 5" xfId="33269" xr:uid="{00000000-0005-0000-0000-00008F800000}"/>
    <cellStyle name="Normal 11 4 3 5 2" xfId="33270" xr:uid="{00000000-0005-0000-0000-000090800000}"/>
    <cellStyle name="Normal 11 4 3 5 2 2" xfId="33271" xr:uid="{00000000-0005-0000-0000-000091800000}"/>
    <cellStyle name="Normal 11 4 3 5 2 3" xfId="33272" xr:uid="{00000000-0005-0000-0000-000092800000}"/>
    <cellStyle name="Normal 11 4 3 5 3" xfId="33273" xr:uid="{00000000-0005-0000-0000-000093800000}"/>
    <cellStyle name="Normal 11 4 3 5 4" xfId="33274" xr:uid="{00000000-0005-0000-0000-000094800000}"/>
    <cellStyle name="Normal 11 4 3 5 5" xfId="33275" xr:uid="{00000000-0005-0000-0000-000095800000}"/>
    <cellStyle name="Normal 11 4 3 5 6" xfId="33276" xr:uid="{00000000-0005-0000-0000-000096800000}"/>
    <cellStyle name="Normal 11 4 3 6" xfId="33277" xr:uid="{00000000-0005-0000-0000-000097800000}"/>
    <cellStyle name="Normal 11 4 3 6 2" xfId="33278" xr:uid="{00000000-0005-0000-0000-000098800000}"/>
    <cellStyle name="Normal 11 4 3 6 3" xfId="33279" xr:uid="{00000000-0005-0000-0000-000099800000}"/>
    <cellStyle name="Normal 11 4 3 7" xfId="33280" xr:uid="{00000000-0005-0000-0000-00009A800000}"/>
    <cellStyle name="Normal 11 4 3 8" xfId="33281" xr:uid="{00000000-0005-0000-0000-00009B800000}"/>
    <cellStyle name="Normal 11 4 3 9" xfId="33282" xr:uid="{00000000-0005-0000-0000-00009C800000}"/>
    <cellStyle name="Normal 11 4 4" xfId="33283" xr:uid="{00000000-0005-0000-0000-00009D800000}"/>
    <cellStyle name="Normal 11 4 4 2" xfId="33284" xr:uid="{00000000-0005-0000-0000-00009E800000}"/>
    <cellStyle name="Normal 11 4 4 2 2" xfId="33285" xr:uid="{00000000-0005-0000-0000-00009F800000}"/>
    <cellStyle name="Normal 11 4 4 2 2 2" xfId="33286" xr:uid="{00000000-0005-0000-0000-0000A0800000}"/>
    <cellStyle name="Normal 11 4 4 2 2 2 2" xfId="33287" xr:uid="{00000000-0005-0000-0000-0000A1800000}"/>
    <cellStyle name="Normal 11 4 4 2 2 2 3" xfId="33288" xr:uid="{00000000-0005-0000-0000-0000A2800000}"/>
    <cellStyle name="Normal 11 4 4 2 2 3" xfId="33289" xr:uid="{00000000-0005-0000-0000-0000A3800000}"/>
    <cellStyle name="Normal 11 4 4 2 2 4" xfId="33290" xr:uid="{00000000-0005-0000-0000-0000A4800000}"/>
    <cellStyle name="Normal 11 4 4 2 2 5" xfId="33291" xr:uid="{00000000-0005-0000-0000-0000A5800000}"/>
    <cellStyle name="Normal 11 4 4 2 2 6" xfId="33292" xr:uid="{00000000-0005-0000-0000-0000A6800000}"/>
    <cellStyle name="Normal 11 4 4 2 3" xfId="33293" xr:uid="{00000000-0005-0000-0000-0000A7800000}"/>
    <cellStyle name="Normal 11 4 4 2 3 2" xfId="33294" xr:uid="{00000000-0005-0000-0000-0000A8800000}"/>
    <cellStyle name="Normal 11 4 4 2 3 3" xfId="33295" xr:uid="{00000000-0005-0000-0000-0000A9800000}"/>
    <cellStyle name="Normal 11 4 4 2 4" xfId="33296" xr:uid="{00000000-0005-0000-0000-0000AA800000}"/>
    <cellStyle name="Normal 11 4 4 2 5" xfId="33297" xr:uid="{00000000-0005-0000-0000-0000AB800000}"/>
    <cellStyle name="Normal 11 4 4 2 6" xfId="33298" xr:uid="{00000000-0005-0000-0000-0000AC800000}"/>
    <cellStyle name="Normal 11 4 4 2 7" xfId="33299" xr:uid="{00000000-0005-0000-0000-0000AD800000}"/>
    <cellStyle name="Normal 11 4 4 3" xfId="33300" xr:uid="{00000000-0005-0000-0000-0000AE800000}"/>
    <cellStyle name="Normal 11 4 4 3 2" xfId="33301" xr:uid="{00000000-0005-0000-0000-0000AF800000}"/>
    <cellStyle name="Normal 11 4 4 3 2 2" xfId="33302" xr:uid="{00000000-0005-0000-0000-0000B0800000}"/>
    <cellStyle name="Normal 11 4 4 3 2 3" xfId="33303" xr:uid="{00000000-0005-0000-0000-0000B1800000}"/>
    <cellStyle name="Normal 11 4 4 3 3" xfId="33304" xr:uid="{00000000-0005-0000-0000-0000B2800000}"/>
    <cellStyle name="Normal 11 4 4 3 4" xfId="33305" xr:uid="{00000000-0005-0000-0000-0000B3800000}"/>
    <cellStyle name="Normal 11 4 4 3 5" xfId="33306" xr:uid="{00000000-0005-0000-0000-0000B4800000}"/>
    <cellStyle name="Normal 11 4 4 3 6" xfId="33307" xr:uid="{00000000-0005-0000-0000-0000B5800000}"/>
    <cellStyle name="Normal 11 4 4 4" xfId="33308" xr:uid="{00000000-0005-0000-0000-0000B6800000}"/>
    <cellStyle name="Normal 11 4 4 4 2" xfId="33309" xr:uid="{00000000-0005-0000-0000-0000B7800000}"/>
    <cellStyle name="Normal 11 4 4 4 2 2" xfId="33310" xr:uid="{00000000-0005-0000-0000-0000B8800000}"/>
    <cellStyle name="Normal 11 4 4 4 2 3" xfId="33311" xr:uid="{00000000-0005-0000-0000-0000B9800000}"/>
    <cellStyle name="Normal 11 4 4 4 3" xfId="33312" xr:uid="{00000000-0005-0000-0000-0000BA800000}"/>
    <cellStyle name="Normal 11 4 4 4 4" xfId="33313" xr:uid="{00000000-0005-0000-0000-0000BB800000}"/>
    <cellStyle name="Normal 11 4 4 4 5" xfId="33314" xr:uid="{00000000-0005-0000-0000-0000BC800000}"/>
    <cellStyle name="Normal 11 4 4 4 6" xfId="33315" xr:uid="{00000000-0005-0000-0000-0000BD800000}"/>
    <cellStyle name="Normal 11 4 4 5" xfId="33316" xr:uid="{00000000-0005-0000-0000-0000BE800000}"/>
    <cellStyle name="Normal 11 4 4 5 2" xfId="33317" xr:uid="{00000000-0005-0000-0000-0000BF800000}"/>
    <cellStyle name="Normal 11 4 4 5 3" xfId="33318" xr:uid="{00000000-0005-0000-0000-0000C0800000}"/>
    <cellStyle name="Normal 11 4 4 6" xfId="33319" xr:uid="{00000000-0005-0000-0000-0000C1800000}"/>
    <cellStyle name="Normal 11 4 4 7" xfId="33320" xr:uid="{00000000-0005-0000-0000-0000C2800000}"/>
    <cellStyle name="Normal 11 4 4 8" xfId="33321" xr:uid="{00000000-0005-0000-0000-0000C3800000}"/>
    <cellStyle name="Normal 11 4 4 9" xfId="33322" xr:uid="{00000000-0005-0000-0000-0000C4800000}"/>
    <cellStyle name="Normal 11 4 5" xfId="33323" xr:uid="{00000000-0005-0000-0000-0000C5800000}"/>
    <cellStyle name="Normal 11 4 5 2" xfId="33324" xr:uid="{00000000-0005-0000-0000-0000C6800000}"/>
    <cellStyle name="Normal 11 4 5 2 2" xfId="33325" xr:uid="{00000000-0005-0000-0000-0000C7800000}"/>
    <cellStyle name="Normal 11 4 5 2 2 2" xfId="33326" xr:uid="{00000000-0005-0000-0000-0000C8800000}"/>
    <cellStyle name="Normal 11 4 5 2 2 3" xfId="33327" xr:uid="{00000000-0005-0000-0000-0000C9800000}"/>
    <cellStyle name="Normal 11 4 5 2 3" xfId="33328" xr:uid="{00000000-0005-0000-0000-0000CA800000}"/>
    <cellStyle name="Normal 11 4 5 2 4" xfId="33329" xr:uid="{00000000-0005-0000-0000-0000CB800000}"/>
    <cellStyle name="Normal 11 4 5 2 5" xfId="33330" xr:uid="{00000000-0005-0000-0000-0000CC800000}"/>
    <cellStyle name="Normal 11 4 5 2 6" xfId="33331" xr:uid="{00000000-0005-0000-0000-0000CD800000}"/>
    <cellStyle name="Normal 11 4 5 3" xfId="33332" xr:uid="{00000000-0005-0000-0000-0000CE800000}"/>
    <cellStyle name="Normal 11 4 5 3 2" xfId="33333" xr:uid="{00000000-0005-0000-0000-0000CF800000}"/>
    <cellStyle name="Normal 11 4 5 3 3" xfId="33334" xr:uid="{00000000-0005-0000-0000-0000D0800000}"/>
    <cellStyle name="Normal 11 4 5 4" xfId="33335" xr:uid="{00000000-0005-0000-0000-0000D1800000}"/>
    <cellStyle name="Normal 11 4 5 5" xfId="33336" xr:uid="{00000000-0005-0000-0000-0000D2800000}"/>
    <cellStyle name="Normal 11 4 5 6" xfId="33337" xr:uid="{00000000-0005-0000-0000-0000D3800000}"/>
    <cellStyle name="Normal 11 4 5 7" xfId="33338" xr:uid="{00000000-0005-0000-0000-0000D4800000}"/>
    <cellStyle name="Normal 11 4 6" xfId="33339" xr:uid="{00000000-0005-0000-0000-0000D5800000}"/>
    <cellStyle name="Normal 11 4 6 2" xfId="33340" xr:uid="{00000000-0005-0000-0000-0000D6800000}"/>
    <cellStyle name="Normal 11 4 6 2 2" xfId="33341" xr:uid="{00000000-0005-0000-0000-0000D7800000}"/>
    <cellStyle name="Normal 11 4 6 2 3" xfId="33342" xr:uid="{00000000-0005-0000-0000-0000D8800000}"/>
    <cellStyle name="Normal 11 4 6 3" xfId="33343" xr:uid="{00000000-0005-0000-0000-0000D9800000}"/>
    <cellStyle name="Normal 11 4 6 4" xfId="33344" xr:uid="{00000000-0005-0000-0000-0000DA800000}"/>
    <cellStyle name="Normal 11 4 6 5" xfId="33345" xr:uid="{00000000-0005-0000-0000-0000DB800000}"/>
    <cellStyle name="Normal 11 4 6 6" xfId="33346" xr:uid="{00000000-0005-0000-0000-0000DC800000}"/>
    <cellStyle name="Normal 11 4 7" xfId="33347" xr:uid="{00000000-0005-0000-0000-0000DD800000}"/>
    <cellStyle name="Normal 11 4 7 2" xfId="33348" xr:uid="{00000000-0005-0000-0000-0000DE800000}"/>
    <cellStyle name="Normal 11 4 7 2 2" xfId="33349" xr:uid="{00000000-0005-0000-0000-0000DF800000}"/>
    <cellStyle name="Normal 11 4 7 2 3" xfId="33350" xr:uid="{00000000-0005-0000-0000-0000E0800000}"/>
    <cellStyle name="Normal 11 4 7 3" xfId="33351" xr:uid="{00000000-0005-0000-0000-0000E1800000}"/>
    <cellStyle name="Normal 11 4 7 4" xfId="33352" xr:uid="{00000000-0005-0000-0000-0000E2800000}"/>
    <cellStyle name="Normal 11 4 7 5" xfId="33353" xr:uid="{00000000-0005-0000-0000-0000E3800000}"/>
    <cellStyle name="Normal 11 4 7 6" xfId="33354" xr:uid="{00000000-0005-0000-0000-0000E4800000}"/>
    <cellStyle name="Normal 11 4 8" xfId="33355" xr:uid="{00000000-0005-0000-0000-0000E5800000}"/>
    <cellStyle name="Normal 11 4 8 2" xfId="33356" xr:uid="{00000000-0005-0000-0000-0000E6800000}"/>
    <cellStyle name="Normal 11 4 8 2 2" xfId="33357" xr:uid="{00000000-0005-0000-0000-0000E7800000}"/>
    <cellStyle name="Normal 11 4 8 2 3" xfId="33358" xr:uid="{00000000-0005-0000-0000-0000E8800000}"/>
    <cellStyle name="Normal 11 4 8 3" xfId="33359" xr:uid="{00000000-0005-0000-0000-0000E9800000}"/>
    <cellStyle name="Normal 11 4 8 4" xfId="33360" xr:uid="{00000000-0005-0000-0000-0000EA800000}"/>
    <cellStyle name="Normal 11 4 8 5" xfId="33361" xr:uid="{00000000-0005-0000-0000-0000EB800000}"/>
    <cellStyle name="Normal 11 4 8 6" xfId="33362" xr:uid="{00000000-0005-0000-0000-0000EC800000}"/>
    <cellStyle name="Normal 11 4 9" xfId="33363" xr:uid="{00000000-0005-0000-0000-0000ED800000}"/>
    <cellStyle name="Normal 11 4 9 2" xfId="33364" xr:uid="{00000000-0005-0000-0000-0000EE800000}"/>
    <cellStyle name="Normal 11 4 9 2 2" xfId="33365" xr:uid="{00000000-0005-0000-0000-0000EF800000}"/>
    <cellStyle name="Normal 11 4 9 2 3" xfId="33366" xr:uid="{00000000-0005-0000-0000-0000F0800000}"/>
    <cellStyle name="Normal 11 4 9 3" xfId="33367" xr:uid="{00000000-0005-0000-0000-0000F1800000}"/>
    <cellStyle name="Normal 11 4 9 4" xfId="33368" xr:uid="{00000000-0005-0000-0000-0000F2800000}"/>
    <cellStyle name="Normal 11 4 9 5" xfId="33369" xr:uid="{00000000-0005-0000-0000-0000F3800000}"/>
    <cellStyle name="Normal 11 4 9 6" xfId="33370" xr:uid="{00000000-0005-0000-0000-0000F4800000}"/>
    <cellStyle name="Normal 11 5" xfId="33371" xr:uid="{00000000-0005-0000-0000-0000F5800000}"/>
    <cellStyle name="Normal 11 5 10" xfId="33372" xr:uid="{00000000-0005-0000-0000-0000F6800000}"/>
    <cellStyle name="Normal 11 5 10 2" xfId="33373" xr:uid="{00000000-0005-0000-0000-0000F7800000}"/>
    <cellStyle name="Normal 11 5 10 3" xfId="33374" xr:uid="{00000000-0005-0000-0000-0000F8800000}"/>
    <cellStyle name="Normal 11 5 11" xfId="33375" xr:uid="{00000000-0005-0000-0000-0000F9800000}"/>
    <cellStyle name="Normal 11 5 12" xfId="33376" xr:uid="{00000000-0005-0000-0000-0000FA800000}"/>
    <cellStyle name="Normal 11 5 13" xfId="33377" xr:uid="{00000000-0005-0000-0000-0000FB800000}"/>
    <cellStyle name="Normal 11 5 14" xfId="33378" xr:uid="{00000000-0005-0000-0000-0000FC800000}"/>
    <cellStyle name="Normal 11 5 2" xfId="33379" xr:uid="{00000000-0005-0000-0000-0000FD800000}"/>
    <cellStyle name="Normal 11 5 2 10" xfId="33380" xr:uid="{00000000-0005-0000-0000-0000FE800000}"/>
    <cellStyle name="Normal 11 5 2 11" xfId="33381" xr:uid="{00000000-0005-0000-0000-0000FF800000}"/>
    <cellStyle name="Normal 11 5 2 12" xfId="33382" xr:uid="{00000000-0005-0000-0000-000000810000}"/>
    <cellStyle name="Normal 11 5 2 13" xfId="33383" xr:uid="{00000000-0005-0000-0000-000001810000}"/>
    <cellStyle name="Normal 11 5 2 2" xfId="33384" xr:uid="{00000000-0005-0000-0000-000002810000}"/>
    <cellStyle name="Normal 11 5 2 2 10" xfId="33385" xr:uid="{00000000-0005-0000-0000-000003810000}"/>
    <cellStyle name="Normal 11 5 2 2 2" xfId="33386" xr:uid="{00000000-0005-0000-0000-000004810000}"/>
    <cellStyle name="Normal 11 5 2 2 2 2" xfId="33387" xr:uid="{00000000-0005-0000-0000-000005810000}"/>
    <cellStyle name="Normal 11 5 2 2 2 2 2" xfId="33388" xr:uid="{00000000-0005-0000-0000-000006810000}"/>
    <cellStyle name="Normal 11 5 2 2 2 2 2 2" xfId="33389" xr:uid="{00000000-0005-0000-0000-000007810000}"/>
    <cellStyle name="Normal 11 5 2 2 2 2 2 3" xfId="33390" xr:uid="{00000000-0005-0000-0000-000008810000}"/>
    <cellStyle name="Normal 11 5 2 2 2 2 3" xfId="33391" xr:uid="{00000000-0005-0000-0000-000009810000}"/>
    <cellStyle name="Normal 11 5 2 2 2 2 4" xfId="33392" xr:uid="{00000000-0005-0000-0000-00000A810000}"/>
    <cellStyle name="Normal 11 5 2 2 2 2 5" xfId="33393" xr:uid="{00000000-0005-0000-0000-00000B810000}"/>
    <cellStyle name="Normal 11 5 2 2 2 2 6" xfId="33394" xr:uid="{00000000-0005-0000-0000-00000C810000}"/>
    <cellStyle name="Normal 11 5 2 2 2 3" xfId="33395" xr:uid="{00000000-0005-0000-0000-00000D810000}"/>
    <cellStyle name="Normal 11 5 2 2 2 3 2" xfId="33396" xr:uid="{00000000-0005-0000-0000-00000E810000}"/>
    <cellStyle name="Normal 11 5 2 2 2 3 2 2" xfId="33397" xr:uid="{00000000-0005-0000-0000-00000F810000}"/>
    <cellStyle name="Normal 11 5 2 2 2 3 2 3" xfId="33398" xr:uid="{00000000-0005-0000-0000-000010810000}"/>
    <cellStyle name="Normal 11 5 2 2 2 3 3" xfId="33399" xr:uid="{00000000-0005-0000-0000-000011810000}"/>
    <cellStyle name="Normal 11 5 2 2 2 3 4" xfId="33400" xr:uid="{00000000-0005-0000-0000-000012810000}"/>
    <cellStyle name="Normal 11 5 2 2 2 3 5" xfId="33401" xr:uid="{00000000-0005-0000-0000-000013810000}"/>
    <cellStyle name="Normal 11 5 2 2 2 3 6" xfId="33402" xr:uid="{00000000-0005-0000-0000-000014810000}"/>
    <cellStyle name="Normal 11 5 2 2 2 4" xfId="33403" xr:uid="{00000000-0005-0000-0000-000015810000}"/>
    <cellStyle name="Normal 11 5 2 2 2 4 2" xfId="33404" xr:uid="{00000000-0005-0000-0000-000016810000}"/>
    <cellStyle name="Normal 11 5 2 2 2 4 3" xfId="33405" xr:uid="{00000000-0005-0000-0000-000017810000}"/>
    <cellStyle name="Normal 11 5 2 2 2 5" xfId="33406" xr:uid="{00000000-0005-0000-0000-000018810000}"/>
    <cellStyle name="Normal 11 5 2 2 2 6" xfId="33407" xr:uid="{00000000-0005-0000-0000-000019810000}"/>
    <cellStyle name="Normal 11 5 2 2 2 7" xfId="33408" xr:uid="{00000000-0005-0000-0000-00001A810000}"/>
    <cellStyle name="Normal 11 5 2 2 2 8" xfId="33409" xr:uid="{00000000-0005-0000-0000-00001B810000}"/>
    <cellStyle name="Normal 11 5 2 2 3" xfId="33410" xr:uid="{00000000-0005-0000-0000-00001C810000}"/>
    <cellStyle name="Normal 11 5 2 2 3 2" xfId="33411" xr:uid="{00000000-0005-0000-0000-00001D810000}"/>
    <cellStyle name="Normal 11 5 2 2 3 2 2" xfId="33412" xr:uid="{00000000-0005-0000-0000-00001E810000}"/>
    <cellStyle name="Normal 11 5 2 2 3 2 2 2" xfId="33413" xr:uid="{00000000-0005-0000-0000-00001F810000}"/>
    <cellStyle name="Normal 11 5 2 2 3 2 2 3" xfId="33414" xr:uid="{00000000-0005-0000-0000-000020810000}"/>
    <cellStyle name="Normal 11 5 2 2 3 2 3" xfId="33415" xr:uid="{00000000-0005-0000-0000-000021810000}"/>
    <cellStyle name="Normal 11 5 2 2 3 2 4" xfId="33416" xr:uid="{00000000-0005-0000-0000-000022810000}"/>
    <cellStyle name="Normal 11 5 2 2 3 2 5" xfId="33417" xr:uid="{00000000-0005-0000-0000-000023810000}"/>
    <cellStyle name="Normal 11 5 2 2 3 2 6" xfId="33418" xr:uid="{00000000-0005-0000-0000-000024810000}"/>
    <cellStyle name="Normal 11 5 2 2 3 3" xfId="33419" xr:uid="{00000000-0005-0000-0000-000025810000}"/>
    <cellStyle name="Normal 11 5 2 2 3 3 2" xfId="33420" xr:uid="{00000000-0005-0000-0000-000026810000}"/>
    <cellStyle name="Normal 11 5 2 2 3 3 3" xfId="33421" xr:uid="{00000000-0005-0000-0000-000027810000}"/>
    <cellStyle name="Normal 11 5 2 2 3 4" xfId="33422" xr:uid="{00000000-0005-0000-0000-000028810000}"/>
    <cellStyle name="Normal 11 5 2 2 3 5" xfId="33423" xr:uid="{00000000-0005-0000-0000-000029810000}"/>
    <cellStyle name="Normal 11 5 2 2 3 6" xfId="33424" xr:uid="{00000000-0005-0000-0000-00002A810000}"/>
    <cellStyle name="Normal 11 5 2 2 3 7" xfId="33425" xr:uid="{00000000-0005-0000-0000-00002B810000}"/>
    <cellStyle name="Normal 11 5 2 2 4" xfId="33426" xr:uid="{00000000-0005-0000-0000-00002C810000}"/>
    <cellStyle name="Normal 11 5 2 2 4 2" xfId="33427" xr:uid="{00000000-0005-0000-0000-00002D810000}"/>
    <cellStyle name="Normal 11 5 2 2 4 2 2" xfId="33428" xr:uid="{00000000-0005-0000-0000-00002E810000}"/>
    <cellStyle name="Normal 11 5 2 2 4 2 3" xfId="33429" xr:uid="{00000000-0005-0000-0000-00002F810000}"/>
    <cellStyle name="Normal 11 5 2 2 4 3" xfId="33430" xr:uid="{00000000-0005-0000-0000-000030810000}"/>
    <cellStyle name="Normal 11 5 2 2 4 4" xfId="33431" xr:uid="{00000000-0005-0000-0000-000031810000}"/>
    <cellStyle name="Normal 11 5 2 2 4 5" xfId="33432" xr:uid="{00000000-0005-0000-0000-000032810000}"/>
    <cellStyle name="Normal 11 5 2 2 4 6" xfId="33433" xr:uid="{00000000-0005-0000-0000-000033810000}"/>
    <cellStyle name="Normal 11 5 2 2 5" xfId="33434" xr:uid="{00000000-0005-0000-0000-000034810000}"/>
    <cellStyle name="Normal 11 5 2 2 5 2" xfId="33435" xr:uid="{00000000-0005-0000-0000-000035810000}"/>
    <cellStyle name="Normal 11 5 2 2 5 2 2" xfId="33436" xr:uid="{00000000-0005-0000-0000-000036810000}"/>
    <cellStyle name="Normal 11 5 2 2 5 2 3" xfId="33437" xr:uid="{00000000-0005-0000-0000-000037810000}"/>
    <cellStyle name="Normal 11 5 2 2 5 3" xfId="33438" xr:uid="{00000000-0005-0000-0000-000038810000}"/>
    <cellStyle name="Normal 11 5 2 2 5 4" xfId="33439" xr:uid="{00000000-0005-0000-0000-000039810000}"/>
    <cellStyle name="Normal 11 5 2 2 5 5" xfId="33440" xr:uid="{00000000-0005-0000-0000-00003A810000}"/>
    <cellStyle name="Normal 11 5 2 2 5 6" xfId="33441" xr:uid="{00000000-0005-0000-0000-00003B810000}"/>
    <cellStyle name="Normal 11 5 2 2 6" xfId="33442" xr:uid="{00000000-0005-0000-0000-00003C810000}"/>
    <cellStyle name="Normal 11 5 2 2 6 2" xfId="33443" xr:uid="{00000000-0005-0000-0000-00003D810000}"/>
    <cellStyle name="Normal 11 5 2 2 6 3" xfId="33444" xr:uid="{00000000-0005-0000-0000-00003E810000}"/>
    <cellStyle name="Normal 11 5 2 2 7" xfId="33445" xr:uid="{00000000-0005-0000-0000-00003F810000}"/>
    <cellStyle name="Normal 11 5 2 2 8" xfId="33446" xr:uid="{00000000-0005-0000-0000-000040810000}"/>
    <cellStyle name="Normal 11 5 2 2 9" xfId="33447" xr:uid="{00000000-0005-0000-0000-000041810000}"/>
    <cellStyle name="Normal 11 5 2 3" xfId="33448" xr:uid="{00000000-0005-0000-0000-000042810000}"/>
    <cellStyle name="Normal 11 5 2 3 2" xfId="33449" xr:uid="{00000000-0005-0000-0000-000043810000}"/>
    <cellStyle name="Normal 11 5 2 3 2 2" xfId="33450" xr:uid="{00000000-0005-0000-0000-000044810000}"/>
    <cellStyle name="Normal 11 5 2 3 2 2 2" xfId="33451" xr:uid="{00000000-0005-0000-0000-000045810000}"/>
    <cellStyle name="Normal 11 5 2 3 2 2 2 2" xfId="33452" xr:uid="{00000000-0005-0000-0000-000046810000}"/>
    <cellStyle name="Normal 11 5 2 3 2 2 2 3" xfId="33453" xr:uid="{00000000-0005-0000-0000-000047810000}"/>
    <cellStyle name="Normal 11 5 2 3 2 2 3" xfId="33454" xr:uid="{00000000-0005-0000-0000-000048810000}"/>
    <cellStyle name="Normal 11 5 2 3 2 2 4" xfId="33455" xr:uid="{00000000-0005-0000-0000-000049810000}"/>
    <cellStyle name="Normal 11 5 2 3 2 2 5" xfId="33456" xr:uid="{00000000-0005-0000-0000-00004A810000}"/>
    <cellStyle name="Normal 11 5 2 3 2 2 6" xfId="33457" xr:uid="{00000000-0005-0000-0000-00004B810000}"/>
    <cellStyle name="Normal 11 5 2 3 2 3" xfId="33458" xr:uid="{00000000-0005-0000-0000-00004C810000}"/>
    <cellStyle name="Normal 11 5 2 3 2 3 2" xfId="33459" xr:uid="{00000000-0005-0000-0000-00004D810000}"/>
    <cellStyle name="Normal 11 5 2 3 2 3 3" xfId="33460" xr:uid="{00000000-0005-0000-0000-00004E810000}"/>
    <cellStyle name="Normal 11 5 2 3 2 4" xfId="33461" xr:uid="{00000000-0005-0000-0000-00004F810000}"/>
    <cellStyle name="Normal 11 5 2 3 2 5" xfId="33462" xr:uid="{00000000-0005-0000-0000-000050810000}"/>
    <cellStyle name="Normal 11 5 2 3 2 6" xfId="33463" xr:uid="{00000000-0005-0000-0000-000051810000}"/>
    <cellStyle name="Normal 11 5 2 3 2 7" xfId="33464" xr:uid="{00000000-0005-0000-0000-000052810000}"/>
    <cellStyle name="Normal 11 5 2 3 3" xfId="33465" xr:uid="{00000000-0005-0000-0000-000053810000}"/>
    <cellStyle name="Normal 11 5 2 3 3 2" xfId="33466" xr:uid="{00000000-0005-0000-0000-000054810000}"/>
    <cellStyle name="Normal 11 5 2 3 3 2 2" xfId="33467" xr:uid="{00000000-0005-0000-0000-000055810000}"/>
    <cellStyle name="Normal 11 5 2 3 3 2 3" xfId="33468" xr:uid="{00000000-0005-0000-0000-000056810000}"/>
    <cellStyle name="Normal 11 5 2 3 3 3" xfId="33469" xr:uid="{00000000-0005-0000-0000-000057810000}"/>
    <cellStyle name="Normal 11 5 2 3 3 4" xfId="33470" xr:uid="{00000000-0005-0000-0000-000058810000}"/>
    <cellStyle name="Normal 11 5 2 3 3 5" xfId="33471" xr:uid="{00000000-0005-0000-0000-000059810000}"/>
    <cellStyle name="Normal 11 5 2 3 3 6" xfId="33472" xr:uid="{00000000-0005-0000-0000-00005A810000}"/>
    <cellStyle name="Normal 11 5 2 3 4" xfId="33473" xr:uid="{00000000-0005-0000-0000-00005B810000}"/>
    <cellStyle name="Normal 11 5 2 3 4 2" xfId="33474" xr:uid="{00000000-0005-0000-0000-00005C810000}"/>
    <cellStyle name="Normal 11 5 2 3 4 2 2" xfId="33475" xr:uid="{00000000-0005-0000-0000-00005D810000}"/>
    <cellStyle name="Normal 11 5 2 3 4 2 3" xfId="33476" xr:uid="{00000000-0005-0000-0000-00005E810000}"/>
    <cellStyle name="Normal 11 5 2 3 4 3" xfId="33477" xr:uid="{00000000-0005-0000-0000-00005F810000}"/>
    <cellStyle name="Normal 11 5 2 3 4 4" xfId="33478" xr:uid="{00000000-0005-0000-0000-000060810000}"/>
    <cellStyle name="Normal 11 5 2 3 4 5" xfId="33479" xr:uid="{00000000-0005-0000-0000-000061810000}"/>
    <cellStyle name="Normal 11 5 2 3 4 6" xfId="33480" xr:uid="{00000000-0005-0000-0000-000062810000}"/>
    <cellStyle name="Normal 11 5 2 3 5" xfId="33481" xr:uid="{00000000-0005-0000-0000-000063810000}"/>
    <cellStyle name="Normal 11 5 2 3 5 2" xfId="33482" xr:uid="{00000000-0005-0000-0000-000064810000}"/>
    <cellStyle name="Normal 11 5 2 3 5 3" xfId="33483" xr:uid="{00000000-0005-0000-0000-000065810000}"/>
    <cellStyle name="Normal 11 5 2 3 6" xfId="33484" xr:uid="{00000000-0005-0000-0000-000066810000}"/>
    <cellStyle name="Normal 11 5 2 3 7" xfId="33485" xr:uid="{00000000-0005-0000-0000-000067810000}"/>
    <cellStyle name="Normal 11 5 2 3 8" xfId="33486" xr:uid="{00000000-0005-0000-0000-000068810000}"/>
    <cellStyle name="Normal 11 5 2 3 9" xfId="33487" xr:uid="{00000000-0005-0000-0000-000069810000}"/>
    <cellStyle name="Normal 11 5 2 4" xfId="33488" xr:uid="{00000000-0005-0000-0000-00006A810000}"/>
    <cellStyle name="Normal 11 5 2 4 2" xfId="33489" xr:uid="{00000000-0005-0000-0000-00006B810000}"/>
    <cellStyle name="Normal 11 5 2 4 2 2" xfId="33490" xr:uid="{00000000-0005-0000-0000-00006C810000}"/>
    <cellStyle name="Normal 11 5 2 4 2 2 2" xfId="33491" xr:uid="{00000000-0005-0000-0000-00006D810000}"/>
    <cellStyle name="Normal 11 5 2 4 2 2 3" xfId="33492" xr:uid="{00000000-0005-0000-0000-00006E810000}"/>
    <cellStyle name="Normal 11 5 2 4 2 3" xfId="33493" xr:uid="{00000000-0005-0000-0000-00006F810000}"/>
    <cellStyle name="Normal 11 5 2 4 2 4" xfId="33494" xr:uid="{00000000-0005-0000-0000-000070810000}"/>
    <cellStyle name="Normal 11 5 2 4 2 5" xfId="33495" xr:uid="{00000000-0005-0000-0000-000071810000}"/>
    <cellStyle name="Normal 11 5 2 4 2 6" xfId="33496" xr:uid="{00000000-0005-0000-0000-000072810000}"/>
    <cellStyle name="Normal 11 5 2 4 3" xfId="33497" xr:uid="{00000000-0005-0000-0000-000073810000}"/>
    <cellStyle name="Normal 11 5 2 4 3 2" xfId="33498" xr:uid="{00000000-0005-0000-0000-000074810000}"/>
    <cellStyle name="Normal 11 5 2 4 3 3" xfId="33499" xr:uid="{00000000-0005-0000-0000-000075810000}"/>
    <cellStyle name="Normal 11 5 2 4 4" xfId="33500" xr:uid="{00000000-0005-0000-0000-000076810000}"/>
    <cellStyle name="Normal 11 5 2 4 5" xfId="33501" xr:uid="{00000000-0005-0000-0000-000077810000}"/>
    <cellStyle name="Normal 11 5 2 4 6" xfId="33502" xr:uid="{00000000-0005-0000-0000-000078810000}"/>
    <cellStyle name="Normal 11 5 2 4 7" xfId="33503" xr:uid="{00000000-0005-0000-0000-000079810000}"/>
    <cellStyle name="Normal 11 5 2 5" xfId="33504" xr:uid="{00000000-0005-0000-0000-00007A810000}"/>
    <cellStyle name="Normal 11 5 2 5 2" xfId="33505" xr:uid="{00000000-0005-0000-0000-00007B810000}"/>
    <cellStyle name="Normal 11 5 2 5 2 2" xfId="33506" xr:uid="{00000000-0005-0000-0000-00007C810000}"/>
    <cellStyle name="Normal 11 5 2 5 2 3" xfId="33507" xr:uid="{00000000-0005-0000-0000-00007D810000}"/>
    <cellStyle name="Normal 11 5 2 5 3" xfId="33508" xr:uid="{00000000-0005-0000-0000-00007E810000}"/>
    <cellStyle name="Normal 11 5 2 5 4" xfId="33509" xr:uid="{00000000-0005-0000-0000-00007F810000}"/>
    <cellStyle name="Normal 11 5 2 5 5" xfId="33510" xr:uid="{00000000-0005-0000-0000-000080810000}"/>
    <cellStyle name="Normal 11 5 2 5 6" xfId="33511" xr:uid="{00000000-0005-0000-0000-000081810000}"/>
    <cellStyle name="Normal 11 5 2 6" xfId="33512" xr:uid="{00000000-0005-0000-0000-000082810000}"/>
    <cellStyle name="Normal 11 5 2 6 2" xfId="33513" xr:uid="{00000000-0005-0000-0000-000083810000}"/>
    <cellStyle name="Normal 11 5 2 6 2 2" xfId="33514" xr:uid="{00000000-0005-0000-0000-000084810000}"/>
    <cellStyle name="Normal 11 5 2 6 2 3" xfId="33515" xr:uid="{00000000-0005-0000-0000-000085810000}"/>
    <cellStyle name="Normal 11 5 2 6 3" xfId="33516" xr:uid="{00000000-0005-0000-0000-000086810000}"/>
    <cellStyle name="Normal 11 5 2 6 4" xfId="33517" xr:uid="{00000000-0005-0000-0000-000087810000}"/>
    <cellStyle name="Normal 11 5 2 6 5" xfId="33518" xr:uid="{00000000-0005-0000-0000-000088810000}"/>
    <cellStyle name="Normal 11 5 2 6 6" xfId="33519" xr:uid="{00000000-0005-0000-0000-000089810000}"/>
    <cellStyle name="Normal 11 5 2 7" xfId="33520" xr:uid="{00000000-0005-0000-0000-00008A810000}"/>
    <cellStyle name="Normal 11 5 2 7 2" xfId="33521" xr:uid="{00000000-0005-0000-0000-00008B810000}"/>
    <cellStyle name="Normal 11 5 2 7 2 2" xfId="33522" xr:uid="{00000000-0005-0000-0000-00008C810000}"/>
    <cellStyle name="Normal 11 5 2 7 2 3" xfId="33523" xr:uid="{00000000-0005-0000-0000-00008D810000}"/>
    <cellStyle name="Normal 11 5 2 7 3" xfId="33524" xr:uid="{00000000-0005-0000-0000-00008E810000}"/>
    <cellStyle name="Normal 11 5 2 7 4" xfId="33525" xr:uid="{00000000-0005-0000-0000-00008F810000}"/>
    <cellStyle name="Normal 11 5 2 7 5" xfId="33526" xr:uid="{00000000-0005-0000-0000-000090810000}"/>
    <cellStyle name="Normal 11 5 2 7 6" xfId="33527" xr:uid="{00000000-0005-0000-0000-000091810000}"/>
    <cellStyle name="Normal 11 5 2 8" xfId="33528" xr:uid="{00000000-0005-0000-0000-000092810000}"/>
    <cellStyle name="Normal 11 5 2 8 2" xfId="33529" xr:uid="{00000000-0005-0000-0000-000093810000}"/>
    <cellStyle name="Normal 11 5 2 8 2 2" xfId="33530" xr:uid="{00000000-0005-0000-0000-000094810000}"/>
    <cellStyle name="Normal 11 5 2 8 2 3" xfId="33531" xr:uid="{00000000-0005-0000-0000-000095810000}"/>
    <cellStyle name="Normal 11 5 2 8 3" xfId="33532" xr:uid="{00000000-0005-0000-0000-000096810000}"/>
    <cellStyle name="Normal 11 5 2 8 4" xfId="33533" xr:uid="{00000000-0005-0000-0000-000097810000}"/>
    <cellStyle name="Normal 11 5 2 8 5" xfId="33534" xr:uid="{00000000-0005-0000-0000-000098810000}"/>
    <cellStyle name="Normal 11 5 2 8 6" xfId="33535" xr:uid="{00000000-0005-0000-0000-000099810000}"/>
    <cellStyle name="Normal 11 5 2 9" xfId="33536" xr:uid="{00000000-0005-0000-0000-00009A810000}"/>
    <cellStyle name="Normal 11 5 2 9 2" xfId="33537" xr:uid="{00000000-0005-0000-0000-00009B810000}"/>
    <cellStyle name="Normal 11 5 2 9 3" xfId="33538" xr:uid="{00000000-0005-0000-0000-00009C810000}"/>
    <cellStyle name="Normal 11 5 3" xfId="33539" xr:uid="{00000000-0005-0000-0000-00009D810000}"/>
    <cellStyle name="Normal 11 5 3 10" xfId="33540" xr:uid="{00000000-0005-0000-0000-00009E810000}"/>
    <cellStyle name="Normal 11 5 3 2" xfId="33541" xr:uid="{00000000-0005-0000-0000-00009F810000}"/>
    <cellStyle name="Normal 11 5 3 2 2" xfId="33542" xr:uid="{00000000-0005-0000-0000-0000A0810000}"/>
    <cellStyle name="Normal 11 5 3 2 2 2" xfId="33543" xr:uid="{00000000-0005-0000-0000-0000A1810000}"/>
    <cellStyle name="Normal 11 5 3 2 2 2 2" xfId="33544" xr:uid="{00000000-0005-0000-0000-0000A2810000}"/>
    <cellStyle name="Normal 11 5 3 2 2 2 3" xfId="33545" xr:uid="{00000000-0005-0000-0000-0000A3810000}"/>
    <cellStyle name="Normal 11 5 3 2 2 3" xfId="33546" xr:uid="{00000000-0005-0000-0000-0000A4810000}"/>
    <cellStyle name="Normal 11 5 3 2 2 4" xfId="33547" xr:uid="{00000000-0005-0000-0000-0000A5810000}"/>
    <cellStyle name="Normal 11 5 3 2 2 5" xfId="33548" xr:uid="{00000000-0005-0000-0000-0000A6810000}"/>
    <cellStyle name="Normal 11 5 3 2 2 6" xfId="33549" xr:uid="{00000000-0005-0000-0000-0000A7810000}"/>
    <cellStyle name="Normal 11 5 3 2 3" xfId="33550" xr:uid="{00000000-0005-0000-0000-0000A8810000}"/>
    <cellStyle name="Normal 11 5 3 2 3 2" xfId="33551" xr:uid="{00000000-0005-0000-0000-0000A9810000}"/>
    <cellStyle name="Normal 11 5 3 2 3 2 2" xfId="33552" xr:uid="{00000000-0005-0000-0000-0000AA810000}"/>
    <cellStyle name="Normal 11 5 3 2 3 2 3" xfId="33553" xr:uid="{00000000-0005-0000-0000-0000AB810000}"/>
    <cellStyle name="Normal 11 5 3 2 3 3" xfId="33554" xr:uid="{00000000-0005-0000-0000-0000AC810000}"/>
    <cellStyle name="Normal 11 5 3 2 3 4" xfId="33555" xr:uid="{00000000-0005-0000-0000-0000AD810000}"/>
    <cellStyle name="Normal 11 5 3 2 3 5" xfId="33556" xr:uid="{00000000-0005-0000-0000-0000AE810000}"/>
    <cellStyle name="Normal 11 5 3 2 3 6" xfId="33557" xr:uid="{00000000-0005-0000-0000-0000AF810000}"/>
    <cellStyle name="Normal 11 5 3 2 4" xfId="33558" xr:uid="{00000000-0005-0000-0000-0000B0810000}"/>
    <cellStyle name="Normal 11 5 3 2 4 2" xfId="33559" xr:uid="{00000000-0005-0000-0000-0000B1810000}"/>
    <cellStyle name="Normal 11 5 3 2 4 3" xfId="33560" xr:uid="{00000000-0005-0000-0000-0000B2810000}"/>
    <cellStyle name="Normal 11 5 3 2 5" xfId="33561" xr:uid="{00000000-0005-0000-0000-0000B3810000}"/>
    <cellStyle name="Normal 11 5 3 2 6" xfId="33562" xr:uid="{00000000-0005-0000-0000-0000B4810000}"/>
    <cellStyle name="Normal 11 5 3 2 7" xfId="33563" xr:uid="{00000000-0005-0000-0000-0000B5810000}"/>
    <cellStyle name="Normal 11 5 3 2 8" xfId="33564" xr:uid="{00000000-0005-0000-0000-0000B6810000}"/>
    <cellStyle name="Normal 11 5 3 3" xfId="33565" xr:uid="{00000000-0005-0000-0000-0000B7810000}"/>
    <cellStyle name="Normal 11 5 3 3 2" xfId="33566" xr:uid="{00000000-0005-0000-0000-0000B8810000}"/>
    <cellStyle name="Normal 11 5 3 3 2 2" xfId="33567" xr:uid="{00000000-0005-0000-0000-0000B9810000}"/>
    <cellStyle name="Normal 11 5 3 3 2 2 2" xfId="33568" xr:uid="{00000000-0005-0000-0000-0000BA810000}"/>
    <cellStyle name="Normal 11 5 3 3 2 2 3" xfId="33569" xr:uid="{00000000-0005-0000-0000-0000BB810000}"/>
    <cellStyle name="Normal 11 5 3 3 2 3" xfId="33570" xr:uid="{00000000-0005-0000-0000-0000BC810000}"/>
    <cellStyle name="Normal 11 5 3 3 2 4" xfId="33571" xr:uid="{00000000-0005-0000-0000-0000BD810000}"/>
    <cellStyle name="Normal 11 5 3 3 2 5" xfId="33572" xr:uid="{00000000-0005-0000-0000-0000BE810000}"/>
    <cellStyle name="Normal 11 5 3 3 2 6" xfId="33573" xr:uid="{00000000-0005-0000-0000-0000BF810000}"/>
    <cellStyle name="Normal 11 5 3 3 3" xfId="33574" xr:uid="{00000000-0005-0000-0000-0000C0810000}"/>
    <cellStyle name="Normal 11 5 3 3 3 2" xfId="33575" xr:uid="{00000000-0005-0000-0000-0000C1810000}"/>
    <cellStyle name="Normal 11 5 3 3 3 3" xfId="33576" xr:uid="{00000000-0005-0000-0000-0000C2810000}"/>
    <cellStyle name="Normal 11 5 3 3 4" xfId="33577" xr:uid="{00000000-0005-0000-0000-0000C3810000}"/>
    <cellStyle name="Normal 11 5 3 3 5" xfId="33578" xr:uid="{00000000-0005-0000-0000-0000C4810000}"/>
    <cellStyle name="Normal 11 5 3 3 6" xfId="33579" xr:uid="{00000000-0005-0000-0000-0000C5810000}"/>
    <cellStyle name="Normal 11 5 3 3 7" xfId="33580" xr:uid="{00000000-0005-0000-0000-0000C6810000}"/>
    <cellStyle name="Normal 11 5 3 4" xfId="33581" xr:uid="{00000000-0005-0000-0000-0000C7810000}"/>
    <cellStyle name="Normal 11 5 3 4 2" xfId="33582" xr:uid="{00000000-0005-0000-0000-0000C8810000}"/>
    <cellStyle name="Normal 11 5 3 4 2 2" xfId="33583" xr:uid="{00000000-0005-0000-0000-0000C9810000}"/>
    <cellStyle name="Normal 11 5 3 4 2 3" xfId="33584" xr:uid="{00000000-0005-0000-0000-0000CA810000}"/>
    <cellStyle name="Normal 11 5 3 4 3" xfId="33585" xr:uid="{00000000-0005-0000-0000-0000CB810000}"/>
    <cellStyle name="Normal 11 5 3 4 4" xfId="33586" xr:uid="{00000000-0005-0000-0000-0000CC810000}"/>
    <cellStyle name="Normal 11 5 3 4 5" xfId="33587" xr:uid="{00000000-0005-0000-0000-0000CD810000}"/>
    <cellStyle name="Normal 11 5 3 4 6" xfId="33588" xr:uid="{00000000-0005-0000-0000-0000CE810000}"/>
    <cellStyle name="Normal 11 5 3 5" xfId="33589" xr:uid="{00000000-0005-0000-0000-0000CF810000}"/>
    <cellStyle name="Normal 11 5 3 5 2" xfId="33590" xr:uid="{00000000-0005-0000-0000-0000D0810000}"/>
    <cellStyle name="Normal 11 5 3 5 2 2" xfId="33591" xr:uid="{00000000-0005-0000-0000-0000D1810000}"/>
    <cellStyle name="Normal 11 5 3 5 2 3" xfId="33592" xr:uid="{00000000-0005-0000-0000-0000D2810000}"/>
    <cellStyle name="Normal 11 5 3 5 3" xfId="33593" xr:uid="{00000000-0005-0000-0000-0000D3810000}"/>
    <cellStyle name="Normal 11 5 3 5 4" xfId="33594" xr:uid="{00000000-0005-0000-0000-0000D4810000}"/>
    <cellStyle name="Normal 11 5 3 5 5" xfId="33595" xr:uid="{00000000-0005-0000-0000-0000D5810000}"/>
    <cellStyle name="Normal 11 5 3 5 6" xfId="33596" xr:uid="{00000000-0005-0000-0000-0000D6810000}"/>
    <cellStyle name="Normal 11 5 3 6" xfId="33597" xr:uid="{00000000-0005-0000-0000-0000D7810000}"/>
    <cellStyle name="Normal 11 5 3 6 2" xfId="33598" xr:uid="{00000000-0005-0000-0000-0000D8810000}"/>
    <cellStyle name="Normal 11 5 3 6 3" xfId="33599" xr:uid="{00000000-0005-0000-0000-0000D9810000}"/>
    <cellStyle name="Normal 11 5 3 7" xfId="33600" xr:uid="{00000000-0005-0000-0000-0000DA810000}"/>
    <cellStyle name="Normal 11 5 3 8" xfId="33601" xr:uid="{00000000-0005-0000-0000-0000DB810000}"/>
    <cellStyle name="Normal 11 5 3 9" xfId="33602" xr:uid="{00000000-0005-0000-0000-0000DC810000}"/>
    <cellStyle name="Normal 11 5 4" xfId="33603" xr:uid="{00000000-0005-0000-0000-0000DD810000}"/>
    <cellStyle name="Normal 11 5 4 2" xfId="33604" xr:uid="{00000000-0005-0000-0000-0000DE810000}"/>
    <cellStyle name="Normal 11 5 4 2 2" xfId="33605" xr:uid="{00000000-0005-0000-0000-0000DF810000}"/>
    <cellStyle name="Normal 11 5 4 2 2 2" xfId="33606" xr:uid="{00000000-0005-0000-0000-0000E0810000}"/>
    <cellStyle name="Normal 11 5 4 2 2 2 2" xfId="33607" xr:uid="{00000000-0005-0000-0000-0000E1810000}"/>
    <cellStyle name="Normal 11 5 4 2 2 2 3" xfId="33608" xr:uid="{00000000-0005-0000-0000-0000E2810000}"/>
    <cellStyle name="Normal 11 5 4 2 2 3" xfId="33609" xr:uid="{00000000-0005-0000-0000-0000E3810000}"/>
    <cellStyle name="Normal 11 5 4 2 2 4" xfId="33610" xr:uid="{00000000-0005-0000-0000-0000E4810000}"/>
    <cellStyle name="Normal 11 5 4 2 2 5" xfId="33611" xr:uid="{00000000-0005-0000-0000-0000E5810000}"/>
    <cellStyle name="Normal 11 5 4 2 2 6" xfId="33612" xr:uid="{00000000-0005-0000-0000-0000E6810000}"/>
    <cellStyle name="Normal 11 5 4 2 3" xfId="33613" xr:uid="{00000000-0005-0000-0000-0000E7810000}"/>
    <cellStyle name="Normal 11 5 4 2 3 2" xfId="33614" xr:uid="{00000000-0005-0000-0000-0000E8810000}"/>
    <cellStyle name="Normal 11 5 4 2 3 3" xfId="33615" xr:uid="{00000000-0005-0000-0000-0000E9810000}"/>
    <cellStyle name="Normal 11 5 4 2 4" xfId="33616" xr:uid="{00000000-0005-0000-0000-0000EA810000}"/>
    <cellStyle name="Normal 11 5 4 2 5" xfId="33617" xr:uid="{00000000-0005-0000-0000-0000EB810000}"/>
    <cellStyle name="Normal 11 5 4 2 6" xfId="33618" xr:uid="{00000000-0005-0000-0000-0000EC810000}"/>
    <cellStyle name="Normal 11 5 4 2 7" xfId="33619" xr:uid="{00000000-0005-0000-0000-0000ED810000}"/>
    <cellStyle name="Normal 11 5 4 3" xfId="33620" xr:uid="{00000000-0005-0000-0000-0000EE810000}"/>
    <cellStyle name="Normal 11 5 4 3 2" xfId="33621" xr:uid="{00000000-0005-0000-0000-0000EF810000}"/>
    <cellStyle name="Normal 11 5 4 3 2 2" xfId="33622" xr:uid="{00000000-0005-0000-0000-0000F0810000}"/>
    <cellStyle name="Normal 11 5 4 3 2 3" xfId="33623" xr:uid="{00000000-0005-0000-0000-0000F1810000}"/>
    <cellStyle name="Normal 11 5 4 3 3" xfId="33624" xr:uid="{00000000-0005-0000-0000-0000F2810000}"/>
    <cellStyle name="Normal 11 5 4 3 4" xfId="33625" xr:uid="{00000000-0005-0000-0000-0000F3810000}"/>
    <cellStyle name="Normal 11 5 4 3 5" xfId="33626" xr:uid="{00000000-0005-0000-0000-0000F4810000}"/>
    <cellStyle name="Normal 11 5 4 3 6" xfId="33627" xr:uid="{00000000-0005-0000-0000-0000F5810000}"/>
    <cellStyle name="Normal 11 5 4 4" xfId="33628" xr:uid="{00000000-0005-0000-0000-0000F6810000}"/>
    <cellStyle name="Normal 11 5 4 4 2" xfId="33629" xr:uid="{00000000-0005-0000-0000-0000F7810000}"/>
    <cellStyle name="Normal 11 5 4 4 2 2" xfId="33630" xr:uid="{00000000-0005-0000-0000-0000F8810000}"/>
    <cellStyle name="Normal 11 5 4 4 2 3" xfId="33631" xr:uid="{00000000-0005-0000-0000-0000F9810000}"/>
    <cellStyle name="Normal 11 5 4 4 3" xfId="33632" xr:uid="{00000000-0005-0000-0000-0000FA810000}"/>
    <cellStyle name="Normal 11 5 4 4 4" xfId="33633" xr:uid="{00000000-0005-0000-0000-0000FB810000}"/>
    <cellStyle name="Normal 11 5 4 4 5" xfId="33634" xr:uid="{00000000-0005-0000-0000-0000FC810000}"/>
    <cellStyle name="Normal 11 5 4 4 6" xfId="33635" xr:uid="{00000000-0005-0000-0000-0000FD810000}"/>
    <cellStyle name="Normal 11 5 4 5" xfId="33636" xr:uid="{00000000-0005-0000-0000-0000FE810000}"/>
    <cellStyle name="Normal 11 5 4 5 2" xfId="33637" xr:uid="{00000000-0005-0000-0000-0000FF810000}"/>
    <cellStyle name="Normal 11 5 4 5 3" xfId="33638" xr:uid="{00000000-0005-0000-0000-000000820000}"/>
    <cellStyle name="Normal 11 5 4 6" xfId="33639" xr:uid="{00000000-0005-0000-0000-000001820000}"/>
    <cellStyle name="Normal 11 5 4 7" xfId="33640" xr:uid="{00000000-0005-0000-0000-000002820000}"/>
    <cellStyle name="Normal 11 5 4 8" xfId="33641" xr:uid="{00000000-0005-0000-0000-000003820000}"/>
    <cellStyle name="Normal 11 5 4 9" xfId="33642" xr:uid="{00000000-0005-0000-0000-000004820000}"/>
    <cellStyle name="Normal 11 5 5" xfId="33643" xr:uid="{00000000-0005-0000-0000-000005820000}"/>
    <cellStyle name="Normal 11 5 5 2" xfId="33644" xr:uid="{00000000-0005-0000-0000-000006820000}"/>
    <cellStyle name="Normal 11 5 5 2 2" xfId="33645" xr:uid="{00000000-0005-0000-0000-000007820000}"/>
    <cellStyle name="Normal 11 5 5 2 2 2" xfId="33646" xr:uid="{00000000-0005-0000-0000-000008820000}"/>
    <cellStyle name="Normal 11 5 5 2 2 3" xfId="33647" xr:uid="{00000000-0005-0000-0000-000009820000}"/>
    <cellStyle name="Normal 11 5 5 2 3" xfId="33648" xr:uid="{00000000-0005-0000-0000-00000A820000}"/>
    <cellStyle name="Normal 11 5 5 2 4" xfId="33649" xr:uid="{00000000-0005-0000-0000-00000B820000}"/>
    <cellStyle name="Normal 11 5 5 2 5" xfId="33650" xr:uid="{00000000-0005-0000-0000-00000C820000}"/>
    <cellStyle name="Normal 11 5 5 2 6" xfId="33651" xr:uid="{00000000-0005-0000-0000-00000D820000}"/>
    <cellStyle name="Normal 11 5 5 3" xfId="33652" xr:uid="{00000000-0005-0000-0000-00000E820000}"/>
    <cellStyle name="Normal 11 5 5 3 2" xfId="33653" xr:uid="{00000000-0005-0000-0000-00000F820000}"/>
    <cellStyle name="Normal 11 5 5 3 3" xfId="33654" xr:uid="{00000000-0005-0000-0000-000010820000}"/>
    <cellStyle name="Normal 11 5 5 4" xfId="33655" xr:uid="{00000000-0005-0000-0000-000011820000}"/>
    <cellStyle name="Normal 11 5 5 5" xfId="33656" xr:uid="{00000000-0005-0000-0000-000012820000}"/>
    <cellStyle name="Normal 11 5 5 6" xfId="33657" xr:uid="{00000000-0005-0000-0000-000013820000}"/>
    <cellStyle name="Normal 11 5 5 7" xfId="33658" xr:uid="{00000000-0005-0000-0000-000014820000}"/>
    <cellStyle name="Normal 11 5 6" xfId="33659" xr:uid="{00000000-0005-0000-0000-000015820000}"/>
    <cellStyle name="Normal 11 5 6 2" xfId="33660" xr:uid="{00000000-0005-0000-0000-000016820000}"/>
    <cellStyle name="Normal 11 5 6 2 2" xfId="33661" xr:uid="{00000000-0005-0000-0000-000017820000}"/>
    <cellStyle name="Normal 11 5 6 2 3" xfId="33662" xr:uid="{00000000-0005-0000-0000-000018820000}"/>
    <cellStyle name="Normal 11 5 6 3" xfId="33663" xr:uid="{00000000-0005-0000-0000-000019820000}"/>
    <cellStyle name="Normal 11 5 6 4" xfId="33664" xr:uid="{00000000-0005-0000-0000-00001A820000}"/>
    <cellStyle name="Normal 11 5 6 5" xfId="33665" xr:uid="{00000000-0005-0000-0000-00001B820000}"/>
    <cellStyle name="Normal 11 5 6 6" xfId="33666" xr:uid="{00000000-0005-0000-0000-00001C820000}"/>
    <cellStyle name="Normal 11 5 7" xfId="33667" xr:uid="{00000000-0005-0000-0000-00001D820000}"/>
    <cellStyle name="Normal 11 5 7 2" xfId="33668" xr:uid="{00000000-0005-0000-0000-00001E820000}"/>
    <cellStyle name="Normal 11 5 7 2 2" xfId="33669" xr:uid="{00000000-0005-0000-0000-00001F820000}"/>
    <cellStyle name="Normal 11 5 7 2 3" xfId="33670" xr:uid="{00000000-0005-0000-0000-000020820000}"/>
    <cellStyle name="Normal 11 5 7 3" xfId="33671" xr:uid="{00000000-0005-0000-0000-000021820000}"/>
    <cellStyle name="Normal 11 5 7 4" xfId="33672" xr:uid="{00000000-0005-0000-0000-000022820000}"/>
    <cellStyle name="Normal 11 5 7 5" xfId="33673" xr:uid="{00000000-0005-0000-0000-000023820000}"/>
    <cellStyle name="Normal 11 5 7 6" xfId="33674" xr:uid="{00000000-0005-0000-0000-000024820000}"/>
    <cellStyle name="Normal 11 5 8" xfId="33675" xr:uid="{00000000-0005-0000-0000-000025820000}"/>
    <cellStyle name="Normal 11 5 8 2" xfId="33676" xr:uid="{00000000-0005-0000-0000-000026820000}"/>
    <cellStyle name="Normal 11 5 8 2 2" xfId="33677" xr:uid="{00000000-0005-0000-0000-000027820000}"/>
    <cellStyle name="Normal 11 5 8 2 3" xfId="33678" xr:uid="{00000000-0005-0000-0000-000028820000}"/>
    <cellStyle name="Normal 11 5 8 3" xfId="33679" xr:uid="{00000000-0005-0000-0000-000029820000}"/>
    <cellStyle name="Normal 11 5 8 4" xfId="33680" xr:uid="{00000000-0005-0000-0000-00002A820000}"/>
    <cellStyle name="Normal 11 5 8 5" xfId="33681" xr:uid="{00000000-0005-0000-0000-00002B820000}"/>
    <cellStyle name="Normal 11 5 8 6" xfId="33682" xr:uid="{00000000-0005-0000-0000-00002C820000}"/>
    <cellStyle name="Normal 11 5 9" xfId="33683" xr:uid="{00000000-0005-0000-0000-00002D820000}"/>
    <cellStyle name="Normal 11 5 9 2" xfId="33684" xr:uid="{00000000-0005-0000-0000-00002E820000}"/>
    <cellStyle name="Normal 11 5 9 2 2" xfId="33685" xr:uid="{00000000-0005-0000-0000-00002F820000}"/>
    <cellStyle name="Normal 11 5 9 2 3" xfId="33686" xr:uid="{00000000-0005-0000-0000-000030820000}"/>
    <cellStyle name="Normal 11 5 9 3" xfId="33687" xr:uid="{00000000-0005-0000-0000-000031820000}"/>
    <cellStyle name="Normal 11 5 9 4" xfId="33688" xr:uid="{00000000-0005-0000-0000-000032820000}"/>
    <cellStyle name="Normal 11 5 9 5" xfId="33689" xr:uid="{00000000-0005-0000-0000-000033820000}"/>
    <cellStyle name="Normal 11 5 9 6" xfId="33690" xr:uid="{00000000-0005-0000-0000-000034820000}"/>
    <cellStyle name="Normal 11 6" xfId="33691" xr:uid="{00000000-0005-0000-0000-000035820000}"/>
    <cellStyle name="Normal 11 6 10" xfId="33692" xr:uid="{00000000-0005-0000-0000-000036820000}"/>
    <cellStyle name="Normal 11 6 11" xfId="33693" xr:uid="{00000000-0005-0000-0000-000037820000}"/>
    <cellStyle name="Normal 11 6 12" xfId="33694" xr:uid="{00000000-0005-0000-0000-000038820000}"/>
    <cellStyle name="Normal 11 6 13" xfId="33695" xr:uid="{00000000-0005-0000-0000-000039820000}"/>
    <cellStyle name="Normal 11 6 2" xfId="33696" xr:uid="{00000000-0005-0000-0000-00003A820000}"/>
    <cellStyle name="Normal 11 6 2 10" xfId="33697" xr:uid="{00000000-0005-0000-0000-00003B820000}"/>
    <cellStyle name="Normal 11 6 2 2" xfId="33698" xr:uid="{00000000-0005-0000-0000-00003C820000}"/>
    <cellStyle name="Normal 11 6 2 2 2" xfId="33699" xr:uid="{00000000-0005-0000-0000-00003D820000}"/>
    <cellStyle name="Normal 11 6 2 2 2 2" xfId="33700" xr:uid="{00000000-0005-0000-0000-00003E820000}"/>
    <cellStyle name="Normal 11 6 2 2 2 2 2" xfId="33701" xr:uid="{00000000-0005-0000-0000-00003F820000}"/>
    <cellStyle name="Normal 11 6 2 2 2 2 3" xfId="33702" xr:uid="{00000000-0005-0000-0000-000040820000}"/>
    <cellStyle name="Normal 11 6 2 2 2 3" xfId="33703" xr:uid="{00000000-0005-0000-0000-000041820000}"/>
    <cellStyle name="Normal 11 6 2 2 2 4" xfId="33704" xr:uid="{00000000-0005-0000-0000-000042820000}"/>
    <cellStyle name="Normal 11 6 2 2 2 5" xfId="33705" xr:uid="{00000000-0005-0000-0000-000043820000}"/>
    <cellStyle name="Normal 11 6 2 2 2 6" xfId="33706" xr:uid="{00000000-0005-0000-0000-000044820000}"/>
    <cellStyle name="Normal 11 6 2 2 3" xfId="33707" xr:uid="{00000000-0005-0000-0000-000045820000}"/>
    <cellStyle name="Normal 11 6 2 2 3 2" xfId="33708" xr:uid="{00000000-0005-0000-0000-000046820000}"/>
    <cellStyle name="Normal 11 6 2 2 3 2 2" xfId="33709" xr:uid="{00000000-0005-0000-0000-000047820000}"/>
    <cellStyle name="Normal 11 6 2 2 3 2 3" xfId="33710" xr:uid="{00000000-0005-0000-0000-000048820000}"/>
    <cellStyle name="Normal 11 6 2 2 3 3" xfId="33711" xr:uid="{00000000-0005-0000-0000-000049820000}"/>
    <cellStyle name="Normal 11 6 2 2 3 4" xfId="33712" xr:uid="{00000000-0005-0000-0000-00004A820000}"/>
    <cellStyle name="Normal 11 6 2 2 3 5" xfId="33713" xr:uid="{00000000-0005-0000-0000-00004B820000}"/>
    <cellStyle name="Normal 11 6 2 2 3 6" xfId="33714" xr:uid="{00000000-0005-0000-0000-00004C820000}"/>
    <cellStyle name="Normal 11 6 2 2 4" xfId="33715" xr:uid="{00000000-0005-0000-0000-00004D820000}"/>
    <cellStyle name="Normal 11 6 2 2 4 2" xfId="33716" xr:uid="{00000000-0005-0000-0000-00004E820000}"/>
    <cellStyle name="Normal 11 6 2 2 4 3" xfId="33717" xr:uid="{00000000-0005-0000-0000-00004F820000}"/>
    <cellStyle name="Normal 11 6 2 2 5" xfId="33718" xr:uid="{00000000-0005-0000-0000-000050820000}"/>
    <cellStyle name="Normal 11 6 2 2 6" xfId="33719" xr:uid="{00000000-0005-0000-0000-000051820000}"/>
    <cellStyle name="Normal 11 6 2 2 7" xfId="33720" xr:uid="{00000000-0005-0000-0000-000052820000}"/>
    <cellStyle name="Normal 11 6 2 2 8" xfId="33721" xr:uid="{00000000-0005-0000-0000-000053820000}"/>
    <cellStyle name="Normal 11 6 2 3" xfId="33722" xr:uid="{00000000-0005-0000-0000-000054820000}"/>
    <cellStyle name="Normal 11 6 2 3 2" xfId="33723" xr:uid="{00000000-0005-0000-0000-000055820000}"/>
    <cellStyle name="Normal 11 6 2 3 2 2" xfId="33724" xr:uid="{00000000-0005-0000-0000-000056820000}"/>
    <cellStyle name="Normal 11 6 2 3 2 2 2" xfId="33725" xr:uid="{00000000-0005-0000-0000-000057820000}"/>
    <cellStyle name="Normal 11 6 2 3 2 2 3" xfId="33726" xr:uid="{00000000-0005-0000-0000-000058820000}"/>
    <cellStyle name="Normal 11 6 2 3 2 3" xfId="33727" xr:uid="{00000000-0005-0000-0000-000059820000}"/>
    <cellStyle name="Normal 11 6 2 3 2 4" xfId="33728" xr:uid="{00000000-0005-0000-0000-00005A820000}"/>
    <cellStyle name="Normal 11 6 2 3 2 5" xfId="33729" xr:uid="{00000000-0005-0000-0000-00005B820000}"/>
    <cellStyle name="Normal 11 6 2 3 2 6" xfId="33730" xr:uid="{00000000-0005-0000-0000-00005C820000}"/>
    <cellStyle name="Normal 11 6 2 3 3" xfId="33731" xr:uid="{00000000-0005-0000-0000-00005D820000}"/>
    <cellStyle name="Normal 11 6 2 3 3 2" xfId="33732" xr:uid="{00000000-0005-0000-0000-00005E820000}"/>
    <cellStyle name="Normal 11 6 2 3 3 3" xfId="33733" xr:uid="{00000000-0005-0000-0000-00005F820000}"/>
    <cellStyle name="Normal 11 6 2 3 4" xfId="33734" xr:uid="{00000000-0005-0000-0000-000060820000}"/>
    <cellStyle name="Normal 11 6 2 3 5" xfId="33735" xr:uid="{00000000-0005-0000-0000-000061820000}"/>
    <cellStyle name="Normal 11 6 2 3 6" xfId="33736" xr:uid="{00000000-0005-0000-0000-000062820000}"/>
    <cellStyle name="Normal 11 6 2 3 7" xfId="33737" xr:uid="{00000000-0005-0000-0000-000063820000}"/>
    <cellStyle name="Normal 11 6 2 4" xfId="33738" xr:uid="{00000000-0005-0000-0000-000064820000}"/>
    <cellStyle name="Normal 11 6 2 4 2" xfId="33739" xr:uid="{00000000-0005-0000-0000-000065820000}"/>
    <cellStyle name="Normal 11 6 2 4 2 2" xfId="33740" xr:uid="{00000000-0005-0000-0000-000066820000}"/>
    <cellStyle name="Normal 11 6 2 4 2 3" xfId="33741" xr:uid="{00000000-0005-0000-0000-000067820000}"/>
    <cellStyle name="Normal 11 6 2 4 3" xfId="33742" xr:uid="{00000000-0005-0000-0000-000068820000}"/>
    <cellStyle name="Normal 11 6 2 4 4" xfId="33743" xr:uid="{00000000-0005-0000-0000-000069820000}"/>
    <cellStyle name="Normal 11 6 2 4 5" xfId="33744" xr:uid="{00000000-0005-0000-0000-00006A820000}"/>
    <cellStyle name="Normal 11 6 2 4 6" xfId="33745" xr:uid="{00000000-0005-0000-0000-00006B820000}"/>
    <cellStyle name="Normal 11 6 2 5" xfId="33746" xr:uid="{00000000-0005-0000-0000-00006C820000}"/>
    <cellStyle name="Normal 11 6 2 5 2" xfId="33747" xr:uid="{00000000-0005-0000-0000-00006D820000}"/>
    <cellStyle name="Normal 11 6 2 5 2 2" xfId="33748" xr:uid="{00000000-0005-0000-0000-00006E820000}"/>
    <cellStyle name="Normal 11 6 2 5 2 3" xfId="33749" xr:uid="{00000000-0005-0000-0000-00006F820000}"/>
    <cellStyle name="Normal 11 6 2 5 3" xfId="33750" xr:uid="{00000000-0005-0000-0000-000070820000}"/>
    <cellStyle name="Normal 11 6 2 5 4" xfId="33751" xr:uid="{00000000-0005-0000-0000-000071820000}"/>
    <cellStyle name="Normal 11 6 2 5 5" xfId="33752" xr:uid="{00000000-0005-0000-0000-000072820000}"/>
    <cellStyle name="Normal 11 6 2 5 6" xfId="33753" xr:uid="{00000000-0005-0000-0000-000073820000}"/>
    <cellStyle name="Normal 11 6 2 6" xfId="33754" xr:uid="{00000000-0005-0000-0000-000074820000}"/>
    <cellStyle name="Normal 11 6 2 6 2" xfId="33755" xr:uid="{00000000-0005-0000-0000-000075820000}"/>
    <cellStyle name="Normal 11 6 2 6 3" xfId="33756" xr:uid="{00000000-0005-0000-0000-000076820000}"/>
    <cellStyle name="Normal 11 6 2 7" xfId="33757" xr:uid="{00000000-0005-0000-0000-000077820000}"/>
    <cellStyle name="Normal 11 6 2 8" xfId="33758" xr:uid="{00000000-0005-0000-0000-000078820000}"/>
    <cellStyle name="Normal 11 6 2 9" xfId="33759" xr:uid="{00000000-0005-0000-0000-000079820000}"/>
    <cellStyle name="Normal 11 6 3" xfId="33760" xr:uid="{00000000-0005-0000-0000-00007A820000}"/>
    <cellStyle name="Normal 11 6 3 2" xfId="33761" xr:uid="{00000000-0005-0000-0000-00007B820000}"/>
    <cellStyle name="Normal 11 6 3 2 2" xfId="33762" xr:uid="{00000000-0005-0000-0000-00007C820000}"/>
    <cellStyle name="Normal 11 6 3 2 2 2" xfId="33763" xr:uid="{00000000-0005-0000-0000-00007D820000}"/>
    <cellStyle name="Normal 11 6 3 2 2 2 2" xfId="33764" xr:uid="{00000000-0005-0000-0000-00007E820000}"/>
    <cellStyle name="Normal 11 6 3 2 2 2 3" xfId="33765" xr:uid="{00000000-0005-0000-0000-00007F820000}"/>
    <cellStyle name="Normal 11 6 3 2 2 3" xfId="33766" xr:uid="{00000000-0005-0000-0000-000080820000}"/>
    <cellStyle name="Normal 11 6 3 2 2 4" xfId="33767" xr:uid="{00000000-0005-0000-0000-000081820000}"/>
    <cellStyle name="Normal 11 6 3 2 2 5" xfId="33768" xr:uid="{00000000-0005-0000-0000-000082820000}"/>
    <cellStyle name="Normal 11 6 3 2 2 6" xfId="33769" xr:uid="{00000000-0005-0000-0000-000083820000}"/>
    <cellStyle name="Normal 11 6 3 2 3" xfId="33770" xr:uid="{00000000-0005-0000-0000-000084820000}"/>
    <cellStyle name="Normal 11 6 3 2 3 2" xfId="33771" xr:uid="{00000000-0005-0000-0000-000085820000}"/>
    <cellStyle name="Normal 11 6 3 2 3 3" xfId="33772" xr:uid="{00000000-0005-0000-0000-000086820000}"/>
    <cellStyle name="Normal 11 6 3 2 4" xfId="33773" xr:uid="{00000000-0005-0000-0000-000087820000}"/>
    <cellStyle name="Normal 11 6 3 2 5" xfId="33774" xr:uid="{00000000-0005-0000-0000-000088820000}"/>
    <cellStyle name="Normal 11 6 3 2 6" xfId="33775" xr:uid="{00000000-0005-0000-0000-000089820000}"/>
    <cellStyle name="Normal 11 6 3 2 7" xfId="33776" xr:uid="{00000000-0005-0000-0000-00008A820000}"/>
    <cellStyle name="Normal 11 6 3 3" xfId="33777" xr:uid="{00000000-0005-0000-0000-00008B820000}"/>
    <cellStyle name="Normal 11 6 3 3 2" xfId="33778" xr:uid="{00000000-0005-0000-0000-00008C820000}"/>
    <cellStyle name="Normal 11 6 3 3 2 2" xfId="33779" xr:uid="{00000000-0005-0000-0000-00008D820000}"/>
    <cellStyle name="Normal 11 6 3 3 2 3" xfId="33780" xr:uid="{00000000-0005-0000-0000-00008E820000}"/>
    <cellStyle name="Normal 11 6 3 3 3" xfId="33781" xr:uid="{00000000-0005-0000-0000-00008F820000}"/>
    <cellStyle name="Normal 11 6 3 3 4" xfId="33782" xr:uid="{00000000-0005-0000-0000-000090820000}"/>
    <cellStyle name="Normal 11 6 3 3 5" xfId="33783" xr:uid="{00000000-0005-0000-0000-000091820000}"/>
    <cellStyle name="Normal 11 6 3 3 6" xfId="33784" xr:uid="{00000000-0005-0000-0000-000092820000}"/>
    <cellStyle name="Normal 11 6 3 4" xfId="33785" xr:uid="{00000000-0005-0000-0000-000093820000}"/>
    <cellStyle name="Normal 11 6 3 4 2" xfId="33786" xr:uid="{00000000-0005-0000-0000-000094820000}"/>
    <cellStyle name="Normal 11 6 3 4 2 2" xfId="33787" xr:uid="{00000000-0005-0000-0000-000095820000}"/>
    <cellStyle name="Normal 11 6 3 4 2 3" xfId="33788" xr:uid="{00000000-0005-0000-0000-000096820000}"/>
    <cellStyle name="Normal 11 6 3 4 3" xfId="33789" xr:uid="{00000000-0005-0000-0000-000097820000}"/>
    <cellStyle name="Normal 11 6 3 4 4" xfId="33790" xr:uid="{00000000-0005-0000-0000-000098820000}"/>
    <cellStyle name="Normal 11 6 3 4 5" xfId="33791" xr:uid="{00000000-0005-0000-0000-000099820000}"/>
    <cellStyle name="Normal 11 6 3 4 6" xfId="33792" xr:uid="{00000000-0005-0000-0000-00009A820000}"/>
    <cellStyle name="Normal 11 6 3 5" xfId="33793" xr:uid="{00000000-0005-0000-0000-00009B820000}"/>
    <cellStyle name="Normal 11 6 3 5 2" xfId="33794" xr:uid="{00000000-0005-0000-0000-00009C820000}"/>
    <cellStyle name="Normal 11 6 3 5 3" xfId="33795" xr:uid="{00000000-0005-0000-0000-00009D820000}"/>
    <cellStyle name="Normal 11 6 3 6" xfId="33796" xr:uid="{00000000-0005-0000-0000-00009E820000}"/>
    <cellStyle name="Normal 11 6 3 7" xfId="33797" xr:uid="{00000000-0005-0000-0000-00009F820000}"/>
    <cellStyle name="Normal 11 6 3 8" xfId="33798" xr:uid="{00000000-0005-0000-0000-0000A0820000}"/>
    <cellStyle name="Normal 11 6 3 9" xfId="33799" xr:uid="{00000000-0005-0000-0000-0000A1820000}"/>
    <cellStyle name="Normal 11 6 4" xfId="33800" xr:uid="{00000000-0005-0000-0000-0000A2820000}"/>
    <cellStyle name="Normal 11 6 4 2" xfId="33801" xr:uid="{00000000-0005-0000-0000-0000A3820000}"/>
    <cellStyle name="Normal 11 6 4 2 2" xfId="33802" xr:uid="{00000000-0005-0000-0000-0000A4820000}"/>
    <cellStyle name="Normal 11 6 4 2 2 2" xfId="33803" xr:uid="{00000000-0005-0000-0000-0000A5820000}"/>
    <cellStyle name="Normal 11 6 4 2 2 3" xfId="33804" xr:uid="{00000000-0005-0000-0000-0000A6820000}"/>
    <cellStyle name="Normal 11 6 4 2 3" xfId="33805" xr:uid="{00000000-0005-0000-0000-0000A7820000}"/>
    <cellStyle name="Normal 11 6 4 2 4" xfId="33806" xr:uid="{00000000-0005-0000-0000-0000A8820000}"/>
    <cellStyle name="Normal 11 6 4 2 5" xfId="33807" xr:uid="{00000000-0005-0000-0000-0000A9820000}"/>
    <cellStyle name="Normal 11 6 4 2 6" xfId="33808" xr:uid="{00000000-0005-0000-0000-0000AA820000}"/>
    <cellStyle name="Normal 11 6 4 3" xfId="33809" xr:uid="{00000000-0005-0000-0000-0000AB820000}"/>
    <cellStyle name="Normal 11 6 4 3 2" xfId="33810" xr:uid="{00000000-0005-0000-0000-0000AC820000}"/>
    <cellStyle name="Normal 11 6 4 3 3" xfId="33811" xr:uid="{00000000-0005-0000-0000-0000AD820000}"/>
    <cellStyle name="Normal 11 6 4 4" xfId="33812" xr:uid="{00000000-0005-0000-0000-0000AE820000}"/>
    <cellStyle name="Normal 11 6 4 5" xfId="33813" xr:uid="{00000000-0005-0000-0000-0000AF820000}"/>
    <cellStyle name="Normal 11 6 4 6" xfId="33814" xr:uid="{00000000-0005-0000-0000-0000B0820000}"/>
    <cellStyle name="Normal 11 6 4 7" xfId="33815" xr:uid="{00000000-0005-0000-0000-0000B1820000}"/>
    <cellStyle name="Normal 11 6 5" xfId="33816" xr:uid="{00000000-0005-0000-0000-0000B2820000}"/>
    <cellStyle name="Normal 11 6 5 2" xfId="33817" xr:uid="{00000000-0005-0000-0000-0000B3820000}"/>
    <cellStyle name="Normal 11 6 5 2 2" xfId="33818" xr:uid="{00000000-0005-0000-0000-0000B4820000}"/>
    <cellStyle name="Normal 11 6 5 2 3" xfId="33819" xr:uid="{00000000-0005-0000-0000-0000B5820000}"/>
    <cellStyle name="Normal 11 6 5 3" xfId="33820" xr:uid="{00000000-0005-0000-0000-0000B6820000}"/>
    <cellStyle name="Normal 11 6 5 4" xfId="33821" xr:uid="{00000000-0005-0000-0000-0000B7820000}"/>
    <cellStyle name="Normal 11 6 5 5" xfId="33822" xr:uid="{00000000-0005-0000-0000-0000B8820000}"/>
    <cellStyle name="Normal 11 6 5 6" xfId="33823" xr:uid="{00000000-0005-0000-0000-0000B9820000}"/>
    <cellStyle name="Normal 11 6 6" xfId="33824" xr:uid="{00000000-0005-0000-0000-0000BA820000}"/>
    <cellStyle name="Normal 11 6 6 2" xfId="33825" xr:uid="{00000000-0005-0000-0000-0000BB820000}"/>
    <cellStyle name="Normal 11 6 6 2 2" xfId="33826" xr:uid="{00000000-0005-0000-0000-0000BC820000}"/>
    <cellStyle name="Normal 11 6 6 2 3" xfId="33827" xr:uid="{00000000-0005-0000-0000-0000BD820000}"/>
    <cellStyle name="Normal 11 6 6 3" xfId="33828" xr:uid="{00000000-0005-0000-0000-0000BE820000}"/>
    <cellStyle name="Normal 11 6 6 4" xfId="33829" xr:uid="{00000000-0005-0000-0000-0000BF820000}"/>
    <cellStyle name="Normal 11 6 6 5" xfId="33830" xr:uid="{00000000-0005-0000-0000-0000C0820000}"/>
    <cellStyle name="Normal 11 6 6 6" xfId="33831" xr:uid="{00000000-0005-0000-0000-0000C1820000}"/>
    <cellStyle name="Normal 11 6 7" xfId="33832" xr:uid="{00000000-0005-0000-0000-0000C2820000}"/>
    <cellStyle name="Normal 11 6 7 2" xfId="33833" xr:uid="{00000000-0005-0000-0000-0000C3820000}"/>
    <cellStyle name="Normal 11 6 7 2 2" xfId="33834" xr:uid="{00000000-0005-0000-0000-0000C4820000}"/>
    <cellStyle name="Normal 11 6 7 2 3" xfId="33835" xr:uid="{00000000-0005-0000-0000-0000C5820000}"/>
    <cellStyle name="Normal 11 6 7 3" xfId="33836" xr:uid="{00000000-0005-0000-0000-0000C6820000}"/>
    <cellStyle name="Normal 11 6 7 4" xfId="33837" xr:uid="{00000000-0005-0000-0000-0000C7820000}"/>
    <cellStyle name="Normal 11 6 7 5" xfId="33838" xr:uid="{00000000-0005-0000-0000-0000C8820000}"/>
    <cellStyle name="Normal 11 6 7 6" xfId="33839" xr:uid="{00000000-0005-0000-0000-0000C9820000}"/>
    <cellStyle name="Normal 11 6 8" xfId="33840" xr:uid="{00000000-0005-0000-0000-0000CA820000}"/>
    <cellStyle name="Normal 11 6 8 2" xfId="33841" xr:uid="{00000000-0005-0000-0000-0000CB820000}"/>
    <cellStyle name="Normal 11 6 8 2 2" xfId="33842" xr:uid="{00000000-0005-0000-0000-0000CC820000}"/>
    <cellStyle name="Normal 11 6 8 2 3" xfId="33843" xr:uid="{00000000-0005-0000-0000-0000CD820000}"/>
    <cellStyle name="Normal 11 6 8 3" xfId="33844" xr:uid="{00000000-0005-0000-0000-0000CE820000}"/>
    <cellStyle name="Normal 11 6 8 4" xfId="33845" xr:uid="{00000000-0005-0000-0000-0000CF820000}"/>
    <cellStyle name="Normal 11 6 8 5" xfId="33846" xr:uid="{00000000-0005-0000-0000-0000D0820000}"/>
    <cellStyle name="Normal 11 6 8 6" xfId="33847" xr:uid="{00000000-0005-0000-0000-0000D1820000}"/>
    <cellStyle name="Normal 11 6 9" xfId="33848" xr:uid="{00000000-0005-0000-0000-0000D2820000}"/>
    <cellStyle name="Normal 11 6 9 2" xfId="33849" xr:uid="{00000000-0005-0000-0000-0000D3820000}"/>
    <cellStyle name="Normal 11 6 9 3" xfId="33850" xr:uid="{00000000-0005-0000-0000-0000D4820000}"/>
    <cellStyle name="Normal 11 7" xfId="33851" xr:uid="{00000000-0005-0000-0000-0000D5820000}"/>
    <cellStyle name="Normal 11 7 10" xfId="33852" xr:uid="{00000000-0005-0000-0000-0000D6820000}"/>
    <cellStyle name="Normal 11 7 2" xfId="33853" xr:uid="{00000000-0005-0000-0000-0000D7820000}"/>
    <cellStyle name="Normal 11 7 2 2" xfId="33854" xr:uid="{00000000-0005-0000-0000-0000D8820000}"/>
    <cellStyle name="Normal 11 7 2 2 2" xfId="33855" xr:uid="{00000000-0005-0000-0000-0000D9820000}"/>
    <cellStyle name="Normal 11 7 2 2 2 2" xfId="33856" xr:uid="{00000000-0005-0000-0000-0000DA820000}"/>
    <cellStyle name="Normal 11 7 2 2 2 3" xfId="33857" xr:uid="{00000000-0005-0000-0000-0000DB820000}"/>
    <cellStyle name="Normal 11 7 2 2 3" xfId="33858" xr:uid="{00000000-0005-0000-0000-0000DC820000}"/>
    <cellStyle name="Normal 11 7 2 2 4" xfId="33859" xr:uid="{00000000-0005-0000-0000-0000DD820000}"/>
    <cellStyle name="Normal 11 7 2 2 5" xfId="33860" xr:uid="{00000000-0005-0000-0000-0000DE820000}"/>
    <cellStyle name="Normal 11 7 2 2 6" xfId="33861" xr:uid="{00000000-0005-0000-0000-0000DF820000}"/>
    <cellStyle name="Normal 11 7 2 3" xfId="33862" xr:uid="{00000000-0005-0000-0000-0000E0820000}"/>
    <cellStyle name="Normal 11 7 2 3 2" xfId="33863" xr:uid="{00000000-0005-0000-0000-0000E1820000}"/>
    <cellStyle name="Normal 11 7 2 3 2 2" xfId="33864" xr:uid="{00000000-0005-0000-0000-0000E2820000}"/>
    <cellStyle name="Normal 11 7 2 3 2 3" xfId="33865" xr:uid="{00000000-0005-0000-0000-0000E3820000}"/>
    <cellStyle name="Normal 11 7 2 3 3" xfId="33866" xr:uid="{00000000-0005-0000-0000-0000E4820000}"/>
    <cellStyle name="Normal 11 7 2 3 4" xfId="33867" xr:uid="{00000000-0005-0000-0000-0000E5820000}"/>
    <cellStyle name="Normal 11 7 2 3 5" xfId="33868" xr:uid="{00000000-0005-0000-0000-0000E6820000}"/>
    <cellStyle name="Normal 11 7 2 3 6" xfId="33869" xr:uid="{00000000-0005-0000-0000-0000E7820000}"/>
    <cellStyle name="Normal 11 7 2 4" xfId="33870" xr:uid="{00000000-0005-0000-0000-0000E8820000}"/>
    <cellStyle name="Normal 11 7 2 4 2" xfId="33871" xr:uid="{00000000-0005-0000-0000-0000E9820000}"/>
    <cellStyle name="Normal 11 7 2 4 3" xfId="33872" xr:uid="{00000000-0005-0000-0000-0000EA820000}"/>
    <cellStyle name="Normal 11 7 2 5" xfId="33873" xr:uid="{00000000-0005-0000-0000-0000EB820000}"/>
    <cellStyle name="Normal 11 7 2 6" xfId="33874" xr:uid="{00000000-0005-0000-0000-0000EC820000}"/>
    <cellStyle name="Normal 11 7 2 7" xfId="33875" xr:uid="{00000000-0005-0000-0000-0000ED820000}"/>
    <cellStyle name="Normal 11 7 2 8" xfId="33876" xr:uid="{00000000-0005-0000-0000-0000EE820000}"/>
    <cellStyle name="Normal 11 7 3" xfId="33877" xr:uid="{00000000-0005-0000-0000-0000EF820000}"/>
    <cellStyle name="Normal 11 7 3 2" xfId="33878" xr:uid="{00000000-0005-0000-0000-0000F0820000}"/>
    <cellStyle name="Normal 11 7 3 2 2" xfId="33879" xr:uid="{00000000-0005-0000-0000-0000F1820000}"/>
    <cellStyle name="Normal 11 7 3 2 2 2" xfId="33880" xr:uid="{00000000-0005-0000-0000-0000F2820000}"/>
    <cellStyle name="Normal 11 7 3 2 2 3" xfId="33881" xr:uid="{00000000-0005-0000-0000-0000F3820000}"/>
    <cellStyle name="Normal 11 7 3 2 3" xfId="33882" xr:uid="{00000000-0005-0000-0000-0000F4820000}"/>
    <cellStyle name="Normal 11 7 3 2 4" xfId="33883" xr:uid="{00000000-0005-0000-0000-0000F5820000}"/>
    <cellStyle name="Normal 11 7 3 2 5" xfId="33884" xr:uid="{00000000-0005-0000-0000-0000F6820000}"/>
    <cellStyle name="Normal 11 7 3 2 6" xfId="33885" xr:uid="{00000000-0005-0000-0000-0000F7820000}"/>
    <cellStyle name="Normal 11 7 3 3" xfId="33886" xr:uid="{00000000-0005-0000-0000-0000F8820000}"/>
    <cellStyle name="Normal 11 7 3 3 2" xfId="33887" xr:uid="{00000000-0005-0000-0000-0000F9820000}"/>
    <cellStyle name="Normal 11 7 3 3 3" xfId="33888" xr:uid="{00000000-0005-0000-0000-0000FA820000}"/>
    <cellStyle name="Normal 11 7 3 4" xfId="33889" xr:uid="{00000000-0005-0000-0000-0000FB820000}"/>
    <cellStyle name="Normal 11 7 3 5" xfId="33890" xr:uid="{00000000-0005-0000-0000-0000FC820000}"/>
    <cellStyle name="Normal 11 7 3 6" xfId="33891" xr:uid="{00000000-0005-0000-0000-0000FD820000}"/>
    <cellStyle name="Normal 11 7 3 7" xfId="33892" xr:uid="{00000000-0005-0000-0000-0000FE820000}"/>
    <cellStyle name="Normal 11 7 4" xfId="33893" xr:uid="{00000000-0005-0000-0000-0000FF820000}"/>
    <cellStyle name="Normal 11 7 4 2" xfId="33894" xr:uid="{00000000-0005-0000-0000-000000830000}"/>
    <cellStyle name="Normal 11 7 4 2 2" xfId="33895" xr:uid="{00000000-0005-0000-0000-000001830000}"/>
    <cellStyle name="Normal 11 7 4 2 3" xfId="33896" xr:uid="{00000000-0005-0000-0000-000002830000}"/>
    <cellStyle name="Normal 11 7 4 3" xfId="33897" xr:uid="{00000000-0005-0000-0000-000003830000}"/>
    <cellStyle name="Normal 11 7 4 4" xfId="33898" xr:uid="{00000000-0005-0000-0000-000004830000}"/>
    <cellStyle name="Normal 11 7 4 5" xfId="33899" xr:uid="{00000000-0005-0000-0000-000005830000}"/>
    <cellStyle name="Normal 11 7 4 6" xfId="33900" xr:uid="{00000000-0005-0000-0000-000006830000}"/>
    <cellStyle name="Normal 11 7 5" xfId="33901" xr:uid="{00000000-0005-0000-0000-000007830000}"/>
    <cellStyle name="Normal 11 7 5 2" xfId="33902" xr:uid="{00000000-0005-0000-0000-000008830000}"/>
    <cellStyle name="Normal 11 7 5 2 2" xfId="33903" xr:uid="{00000000-0005-0000-0000-000009830000}"/>
    <cellStyle name="Normal 11 7 5 2 3" xfId="33904" xr:uid="{00000000-0005-0000-0000-00000A830000}"/>
    <cellStyle name="Normal 11 7 5 3" xfId="33905" xr:uid="{00000000-0005-0000-0000-00000B830000}"/>
    <cellStyle name="Normal 11 7 5 4" xfId="33906" xr:uid="{00000000-0005-0000-0000-00000C830000}"/>
    <cellStyle name="Normal 11 7 5 5" xfId="33907" xr:uid="{00000000-0005-0000-0000-00000D830000}"/>
    <cellStyle name="Normal 11 7 5 6" xfId="33908" xr:uid="{00000000-0005-0000-0000-00000E830000}"/>
    <cellStyle name="Normal 11 7 6" xfId="33909" xr:uid="{00000000-0005-0000-0000-00000F830000}"/>
    <cellStyle name="Normal 11 7 6 2" xfId="33910" xr:uid="{00000000-0005-0000-0000-000010830000}"/>
    <cellStyle name="Normal 11 7 6 3" xfId="33911" xr:uid="{00000000-0005-0000-0000-000011830000}"/>
    <cellStyle name="Normal 11 7 7" xfId="33912" xr:uid="{00000000-0005-0000-0000-000012830000}"/>
    <cellStyle name="Normal 11 7 8" xfId="33913" xr:uid="{00000000-0005-0000-0000-000013830000}"/>
    <cellStyle name="Normal 11 7 9" xfId="33914" xr:uid="{00000000-0005-0000-0000-000014830000}"/>
    <cellStyle name="Normal 11 8" xfId="33915" xr:uid="{00000000-0005-0000-0000-000015830000}"/>
    <cellStyle name="Normal 11 8 2" xfId="33916" xr:uid="{00000000-0005-0000-0000-000016830000}"/>
    <cellStyle name="Normal 11 8 2 2" xfId="33917" xr:uid="{00000000-0005-0000-0000-000017830000}"/>
    <cellStyle name="Normal 11 8 2 2 2" xfId="33918" xr:uid="{00000000-0005-0000-0000-000018830000}"/>
    <cellStyle name="Normal 11 8 2 2 2 2" xfId="33919" xr:uid="{00000000-0005-0000-0000-000019830000}"/>
    <cellStyle name="Normal 11 8 2 2 2 3" xfId="33920" xr:uid="{00000000-0005-0000-0000-00001A830000}"/>
    <cellStyle name="Normal 11 8 2 2 3" xfId="33921" xr:uid="{00000000-0005-0000-0000-00001B830000}"/>
    <cellStyle name="Normal 11 8 2 2 4" xfId="33922" xr:uid="{00000000-0005-0000-0000-00001C830000}"/>
    <cellStyle name="Normal 11 8 2 2 5" xfId="33923" xr:uid="{00000000-0005-0000-0000-00001D830000}"/>
    <cellStyle name="Normal 11 8 2 2 6" xfId="33924" xr:uid="{00000000-0005-0000-0000-00001E830000}"/>
    <cellStyle name="Normal 11 8 2 3" xfId="33925" xr:uid="{00000000-0005-0000-0000-00001F830000}"/>
    <cellStyle name="Normal 11 8 2 3 2" xfId="33926" xr:uid="{00000000-0005-0000-0000-000020830000}"/>
    <cellStyle name="Normal 11 8 2 3 3" xfId="33927" xr:uid="{00000000-0005-0000-0000-000021830000}"/>
    <cellStyle name="Normal 11 8 2 4" xfId="33928" xr:uid="{00000000-0005-0000-0000-000022830000}"/>
    <cellStyle name="Normal 11 8 2 5" xfId="33929" xr:uid="{00000000-0005-0000-0000-000023830000}"/>
    <cellStyle name="Normal 11 8 2 6" xfId="33930" xr:uid="{00000000-0005-0000-0000-000024830000}"/>
    <cellStyle name="Normal 11 8 2 7" xfId="33931" xr:uid="{00000000-0005-0000-0000-000025830000}"/>
    <cellStyle name="Normal 11 8 3" xfId="33932" xr:uid="{00000000-0005-0000-0000-000026830000}"/>
    <cellStyle name="Normal 11 8 3 2" xfId="33933" xr:uid="{00000000-0005-0000-0000-000027830000}"/>
    <cellStyle name="Normal 11 8 3 2 2" xfId="33934" xr:uid="{00000000-0005-0000-0000-000028830000}"/>
    <cellStyle name="Normal 11 8 3 2 3" xfId="33935" xr:uid="{00000000-0005-0000-0000-000029830000}"/>
    <cellStyle name="Normal 11 8 3 3" xfId="33936" xr:uid="{00000000-0005-0000-0000-00002A830000}"/>
    <cellStyle name="Normal 11 8 3 4" xfId="33937" xr:uid="{00000000-0005-0000-0000-00002B830000}"/>
    <cellStyle name="Normal 11 8 3 5" xfId="33938" xr:uid="{00000000-0005-0000-0000-00002C830000}"/>
    <cellStyle name="Normal 11 8 3 6" xfId="33939" xr:uid="{00000000-0005-0000-0000-00002D830000}"/>
    <cellStyle name="Normal 11 8 4" xfId="33940" xr:uid="{00000000-0005-0000-0000-00002E830000}"/>
    <cellStyle name="Normal 11 8 4 2" xfId="33941" xr:uid="{00000000-0005-0000-0000-00002F830000}"/>
    <cellStyle name="Normal 11 8 4 2 2" xfId="33942" xr:uid="{00000000-0005-0000-0000-000030830000}"/>
    <cellStyle name="Normal 11 8 4 2 3" xfId="33943" xr:uid="{00000000-0005-0000-0000-000031830000}"/>
    <cellStyle name="Normal 11 8 4 3" xfId="33944" xr:uid="{00000000-0005-0000-0000-000032830000}"/>
    <cellStyle name="Normal 11 8 4 4" xfId="33945" xr:uid="{00000000-0005-0000-0000-000033830000}"/>
    <cellStyle name="Normal 11 8 4 5" xfId="33946" xr:uid="{00000000-0005-0000-0000-000034830000}"/>
    <cellStyle name="Normal 11 8 4 6" xfId="33947" xr:uid="{00000000-0005-0000-0000-000035830000}"/>
    <cellStyle name="Normal 11 8 5" xfId="33948" xr:uid="{00000000-0005-0000-0000-000036830000}"/>
    <cellStyle name="Normal 11 8 5 2" xfId="33949" xr:uid="{00000000-0005-0000-0000-000037830000}"/>
    <cellStyle name="Normal 11 8 5 3" xfId="33950" xr:uid="{00000000-0005-0000-0000-000038830000}"/>
    <cellStyle name="Normal 11 8 6" xfId="33951" xr:uid="{00000000-0005-0000-0000-000039830000}"/>
    <cellStyle name="Normal 11 8 7" xfId="33952" xr:uid="{00000000-0005-0000-0000-00003A830000}"/>
    <cellStyle name="Normal 11 8 8" xfId="33953" xr:uid="{00000000-0005-0000-0000-00003B830000}"/>
    <cellStyle name="Normal 11 8 9" xfId="33954" xr:uid="{00000000-0005-0000-0000-00003C830000}"/>
    <cellStyle name="Normal 11 9" xfId="33955" xr:uid="{00000000-0005-0000-0000-00003D830000}"/>
    <cellStyle name="Normal 11 9 2" xfId="33956" xr:uid="{00000000-0005-0000-0000-00003E830000}"/>
    <cellStyle name="Normal 11 9 2 2" xfId="33957" xr:uid="{00000000-0005-0000-0000-00003F830000}"/>
    <cellStyle name="Normal 11 9 2 2 2" xfId="33958" xr:uid="{00000000-0005-0000-0000-000040830000}"/>
    <cellStyle name="Normal 11 9 2 2 3" xfId="33959" xr:uid="{00000000-0005-0000-0000-000041830000}"/>
    <cellStyle name="Normal 11 9 2 3" xfId="33960" xr:uid="{00000000-0005-0000-0000-000042830000}"/>
    <cellStyle name="Normal 11 9 2 4" xfId="33961" xr:uid="{00000000-0005-0000-0000-000043830000}"/>
    <cellStyle name="Normal 11 9 2 5" xfId="33962" xr:uid="{00000000-0005-0000-0000-000044830000}"/>
    <cellStyle name="Normal 11 9 2 6" xfId="33963" xr:uid="{00000000-0005-0000-0000-000045830000}"/>
    <cellStyle name="Normal 11 9 3" xfId="33964" xr:uid="{00000000-0005-0000-0000-000046830000}"/>
    <cellStyle name="Normal 11 9 3 2" xfId="33965" xr:uid="{00000000-0005-0000-0000-000047830000}"/>
    <cellStyle name="Normal 11 9 3 3" xfId="33966" xr:uid="{00000000-0005-0000-0000-000048830000}"/>
    <cellStyle name="Normal 11 9 4" xfId="33967" xr:uid="{00000000-0005-0000-0000-000049830000}"/>
    <cellStyle name="Normal 11 9 5" xfId="33968" xr:uid="{00000000-0005-0000-0000-00004A830000}"/>
    <cellStyle name="Normal 11 9 6" xfId="33969" xr:uid="{00000000-0005-0000-0000-00004B830000}"/>
    <cellStyle name="Normal 11 9 7" xfId="33970" xr:uid="{00000000-0005-0000-0000-00004C830000}"/>
    <cellStyle name="Normal 12" xfId="123" xr:uid="{00000000-0005-0000-0000-00004D830000}"/>
    <cellStyle name="Normal 12 10" xfId="33971" xr:uid="{00000000-0005-0000-0000-00004E830000}"/>
    <cellStyle name="Normal 12 10 2" xfId="33972" xr:uid="{00000000-0005-0000-0000-00004F830000}"/>
    <cellStyle name="Normal 12 10 2 2" xfId="33973" xr:uid="{00000000-0005-0000-0000-000050830000}"/>
    <cellStyle name="Normal 12 10 2 3" xfId="33974" xr:uid="{00000000-0005-0000-0000-000051830000}"/>
    <cellStyle name="Normal 12 10 3" xfId="33975" xr:uid="{00000000-0005-0000-0000-000052830000}"/>
    <cellStyle name="Normal 12 10 4" xfId="33976" xr:uid="{00000000-0005-0000-0000-000053830000}"/>
    <cellStyle name="Normal 12 10 5" xfId="33977" xr:uid="{00000000-0005-0000-0000-000054830000}"/>
    <cellStyle name="Normal 12 10 6" xfId="33978" xr:uid="{00000000-0005-0000-0000-000055830000}"/>
    <cellStyle name="Normal 12 11" xfId="33979" xr:uid="{00000000-0005-0000-0000-000056830000}"/>
    <cellStyle name="Normal 12 11 2" xfId="33980" xr:uid="{00000000-0005-0000-0000-000057830000}"/>
    <cellStyle name="Normal 12 11 2 2" xfId="33981" xr:uid="{00000000-0005-0000-0000-000058830000}"/>
    <cellStyle name="Normal 12 11 2 3" xfId="33982" xr:uid="{00000000-0005-0000-0000-000059830000}"/>
    <cellStyle name="Normal 12 11 3" xfId="33983" xr:uid="{00000000-0005-0000-0000-00005A830000}"/>
    <cellStyle name="Normal 12 11 4" xfId="33984" xr:uid="{00000000-0005-0000-0000-00005B830000}"/>
    <cellStyle name="Normal 12 11 5" xfId="33985" xr:uid="{00000000-0005-0000-0000-00005C830000}"/>
    <cellStyle name="Normal 12 11 6" xfId="33986" xr:uid="{00000000-0005-0000-0000-00005D830000}"/>
    <cellStyle name="Normal 12 12" xfId="33987" xr:uid="{00000000-0005-0000-0000-00005E830000}"/>
    <cellStyle name="Normal 12 12 2" xfId="33988" xr:uid="{00000000-0005-0000-0000-00005F830000}"/>
    <cellStyle name="Normal 12 12 2 2" xfId="33989" xr:uid="{00000000-0005-0000-0000-000060830000}"/>
    <cellStyle name="Normal 12 12 2 3" xfId="33990" xr:uid="{00000000-0005-0000-0000-000061830000}"/>
    <cellStyle name="Normal 12 12 3" xfId="33991" xr:uid="{00000000-0005-0000-0000-000062830000}"/>
    <cellStyle name="Normal 12 12 4" xfId="33992" xr:uid="{00000000-0005-0000-0000-000063830000}"/>
    <cellStyle name="Normal 12 12 5" xfId="33993" xr:uid="{00000000-0005-0000-0000-000064830000}"/>
    <cellStyle name="Normal 12 12 6" xfId="33994" xr:uid="{00000000-0005-0000-0000-000065830000}"/>
    <cellStyle name="Normal 12 13" xfId="33995" xr:uid="{00000000-0005-0000-0000-000066830000}"/>
    <cellStyle name="Normal 12 13 2" xfId="33996" xr:uid="{00000000-0005-0000-0000-000067830000}"/>
    <cellStyle name="Normal 12 13 3" xfId="33997" xr:uid="{00000000-0005-0000-0000-000068830000}"/>
    <cellStyle name="Normal 12 14" xfId="33998" xr:uid="{00000000-0005-0000-0000-000069830000}"/>
    <cellStyle name="Normal 12 15" xfId="33999" xr:uid="{00000000-0005-0000-0000-00006A830000}"/>
    <cellStyle name="Normal 12 16" xfId="34000" xr:uid="{00000000-0005-0000-0000-00006B830000}"/>
    <cellStyle name="Normal 12 17" xfId="34001" xr:uid="{00000000-0005-0000-0000-00006C830000}"/>
    <cellStyle name="Normal 12 2" xfId="388" xr:uid="{00000000-0005-0000-0000-00006D830000}"/>
    <cellStyle name="Normal 12 2 2" xfId="389" xr:uid="{00000000-0005-0000-0000-00006E830000}"/>
    <cellStyle name="Normal 12 3" xfId="390" xr:uid="{00000000-0005-0000-0000-00006F830000}"/>
    <cellStyle name="Normal 12 3 10" xfId="34002" xr:uid="{00000000-0005-0000-0000-000070830000}"/>
    <cellStyle name="Normal 12 3 10 2" xfId="34003" xr:uid="{00000000-0005-0000-0000-000071830000}"/>
    <cellStyle name="Normal 12 3 10 3" xfId="34004" xr:uid="{00000000-0005-0000-0000-000072830000}"/>
    <cellStyle name="Normal 12 3 11" xfId="34005" xr:uid="{00000000-0005-0000-0000-000073830000}"/>
    <cellStyle name="Normal 12 3 12" xfId="34006" xr:uid="{00000000-0005-0000-0000-000074830000}"/>
    <cellStyle name="Normal 12 3 13" xfId="34007" xr:uid="{00000000-0005-0000-0000-000075830000}"/>
    <cellStyle name="Normal 12 3 14" xfId="34008" xr:uid="{00000000-0005-0000-0000-000076830000}"/>
    <cellStyle name="Normal 12 3 2" xfId="34009" xr:uid="{00000000-0005-0000-0000-000077830000}"/>
    <cellStyle name="Normal 12 3 2 10" xfId="34010" xr:uid="{00000000-0005-0000-0000-000078830000}"/>
    <cellStyle name="Normal 12 3 2 11" xfId="34011" xr:uid="{00000000-0005-0000-0000-000079830000}"/>
    <cellStyle name="Normal 12 3 2 12" xfId="34012" xr:uid="{00000000-0005-0000-0000-00007A830000}"/>
    <cellStyle name="Normal 12 3 2 13" xfId="34013" xr:uid="{00000000-0005-0000-0000-00007B830000}"/>
    <cellStyle name="Normal 12 3 2 2" xfId="34014" xr:uid="{00000000-0005-0000-0000-00007C830000}"/>
    <cellStyle name="Normal 12 3 2 2 10" xfId="34015" xr:uid="{00000000-0005-0000-0000-00007D830000}"/>
    <cellStyle name="Normal 12 3 2 2 2" xfId="34016" xr:uid="{00000000-0005-0000-0000-00007E830000}"/>
    <cellStyle name="Normal 12 3 2 2 2 2" xfId="34017" xr:uid="{00000000-0005-0000-0000-00007F830000}"/>
    <cellStyle name="Normal 12 3 2 2 2 2 2" xfId="34018" xr:uid="{00000000-0005-0000-0000-000080830000}"/>
    <cellStyle name="Normal 12 3 2 2 2 2 2 2" xfId="34019" xr:uid="{00000000-0005-0000-0000-000081830000}"/>
    <cellStyle name="Normal 12 3 2 2 2 2 2 3" xfId="34020" xr:uid="{00000000-0005-0000-0000-000082830000}"/>
    <cellStyle name="Normal 12 3 2 2 2 2 3" xfId="34021" xr:uid="{00000000-0005-0000-0000-000083830000}"/>
    <cellStyle name="Normal 12 3 2 2 2 2 4" xfId="34022" xr:uid="{00000000-0005-0000-0000-000084830000}"/>
    <cellStyle name="Normal 12 3 2 2 2 2 5" xfId="34023" xr:uid="{00000000-0005-0000-0000-000085830000}"/>
    <cellStyle name="Normal 12 3 2 2 2 2 6" xfId="34024" xr:uid="{00000000-0005-0000-0000-000086830000}"/>
    <cellStyle name="Normal 12 3 2 2 2 3" xfId="34025" xr:uid="{00000000-0005-0000-0000-000087830000}"/>
    <cellStyle name="Normal 12 3 2 2 2 3 2" xfId="34026" xr:uid="{00000000-0005-0000-0000-000088830000}"/>
    <cellStyle name="Normal 12 3 2 2 2 3 2 2" xfId="34027" xr:uid="{00000000-0005-0000-0000-000089830000}"/>
    <cellStyle name="Normal 12 3 2 2 2 3 2 3" xfId="34028" xr:uid="{00000000-0005-0000-0000-00008A830000}"/>
    <cellStyle name="Normal 12 3 2 2 2 3 3" xfId="34029" xr:uid="{00000000-0005-0000-0000-00008B830000}"/>
    <cellStyle name="Normal 12 3 2 2 2 3 4" xfId="34030" xr:uid="{00000000-0005-0000-0000-00008C830000}"/>
    <cellStyle name="Normal 12 3 2 2 2 3 5" xfId="34031" xr:uid="{00000000-0005-0000-0000-00008D830000}"/>
    <cellStyle name="Normal 12 3 2 2 2 3 6" xfId="34032" xr:uid="{00000000-0005-0000-0000-00008E830000}"/>
    <cellStyle name="Normal 12 3 2 2 2 4" xfId="34033" xr:uid="{00000000-0005-0000-0000-00008F830000}"/>
    <cellStyle name="Normal 12 3 2 2 2 4 2" xfId="34034" xr:uid="{00000000-0005-0000-0000-000090830000}"/>
    <cellStyle name="Normal 12 3 2 2 2 4 3" xfId="34035" xr:uid="{00000000-0005-0000-0000-000091830000}"/>
    <cellStyle name="Normal 12 3 2 2 2 5" xfId="34036" xr:uid="{00000000-0005-0000-0000-000092830000}"/>
    <cellStyle name="Normal 12 3 2 2 2 6" xfId="34037" xr:uid="{00000000-0005-0000-0000-000093830000}"/>
    <cellStyle name="Normal 12 3 2 2 2 7" xfId="34038" xr:uid="{00000000-0005-0000-0000-000094830000}"/>
    <cellStyle name="Normal 12 3 2 2 2 8" xfId="34039" xr:uid="{00000000-0005-0000-0000-000095830000}"/>
    <cellStyle name="Normal 12 3 2 2 3" xfId="34040" xr:uid="{00000000-0005-0000-0000-000096830000}"/>
    <cellStyle name="Normal 12 3 2 2 3 2" xfId="34041" xr:uid="{00000000-0005-0000-0000-000097830000}"/>
    <cellStyle name="Normal 12 3 2 2 3 2 2" xfId="34042" xr:uid="{00000000-0005-0000-0000-000098830000}"/>
    <cellStyle name="Normal 12 3 2 2 3 2 2 2" xfId="34043" xr:uid="{00000000-0005-0000-0000-000099830000}"/>
    <cellStyle name="Normal 12 3 2 2 3 2 2 3" xfId="34044" xr:uid="{00000000-0005-0000-0000-00009A830000}"/>
    <cellStyle name="Normal 12 3 2 2 3 2 3" xfId="34045" xr:uid="{00000000-0005-0000-0000-00009B830000}"/>
    <cellStyle name="Normal 12 3 2 2 3 2 4" xfId="34046" xr:uid="{00000000-0005-0000-0000-00009C830000}"/>
    <cellStyle name="Normal 12 3 2 2 3 2 5" xfId="34047" xr:uid="{00000000-0005-0000-0000-00009D830000}"/>
    <cellStyle name="Normal 12 3 2 2 3 2 6" xfId="34048" xr:uid="{00000000-0005-0000-0000-00009E830000}"/>
    <cellStyle name="Normal 12 3 2 2 3 3" xfId="34049" xr:uid="{00000000-0005-0000-0000-00009F830000}"/>
    <cellStyle name="Normal 12 3 2 2 3 3 2" xfId="34050" xr:uid="{00000000-0005-0000-0000-0000A0830000}"/>
    <cellStyle name="Normal 12 3 2 2 3 3 3" xfId="34051" xr:uid="{00000000-0005-0000-0000-0000A1830000}"/>
    <cellStyle name="Normal 12 3 2 2 3 4" xfId="34052" xr:uid="{00000000-0005-0000-0000-0000A2830000}"/>
    <cellStyle name="Normal 12 3 2 2 3 5" xfId="34053" xr:uid="{00000000-0005-0000-0000-0000A3830000}"/>
    <cellStyle name="Normal 12 3 2 2 3 6" xfId="34054" xr:uid="{00000000-0005-0000-0000-0000A4830000}"/>
    <cellStyle name="Normal 12 3 2 2 3 7" xfId="34055" xr:uid="{00000000-0005-0000-0000-0000A5830000}"/>
    <cellStyle name="Normal 12 3 2 2 4" xfId="34056" xr:uid="{00000000-0005-0000-0000-0000A6830000}"/>
    <cellStyle name="Normal 12 3 2 2 4 2" xfId="34057" xr:uid="{00000000-0005-0000-0000-0000A7830000}"/>
    <cellStyle name="Normal 12 3 2 2 4 2 2" xfId="34058" xr:uid="{00000000-0005-0000-0000-0000A8830000}"/>
    <cellStyle name="Normal 12 3 2 2 4 2 3" xfId="34059" xr:uid="{00000000-0005-0000-0000-0000A9830000}"/>
    <cellStyle name="Normal 12 3 2 2 4 3" xfId="34060" xr:uid="{00000000-0005-0000-0000-0000AA830000}"/>
    <cellStyle name="Normal 12 3 2 2 4 4" xfId="34061" xr:uid="{00000000-0005-0000-0000-0000AB830000}"/>
    <cellStyle name="Normal 12 3 2 2 4 5" xfId="34062" xr:uid="{00000000-0005-0000-0000-0000AC830000}"/>
    <cellStyle name="Normal 12 3 2 2 4 6" xfId="34063" xr:uid="{00000000-0005-0000-0000-0000AD830000}"/>
    <cellStyle name="Normal 12 3 2 2 5" xfId="34064" xr:uid="{00000000-0005-0000-0000-0000AE830000}"/>
    <cellStyle name="Normal 12 3 2 2 5 2" xfId="34065" xr:uid="{00000000-0005-0000-0000-0000AF830000}"/>
    <cellStyle name="Normal 12 3 2 2 5 2 2" xfId="34066" xr:uid="{00000000-0005-0000-0000-0000B0830000}"/>
    <cellStyle name="Normal 12 3 2 2 5 2 3" xfId="34067" xr:uid="{00000000-0005-0000-0000-0000B1830000}"/>
    <cellStyle name="Normal 12 3 2 2 5 3" xfId="34068" xr:uid="{00000000-0005-0000-0000-0000B2830000}"/>
    <cellStyle name="Normal 12 3 2 2 5 4" xfId="34069" xr:uid="{00000000-0005-0000-0000-0000B3830000}"/>
    <cellStyle name="Normal 12 3 2 2 5 5" xfId="34070" xr:uid="{00000000-0005-0000-0000-0000B4830000}"/>
    <cellStyle name="Normal 12 3 2 2 5 6" xfId="34071" xr:uid="{00000000-0005-0000-0000-0000B5830000}"/>
    <cellStyle name="Normal 12 3 2 2 6" xfId="34072" xr:uid="{00000000-0005-0000-0000-0000B6830000}"/>
    <cellStyle name="Normal 12 3 2 2 6 2" xfId="34073" xr:uid="{00000000-0005-0000-0000-0000B7830000}"/>
    <cellStyle name="Normal 12 3 2 2 6 3" xfId="34074" xr:uid="{00000000-0005-0000-0000-0000B8830000}"/>
    <cellStyle name="Normal 12 3 2 2 7" xfId="34075" xr:uid="{00000000-0005-0000-0000-0000B9830000}"/>
    <cellStyle name="Normal 12 3 2 2 8" xfId="34076" xr:uid="{00000000-0005-0000-0000-0000BA830000}"/>
    <cellStyle name="Normal 12 3 2 2 9" xfId="34077" xr:uid="{00000000-0005-0000-0000-0000BB830000}"/>
    <cellStyle name="Normal 12 3 2 3" xfId="34078" xr:uid="{00000000-0005-0000-0000-0000BC830000}"/>
    <cellStyle name="Normal 12 3 2 3 2" xfId="34079" xr:uid="{00000000-0005-0000-0000-0000BD830000}"/>
    <cellStyle name="Normal 12 3 2 3 2 2" xfId="34080" xr:uid="{00000000-0005-0000-0000-0000BE830000}"/>
    <cellStyle name="Normal 12 3 2 3 2 2 2" xfId="34081" xr:uid="{00000000-0005-0000-0000-0000BF830000}"/>
    <cellStyle name="Normal 12 3 2 3 2 2 2 2" xfId="34082" xr:uid="{00000000-0005-0000-0000-0000C0830000}"/>
    <cellStyle name="Normal 12 3 2 3 2 2 2 3" xfId="34083" xr:uid="{00000000-0005-0000-0000-0000C1830000}"/>
    <cellStyle name="Normal 12 3 2 3 2 2 3" xfId="34084" xr:uid="{00000000-0005-0000-0000-0000C2830000}"/>
    <cellStyle name="Normal 12 3 2 3 2 2 4" xfId="34085" xr:uid="{00000000-0005-0000-0000-0000C3830000}"/>
    <cellStyle name="Normal 12 3 2 3 2 2 5" xfId="34086" xr:uid="{00000000-0005-0000-0000-0000C4830000}"/>
    <cellStyle name="Normal 12 3 2 3 2 2 6" xfId="34087" xr:uid="{00000000-0005-0000-0000-0000C5830000}"/>
    <cellStyle name="Normal 12 3 2 3 2 3" xfId="34088" xr:uid="{00000000-0005-0000-0000-0000C6830000}"/>
    <cellStyle name="Normal 12 3 2 3 2 3 2" xfId="34089" xr:uid="{00000000-0005-0000-0000-0000C7830000}"/>
    <cellStyle name="Normal 12 3 2 3 2 3 3" xfId="34090" xr:uid="{00000000-0005-0000-0000-0000C8830000}"/>
    <cellStyle name="Normal 12 3 2 3 2 4" xfId="34091" xr:uid="{00000000-0005-0000-0000-0000C9830000}"/>
    <cellStyle name="Normal 12 3 2 3 2 5" xfId="34092" xr:uid="{00000000-0005-0000-0000-0000CA830000}"/>
    <cellStyle name="Normal 12 3 2 3 2 6" xfId="34093" xr:uid="{00000000-0005-0000-0000-0000CB830000}"/>
    <cellStyle name="Normal 12 3 2 3 2 7" xfId="34094" xr:uid="{00000000-0005-0000-0000-0000CC830000}"/>
    <cellStyle name="Normal 12 3 2 3 3" xfId="34095" xr:uid="{00000000-0005-0000-0000-0000CD830000}"/>
    <cellStyle name="Normal 12 3 2 3 3 2" xfId="34096" xr:uid="{00000000-0005-0000-0000-0000CE830000}"/>
    <cellStyle name="Normal 12 3 2 3 3 2 2" xfId="34097" xr:uid="{00000000-0005-0000-0000-0000CF830000}"/>
    <cellStyle name="Normal 12 3 2 3 3 2 3" xfId="34098" xr:uid="{00000000-0005-0000-0000-0000D0830000}"/>
    <cellStyle name="Normal 12 3 2 3 3 3" xfId="34099" xr:uid="{00000000-0005-0000-0000-0000D1830000}"/>
    <cellStyle name="Normal 12 3 2 3 3 4" xfId="34100" xr:uid="{00000000-0005-0000-0000-0000D2830000}"/>
    <cellStyle name="Normal 12 3 2 3 3 5" xfId="34101" xr:uid="{00000000-0005-0000-0000-0000D3830000}"/>
    <cellStyle name="Normal 12 3 2 3 3 6" xfId="34102" xr:uid="{00000000-0005-0000-0000-0000D4830000}"/>
    <cellStyle name="Normal 12 3 2 3 4" xfId="34103" xr:uid="{00000000-0005-0000-0000-0000D5830000}"/>
    <cellStyle name="Normal 12 3 2 3 4 2" xfId="34104" xr:uid="{00000000-0005-0000-0000-0000D6830000}"/>
    <cellStyle name="Normal 12 3 2 3 4 2 2" xfId="34105" xr:uid="{00000000-0005-0000-0000-0000D7830000}"/>
    <cellStyle name="Normal 12 3 2 3 4 2 3" xfId="34106" xr:uid="{00000000-0005-0000-0000-0000D8830000}"/>
    <cellStyle name="Normal 12 3 2 3 4 3" xfId="34107" xr:uid="{00000000-0005-0000-0000-0000D9830000}"/>
    <cellStyle name="Normal 12 3 2 3 4 4" xfId="34108" xr:uid="{00000000-0005-0000-0000-0000DA830000}"/>
    <cellStyle name="Normal 12 3 2 3 4 5" xfId="34109" xr:uid="{00000000-0005-0000-0000-0000DB830000}"/>
    <cellStyle name="Normal 12 3 2 3 4 6" xfId="34110" xr:uid="{00000000-0005-0000-0000-0000DC830000}"/>
    <cellStyle name="Normal 12 3 2 3 5" xfId="34111" xr:uid="{00000000-0005-0000-0000-0000DD830000}"/>
    <cellStyle name="Normal 12 3 2 3 5 2" xfId="34112" xr:uid="{00000000-0005-0000-0000-0000DE830000}"/>
    <cellStyle name="Normal 12 3 2 3 5 3" xfId="34113" xr:uid="{00000000-0005-0000-0000-0000DF830000}"/>
    <cellStyle name="Normal 12 3 2 3 6" xfId="34114" xr:uid="{00000000-0005-0000-0000-0000E0830000}"/>
    <cellStyle name="Normal 12 3 2 3 7" xfId="34115" xr:uid="{00000000-0005-0000-0000-0000E1830000}"/>
    <cellStyle name="Normal 12 3 2 3 8" xfId="34116" xr:uid="{00000000-0005-0000-0000-0000E2830000}"/>
    <cellStyle name="Normal 12 3 2 3 9" xfId="34117" xr:uid="{00000000-0005-0000-0000-0000E3830000}"/>
    <cellStyle name="Normal 12 3 2 4" xfId="34118" xr:uid="{00000000-0005-0000-0000-0000E4830000}"/>
    <cellStyle name="Normal 12 3 2 4 2" xfId="34119" xr:uid="{00000000-0005-0000-0000-0000E5830000}"/>
    <cellStyle name="Normal 12 3 2 4 2 2" xfId="34120" xr:uid="{00000000-0005-0000-0000-0000E6830000}"/>
    <cellStyle name="Normal 12 3 2 4 2 2 2" xfId="34121" xr:uid="{00000000-0005-0000-0000-0000E7830000}"/>
    <cellStyle name="Normal 12 3 2 4 2 2 3" xfId="34122" xr:uid="{00000000-0005-0000-0000-0000E8830000}"/>
    <cellStyle name="Normal 12 3 2 4 2 3" xfId="34123" xr:uid="{00000000-0005-0000-0000-0000E9830000}"/>
    <cellStyle name="Normal 12 3 2 4 2 4" xfId="34124" xr:uid="{00000000-0005-0000-0000-0000EA830000}"/>
    <cellStyle name="Normal 12 3 2 4 2 5" xfId="34125" xr:uid="{00000000-0005-0000-0000-0000EB830000}"/>
    <cellStyle name="Normal 12 3 2 4 2 6" xfId="34126" xr:uid="{00000000-0005-0000-0000-0000EC830000}"/>
    <cellStyle name="Normal 12 3 2 4 3" xfId="34127" xr:uid="{00000000-0005-0000-0000-0000ED830000}"/>
    <cellStyle name="Normal 12 3 2 4 3 2" xfId="34128" xr:uid="{00000000-0005-0000-0000-0000EE830000}"/>
    <cellStyle name="Normal 12 3 2 4 3 3" xfId="34129" xr:uid="{00000000-0005-0000-0000-0000EF830000}"/>
    <cellStyle name="Normal 12 3 2 4 4" xfId="34130" xr:uid="{00000000-0005-0000-0000-0000F0830000}"/>
    <cellStyle name="Normal 12 3 2 4 5" xfId="34131" xr:uid="{00000000-0005-0000-0000-0000F1830000}"/>
    <cellStyle name="Normal 12 3 2 4 6" xfId="34132" xr:uid="{00000000-0005-0000-0000-0000F2830000}"/>
    <cellStyle name="Normal 12 3 2 4 7" xfId="34133" xr:uid="{00000000-0005-0000-0000-0000F3830000}"/>
    <cellStyle name="Normal 12 3 2 5" xfId="34134" xr:uid="{00000000-0005-0000-0000-0000F4830000}"/>
    <cellStyle name="Normal 12 3 2 5 2" xfId="34135" xr:uid="{00000000-0005-0000-0000-0000F5830000}"/>
    <cellStyle name="Normal 12 3 2 5 2 2" xfId="34136" xr:uid="{00000000-0005-0000-0000-0000F6830000}"/>
    <cellStyle name="Normal 12 3 2 5 2 3" xfId="34137" xr:uid="{00000000-0005-0000-0000-0000F7830000}"/>
    <cellStyle name="Normal 12 3 2 5 3" xfId="34138" xr:uid="{00000000-0005-0000-0000-0000F8830000}"/>
    <cellStyle name="Normal 12 3 2 5 4" xfId="34139" xr:uid="{00000000-0005-0000-0000-0000F9830000}"/>
    <cellStyle name="Normal 12 3 2 5 5" xfId="34140" xr:uid="{00000000-0005-0000-0000-0000FA830000}"/>
    <cellStyle name="Normal 12 3 2 5 6" xfId="34141" xr:uid="{00000000-0005-0000-0000-0000FB830000}"/>
    <cellStyle name="Normal 12 3 2 6" xfId="34142" xr:uid="{00000000-0005-0000-0000-0000FC830000}"/>
    <cellStyle name="Normal 12 3 2 6 2" xfId="34143" xr:uid="{00000000-0005-0000-0000-0000FD830000}"/>
    <cellStyle name="Normal 12 3 2 6 2 2" xfId="34144" xr:uid="{00000000-0005-0000-0000-0000FE830000}"/>
    <cellStyle name="Normal 12 3 2 6 2 3" xfId="34145" xr:uid="{00000000-0005-0000-0000-0000FF830000}"/>
    <cellStyle name="Normal 12 3 2 6 3" xfId="34146" xr:uid="{00000000-0005-0000-0000-000000840000}"/>
    <cellStyle name="Normal 12 3 2 6 4" xfId="34147" xr:uid="{00000000-0005-0000-0000-000001840000}"/>
    <cellStyle name="Normal 12 3 2 6 5" xfId="34148" xr:uid="{00000000-0005-0000-0000-000002840000}"/>
    <cellStyle name="Normal 12 3 2 6 6" xfId="34149" xr:uid="{00000000-0005-0000-0000-000003840000}"/>
    <cellStyle name="Normal 12 3 2 7" xfId="34150" xr:uid="{00000000-0005-0000-0000-000004840000}"/>
    <cellStyle name="Normal 12 3 2 7 2" xfId="34151" xr:uid="{00000000-0005-0000-0000-000005840000}"/>
    <cellStyle name="Normal 12 3 2 7 2 2" xfId="34152" xr:uid="{00000000-0005-0000-0000-000006840000}"/>
    <cellStyle name="Normal 12 3 2 7 2 3" xfId="34153" xr:uid="{00000000-0005-0000-0000-000007840000}"/>
    <cellStyle name="Normal 12 3 2 7 3" xfId="34154" xr:uid="{00000000-0005-0000-0000-000008840000}"/>
    <cellStyle name="Normal 12 3 2 7 4" xfId="34155" xr:uid="{00000000-0005-0000-0000-000009840000}"/>
    <cellStyle name="Normal 12 3 2 7 5" xfId="34156" xr:uid="{00000000-0005-0000-0000-00000A840000}"/>
    <cellStyle name="Normal 12 3 2 7 6" xfId="34157" xr:uid="{00000000-0005-0000-0000-00000B840000}"/>
    <cellStyle name="Normal 12 3 2 8" xfId="34158" xr:uid="{00000000-0005-0000-0000-00000C840000}"/>
    <cellStyle name="Normal 12 3 2 8 2" xfId="34159" xr:uid="{00000000-0005-0000-0000-00000D840000}"/>
    <cellStyle name="Normal 12 3 2 8 2 2" xfId="34160" xr:uid="{00000000-0005-0000-0000-00000E840000}"/>
    <cellStyle name="Normal 12 3 2 8 2 3" xfId="34161" xr:uid="{00000000-0005-0000-0000-00000F840000}"/>
    <cellStyle name="Normal 12 3 2 8 3" xfId="34162" xr:uid="{00000000-0005-0000-0000-000010840000}"/>
    <cellStyle name="Normal 12 3 2 8 4" xfId="34163" xr:uid="{00000000-0005-0000-0000-000011840000}"/>
    <cellStyle name="Normal 12 3 2 8 5" xfId="34164" xr:uid="{00000000-0005-0000-0000-000012840000}"/>
    <cellStyle name="Normal 12 3 2 8 6" xfId="34165" xr:uid="{00000000-0005-0000-0000-000013840000}"/>
    <cellStyle name="Normal 12 3 2 9" xfId="34166" xr:uid="{00000000-0005-0000-0000-000014840000}"/>
    <cellStyle name="Normal 12 3 2 9 2" xfId="34167" xr:uid="{00000000-0005-0000-0000-000015840000}"/>
    <cellStyle name="Normal 12 3 2 9 3" xfId="34168" xr:uid="{00000000-0005-0000-0000-000016840000}"/>
    <cellStyle name="Normal 12 3 3" xfId="34169" xr:uid="{00000000-0005-0000-0000-000017840000}"/>
    <cellStyle name="Normal 12 3 3 10" xfId="34170" xr:uid="{00000000-0005-0000-0000-000018840000}"/>
    <cellStyle name="Normal 12 3 3 2" xfId="34171" xr:uid="{00000000-0005-0000-0000-000019840000}"/>
    <cellStyle name="Normal 12 3 3 2 2" xfId="34172" xr:uid="{00000000-0005-0000-0000-00001A840000}"/>
    <cellStyle name="Normal 12 3 3 2 2 2" xfId="34173" xr:uid="{00000000-0005-0000-0000-00001B840000}"/>
    <cellStyle name="Normal 12 3 3 2 2 2 2" xfId="34174" xr:uid="{00000000-0005-0000-0000-00001C840000}"/>
    <cellStyle name="Normal 12 3 3 2 2 2 3" xfId="34175" xr:uid="{00000000-0005-0000-0000-00001D840000}"/>
    <cellStyle name="Normal 12 3 3 2 2 3" xfId="34176" xr:uid="{00000000-0005-0000-0000-00001E840000}"/>
    <cellStyle name="Normal 12 3 3 2 2 4" xfId="34177" xr:uid="{00000000-0005-0000-0000-00001F840000}"/>
    <cellStyle name="Normal 12 3 3 2 2 5" xfId="34178" xr:uid="{00000000-0005-0000-0000-000020840000}"/>
    <cellStyle name="Normal 12 3 3 2 2 6" xfId="34179" xr:uid="{00000000-0005-0000-0000-000021840000}"/>
    <cellStyle name="Normal 12 3 3 2 3" xfId="34180" xr:uid="{00000000-0005-0000-0000-000022840000}"/>
    <cellStyle name="Normal 12 3 3 2 3 2" xfId="34181" xr:uid="{00000000-0005-0000-0000-000023840000}"/>
    <cellStyle name="Normal 12 3 3 2 3 2 2" xfId="34182" xr:uid="{00000000-0005-0000-0000-000024840000}"/>
    <cellStyle name="Normal 12 3 3 2 3 2 3" xfId="34183" xr:uid="{00000000-0005-0000-0000-000025840000}"/>
    <cellStyle name="Normal 12 3 3 2 3 3" xfId="34184" xr:uid="{00000000-0005-0000-0000-000026840000}"/>
    <cellStyle name="Normal 12 3 3 2 3 4" xfId="34185" xr:uid="{00000000-0005-0000-0000-000027840000}"/>
    <cellStyle name="Normal 12 3 3 2 3 5" xfId="34186" xr:uid="{00000000-0005-0000-0000-000028840000}"/>
    <cellStyle name="Normal 12 3 3 2 3 6" xfId="34187" xr:uid="{00000000-0005-0000-0000-000029840000}"/>
    <cellStyle name="Normal 12 3 3 2 4" xfId="34188" xr:uid="{00000000-0005-0000-0000-00002A840000}"/>
    <cellStyle name="Normal 12 3 3 2 4 2" xfId="34189" xr:uid="{00000000-0005-0000-0000-00002B840000}"/>
    <cellStyle name="Normal 12 3 3 2 4 3" xfId="34190" xr:uid="{00000000-0005-0000-0000-00002C840000}"/>
    <cellStyle name="Normal 12 3 3 2 5" xfId="34191" xr:uid="{00000000-0005-0000-0000-00002D840000}"/>
    <cellStyle name="Normal 12 3 3 2 6" xfId="34192" xr:uid="{00000000-0005-0000-0000-00002E840000}"/>
    <cellStyle name="Normal 12 3 3 2 7" xfId="34193" xr:uid="{00000000-0005-0000-0000-00002F840000}"/>
    <cellStyle name="Normal 12 3 3 2 8" xfId="34194" xr:uid="{00000000-0005-0000-0000-000030840000}"/>
    <cellStyle name="Normal 12 3 3 3" xfId="34195" xr:uid="{00000000-0005-0000-0000-000031840000}"/>
    <cellStyle name="Normal 12 3 3 3 2" xfId="34196" xr:uid="{00000000-0005-0000-0000-000032840000}"/>
    <cellStyle name="Normal 12 3 3 3 2 2" xfId="34197" xr:uid="{00000000-0005-0000-0000-000033840000}"/>
    <cellStyle name="Normal 12 3 3 3 2 2 2" xfId="34198" xr:uid="{00000000-0005-0000-0000-000034840000}"/>
    <cellStyle name="Normal 12 3 3 3 2 2 3" xfId="34199" xr:uid="{00000000-0005-0000-0000-000035840000}"/>
    <cellStyle name="Normal 12 3 3 3 2 3" xfId="34200" xr:uid="{00000000-0005-0000-0000-000036840000}"/>
    <cellStyle name="Normal 12 3 3 3 2 4" xfId="34201" xr:uid="{00000000-0005-0000-0000-000037840000}"/>
    <cellStyle name="Normal 12 3 3 3 2 5" xfId="34202" xr:uid="{00000000-0005-0000-0000-000038840000}"/>
    <cellStyle name="Normal 12 3 3 3 2 6" xfId="34203" xr:uid="{00000000-0005-0000-0000-000039840000}"/>
    <cellStyle name="Normal 12 3 3 3 3" xfId="34204" xr:uid="{00000000-0005-0000-0000-00003A840000}"/>
    <cellStyle name="Normal 12 3 3 3 3 2" xfId="34205" xr:uid="{00000000-0005-0000-0000-00003B840000}"/>
    <cellStyle name="Normal 12 3 3 3 3 3" xfId="34206" xr:uid="{00000000-0005-0000-0000-00003C840000}"/>
    <cellStyle name="Normal 12 3 3 3 4" xfId="34207" xr:uid="{00000000-0005-0000-0000-00003D840000}"/>
    <cellStyle name="Normal 12 3 3 3 5" xfId="34208" xr:uid="{00000000-0005-0000-0000-00003E840000}"/>
    <cellStyle name="Normal 12 3 3 3 6" xfId="34209" xr:uid="{00000000-0005-0000-0000-00003F840000}"/>
    <cellStyle name="Normal 12 3 3 3 7" xfId="34210" xr:uid="{00000000-0005-0000-0000-000040840000}"/>
    <cellStyle name="Normal 12 3 3 4" xfId="34211" xr:uid="{00000000-0005-0000-0000-000041840000}"/>
    <cellStyle name="Normal 12 3 3 4 2" xfId="34212" xr:uid="{00000000-0005-0000-0000-000042840000}"/>
    <cellStyle name="Normal 12 3 3 4 2 2" xfId="34213" xr:uid="{00000000-0005-0000-0000-000043840000}"/>
    <cellStyle name="Normal 12 3 3 4 2 3" xfId="34214" xr:uid="{00000000-0005-0000-0000-000044840000}"/>
    <cellStyle name="Normal 12 3 3 4 3" xfId="34215" xr:uid="{00000000-0005-0000-0000-000045840000}"/>
    <cellStyle name="Normal 12 3 3 4 4" xfId="34216" xr:uid="{00000000-0005-0000-0000-000046840000}"/>
    <cellStyle name="Normal 12 3 3 4 5" xfId="34217" xr:uid="{00000000-0005-0000-0000-000047840000}"/>
    <cellStyle name="Normal 12 3 3 4 6" xfId="34218" xr:uid="{00000000-0005-0000-0000-000048840000}"/>
    <cellStyle name="Normal 12 3 3 5" xfId="34219" xr:uid="{00000000-0005-0000-0000-000049840000}"/>
    <cellStyle name="Normal 12 3 3 5 2" xfId="34220" xr:uid="{00000000-0005-0000-0000-00004A840000}"/>
    <cellStyle name="Normal 12 3 3 5 2 2" xfId="34221" xr:uid="{00000000-0005-0000-0000-00004B840000}"/>
    <cellStyle name="Normal 12 3 3 5 2 3" xfId="34222" xr:uid="{00000000-0005-0000-0000-00004C840000}"/>
    <cellStyle name="Normal 12 3 3 5 3" xfId="34223" xr:uid="{00000000-0005-0000-0000-00004D840000}"/>
    <cellStyle name="Normal 12 3 3 5 4" xfId="34224" xr:uid="{00000000-0005-0000-0000-00004E840000}"/>
    <cellStyle name="Normal 12 3 3 5 5" xfId="34225" xr:uid="{00000000-0005-0000-0000-00004F840000}"/>
    <cellStyle name="Normal 12 3 3 5 6" xfId="34226" xr:uid="{00000000-0005-0000-0000-000050840000}"/>
    <cellStyle name="Normal 12 3 3 6" xfId="34227" xr:uid="{00000000-0005-0000-0000-000051840000}"/>
    <cellStyle name="Normal 12 3 3 6 2" xfId="34228" xr:uid="{00000000-0005-0000-0000-000052840000}"/>
    <cellStyle name="Normal 12 3 3 6 3" xfId="34229" xr:uid="{00000000-0005-0000-0000-000053840000}"/>
    <cellStyle name="Normal 12 3 3 7" xfId="34230" xr:uid="{00000000-0005-0000-0000-000054840000}"/>
    <cellStyle name="Normal 12 3 3 8" xfId="34231" xr:uid="{00000000-0005-0000-0000-000055840000}"/>
    <cellStyle name="Normal 12 3 3 9" xfId="34232" xr:uid="{00000000-0005-0000-0000-000056840000}"/>
    <cellStyle name="Normal 12 3 4" xfId="34233" xr:uid="{00000000-0005-0000-0000-000057840000}"/>
    <cellStyle name="Normal 12 3 4 2" xfId="34234" xr:uid="{00000000-0005-0000-0000-000058840000}"/>
    <cellStyle name="Normal 12 3 4 2 2" xfId="34235" xr:uid="{00000000-0005-0000-0000-000059840000}"/>
    <cellStyle name="Normal 12 3 4 2 2 2" xfId="34236" xr:uid="{00000000-0005-0000-0000-00005A840000}"/>
    <cellStyle name="Normal 12 3 4 2 2 2 2" xfId="34237" xr:uid="{00000000-0005-0000-0000-00005B840000}"/>
    <cellStyle name="Normal 12 3 4 2 2 2 3" xfId="34238" xr:uid="{00000000-0005-0000-0000-00005C840000}"/>
    <cellStyle name="Normal 12 3 4 2 2 3" xfId="34239" xr:uid="{00000000-0005-0000-0000-00005D840000}"/>
    <cellStyle name="Normal 12 3 4 2 2 4" xfId="34240" xr:uid="{00000000-0005-0000-0000-00005E840000}"/>
    <cellStyle name="Normal 12 3 4 2 2 5" xfId="34241" xr:uid="{00000000-0005-0000-0000-00005F840000}"/>
    <cellStyle name="Normal 12 3 4 2 2 6" xfId="34242" xr:uid="{00000000-0005-0000-0000-000060840000}"/>
    <cellStyle name="Normal 12 3 4 2 3" xfId="34243" xr:uid="{00000000-0005-0000-0000-000061840000}"/>
    <cellStyle name="Normal 12 3 4 2 3 2" xfId="34244" xr:uid="{00000000-0005-0000-0000-000062840000}"/>
    <cellStyle name="Normal 12 3 4 2 3 3" xfId="34245" xr:uid="{00000000-0005-0000-0000-000063840000}"/>
    <cellStyle name="Normal 12 3 4 2 4" xfId="34246" xr:uid="{00000000-0005-0000-0000-000064840000}"/>
    <cellStyle name="Normal 12 3 4 2 5" xfId="34247" xr:uid="{00000000-0005-0000-0000-000065840000}"/>
    <cellStyle name="Normal 12 3 4 2 6" xfId="34248" xr:uid="{00000000-0005-0000-0000-000066840000}"/>
    <cellStyle name="Normal 12 3 4 2 7" xfId="34249" xr:uid="{00000000-0005-0000-0000-000067840000}"/>
    <cellStyle name="Normal 12 3 4 3" xfId="34250" xr:uid="{00000000-0005-0000-0000-000068840000}"/>
    <cellStyle name="Normal 12 3 4 3 2" xfId="34251" xr:uid="{00000000-0005-0000-0000-000069840000}"/>
    <cellStyle name="Normal 12 3 4 3 2 2" xfId="34252" xr:uid="{00000000-0005-0000-0000-00006A840000}"/>
    <cellStyle name="Normal 12 3 4 3 2 3" xfId="34253" xr:uid="{00000000-0005-0000-0000-00006B840000}"/>
    <cellStyle name="Normal 12 3 4 3 3" xfId="34254" xr:uid="{00000000-0005-0000-0000-00006C840000}"/>
    <cellStyle name="Normal 12 3 4 3 4" xfId="34255" xr:uid="{00000000-0005-0000-0000-00006D840000}"/>
    <cellStyle name="Normal 12 3 4 3 5" xfId="34256" xr:uid="{00000000-0005-0000-0000-00006E840000}"/>
    <cellStyle name="Normal 12 3 4 3 6" xfId="34257" xr:uid="{00000000-0005-0000-0000-00006F840000}"/>
    <cellStyle name="Normal 12 3 4 4" xfId="34258" xr:uid="{00000000-0005-0000-0000-000070840000}"/>
    <cellStyle name="Normal 12 3 4 4 2" xfId="34259" xr:uid="{00000000-0005-0000-0000-000071840000}"/>
    <cellStyle name="Normal 12 3 4 4 2 2" xfId="34260" xr:uid="{00000000-0005-0000-0000-000072840000}"/>
    <cellStyle name="Normal 12 3 4 4 2 3" xfId="34261" xr:uid="{00000000-0005-0000-0000-000073840000}"/>
    <cellStyle name="Normal 12 3 4 4 3" xfId="34262" xr:uid="{00000000-0005-0000-0000-000074840000}"/>
    <cellStyle name="Normal 12 3 4 4 4" xfId="34263" xr:uid="{00000000-0005-0000-0000-000075840000}"/>
    <cellStyle name="Normal 12 3 4 4 5" xfId="34264" xr:uid="{00000000-0005-0000-0000-000076840000}"/>
    <cellStyle name="Normal 12 3 4 4 6" xfId="34265" xr:uid="{00000000-0005-0000-0000-000077840000}"/>
    <cellStyle name="Normal 12 3 4 5" xfId="34266" xr:uid="{00000000-0005-0000-0000-000078840000}"/>
    <cellStyle name="Normal 12 3 4 5 2" xfId="34267" xr:uid="{00000000-0005-0000-0000-000079840000}"/>
    <cellStyle name="Normal 12 3 4 5 3" xfId="34268" xr:uid="{00000000-0005-0000-0000-00007A840000}"/>
    <cellStyle name="Normal 12 3 4 6" xfId="34269" xr:uid="{00000000-0005-0000-0000-00007B840000}"/>
    <cellStyle name="Normal 12 3 4 7" xfId="34270" xr:uid="{00000000-0005-0000-0000-00007C840000}"/>
    <cellStyle name="Normal 12 3 4 8" xfId="34271" xr:uid="{00000000-0005-0000-0000-00007D840000}"/>
    <cellStyle name="Normal 12 3 4 9" xfId="34272" xr:uid="{00000000-0005-0000-0000-00007E840000}"/>
    <cellStyle name="Normal 12 3 5" xfId="34273" xr:uid="{00000000-0005-0000-0000-00007F840000}"/>
    <cellStyle name="Normal 12 3 5 2" xfId="34274" xr:uid="{00000000-0005-0000-0000-000080840000}"/>
    <cellStyle name="Normal 12 3 5 2 2" xfId="34275" xr:uid="{00000000-0005-0000-0000-000081840000}"/>
    <cellStyle name="Normal 12 3 5 2 2 2" xfId="34276" xr:uid="{00000000-0005-0000-0000-000082840000}"/>
    <cellStyle name="Normal 12 3 5 2 2 3" xfId="34277" xr:uid="{00000000-0005-0000-0000-000083840000}"/>
    <cellStyle name="Normal 12 3 5 2 3" xfId="34278" xr:uid="{00000000-0005-0000-0000-000084840000}"/>
    <cellStyle name="Normal 12 3 5 2 4" xfId="34279" xr:uid="{00000000-0005-0000-0000-000085840000}"/>
    <cellStyle name="Normal 12 3 5 2 5" xfId="34280" xr:uid="{00000000-0005-0000-0000-000086840000}"/>
    <cellStyle name="Normal 12 3 5 2 6" xfId="34281" xr:uid="{00000000-0005-0000-0000-000087840000}"/>
    <cellStyle name="Normal 12 3 5 3" xfId="34282" xr:uid="{00000000-0005-0000-0000-000088840000}"/>
    <cellStyle name="Normal 12 3 5 3 2" xfId="34283" xr:uid="{00000000-0005-0000-0000-000089840000}"/>
    <cellStyle name="Normal 12 3 5 3 3" xfId="34284" xr:uid="{00000000-0005-0000-0000-00008A840000}"/>
    <cellStyle name="Normal 12 3 5 4" xfId="34285" xr:uid="{00000000-0005-0000-0000-00008B840000}"/>
    <cellStyle name="Normal 12 3 5 5" xfId="34286" xr:uid="{00000000-0005-0000-0000-00008C840000}"/>
    <cellStyle name="Normal 12 3 5 6" xfId="34287" xr:uid="{00000000-0005-0000-0000-00008D840000}"/>
    <cellStyle name="Normal 12 3 5 7" xfId="34288" xr:uid="{00000000-0005-0000-0000-00008E840000}"/>
    <cellStyle name="Normal 12 3 6" xfId="34289" xr:uid="{00000000-0005-0000-0000-00008F840000}"/>
    <cellStyle name="Normal 12 3 6 2" xfId="34290" xr:uid="{00000000-0005-0000-0000-000090840000}"/>
    <cellStyle name="Normal 12 3 6 2 2" xfId="34291" xr:uid="{00000000-0005-0000-0000-000091840000}"/>
    <cellStyle name="Normal 12 3 6 2 3" xfId="34292" xr:uid="{00000000-0005-0000-0000-000092840000}"/>
    <cellStyle name="Normal 12 3 6 3" xfId="34293" xr:uid="{00000000-0005-0000-0000-000093840000}"/>
    <cellStyle name="Normal 12 3 6 4" xfId="34294" xr:uid="{00000000-0005-0000-0000-000094840000}"/>
    <cellStyle name="Normal 12 3 6 5" xfId="34295" xr:uid="{00000000-0005-0000-0000-000095840000}"/>
    <cellStyle name="Normal 12 3 6 6" xfId="34296" xr:uid="{00000000-0005-0000-0000-000096840000}"/>
    <cellStyle name="Normal 12 3 7" xfId="34297" xr:uid="{00000000-0005-0000-0000-000097840000}"/>
    <cellStyle name="Normal 12 3 7 2" xfId="34298" xr:uid="{00000000-0005-0000-0000-000098840000}"/>
    <cellStyle name="Normal 12 3 7 2 2" xfId="34299" xr:uid="{00000000-0005-0000-0000-000099840000}"/>
    <cellStyle name="Normal 12 3 7 2 3" xfId="34300" xr:uid="{00000000-0005-0000-0000-00009A840000}"/>
    <cellStyle name="Normal 12 3 7 3" xfId="34301" xr:uid="{00000000-0005-0000-0000-00009B840000}"/>
    <cellStyle name="Normal 12 3 7 4" xfId="34302" xr:uid="{00000000-0005-0000-0000-00009C840000}"/>
    <cellStyle name="Normal 12 3 7 5" xfId="34303" xr:uid="{00000000-0005-0000-0000-00009D840000}"/>
    <cellStyle name="Normal 12 3 7 6" xfId="34304" xr:uid="{00000000-0005-0000-0000-00009E840000}"/>
    <cellStyle name="Normal 12 3 8" xfId="34305" xr:uid="{00000000-0005-0000-0000-00009F840000}"/>
    <cellStyle name="Normal 12 3 8 2" xfId="34306" xr:uid="{00000000-0005-0000-0000-0000A0840000}"/>
    <cellStyle name="Normal 12 3 8 2 2" xfId="34307" xr:uid="{00000000-0005-0000-0000-0000A1840000}"/>
    <cellStyle name="Normal 12 3 8 2 3" xfId="34308" xr:uid="{00000000-0005-0000-0000-0000A2840000}"/>
    <cellStyle name="Normal 12 3 8 3" xfId="34309" xr:uid="{00000000-0005-0000-0000-0000A3840000}"/>
    <cellStyle name="Normal 12 3 8 4" xfId="34310" xr:uid="{00000000-0005-0000-0000-0000A4840000}"/>
    <cellStyle name="Normal 12 3 8 5" xfId="34311" xr:uid="{00000000-0005-0000-0000-0000A5840000}"/>
    <cellStyle name="Normal 12 3 8 6" xfId="34312" xr:uid="{00000000-0005-0000-0000-0000A6840000}"/>
    <cellStyle name="Normal 12 3 9" xfId="34313" xr:uid="{00000000-0005-0000-0000-0000A7840000}"/>
    <cellStyle name="Normal 12 3 9 2" xfId="34314" xr:uid="{00000000-0005-0000-0000-0000A8840000}"/>
    <cellStyle name="Normal 12 3 9 2 2" xfId="34315" xr:uid="{00000000-0005-0000-0000-0000A9840000}"/>
    <cellStyle name="Normal 12 3 9 2 3" xfId="34316" xr:uid="{00000000-0005-0000-0000-0000AA840000}"/>
    <cellStyle name="Normal 12 3 9 3" xfId="34317" xr:uid="{00000000-0005-0000-0000-0000AB840000}"/>
    <cellStyle name="Normal 12 3 9 4" xfId="34318" xr:uid="{00000000-0005-0000-0000-0000AC840000}"/>
    <cellStyle name="Normal 12 3 9 5" xfId="34319" xr:uid="{00000000-0005-0000-0000-0000AD840000}"/>
    <cellStyle name="Normal 12 3 9 6" xfId="34320" xr:uid="{00000000-0005-0000-0000-0000AE840000}"/>
    <cellStyle name="Normal 12 4" xfId="391" xr:uid="{00000000-0005-0000-0000-0000AF840000}"/>
    <cellStyle name="Normal 12 4 10" xfId="34321" xr:uid="{00000000-0005-0000-0000-0000B0840000}"/>
    <cellStyle name="Normal 12 4 10 2" xfId="34322" xr:uid="{00000000-0005-0000-0000-0000B1840000}"/>
    <cellStyle name="Normal 12 4 10 3" xfId="34323" xr:uid="{00000000-0005-0000-0000-0000B2840000}"/>
    <cellStyle name="Normal 12 4 11" xfId="34324" xr:uid="{00000000-0005-0000-0000-0000B3840000}"/>
    <cellStyle name="Normal 12 4 12" xfId="34325" xr:uid="{00000000-0005-0000-0000-0000B4840000}"/>
    <cellStyle name="Normal 12 4 13" xfId="34326" xr:uid="{00000000-0005-0000-0000-0000B5840000}"/>
    <cellStyle name="Normal 12 4 14" xfId="34327" xr:uid="{00000000-0005-0000-0000-0000B6840000}"/>
    <cellStyle name="Normal 12 4 2" xfId="34328" xr:uid="{00000000-0005-0000-0000-0000B7840000}"/>
    <cellStyle name="Normal 12 4 2 10" xfId="34329" xr:uid="{00000000-0005-0000-0000-0000B8840000}"/>
    <cellStyle name="Normal 12 4 2 11" xfId="34330" xr:uid="{00000000-0005-0000-0000-0000B9840000}"/>
    <cellStyle name="Normal 12 4 2 12" xfId="34331" xr:uid="{00000000-0005-0000-0000-0000BA840000}"/>
    <cellStyle name="Normal 12 4 2 13" xfId="34332" xr:uid="{00000000-0005-0000-0000-0000BB840000}"/>
    <cellStyle name="Normal 12 4 2 2" xfId="34333" xr:uid="{00000000-0005-0000-0000-0000BC840000}"/>
    <cellStyle name="Normal 12 4 2 2 10" xfId="34334" xr:uid="{00000000-0005-0000-0000-0000BD840000}"/>
    <cellStyle name="Normal 12 4 2 2 2" xfId="34335" xr:uid="{00000000-0005-0000-0000-0000BE840000}"/>
    <cellStyle name="Normal 12 4 2 2 2 2" xfId="34336" xr:uid="{00000000-0005-0000-0000-0000BF840000}"/>
    <cellStyle name="Normal 12 4 2 2 2 2 2" xfId="34337" xr:uid="{00000000-0005-0000-0000-0000C0840000}"/>
    <cellStyle name="Normal 12 4 2 2 2 2 2 2" xfId="34338" xr:uid="{00000000-0005-0000-0000-0000C1840000}"/>
    <cellStyle name="Normal 12 4 2 2 2 2 2 3" xfId="34339" xr:uid="{00000000-0005-0000-0000-0000C2840000}"/>
    <cellStyle name="Normal 12 4 2 2 2 2 3" xfId="34340" xr:uid="{00000000-0005-0000-0000-0000C3840000}"/>
    <cellStyle name="Normal 12 4 2 2 2 2 4" xfId="34341" xr:uid="{00000000-0005-0000-0000-0000C4840000}"/>
    <cellStyle name="Normal 12 4 2 2 2 2 5" xfId="34342" xr:uid="{00000000-0005-0000-0000-0000C5840000}"/>
    <cellStyle name="Normal 12 4 2 2 2 2 6" xfId="34343" xr:uid="{00000000-0005-0000-0000-0000C6840000}"/>
    <cellStyle name="Normal 12 4 2 2 2 3" xfId="34344" xr:uid="{00000000-0005-0000-0000-0000C7840000}"/>
    <cellStyle name="Normal 12 4 2 2 2 3 2" xfId="34345" xr:uid="{00000000-0005-0000-0000-0000C8840000}"/>
    <cellStyle name="Normal 12 4 2 2 2 3 2 2" xfId="34346" xr:uid="{00000000-0005-0000-0000-0000C9840000}"/>
    <cellStyle name="Normal 12 4 2 2 2 3 2 3" xfId="34347" xr:uid="{00000000-0005-0000-0000-0000CA840000}"/>
    <cellStyle name="Normal 12 4 2 2 2 3 3" xfId="34348" xr:uid="{00000000-0005-0000-0000-0000CB840000}"/>
    <cellStyle name="Normal 12 4 2 2 2 3 4" xfId="34349" xr:uid="{00000000-0005-0000-0000-0000CC840000}"/>
    <cellStyle name="Normal 12 4 2 2 2 3 5" xfId="34350" xr:uid="{00000000-0005-0000-0000-0000CD840000}"/>
    <cellStyle name="Normal 12 4 2 2 2 3 6" xfId="34351" xr:uid="{00000000-0005-0000-0000-0000CE840000}"/>
    <cellStyle name="Normal 12 4 2 2 2 4" xfId="34352" xr:uid="{00000000-0005-0000-0000-0000CF840000}"/>
    <cellStyle name="Normal 12 4 2 2 2 4 2" xfId="34353" xr:uid="{00000000-0005-0000-0000-0000D0840000}"/>
    <cellStyle name="Normal 12 4 2 2 2 4 3" xfId="34354" xr:uid="{00000000-0005-0000-0000-0000D1840000}"/>
    <cellStyle name="Normal 12 4 2 2 2 5" xfId="34355" xr:uid="{00000000-0005-0000-0000-0000D2840000}"/>
    <cellStyle name="Normal 12 4 2 2 2 6" xfId="34356" xr:uid="{00000000-0005-0000-0000-0000D3840000}"/>
    <cellStyle name="Normal 12 4 2 2 2 7" xfId="34357" xr:uid="{00000000-0005-0000-0000-0000D4840000}"/>
    <cellStyle name="Normal 12 4 2 2 2 8" xfId="34358" xr:uid="{00000000-0005-0000-0000-0000D5840000}"/>
    <cellStyle name="Normal 12 4 2 2 3" xfId="34359" xr:uid="{00000000-0005-0000-0000-0000D6840000}"/>
    <cellStyle name="Normal 12 4 2 2 3 2" xfId="34360" xr:uid="{00000000-0005-0000-0000-0000D7840000}"/>
    <cellStyle name="Normal 12 4 2 2 3 2 2" xfId="34361" xr:uid="{00000000-0005-0000-0000-0000D8840000}"/>
    <cellStyle name="Normal 12 4 2 2 3 2 2 2" xfId="34362" xr:uid="{00000000-0005-0000-0000-0000D9840000}"/>
    <cellStyle name="Normal 12 4 2 2 3 2 2 3" xfId="34363" xr:uid="{00000000-0005-0000-0000-0000DA840000}"/>
    <cellStyle name="Normal 12 4 2 2 3 2 3" xfId="34364" xr:uid="{00000000-0005-0000-0000-0000DB840000}"/>
    <cellStyle name="Normal 12 4 2 2 3 2 4" xfId="34365" xr:uid="{00000000-0005-0000-0000-0000DC840000}"/>
    <cellStyle name="Normal 12 4 2 2 3 2 5" xfId="34366" xr:uid="{00000000-0005-0000-0000-0000DD840000}"/>
    <cellStyle name="Normal 12 4 2 2 3 2 6" xfId="34367" xr:uid="{00000000-0005-0000-0000-0000DE840000}"/>
    <cellStyle name="Normal 12 4 2 2 3 3" xfId="34368" xr:uid="{00000000-0005-0000-0000-0000DF840000}"/>
    <cellStyle name="Normal 12 4 2 2 3 3 2" xfId="34369" xr:uid="{00000000-0005-0000-0000-0000E0840000}"/>
    <cellStyle name="Normal 12 4 2 2 3 3 3" xfId="34370" xr:uid="{00000000-0005-0000-0000-0000E1840000}"/>
    <cellStyle name="Normal 12 4 2 2 3 4" xfId="34371" xr:uid="{00000000-0005-0000-0000-0000E2840000}"/>
    <cellStyle name="Normal 12 4 2 2 3 5" xfId="34372" xr:uid="{00000000-0005-0000-0000-0000E3840000}"/>
    <cellStyle name="Normal 12 4 2 2 3 6" xfId="34373" xr:uid="{00000000-0005-0000-0000-0000E4840000}"/>
    <cellStyle name="Normal 12 4 2 2 3 7" xfId="34374" xr:uid="{00000000-0005-0000-0000-0000E5840000}"/>
    <cellStyle name="Normal 12 4 2 2 4" xfId="34375" xr:uid="{00000000-0005-0000-0000-0000E6840000}"/>
    <cellStyle name="Normal 12 4 2 2 4 2" xfId="34376" xr:uid="{00000000-0005-0000-0000-0000E7840000}"/>
    <cellStyle name="Normal 12 4 2 2 4 2 2" xfId="34377" xr:uid="{00000000-0005-0000-0000-0000E8840000}"/>
    <cellStyle name="Normal 12 4 2 2 4 2 3" xfId="34378" xr:uid="{00000000-0005-0000-0000-0000E9840000}"/>
    <cellStyle name="Normal 12 4 2 2 4 3" xfId="34379" xr:uid="{00000000-0005-0000-0000-0000EA840000}"/>
    <cellStyle name="Normal 12 4 2 2 4 4" xfId="34380" xr:uid="{00000000-0005-0000-0000-0000EB840000}"/>
    <cellStyle name="Normal 12 4 2 2 4 5" xfId="34381" xr:uid="{00000000-0005-0000-0000-0000EC840000}"/>
    <cellStyle name="Normal 12 4 2 2 4 6" xfId="34382" xr:uid="{00000000-0005-0000-0000-0000ED840000}"/>
    <cellStyle name="Normal 12 4 2 2 5" xfId="34383" xr:uid="{00000000-0005-0000-0000-0000EE840000}"/>
    <cellStyle name="Normal 12 4 2 2 5 2" xfId="34384" xr:uid="{00000000-0005-0000-0000-0000EF840000}"/>
    <cellStyle name="Normal 12 4 2 2 5 2 2" xfId="34385" xr:uid="{00000000-0005-0000-0000-0000F0840000}"/>
    <cellStyle name="Normal 12 4 2 2 5 2 3" xfId="34386" xr:uid="{00000000-0005-0000-0000-0000F1840000}"/>
    <cellStyle name="Normal 12 4 2 2 5 3" xfId="34387" xr:uid="{00000000-0005-0000-0000-0000F2840000}"/>
    <cellStyle name="Normal 12 4 2 2 5 4" xfId="34388" xr:uid="{00000000-0005-0000-0000-0000F3840000}"/>
    <cellStyle name="Normal 12 4 2 2 5 5" xfId="34389" xr:uid="{00000000-0005-0000-0000-0000F4840000}"/>
    <cellStyle name="Normal 12 4 2 2 5 6" xfId="34390" xr:uid="{00000000-0005-0000-0000-0000F5840000}"/>
    <cellStyle name="Normal 12 4 2 2 6" xfId="34391" xr:uid="{00000000-0005-0000-0000-0000F6840000}"/>
    <cellStyle name="Normal 12 4 2 2 6 2" xfId="34392" xr:uid="{00000000-0005-0000-0000-0000F7840000}"/>
    <cellStyle name="Normal 12 4 2 2 6 3" xfId="34393" xr:uid="{00000000-0005-0000-0000-0000F8840000}"/>
    <cellStyle name="Normal 12 4 2 2 7" xfId="34394" xr:uid="{00000000-0005-0000-0000-0000F9840000}"/>
    <cellStyle name="Normal 12 4 2 2 8" xfId="34395" xr:uid="{00000000-0005-0000-0000-0000FA840000}"/>
    <cellStyle name="Normal 12 4 2 2 9" xfId="34396" xr:uid="{00000000-0005-0000-0000-0000FB840000}"/>
    <cellStyle name="Normal 12 4 2 3" xfId="34397" xr:uid="{00000000-0005-0000-0000-0000FC840000}"/>
    <cellStyle name="Normal 12 4 2 3 2" xfId="34398" xr:uid="{00000000-0005-0000-0000-0000FD840000}"/>
    <cellStyle name="Normal 12 4 2 3 2 2" xfId="34399" xr:uid="{00000000-0005-0000-0000-0000FE840000}"/>
    <cellStyle name="Normal 12 4 2 3 2 2 2" xfId="34400" xr:uid="{00000000-0005-0000-0000-0000FF840000}"/>
    <cellStyle name="Normal 12 4 2 3 2 2 2 2" xfId="34401" xr:uid="{00000000-0005-0000-0000-000000850000}"/>
    <cellStyle name="Normal 12 4 2 3 2 2 2 3" xfId="34402" xr:uid="{00000000-0005-0000-0000-000001850000}"/>
    <cellStyle name="Normal 12 4 2 3 2 2 3" xfId="34403" xr:uid="{00000000-0005-0000-0000-000002850000}"/>
    <cellStyle name="Normal 12 4 2 3 2 2 4" xfId="34404" xr:uid="{00000000-0005-0000-0000-000003850000}"/>
    <cellStyle name="Normal 12 4 2 3 2 2 5" xfId="34405" xr:uid="{00000000-0005-0000-0000-000004850000}"/>
    <cellStyle name="Normal 12 4 2 3 2 2 6" xfId="34406" xr:uid="{00000000-0005-0000-0000-000005850000}"/>
    <cellStyle name="Normal 12 4 2 3 2 3" xfId="34407" xr:uid="{00000000-0005-0000-0000-000006850000}"/>
    <cellStyle name="Normal 12 4 2 3 2 3 2" xfId="34408" xr:uid="{00000000-0005-0000-0000-000007850000}"/>
    <cellStyle name="Normal 12 4 2 3 2 3 3" xfId="34409" xr:uid="{00000000-0005-0000-0000-000008850000}"/>
    <cellStyle name="Normal 12 4 2 3 2 4" xfId="34410" xr:uid="{00000000-0005-0000-0000-000009850000}"/>
    <cellStyle name="Normal 12 4 2 3 2 5" xfId="34411" xr:uid="{00000000-0005-0000-0000-00000A850000}"/>
    <cellStyle name="Normal 12 4 2 3 2 6" xfId="34412" xr:uid="{00000000-0005-0000-0000-00000B850000}"/>
    <cellStyle name="Normal 12 4 2 3 2 7" xfId="34413" xr:uid="{00000000-0005-0000-0000-00000C850000}"/>
    <cellStyle name="Normal 12 4 2 3 3" xfId="34414" xr:uid="{00000000-0005-0000-0000-00000D850000}"/>
    <cellStyle name="Normal 12 4 2 3 3 2" xfId="34415" xr:uid="{00000000-0005-0000-0000-00000E850000}"/>
    <cellStyle name="Normal 12 4 2 3 3 2 2" xfId="34416" xr:uid="{00000000-0005-0000-0000-00000F850000}"/>
    <cellStyle name="Normal 12 4 2 3 3 2 3" xfId="34417" xr:uid="{00000000-0005-0000-0000-000010850000}"/>
    <cellStyle name="Normal 12 4 2 3 3 3" xfId="34418" xr:uid="{00000000-0005-0000-0000-000011850000}"/>
    <cellStyle name="Normal 12 4 2 3 3 4" xfId="34419" xr:uid="{00000000-0005-0000-0000-000012850000}"/>
    <cellStyle name="Normal 12 4 2 3 3 5" xfId="34420" xr:uid="{00000000-0005-0000-0000-000013850000}"/>
    <cellStyle name="Normal 12 4 2 3 3 6" xfId="34421" xr:uid="{00000000-0005-0000-0000-000014850000}"/>
    <cellStyle name="Normal 12 4 2 3 4" xfId="34422" xr:uid="{00000000-0005-0000-0000-000015850000}"/>
    <cellStyle name="Normal 12 4 2 3 4 2" xfId="34423" xr:uid="{00000000-0005-0000-0000-000016850000}"/>
    <cellStyle name="Normal 12 4 2 3 4 2 2" xfId="34424" xr:uid="{00000000-0005-0000-0000-000017850000}"/>
    <cellStyle name="Normal 12 4 2 3 4 2 3" xfId="34425" xr:uid="{00000000-0005-0000-0000-000018850000}"/>
    <cellStyle name="Normal 12 4 2 3 4 3" xfId="34426" xr:uid="{00000000-0005-0000-0000-000019850000}"/>
    <cellStyle name="Normal 12 4 2 3 4 4" xfId="34427" xr:uid="{00000000-0005-0000-0000-00001A850000}"/>
    <cellStyle name="Normal 12 4 2 3 4 5" xfId="34428" xr:uid="{00000000-0005-0000-0000-00001B850000}"/>
    <cellStyle name="Normal 12 4 2 3 4 6" xfId="34429" xr:uid="{00000000-0005-0000-0000-00001C850000}"/>
    <cellStyle name="Normal 12 4 2 3 5" xfId="34430" xr:uid="{00000000-0005-0000-0000-00001D850000}"/>
    <cellStyle name="Normal 12 4 2 3 5 2" xfId="34431" xr:uid="{00000000-0005-0000-0000-00001E850000}"/>
    <cellStyle name="Normal 12 4 2 3 5 3" xfId="34432" xr:uid="{00000000-0005-0000-0000-00001F850000}"/>
    <cellStyle name="Normal 12 4 2 3 6" xfId="34433" xr:uid="{00000000-0005-0000-0000-000020850000}"/>
    <cellStyle name="Normal 12 4 2 3 7" xfId="34434" xr:uid="{00000000-0005-0000-0000-000021850000}"/>
    <cellStyle name="Normal 12 4 2 3 8" xfId="34435" xr:uid="{00000000-0005-0000-0000-000022850000}"/>
    <cellStyle name="Normal 12 4 2 3 9" xfId="34436" xr:uid="{00000000-0005-0000-0000-000023850000}"/>
    <cellStyle name="Normal 12 4 2 4" xfId="34437" xr:uid="{00000000-0005-0000-0000-000024850000}"/>
    <cellStyle name="Normal 12 4 2 4 2" xfId="34438" xr:uid="{00000000-0005-0000-0000-000025850000}"/>
    <cellStyle name="Normal 12 4 2 4 2 2" xfId="34439" xr:uid="{00000000-0005-0000-0000-000026850000}"/>
    <cellStyle name="Normal 12 4 2 4 2 2 2" xfId="34440" xr:uid="{00000000-0005-0000-0000-000027850000}"/>
    <cellStyle name="Normal 12 4 2 4 2 2 3" xfId="34441" xr:uid="{00000000-0005-0000-0000-000028850000}"/>
    <cellStyle name="Normal 12 4 2 4 2 3" xfId="34442" xr:uid="{00000000-0005-0000-0000-000029850000}"/>
    <cellStyle name="Normal 12 4 2 4 2 4" xfId="34443" xr:uid="{00000000-0005-0000-0000-00002A850000}"/>
    <cellStyle name="Normal 12 4 2 4 2 5" xfId="34444" xr:uid="{00000000-0005-0000-0000-00002B850000}"/>
    <cellStyle name="Normal 12 4 2 4 2 6" xfId="34445" xr:uid="{00000000-0005-0000-0000-00002C850000}"/>
    <cellStyle name="Normal 12 4 2 4 3" xfId="34446" xr:uid="{00000000-0005-0000-0000-00002D850000}"/>
    <cellStyle name="Normal 12 4 2 4 3 2" xfId="34447" xr:uid="{00000000-0005-0000-0000-00002E850000}"/>
    <cellStyle name="Normal 12 4 2 4 3 3" xfId="34448" xr:uid="{00000000-0005-0000-0000-00002F850000}"/>
    <cellStyle name="Normal 12 4 2 4 4" xfId="34449" xr:uid="{00000000-0005-0000-0000-000030850000}"/>
    <cellStyle name="Normal 12 4 2 4 5" xfId="34450" xr:uid="{00000000-0005-0000-0000-000031850000}"/>
    <cellStyle name="Normal 12 4 2 4 6" xfId="34451" xr:uid="{00000000-0005-0000-0000-000032850000}"/>
    <cellStyle name="Normal 12 4 2 4 7" xfId="34452" xr:uid="{00000000-0005-0000-0000-000033850000}"/>
    <cellStyle name="Normal 12 4 2 5" xfId="34453" xr:uid="{00000000-0005-0000-0000-000034850000}"/>
    <cellStyle name="Normal 12 4 2 5 2" xfId="34454" xr:uid="{00000000-0005-0000-0000-000035850000}"/>
    <cellStyle name="Normal 12 4 2 5 2 2" xfId="34455" xr:uid="{00000000-0005-0000-0000-000036850000}"/>
    <cellStyle name="Normal 12 4 2 5 2 3" xfId="34456" xr:uid="{00000000-0005-0000-0000-000037850000}"/>
    <cellStyle name="Normal 12 4 2 5 3" xfId="34457" xr:uid="{00000000-0005-0000-0000-000038850000}"/>
    <cellStyle name="Normal 12 4 2 5 4" xfId="34458" xr:uid="{00000000-0005-0000-0000-000039850000}"/>
    <cellStyle name="Normal 12 4 2 5 5" xfId="34459" xr:uid="{00000000-0005-0000-0000-00003A850000}"/>
    <cellStyle name="Normal 12 4 2 5 6" xfId="34460" xr:uid="{00000000-0005-0000-0000-00003B850000}"/>
    <cellStyle name="Normal 12 4 2 6" xfId="34461" xr:uid="{00000000-0005-0000-0000-00003C850000}"/>
    <cellStyle name="Normal 12 4 2 6 2" xfId="34462" xr:uid="{00000000-0005-0000-0000-00003D850000}"/>
    <cellStyle name="Normal 12 4 2 6 2 2" xfId="34463" xr:uid="{00000000-0005-0000-0000-00003E850000}"/>
    <cellStyle name="Normal 12 4 2 6 2 3" xfId="34464" xr:uid="{00000000-0005-0000-0000-00003F850000}"/>
    <cellStyle name="Normal 12 4 2 6 3" xfId="34465" xr:uid="{00000000-0005-0000-0000-000040850000}"/>
    <cellStyle name="Normal 12 4 2 6 4" xfId="34466" xr:uid="{00000000-0005-0000-0000-000041850000}"/>
    <cellStyle name="Normal 12 4 2 6 5" xfId="34467" xr:uid="{00000000-0005-0000-0000-000042850000}"/>
    <cellStyle name="Normal 12 4 2 6 6" xfId="34468" xr:uid="{00000000-0005-0000-0000-000043850000}"/>
    <cellStyle name="Normal 12 4 2 7" xfId="34469" xr:uid="{00000000-0005-0000-0000-000044850000}"/>
    <cellStyle name="Normal 12 4 2 7 2" xfId="34470" xr:uid="{00000000-0005-0000-0000-000045850000}"/>
    <cellStyle name="Normal 12 4 2 7 2 2" xfId="34471" xr:uid="{00000000-0005-0000-0000-000046850000}"/>
    <cellStyle name="Normal 12 4 2 7 2 3" xfId="34472" xr:uid="{00000000-0005-0000-0000-000047850000}"/>
    <cellStyle name="Normal 12 4 2 7 3" xfId="34473" xr:uid="{00000000-0005-0000-0000-000048850000}"/>
    <cellStyle name="Normal 12 4 2 7 4" xfId="34474" xr:uid="{00000000-0005-0000-0000-000049850000}"/>
    <cellStyle name="Normal 12 4 2 7 5" xfId="34475" xr:uid="{00000000-0005-0000-0000-00004A850000}"/>
    <cellStyle name="Normal 12 4 2 7 6" xfId="34476" xr:uid="{00000000-0005-0000-0000-00004B850000}"/>
    <cellStyle name="Normal 12 4 2 8" xfId="34477" xr:uid="{00000000-0005-0000-0000-00004C850000}"/>
    <cellStyle name="Normal 12 4 2 8 2" xfId="34478" xr:uid="{00000000-0005-0000-0000-00004D850000}"/>
    <cellStyle name="Normal 12 4 2 8 2 2" xfId="34479" xr:uid="{00000000-0005-0000-0000-00004E850000}"/>
    <cellStyle name="Normal 12 4 2 8 2 3" xfId="34480" xr:uid="{00000000-0005-0000-0000-00004F850000}"/>
    <cellStyle name="Normal 12 4 2 8 3" xfId="34481" xr:uid="{00000000-0005-0000-0000-000050850000}"/>
    <cellStyle name="Normal 12 4 2 8 4" xfId="34482" xr:uid="{00000000-0005-0000-0000-000051850000}"/>
    <cellStyle name="Normal 12 4 2 8 5" xfId="34483" xr:uid="{00000000-0005-0000-0000-000052850000}"/>
    <cellStyle name="Normal 12 4 2 8 6" xfId="34484" xr:uid="{00000000-0005-0000-0000-000053850000}"/>
    <cellStyle name="Normal 12 4 2 9" xfId="34485" xr:uid="{00000000-0005-0000-0000-000054850000}"/>
    <cellStyle name="Normal 12 4 2 9 2" xfId="34486" xr:uid="{00000000-0005-0000-0000-000055850000}"/>
    <cellStyle name="Normal 12 4 2 9 3" xfId="34487" xr:uid="{00000000-0005-0000-0000-000056850000}"/>
    <cellStyle name="Normal 12 4 3" xfId="34488" xr:uid="{00000000-0005-0000-0000-000057850000}"/>
    <cellStyle name="Normal 12 4 3 10" xfId="34489" xr:uid="{00000000-0005-0000-0000-000058850000}"/>
    <cellStyle name="Normal 12 4 3 2" xfId="34490" xr:uid="{00000000-0005-0000-0000-000059850000}"/>
    <cellStyle name="Normal 12 4 3 2 2" xfId="34491" xr:uid="{00000000-0005-0000-0000-00005A850000}"/>
    <cellStyle name="Normal 12 4 3 2 2 2" xfId="34492" xr:uid="{00000000-0005-0000-0000-00005B850000}"/>
    <cellStyle name="Normal 12 4 3 2 2 2 2" xfId="34493" xr:uid="{00000000-0005-0000-0000-00005C850000}"/>
    <cellStyle name="Normal 12 4 3 2 2 2 3" xfId="34494" xr:uid="{00000000-0005-0000-0000-00005D850000}"/>
    <cellStyle name="Normal 12 4 3 2 2 3" xfId="34495" xr:uid="{00000000-0005-0000-0000-00005E850000}"/>
    <cellStyle name="Normal 12 4 3 2 2 4" xfId="34496" xr:uid="{00000000-0005-0000-0000-00005F850000}"/>
    <cellStyle name="Normal 12 4 3 2 2 5" xfId="34497" xr:uid="{00000000-0005-0000-0000-000060850000}"/>
    <cellStyle name="Normal 12 4 3 2 2 6" xfId="34498" xr:uid="{00000000-0005-0000-0000-000061850000}"/>
    <cellStyle name="Normal 12 4 3 2 3" xfId="34499" xr:uid="{00000000-0005-0000-0000-000062850000}"/>
    <cellStyle name="Normal 12 4 3 2 3 2" xfId="34500" xr:uid="{00000000-0005-0000-0000-000063850000}"/>
    <cellStyle name="Normal 12 4 3 2 3 2 2" xfId="34501" xr:uid="{00000000-0005-0000-0000-000064850000}"/>
    <cellStyle name="Normal 12 4 3 2 3 2 3" xfId="34502" xr:uid="{00000000-0005-0000-0000-000065850000}"/>
    <cellStyle name="Normal 12 4 3 2 3 3" xfId="34503" xr:uid="{00000000-0005-0000-0000-000066850000}"/>
    <cellStyle name="Normal 12 4 3 2 3 4" xfId="34504" xr:uid="{00000000-0005-0000-0000-000067850000}"/>
    <cellStyle name="Normal 12 4 3 2 3 5" xfId="34505" xr:uid="{00000000-0005-0000-0000-000068850000}"/>
    <cellStyle name="Normal 12 4 3 2 3 6" xfId="34506" xr:uid="{00000000-0005-0000-0000-000069850000}"/>
    <cellStyle name="Normal 12 4 3 2 4" xfId="34507" xr:uid="{00000000-0005-0000-0000-00006A850000}"/>
    <cellStyle name="Normal 12 4 3 2 4 2" xfId="34508" xr:uid="{00000000-0005-0000-0000-00006B850000}"/>
    <cellStyle name="Normal 12 4 3 2 4 3" xfId="34509" xr:uid="{00000000-0005-0000-0000-00006C850000}"/>
    <cellStyle name="Normal 12 4 3 2 5" xfId="34510" xr:uid="{00000000-0005-0000-0000-00006D850000}"/>
    <cellStyle name="Normal 12 4 3 2 6" xfId="34511" xr:uid="{00000000-0005-0000-0000-00006E850000}"/>
    <cellStyle name="Normal 12 4 3 2 7" xfId="34512" xr:uid="{00000000-0005-0000-0000-00006F850000}"/>
    <cellStyle name="Normal 12 4 3 2 8" xfId="34513" xr:uid="{00000000-0005-0000-0000-000070850000}"/>
    <cellStyle name="Normal 12 4 3 3" xfId="34514" xr:uid="{00000000-0005-0000-0000-000071850000}"/>
    <cellStyle name="Normal 12 4 3 3 2" xfId="34515" xr:uid="{00000000-0005-0000-0000-000072850000}"/>
    <cellStyle name="Normal 12 4 3 3 2 2" xfId="34516" xr:uid="{00000000-0005-0000-0000-000073850000}"/>
    <cellStyle name="Normal 12 4 3 3 2 2 2" xfId="34517" xr:uid="{00000000-0005-0000-0000-000074850000}"/>
    <cellStyle name="Normal 12 4 3 3 2 2 3" xfId="34518" xr:uid="{00000000-0005-0000-0000-000075850000}"/>
    <cellStyle name="Normal 12 4 3 3 2 3" xfId="34519" xr:uid="{00000000-0005-0000-0000-000076850000}"/>
    <cellStyle name="Normal 12 4 3 3 2 4" xfId="34520" xr:uid="{00000000-0005-0000-0000-000077850000}"/>
    <cellStyle name="Normal 12 4 3 3 2 5" xfId="34521" xr:uid="{00000000-0005-0000-0000-000078850000}"/>
    <cellStyle name="Normal 12 4 3 3 2 6" xfId="34522" xr:uid="{00000000-0005-0000-0000-000079850000}"/>
    <cellStyle name="Normal 12 4 3 3 3" xfId="34523" xr:uid="{00000000-0005-0000-0000-00007A850000}"/>
    <cellStyle name="Normal 12 4 3 3 3 2" xfId="34524" xr:uid="{00000000-0005-0000-0000-00007B850000}"/>
    <cellStyle name="Normal 12 4 3 3 3 3" xfId="34525" xr:uid="{00000000-0005-0000-0000-00007C850000}"/>
    <cellStyle name="Normal 12 4 3 3 4" xfId="34526" xr:uid="{00000000-0005-0000-0000-00007D850000}"/>
    <cellStyle name="Normal 12 4 3 3 5" xfId="34527" xr:uid="{00000000-0005-0000-0000-00007E850000}"/>
    <cellStyle name="Normal 12 4 3 3 6" xfId="34528" xr:uid="{00000000-0005-0000-0000-00007F850000}"/>
    <cellStyle name="Normal 12 4 3 3 7" xfId="34529" xr:uid="{00000000-0005-0000-0000-000080850000}"/>
    <cellStyle name="Normal 12 4 3 4" xfId="34530" xr:uid="{00000000-0005-0000-0000-000081850000}"/>
    <cellStyle name="Normal 12 4 3 4 2" xfId="34531" xr:uid="{00000000-0005-0000-0000-000082850000}"/>
    <cellStyle name="Normal 12 4 3 4 2 2" xfId="34532" xr:uid="{00000000-0005-0000-0000-000083850000}"/>
    <cellStyle name="Normal 12 4 3 4 2 3" xfId="34533" xr:uid="{00000000-0005-0000-0000-000084850000}"/>
    <cellStyle name="Normal 12 4 3 4 3" xfId="34534" xr:uid="{00000000-0005-0000-0000-000085850000}"/>
    <cellStyle name="Normal 12 4 3 4 4" xfId="34535" xr:uid="{00000000-0005-0000-0000-000086850000}"/>
    <cellStyle name="Normal 12 4 3 4 5" xfId="34536" xr:uid="{00000000-0005-0000-0000-000087850000}"/>
    <cellStyle name="Normal 12 4 3 4 6" xfId="34537" xr:uid="{00000000-0005-0000-0000-000088850000}"/>
    <cellStyle name="Normal 12 4 3 5" xfId="34538" xr:uid="{00000000-0005-0000-0000-000089850000}"/>
    <cellStyle name="Normal 12 4 3 5 2" xfId="34539" xr:uid="{00000000-0005-0000-0000-00008A850000}"/>
    <cellStyle name="Normal 12 4 3 5 2 2" xfId="34540" xr:uid="{00000000-0005-0000-0000-00008B850000}"/>
    <cellStyle name="Normal 12 4 3 5 2 3" xfId="34541" xr:uid="{00000000-0005-0000-0000-00008C850000}"/>
    <cellStyle name="Normal 12 4 3 5 3" xfId="34542" xr:uid="{00000000-0005-0000-0000-00008D850000}"/>
    <cellStyle name="Normal 12 4 3 5 4" xfId="34543" xr:uid="{00000000-0005-0000-0000-00008E850000}"/>
    <cellStyle name="Normal 12 4 3 5 5" xfId="34544" xr:uid="{00000000-0005-0000-0000-00008F850000}"/>
    <cellStyle name="Normal 12 4 3 5 6" xfId="34545" xr:uid="{00000000-0005-0000-0000-000090850000}"/>
    <cellStyle name="Normal 12 4 3 6" xfId="34546" xr:uid="{00000000-0005-0000-0000-000091850000}"/>
    <cellStyle name="Normal 12 4 3 6 2" xfId="34547" xr:uid="{00000000-0005-0000-0000-000092850000}"/>
    <cellStyle name="Normal 12 4 3 6 3" xfId="34548" xr:uid="{00000000-0005-0000-0000-000093850000}"/>
    <cellStyle name="Normal 12 4 3 7" xfId="34549" xr:uid="{00000000-0005-0000-0000-000094850000}"/>
    <cellStyle name="Normal 12 4 3 8" xfId="34550" xr:uid="{00000000-0005-0000-0000-000095850000}"/>
    <cellStyle name="Normal 12 4 3 9" xfId="34551" xr:uid="{00000000-0005-0000-0000-000096850000}"/>
    <cellStyle name="Normal 12 4 4" xfId="34552" xr:uid="{00000000-0005-0000-0000-000097850000}"/>
    <cellStyle name="Normal 12 4 4 2" xfId="34553" xr:uid="{00000000-0005-0000-0000-000098850000}"/>
    <cellStyle name="Normal 12 4 4 2 2" xfId="34554" xr:uid="{00000000-0005-0000-0000-000099850000}"/>
    <cellStyle name="Normal 12 4 4 2 2 2" xfId="34555" xr:uid="{00000000-0005-0000-0000-00009A850000}"/>
    <cellStyle name="Normal 12 4 4 2 2 2 2" xfId="34556" xr:uid="{00000000-0005-0000-0000-00009B850000}"/>
    <cellStyle name="Normal 12 4 4 2 2 2 3" xfId="34557" xr:uid="{00000000-0005-0000-0000-00009C850000}"/>
    <cellStyle name="Normal 12 4 4 2 2 3" xfId="34558" xr:uid="{00000000-0005-0000-0000-00009D850000}"/>
    <cellStyle name="Normal 12 4 4 2 2 4" xfId="34559" xr:uid="{00000000-0005-0000-0000-00009E850000}"/>
    <cellStyle name="Normal 12 4 4 2 2 5" xfId="34560" xr:uid="{00000000-0005-0000-0000-00009F850000}"/>
    <cellStyle name="Normal 12 4 4 2 2 6" xfId="34561" xr:uid="{00000000-0005-0000-0000-0000A0850000}"/>
    <cellStyle name="Normal 12 4 4 2 3" xfId="34562" xr:uid="{00000000-0005-0000-0000-0000A1850000}"/>
    <cellStyle name="Normal 12 4 4 2 3 2" xfId="34563" xr:uid="{00000000-0005-0000-0000-0000A2850000}"/>
    <cellStyle name="Normal 12 4 4 2 3 3" xfId="34564" xr:uid="{00000000-0005-0000-0000-0000A3850000}"/>
    <cellStyle name="Normal 12 4 4 2 4" xfId="34565" xr:uid="{00000000-0005-0000-0000-0000A4850000}"/>
    <cellStyle name="Normal 12 4 4 2 5" xfId="34566" xr:uid="{00000000-0005-0000-0000-0000A5850000}"/>
    <cellStyle name="Normal 12 4 4 2 6" xfId="34567" xr:uid="{00000000-0005-0000-0000-0000A6850000}"/>
    <cellStyle name="Normal 12 4 4 2 7" xfId="34568" xr:uid="{00000000-0005-0000-0000-0000A7850000}"/>
    <cellStyle name="Normal 12 4 4 3" xfId="34569" xr:uid="{00000000-0005-0000-0000-0000A8850000}"/>
    <cellStyle name="Normal 12 4 4 3 2" xfId="34570" xr:uid="{00000000-0005-0000-0000-0000A9850000}"/>
    <cellStyle name="Normal 12 4 4 3 2 2" xfId="34571" xr:uid="{00000000-0005-0000-0000-0000AA850000}"/>
    <cellStyle name="Normal 12 4 4 3 2 3" xfId="34572" xr:uid="{00000000-0005-0000-0000-0000AB850000}"/>
    <cellStyle name="Normal 12 4 4 3 3" xfId="34573" xr:uid="{00000000-0005-0000-0000-0000AC850000}"/>
    <cellStyle name="Normal 12 4 4 3 4" xfId="34574" xr:uid="{00000000-0005-0000-0000-0000AD850000}"/>
    <cellStyle name="Normal 12 4 4 3 5" xfId="34575" xr:uid="{00000000-0005-0000-0000-0000AE850000}"/>
    <cellStyle name="Normal 12 4 4 3 6" xfId="34576" xr:uid="{00000000-0005-0000-0000-0000AF850000}"/>
    <cellStyle name="Normal 12 4 4 4" xfId="34577" xr:uid="{00000000-0005-0000-0000-0000B0850000}"/>
    <cellStyle name="Normal 12 4 4 4 2" xfId="34578" xr:uid="{00000000-0005-0000-0000-0000B1850000}"/>
    <cellStyle name="Normal 12 4 4 4 2 2" xfId="34579" xr:uid="{00000000-0005-0000-0000-0000B2850000}"/>
    <cellStyle name="Normal 12 4 4 4 2 3" xfId="34580" xr:uid="{00000000-0005-0000-0000-0000B3850000}"/>
    <cellStyle name="Normal 12 4 4 4 3" xfId="34581" xr:uid="{00000000-0005-0000-0000-0000B4850000}"/>
    <cellStyle name="Normal 12 4 4 4 4" xfId="34582" xr:uid="{00000000-0005-0000-0000-0000B5850000}"/>
    <cellStyle name="Normal 12 4 4 4 5" xfId="34583" xr:uid="{00000000-0005-0000-0000-0000B6850000}"/>
    <cellStyle name="Normal 12 4 4 4 6" xfId="34584" xr:uid="{00000000-0005-0000-0000-0000B7850000}"/>
    <cellStyle name="Normal 12 4 4 5" xfId="34585" xr:uid="{00000000-0005-0000-0000-0000B8850000}"/>
    <cellStyle name="Normal 12 4 4 5 2" xfId="34586" xr:uid="{00000000-0005-0000-0000-0000B9850000}"/>
    <cellStyle name="Normal 12 4 4 5 3" xfId="34587" xr:uid="{00000000-0005-0000-0000-0000BA850000}"/>
    <cellStyle name="Normal 12 4 4 6" xfId="34588" xr:uid="{00000000-0005-0000-0000-0000BB850000}"/>
    <cellStyle name="Normal 12 4 4 7" xfId="34589" xr:uid="{00000000-0005-0000-0000-0000BC850000}"/>
    <cellStyle name="Normal 12 4 4 8" xfId="34590" xr:uid="{00000000-0005-0000-0000-0000BD850000}"/>
    <cellStyle name="Normal 12 4 4 9" xfId="34591" xr:uid="{00000000-0005-0000-0000-0000BE850000}"/>
    <cellStyle name="Normal 12 4 5" xfId="34592" xr:uid="{00000000-0005-0000-0000-0000BF850000}"/>
    <cellStyle name="Normal 12 4 5 2" xfId="34593" xr:uid="{00000000-0005-0000-0000-0000C0850000}"/>
    <cellStyle name="Normal 12 4 5 2 2" xfId="34594" xr:uid="{00000000-0005-0000-0000-0000C1850000}"/>
    <cellStyle name="Normal 12 4 5 2 2 2" xfId="34595" xr:uid="{00000000-0005-0000-0000-0000C2850000}"/>
    <cellStyle name="Normal 12 4 5 2 2 3" xfId="34596" xr:uid="{00000000-0005-0000-0000-0000C3850000}"/>
    <cellStyle name="Normal 12 4 5 2 3" xfId="34597" xr:uid="{00000000-0005-0000-0000-0000C4850000}"/>
    <cellStyle name="Normal 12 4 5 2 4" xfId="34598" xr:uid="{00000000-0005-0000-0000-0000C5850000}"/>
    <cellStyle name="Normal 12 4 5 2 5" xfId="34599" xr:uid="{00000000-0005-0000-0000-0000C6850000}"/>
    <cellStyle name="Normal 12 4 5 2 6" xfId="34600" xr:uid="{00000000-0005-0000-0000-0000C7850000}"/>
    <cellStyle name="Normal 12 4 5 3" xfId="34601" xr:uid="{00000000-0005-0000-0000-0000C8850000}"/>
    <cellStyle name="Normal 12 4 5 3 2" xfId="34602" xr:uid="{00000000-0005-0000-0000-0000C9850000}"/>
    <cellStyle name="Normal 12 4 5 3 3" xfId="34603" xr:uid="{00000000-0005-0000-0000-0000CA850000}"/>
    <cellStyle name="Normal 12 4 5 4" xfId="34604" xr:uid="{00000000-0005-0000-0000-0000CB850000}"/>
    <cellStyle name="Normal 12 4 5 5" xfId="34605" xr:uid="{00000000-0005-0000-0000-0000CC850000}"/>
    <cellStyle name="Normal 12 4 5 6" xfId="34606" xr:uid="{00000000-0005-0000-0000-0000CD850000}"/>
    <cellStyle name="Normal 12 4 5 7" xfId="34607" xr:uid="{00000000-0005-0000-0000-0000CE850000}"/>
    <cellStyle name="Normal 12 4 6" xfId="34608" xr:uid="{00000000-0005-0000-0000-0000CF850000}"/>
    <cellStyle name="Normal 12 4 6 2" xfId="34609" xr:uid="{00000000-0005-0000-0000-0000D0850000}"/>
    <cellStyle name="Normal 12 4 6 2 2" xfId="34610" xr:uid="{00000000-0005-0000-0000-0000D1850000}"/>
    <cellStyle name="Normal 12 4 6 2 3" xfId="34611" xr:uid="{00000000-0005-0000-0000-0000D2850000}"/>
    <cellStyle name="Normal 12 4 6 3" xfId="34612" xr:uid="{00000000-0005-0000-0000-0000D3850000}"/>
    <cellStyle name="Normal 12 4 6 4" xfId="34613" xr:uid="{00000000-0005-0000-0000-0000D4850000}"/>
    <cellStyle name="Normal 12 4 6 5" xfId="34614" xr:uid="{00000000-0005-0000-0000-0000D5850000}"/>
    <cellStyle name="Normal 12 4 6 6" xfId="34615" xr:uid="{00000000-0005-0000-0000-0000D6850000}"/>
    <cellStyle name="Normal 12 4 7" xfId="34616" xr:uid="{00000000-0005-0000-0000-0000D7850000}"/>
    <cellStyle name="Normal 12 4 7 2" xfId="34617" xr:uid="{00000000-0005-0000-0000-0000D8850000}"/>
    <cellStyle name="Normal 12 4 7 2 2" xfId="34618" xr:uid="{00000000-0005-0000-0000-0000D9850000}"/>
    <cellStyle name="Normal 12 4 7 2 3" xfId="34619" xr:uid="{00000000-0005-0000-0000-0000DA850000}"/>
    <cellStyle name="Normal 12 4 7 3" xfId="34620" xr:uid="{00000000-0005-0000-0000-0000DB850000}"/>
    <cellStyle name="Normal 12 4 7 4" xfId="34621" xr:uid="{00000000-0005-0000-0000-0000DC850000}"/>
    <cellStyle name="Normal 12 4 7 5" xfId="34622" xr:uid="{00000000-0005-0000-0000-0000DD850000}"/>
    <cellStyle name="Normal 12 4 7 6" xfId="34623" xr:uid="{00000000-0005-0000-0000-0000DE850000}"/>
    <cellStyle name="Normal 12 4 8" xfId="34624" xr:uid="{00000000-0005-0000-0000-0000DF850000}"/>
    <cellStyle name="Normal 12 4 8 2" xfId="34625" xr:uid="{00000000-0005-0000-0000-0000E0850000}"/>
    <cellStyle name="Normal 12 4 8 2 2" xfId="34626" xr:uid="{00000000-0005-0000-0000-0000E1850000}"/>
    <cellStyle name="Normal 12 4 8 2 3" xfId="34627" xr:uid="{00000000-0005-0000-0000-0000E2850000}"/>
    <cellStyle name="Normal 12 4 8 3" xfId="34628" xr:uid="{00000000-0005-0000-0000-0000E3850000}"/>
    <cellStyle name="Normal 12 4 8 4" xfId="34629" xr:uid="{00000000-0005-0000-0000-0000E4850000}"/>
    <cellStyle name="Normal 12 4 8 5" xfId="34630" xr:uid="{00000000-0005-0000-0000-0000E5850000}"/>
    <cellStyle name="Normal 12 4 8 6" xfId="34631" xr:uid="{00000000-0005-0000-0000-0000E6850000}"/>
    <cellStyle name="Normal 12 4 9" xfId="34632" xr:uid="{00000000-0005-0000-0000-0000E7850000}"/>
    <cellStyle name="Normal 12 4 9 2" xfId="34633" xr:uid="{00000000-0005-0000-0000-0000E8850000}"/>
    <cellStyle name="Normal 12 4 9 2 2" xfId="34634" xr:uid="{00000000-0005-0000-0000-0000E9850000}"/>
    <cellStyle name="Normal 12 4 9 2 3" xfId="34635" xr:uid="{00000000-0005-0000-0000-0000EA850000}"/>
    <cellStyle name="Normal 12 4 9 3" xfId="34636" xr:uid="{00000000-0005-0000-0000-0000EB850000}"/>
    <cellStyle name="Normal 12 4 9 4" xfId="34637" xr:uid="{00000000-0005-0000-0000-0000EC850000}"/>
    <cellStyle name="Normal 12 4 9 5" xfId="34638" xr:uid="{00000000-0005-0000-0000-0000ED850000}"/>
    <cellStyle name="Normal 12 4 9 6" xfId="34639" xr:uid="{00000000-0005-0000-0000-0000EE850000}"/>
    <cellStyle name="Normal 12 5" xfId="34640" xr:uid="{00000000-0005-0000-0000-0000EF850000}"/>
    <cellStyle name="Normal 12 5 10" xfId="34641" xr:uid="{00000000-0005-0000-0000-0000F0850000}"/>
    <cellStyle name="Normal 12 5 11" xfId="34642" xr:uid="{00000000-0005-0000-0000-0000F1850000}"/>
    <cellStyle name="Normal 12 5 12" xfId="34643" xr:uid="{00000000-0005-0000-0000-0000F2850000}"/>
    <cellStyle name="Normal 12 5 13" xfId="34644" xr:uid="{00000000-0005-0000-0000-0000F3850000}"/>
    <cellStyle name="Normal 12 5 2" xfId="34645" xr:uid="{00000000-0005-0000-0000-0000F4850000}"/>
    <cellStyle name="Normal 12 5 2 10" xfId="34646" xr:uid="{00000000-0005-0000-0000-0000F5850000}"/>
    <cellStyle name="Normal 12 5 2 2" xfId="34647" xr:uid="{00000000-0005-0000-0000-0000F6850000}"/>
    <cellStyle name="Normal 12 5 2 2 2" xfId="34648" xr:uid="{00000000-0005-0000-0000-0000F7850000}"/>
    <cellStyle name="Normal 12 5 2 2 2 2" xfId="34649" xr:uid="{00000000-0005-0000-0000-0000F8850000}"/>
    <cellStyle name="Normal 12 5 2 2 2 2 2" xfId="34650" xr:uid="{00000000-0005-0000-0000-0000F9850000}"/>
    <cellStyle name="Normal 12 5 2 2 2 2 3" xfId="34651" xr:uid="{00000000-0005-0000-0000-0000FA850000}"/>
    <cellStyle name="Normal 12 5 2 2 2 3" xfId="34652" xr:uid="{00000000-0005-0000-0000-0000FB850000}"/>
    <cellStyle name="Normal 12 5 2 2 2 4" xfId="34653" xr:uid="{00000000-0005-0000-0000-0000FC850000}"/>
    <cellStyle name="Normal 12 5 2 2 2 5" xfId="34654" xr:uid="{00000000-0005-0000-0000-0000FD850000}"/>
    <cellStyle name="Normal 12 5 2 2 2 6" xfId="34655" xr:uid="{00000000-0005-0000-0000-0000FE850000}"/>
    <cellStyle name="Normal 12 5 2 2 3" xfId="34656" xr:uid="{00000000-0005-0000-0000-0000FF850000}"/>
    <cellStyle name="Normal 12 5 2 2 3 2" xfId="34657" xr:uid="{00000000-0005-0000-0000-000000860000}"/>
    <cellStyle name="Normal 12 5 2 2 3 2 2" xfId="34658" xr:uid="{00000000-0005-0000-0000-000001860000}"/>
    <cellStyle name="Normal 12 5 2 2 3 2 3" xfId="34659" xr:uid="{00000000-0005-0000-0000-000002860000}"/>
    <cellStyle name="Normal 12 5 2 2 3 3" xfId="34660" xr:uid="{00000000-0005-0000-0000-000003860000}"/>
    <cellStyle name="Normal 12 5 2 2 3 4" xfId="34661" xr:uid="{00000000-0005-0000-0000-000004860000}"/>
    <cellStyle name="Normal 12 5 2 2 3 5" xfId="34662" xr:uid="{00000000-0005-0000-0000-000005860000}"/>
    <cellStyle name="Normal 12 5 2 2 3 6" xfId="34663" xr:uid="{00000000-0005-0000-0000-000006860000}"/>
    <cellStyle name="Normal 12 5 2 2 4" xfId="34664" xr:uid="{00000000-0005-0000-0000-000007860000}"/>
    <cellStyle name="Normal 12 5 2 2 4 2" xfId="34665" xr:uid="{00000000-0005-0000-0000-000008860000}"/>
    <cellStyle name="Normal 12 5 2 2 4 3" xfId="34666" xr:uid="{00000000-0005-0000-0000-000009860000}"/>
    <cellStyle name="Normal 12 5 2 2 5" xfId="34667" xr:uid="{00000000-0005-0000-0000-00000A860000}"/>
    <cellStyle name="Normal 12 5 2 2 6" xfId="34668" xr:uid="{00000000-0005-0000-0000-00000B860000}"/>
    <cellStyle name="Normal 12 5 2 2 7" xfId="34669" xr:uid="{00000000-0005-0000-0000-00000C860000}"/>
    <cellStyle name="Normal 12 5 2 2 8" xfId="34670" xr:uid="{00000000-0005-0000-0000-00000D860000}"/>
    <cellStyle name="Normal 12 5 2 3" xfId="34671" xr:uid="{00000000-0005-0000-0000-00000E860000}"/>
    <cellStyle name="Normal 12 5 2 3 2" xfId="34672" xr:uid="{00000000-0005-0000-0000-00000F860000}"/>
    <cellStyle name="Normal 12 5 2 3 2 2" xfId="34673" xr:uid="{00000000-0005-0000-0000-000010860000}"/>
    <cellStyle name="Normal 12 5 2 3 2 2 2" xfId="34674" xr:uid="{00000000-0005-0000-0000-000011860000}"/>
    <cellStyle name="Normal 12 5 2 3 2 2 3" xfId="34675" xr:uid="{00000000-0005-0000-0000-000012860000}"/>
    <cellStyle name="Normal 12 5 2 3 2 3" xfId="34676" xr:uid="{00000000-0005-0000-0000-000013860000}"/>
    <cellStyle name="Normal 12 5 2 3 2 4" xfId="34677" xr:uid="{00000000-0005-0000-0000-000014860000}"/>
    <cellStyle name="Normal 12 5 2 3 2 5" xfId="34678" xr:uid="{00000000-0005-0000-0000-000015860000}"/>
    <cellStyle name="Normal 12 5 2 3 2 6" xfId="34679" xr:uid="{00000000-0005-0000-0000-000016860000}"/>
    <cellStyle name="Normal 12 5 2 3 3" xfId="34680" xr:uid="{00000000-0005-0000-0000-000017860000}"/>
    <cellStyle name="Normal 12 5 2 3 3 2" xfId="34681" xr:uid="{00000000-0005-0000-0000-000018860000}"/>
    <cellStyle name="Normal 12 5 2 3 3 3" xfId="34682" xr:uid="{00000000-0005-0000-0000-000019860000}"/>
    <cellStyle name="Normal 12 5 2 3 4" xfId="34683" xr:uid="{00000000-0005-0000-0000-00001A860000}"/>
    <cellStyle name="Normal 12 5 2 3 5" xfId="34684" xr:uid="{00000000-0005-0000-0000-00001B860000}"/>
    <cellStyle name="Normal 12 5 2 3 6" xfId="34685" xr:uid="{00000000-0005-0000-0000-00001C860000}"/>
    <cellStyle name="Normal 12 5 2 3 7" xfId="34686" xr:uid="{00000000-0005-0000-0000-00001D860000}"/>
    <cellStyle name="Normal 12 5 2 4" xfId="34687" xr:uid="{00000000-0005-0000-0000-00001E860000}"/>
    <cellStyle name="Normal 12 5 2 4 2" xfId="34688" xr:uid="{00000000-0005-0000-0000-00001F860000}"/>
    <cellStyle name="Normal 12 5 2 4 2 2" xfId="34689" xr:uid="{00000000-0005-0000-0000-000020860000}"/>
    <cellStyle name="Normal 12 5 2 4 2 3" xfId="34690" xr:uid="{00000000-0005-0000-0000-000021860000}"/>
    <cellStyle name="Normal 12 5 2 4 3" xfId="34691" xr:uid="{00000000-0005-0000-0000-000022860000}"/>
    <cellStyle name="Normal 12 5 2 4 4" xfId="34692" xr:uid="{00000000-0005-0000-0000-000023860000}"/>
    <cellStyle name="Normal 12 5 2 4 5" xfId="34693" xr:uid="{00000000-0005-0000-0000-000024860000}"/>
    <cellStyle name="Normal 12 5 2 4 6" xfId="34694" xr:uid="{00000000-0005-0000-0000-000025860000}"/>
    <cellStyle name="Normal 12 5 2 5" xfId="34695" xr:uid="{00000000-0005-0000-0000-000026860000}"/>
    <cellStyle name="Normal 12 5 2 5 2" xfId="34696" xr:uid="{00000000-0005-0000-0000-000027860000}"/>
    <cellStyle name="Normal 12 5 2 5 2 2" xfId="34697" xr:uid="{00000000-0005-0000-0000-000028860000}"/>
    <cellStyle name="Normal 12 5 2 5 2 3" xfId="34698" xr:uid="{00000000-0005-0000-0000-000029860000}"/>
    <cellStyle name="Normal 12 5 2 5 3" xfId="34699" xr:uid="{00000000-0005-0000-0000-00002A860000}"/>
    <cellStyle name="Normal 12 5 2 5 4" xfId="34700" xr:uid="{00000000-0005-0000-0000-00002B860000}"/>
    <cellStyle name="Normal 12 5 2 5 5" xfId="34701" xr:uid="{00000000-0005-0000-0000-00002C860000}"/>
    <cellStyle name="Normal 12 5 2 5 6" xfId="34702" xr:uid="{00000000-0005-0000-0000-00002D860000}"/>
    <cellStyle name="Normal 12 5 2 6" xfId="34703" xr:uid="{00000000-0005-0000-0000-00002E860000}"/>
    <cellStyle name="Normal 12 5 2 6 2" xfId="34704" xr:uid="{00000000-0005-0000-0000-00002F860000}"/>
    <cellStyle name="Normal 12 5 2 6 3" xfId="34705" xr:uid="{00000000-0005-0000-0000-000030860000}"/>
    <cellStyle name="Normal 12 5 2 7" xfId="34706" xr:uid="{00000000-0005-0000-0000-000031860000}"/>
    <cellStyle name="Normal 12 5 2 8" xfId="34707" xr:uid="{00000000-0005-0000-0000-000032860000}"/>
    <cellStyle name="Normal 12 5 2 9" xfId="34708" xr:uid="{00000000-0005-0000-0000-000033860000}"/>
    <cellStyle name="Normal 12 5 3" xfId="34709" xr:uid="{00000000-0005-0000-0000-000034860000}"/>
    <cellStyle name="Normal 12 5 3 2" xfId="34710" xr:uid="{00000000-0005-0000-0000-000035860000}"/>
    <cellStyle name="Normal 12 5 3 2 2" xfId="34711" xr:uid="{00000000-0005-0000-0000-000036860000}"/>
    <cellStyle name="Normal 12 5 3 2 2 2" xfId="34712" xr:uid="{00000000-0005-0000-0000-000037860000}"/>
    <cellStyle name="Normal 12 5 3 2 2 2 2" xfId="34713" xr:uid="{00000000-0005-0000-0000-000038860000}"/>
    <cellStyle name="Normal 12 5 3 2 2 2 3" xfId="34714" xr:uid="{00000000-0005-0000-0000-000039860000}"/>
    <cellStyle name="Normal 12 5 3 2 2 3" xfId="34715" xr:uid="{00000000-0005-0000-0000-00003A860000}"/>
    <cellStyle name="Normal 12 5 3 2 2 4" xfId="34716" xr:uid="{00000000-0005-0000-0000-00003B860000}"/>
    <cellStyle name="Normal 12 5 3 2 2 5" xfId="34717" xr:uid="{00000000-0005-0000-0000-00003C860000}"/>
    <cellStyle name="Normal 12 5 3 2 2 6" xfId="34718" xr:uid="{00000000-0005-0000-0000-00003D860000}"/>
    <cellStyle name="Normal 12 5 3 2 3" xfId="34719" xr:uid="{00000000-0005-0000-0000-00003E860000}"/>
    <cellStyle name="Normal 12 5 3 2 3 2" xfId="34720" xr:uid="{00000000-0005-0000-0000-00003F860000}"/>
    <cellStyle name="Normal 12 5 3 2 3 3" xfId="34721" xr:uid="{00000000-0005-0000-0000-000040860000}"/>
    <cellStyle name="Normal 12 5 3 2 4" xfId="34722" xr:uid="{00000000-0005-0000-0000-000041860000}"/>
    <cellStyle name="Normal 12 5 3 2 5" xfId="34723" xr:uid="{00000000-0005-0000-0000-000042860000}"/>
    <cellStyle name="Normal 12 5 3 2 6" xfId="34724" xr:uid="{00000000-0005-0000-0000-000043860000}"/>
    <cellStyle name="Normal 12 5 3 2 7" xfId="34725" xr:uid="{00000000-0005-0000-0000-000044860000}"/>
    <cellStyle name="Normal 12 5 3 3" xfId="34726" xr:uid="{00000000-0005-0000-0000-000045860000}"/>
    <cellStyle name="Normal 12 5 3 3 2" xfId="34727" xr:uid="{00000000-0005-0000-0000-000046860000}"/>
    <cellStyle name="Normal 12 5 3 3 2 2" xfId="34728" xr:uid="{00000000-0005-0000-0000-000047860000}"/>
    <cellStyle name="Normal 12 5 3 3 2 3" xfId="34729" xr:uid="{00000000-0005-0000-0000-000048860000}"/>
    <cellStyle name="Normal 12 5 3 3 3" xfId="34730" xr:uid="{00000000-0005-0000-0000-000049860000}"/>
    <cellStyle name="Normal 12 5 3 3 4" xfId="34731" xr:uid="{00000000-0005-0000-0000-00004A860000}"/>
    <cellStyle name="Normal 12 5 3 3 5" xfId="34732" xr:uid="{00000000-0005-0000-0000-00004B860000}"/>
    <cellStyle name="Normal 12 5 3 3 6" xfId="34733" xr:uid="{00000000-0005-0000-0000-00004C860000}"/>
    <cellStyle name="Normal 12 5 3 4" xfId="34734" xr:uid="{00000000-0005-0000-0000-00004D860000}"/>
    <cellStyle name="Normal 12 5 3 4 2" xfId="34735" xr:uid="{00000000-0005-0000-0000-00004E860000}"/>
    <cellStyle name="Normal 12 5 3 4 2 2" xfId="34736" xr:uid="{00000000-0005-0000-0000-00004F860000}"/>
    <cellStyle name="Normal 12 5 3 4 2 3" xfId="34737" xr:uid="{00000000-0005-0000-0000-000050860000}"/>
    <cellStyle name="Normal 12 5 3 4 3" xfId="34738" xr:uid="{00000000-0005-0000-0000-000051860000}"/>
    <cellStyle name="Normal 12 5 3 4 4" xfId="34739" xr:uid="{00000000-0005-0000-0000-000052860000}"/>
    <cellStyle name="Normal 12 5 3 4 5" xfId="34740" xr:uid="{00000000-0005-0000-0000-000053860000}"/>
    <cellStyle name="Normal 12 5 3 4 6" xfId="34741" xr:uid="{00000000-0005-0000-0000-000054860000}"/>
    <cellStyle name="Normal 12 5 3 5" xfId="34742" xr:uid="{00000000-0005-0000-0000-000055860000}"/>
    <cellStyle name="Normal 12 5 3 5 2" xfId="34743" xr:uid="{00000000-0005-0000-0000-000056860000}"/>
    <cellStyle name="Normal 12 5 3 5 3" xfId="34744" xr:uid="{00000000-0005-0000-0000-000057860000}"/>
    <cellStyle name="Normal 12 5 3 6" xfId="34745" xr:uid="{00000000-0005-0000-0000-000058860000}"/>
    <cellStyle name="Normal 12 5 3 7" xfId="34746" xr:uid="{00000000-0005-0000-0000-000059860000}"/>
    <cellStyle name="Normal 12 5 3 8" xfId="34747" xr:uid="{00000000-0005-0000-0000-00005A860000}"/>
    <cellStyle name="Normal 12 5 3 9" xfId="34748" xr:uid="{00000000-0005-0000-0000-00005B860000}"/>
    <cellStyle name="Normal 12 5 4" xfId="34749" xr:uid="{00000000-0005-0000-0000-00005C860000}"/>
    <cellStyle name="Normal 12 5 4 2" xfId="34750" xr:uid="{00000000-0005-0000-0000-00005D860000}"/>
    <cellStyle name="Normal 12 5 4 2 2" xfId="34751" xr:uid="{00000000-0005-0000-0000-00005E860000}"/>
    <cellStyle name="Normal 12 5 4 2 2 2" xfId="34752" xr:uid="{00000000-0005-0000-0000-00005F860000}"/>
    <cellStyle name="Normal 12 5 4 2 2 3" xfId="34753" xr:uid="{00000000-0005-0000-0000-000060860000}"/>
    <cellStyle name="Normal 12 5 4 2 3" xfId="34754" xr:uid="{00000000-0005-0000-0000-000061860000}"/>
    <cellStyle name="Normal 12 5 4 2 4" xfId="34755" xr:uid="{00000000-0005-0000-0000-000062860000}"/>
    <cellStyle name="Normal 12 5 4 2 5" xfId="34756" xr:uid="{00000000-0005-0000-0000-000063860000}"/>
    <cellStyle name="Normal 12 5 4 2 6" xfId="34757" xr:uid="{00000000-0005-0000-0000-000064860000}"/>
    <cellStyle name="Normal 12 5 4 3" xfId="34758" xr:uid="{00000000-0005-0000-0000-000065860000}"/>
    <cellStyle name="Normal 12 5 4 3 2" xfId="34759" xr:uid="{00000000-0005-0000-0000-000066860000}"/>
    <cellStyle name="Normal 12 5 4 3 3" xfId="34760" xr:uid="{00000000-0005-0000-0000-000067860000}"/>
    <cellStyle name="Normal 12 5 4 4" xfId="34761" xr:uid="{00000000-0005-0000-0000-000068860000}"/>
    <cellStyle name="Normal 12 5 4 5" xfId="34762" xr:uid="{00000000-0005-0000-0000-000069860000}"/>
    <cellStyle name="Normal 12 5 4 6" xfId="34763" xr:uid="{00000000-0005-0000-0000-00006A860000}"/>
    <cellStyle name="Normal 12 5 4 7" xfId="34764" xr:uid="{00000000-0005-0000-0000-00006B860000}"/>
    <cellStyle name="Normal 12 5 5" xfId="34765" xr:uid="{00000000-0005-0000-0000-00006C860000}"/>
    <cellStyle name="Normal 12 5 5 2" xfId="34766" xr:uid="{00000000-0005-0000-0000-00006D860000}"/>
    <cellStyle name="Normal 12 5 5 2 2" xfId="34767" xr:uid="{00000000-0005-0000-0000-00006E860000}"/>
    <cellStyle name="Normal 12 5 5 2 3" xfId="34768" xr:uid="{00000000-0005-0000-0000-00006F860000}"/>
    <cellStyle name="Normal 12 5 5 3" xfId="34769" xr:uid="{00000000-0005-0000-0000-000070860000}"/>
    <cellStyle name="Normal 12 5 5 4" xfId="34770" xr:uid="{00000000-0005-0000-0000-000071860000}"/>
    <cellStyle name="Normal 12 5 5 5" xfId="34771" xr:uid="{00000000-0005-0000-0000-000072860000}"/>
    <cellStyle name="Normal 12 5 5 6" xfId="34772" xr:uid="{00000000-0005-0000-0000-000073860000}"/>
    <cellStyle name="Normal 12 5 6" xfId="34773" xr:uid="{00000000-0005-0000-0000-000074860000}"/>
    <cellStyle name="Normal 12 5 6 2" xfId="34774" xr:uid="{00000000-0005-0000-0000-000075860000}"/>
    <cellStyle name="Normal 12 5 6 2 2" xfId="34775" xr:uid="{00000000-0005-0000-0000-000076860000}"/>
    <cellStyle name="Normal 12 5 6 2 3" xfId="34776" xr:uid="{00000000-0005-0000-0000-000077860000}"/>
    <cellStyle name="Normal 12 5 6 3" xfId="34777" xr:uid="{00000000-0005-0000-0000-000078860000}"/>
    <cellStyle name="Normal 12 5 6 4" xfId="34778" xr:uid="{00000000-0005-0000-0000-000079860000}"/>
    <cellStyle name="Normal 12 5 6 5" xfId="34779" xr:uid="{00000000-0005-0000-0000-00007A860000}"/>
    <cellStyle name="Normal 12 5 6 6" xfId="34780" xr:uid="{00000000-0005-0000-0000-00007B860000}"/>
    <cellStyle name="Normal 12 5 7" xfId="34781" xr:uid="{00000000-0005-0000-0000-00007C860000}"/>
    <cellStyle name="Normal 12 5 7 2" xfId="34782" xr:uid="{00000000-0005-0000-0000-00007D860000}"/>
    <cellStyle name="Normal 12 5 7 2 2" xfId="34783" xr:uid="{00000000-0005-0000-0000-00007E860000}"/>
    <cellStyle name="Normal 12 5 7 2 3" xfId="34784" xr:uid="{00000000-0005-0000-0000-00007F860000}"/>
    <cellStyle name="Normal 12 5 7 3" xfId="34785" xr:uid="{00000000-0005-0000-0000-000080860000}"/>
    <cellStyle name="Normal 12 5 7 4" xfId="34786" xr:uid="{00000000-0005-0000-0000-000081860000}"/>
    <cellStyle name="Normal 12 5 7 5" xfId="34787" xr:uid="{00000000-0005-0000-0000-000082860000}"/>
    <cellStyle name="Normal 12 5 7 6" xfId="34788" xr:uid="{00000000-0005-0000-0000-000083860000}"/>
    <cellStyle name="Normal 12 5 8" xfId="34789" xr:uid="{00000000-0005-0000-0000-000084860000}"/>
    <cellStyle name="Normal 12 5 8 2" xfId="34790" xr:uid="{00000000-0005-0000-0000-000085860000}"/>
    <cellStyle name="Normal 12 5 8 2 2" xfId="34791" xr:uid="{00000000-0005-0000-0000-000086860000}"/>
    <cellStyle name="Normal 12 5 8 2 3" xfId="34792" xr:uid="{00000000-0005-0000-0000-000087860000}"/>
    <cellStyle name="Normal 12 5 8 3" xfId="34793" xr:uid="{00000000-0005-0000-0000-000088860000}"/>
    <cellStyle name="Normal 12 5 8 4" xfId="34794" xr:uid="{00000000-0005-0000-0000-000089860000}"/>
    <cellStyle name="Normal 12 5 8 5" xfId="34795" xr:uid="{00000000-0005-0000-0000-00008A860000}"/>
    <cellStyle name="Normal 12 5 8 6" xfId="34796" xr:uid="{00000000-0005-0000-0000-00008B860000}"/>
    <cellStyle name="Normal 12 5 9" xfId="34797" xr:uid="{00000000-0005-0000-0000-00008C860000}"/>
    <cellStyle name="Normal 12 5 9 2" xfId="34798" xr:uid="{00000000-0005-0000-0000-00008D860000}"/>
    <cellStyle name="Normal 12 5 9 3" xfId="34799" xr:uid="{00000000-0005-0000-0000-00008E860000}"/>
    <cellStyle name="Normal 12 6" xfId="34800" xr:uid="{00000000-0005-0000-0000-00008F860000}"/>
    <cellStyle name="Normal 12 6 10" xfId="34801" xr:uid="{00000000-0005-0000-0000-000090860000}"/>
    <cellStyle name="Normal 12 6 2" xfId="34802" xr:uid="{00000000-0005-0000-0000-000091860000}"/>
    <cellStyle name="Normal 12 6 2 2" xfId="34803" xr:uid="{00000000-0005-0000-0000-000092860000}"/>
    <cellStyle name="Normal 12 6 2 2 2" xfId="34804" xr:uid="{00000000-0005-0000-0000-000093860000}"/>
    <cellStyle name="Normal 12 6 2 2 2 2" xfId="34805" xr:uid="{00000000-0005-0000-0000-000094860000}"/>
    <cellStyle name="Normal 12 6 2 2 2 3" xfId="34806" xr:uid="{00000000-0005-0000-0000-000095860000}"/>
    <cellStyle name="Normal 12 6 2 2 3" xfId="34807" xr:uid="{00000000-0005-0000-0000-000096860000}"/>
    <cellStyle name="Normal 12 6 2 2 4" xfId="34808" xr:uid="{00000000-0005-0000-0000-000097860000}"/>
    <cellStyle name="Normal 12 6 2 2 5" xfId="34809" xr:uid="{00000000-0005-0000-0000-000098860000}"/>
    <cellStyle name="Normal 12 6 2 2 6" xfId="34810" xr:uid="{00000000-0005-0000-0000-000099860000}"/>
    <cellStyle name="Normal 12 6 2 3" xfId="34811" xr:uid="{00000000-0005-0000-0000-00009A860000}"/>
    <cellStyle name="Normal 12 6 2 3 2" xfId="34812" xr:uid="{00000000-0005-0000-0000-00009B860000}"/>
    <cellStyle name="Normal 12 6 2 3 2 2" xfId="34813" xr:uid="{00000000-0005-0000-0000-00009C860000}"/>
    <cellStyle name="Normal 12 6 2 3 2 3" xfId="34814" xr:uid="{00000000-0005-0000-0000-00009D860000}"/>
    <cellStyle name="Normal 12 6 2 3 3" xfId="34815" xr:uid="{00000000-0005-0000-0000-00009E860000}"/>
    <cellStyle name="Normal 12 6 2 3 4" xfId="34816" xr:uid="{00000000-0005-0000-0000-00009F860000}"/>
    <cellStyle name="Normal 12 6 2 3 5" xfId="34817" xr:uid="{00000000-0005-0000-0000-0000A0860000}"/>
    <cellStyle name="Normal 12 6 2 3 6" xfId="34818" xr:uid="{00000000-0005-0000-0000-0000A1860000}"/>
    <cellStyle name="Normal 12 6 2 4" xfId="34819" xr:uid="{00000000-0005-0000-0000-0000A2860000}"/>
    <cellStyle name="Normal 12 6 2 4 2" xfId="34820" xr:uid="{00000000-0005-0000-0000-0000A3860000}"/>
    <cellStyle name="Normal 12 6 2 4 3" xfId="34821" xr:uid="{00000000-0005-0000-0000-0000A4860000}"/>
    <cellStyle name="Normal 12 6 2 5" xfId="34822" xr:uid="{00000000-0005-0000-0000-0000A5860000}"/>
    <cellStyle name="Normal 12 6 2 6" xfId="34823" xr:uid="{00000000-0005-0000-0000-0000A6860000}"/>
    <cellStyle name="Normal 12 6 2 7" xfId="34824" xr:uid="{00000000-0005-0000-0000-0000A7860000}"/>
    <cellStyle name="Normal 12 6 2 8" xfId="34825" xr:uid="{00000000-0005-0000-0000-0000A8860000}"/>
    <cellStyle name="Normal 12 6 3" xfId="34826" xr:uid="{00000000-0005-0000-0000-0000A9860000}"/>
    <cellStyle name="Normal 12 6 3 2" xfId="34827" xr:uid="{00000000-0005-0000-0000-0000AA860000}"/>
    <cellStyle name="Normal 12 6 3 2 2" xfId="34828" xr:uid="{00000000-0005-0000-0000-0000AB860000}"/>
    <cellStyle name="Normal 12 6 3 2 2 2" xfId="34829" xr:uid="{00000000-0005-0000-0000-0000AC860000}"/>
    <cellStyle name="Normal 12 6 3 2 2 3" xfId="34830" xr:uid="{00000000-0005-0000-0000-0000AD860000}"/>
    <cellStyle name="Normal 12 6 3 2 3" xfId="34831" xr:uid="{00000000-0005-0000-0000-0000AE860000}"/>
    <cellStyle name="Normal 12 6 3 2 4" xfId="34832" xr:uid="{00000000-0005-0000-0000-0000AF860000}"/>
    <cellStyle name="Normal 12 6 3 2 5" xfId="34833" xr:uid="{00000000-0005-0000-0000-0000B0860000}"/>
    <cellStyle name="Normal 12 6 3 2 6" xfId="34834" xr:uid="{00000000-0005-0000-0000-0000B1860000}"/>
    <cellStyle name="Normal 12 6 3 3" xfId="34835" xr:uid="{00000000-0005-0000-0000-0000B2860000}"/>
    <cellStyle name="Normal 12 6 3 3 2" xfId="34836" xr:uid="{00000000-0005-0000-0000-0000B3860000}"/>
    <cellStyle name="Normal 12 6 3 3 3" xfId="34837" xr:uid="{00000000-0005-0000-0000-0000B4860000}"/>
    <cellStyle name="Normal 12 6 3 4" xfId="34838" xr:uid="{00000000-0005-0000-0000-0000B5860000}"/>
    <cellStyle name="Normal 12 6 3 5" xfId="34839" xr:uid="{00000000-0005-0000-0000-0000B6860000}"/>
    <cellStyle name="Normal 12 6 3 6" xfId="34840" xr:uid="{00000000-0005-0000-0000-0000B7860000}"/>
    <cellStyle name="Normal 12 6 3 7" xfId="34841" xr:uid="{00000000-0005-0000-0000-0000B8860000}"/>
    <cellStyle name="Normal 12 6 4" xfId="34842" xr:uid="{00000000-0005-0000-0000-0000B9860000}"/>
    <cellStyle name="Normal 12 6 4 2" xfId="34843" xr:uid="{00000000-0005-0000-0000-0000BA860000}"/>
    <cellStyle name="Normal 12 6 4 2 2" xfId="34844" xr:uid="{00000000-0005-0000-0000-0000BB860000}"/>
    <cellStyle name="Normal 12 6 4 2 3" xfId="34845" xr:uid="{00000000-0005-0000-0000-0000BC860000}"/>
    <cellStyle name="Normal 12 6 4 3" xfId="34846" xr:uid="{00000000-0005-0000-0000-0000BD860000}"/>
    <cellStyle name="Normal 12 6 4 4" xfId="34847" xr:uid="{00000000-0005-0000-0000-0000BE860000}"/>
    <cellStyle name="Normal 12 6 4 5" xfId="34848" xr:uid="{00000000-0005-0000-0000-0000BF860000}"/>
    <cellStyle name="Normal 12 6 4 6" xfId="34849" xr:uid="{00000000-0005-0000-0000-0000C0860000}"/>
    <cellStyle name="Normal 12 6 5" xfId="34850" xr:uid="{00000000-0005-0000-0000-0000C1860000}"/>
    <cellStyle name="Normal 12 6 5 2" xfId="34851" xr:uid="{00000000-0005-0000-0000-0000C2860000}"/>
    <cellStyle name="Normal 12 6 5 2 2" xfId="34852" xr:uid="{00000000-0005-0000-0000-0000C3860000}"/>
    <cellStyle name="Normal 12 6 5 2 3" xfId="34853" xr:uid="{00000000-0005-0000-0000-0000C4860000}"/>
    <cellStyle name="Normal 12 6 5 3" xfId="34854" xr:uid="{00000000-0005-0000-0000-0000C5860000}"/>
    <cellStyle name="Normal 12 6 5 4" xfId="34855" xr:uid="{00000000-0005-0000-0000-0000C6860000}"/>
    <cellStyle name="Normal 12 6 5 5" xfId="34856" xr:uid="{00000000-0005-0000-0000-0000C7860000}"/>
    <cellStyle name="Normal 12 6 5 6" xfId="34857" xr:uid="{00000000-0005-0000-0000-0000C8860000}"/>
    <cellStyle name="Normal 12 6 6" xfId="34858" xr:uid="{00000000-0005-0000-0000-0000C9860000}"/>
    <cellStyle name="Normal 12 6 6 2" xfId="34859" xr:uid="{00000000-0005-0000-0000-0000CA860000}"/>
    <cellStyle name="Normal 12 6 6 3" xfId="34860" xr:uid="{00000000-0005-0000-0000-0000CB860000}"/>
    <cellStyle name="Normal 12 6 7" xfId="34861" xr:uid="{00000000-0005-0000-0000-0000CC860000}"/>
    <cellStyle name="Normal 12 6 8" xfId="34862" xr:uid="{00000000-0005-0000-0000-0000CD860000}"/>
    <cellStyle name="Normal 12 6 9" xfId="34863" xr:uid="{00000000-0005-0000-0000-0000CE860000}"/>
    <cellStyle name="Normal 12 7" xfId="34864" xr:uid="{00000000-0005-0000-0000-0000CF860000}"/>
    <cellStyle name="Normal 12 7 2" xfId="34865" xr:uid="{00000000-0005-0000-0000-0000D0860000}"/>
    <cellStyle name="Normal 12 7 2 2" xfId="34866" xr:uid="{00000000-0005-0000-0000-0000D1860000}"/>
    <cellStyle name="Normal 12 7 2 2 2" xfId="34867" xr:uid="{00000000-0005-0000-0000-0000D2860000}"/>
    <cellStyle name="Normal 12 7 2 2 2 2" xfId="34868" xr:uid="{00000000-0005-0000-0000-0000D3860000}"/>
    <cellStyle name="Normal 12 7 2 2 2 3" xfId="34869" xr:uid="{00000000-0005-0000-0000-0000D4860000}"/>
    <cellStyle name="Normal 12 7 2 2 3" xfId="34870" xr:uid="{00000000-0005-0000-0000-0000D5860000}"/>
    <cellStyle name="Normal 12 7 2 2 4" xfId="34871" xr:uid="{00000000-0005-0000-0000-0000D6860000}"/>
    <cellStyle name="Normal 12 7 2 2 5" xfId="34872" xr:uid="{00000000-0005-0000-0000-0000D7860000}"/>
    <cellStyle name="Normal 12 7 2 2 6" xfId="34873" xr:uid="{00000000-0005-0000-0000-0000D8860000}"/>
    <cellStyle name="Normal 12 7 2 3" xfId="34874" xr:uid="{00000000-0005-0000-0000-0000D9860000}"/>
    <cellStyle name="Normal 12 7 2 3 2" xfId="34875" xr:uid="{00000000-0005-0000-0000-0000DA860000}"/>
    <cellStyle name="Normal 12 7 2 3 3" xfId="34876" xr:uid="{00000000-0005-0000-0000-0000DB860000}"/>
    <cellStyle name="Normal 12 7 2 4" xfId="34877" xr:uid="{00000000-0005-0000-0000-0000DC860000}"/>
    <cellStyle name="Normal 12 7 2 5" xfId="34878" xr:uid="{00000000-0005-0000-0000-0000DD860000}"/>
    <cellStyle name="Normal 12 7 2 6" xfId="34879" xr:uid="{00000000-0005-0000-0000-0000DE860000}"/>
    <cellStyle name="Normal 12 7 2 7" xfId="34880" xr:uid="{00000000-0005-0000-0000-0000DF860000}"/>
    <cellStyle name="Normal 12 7 3" xfId="34881" xr:uid="{00000000-0005-0000-0000-0000E0860000}"/>
    <cellStyle name="Normal 12 7 3 2" xfId="34882" xr:uid="{00000000-0005-0000-0000-0000E1860000}"/>
    <cellStyle name="Normal 12 7 3 2 2" xfId="34883" xr:uid="{00000000-0005-0000-0000-0000E2860000}"/>
    <cellStyle name="Normal 12 7 3 2 3" xfId="34884" xr:uid="{00000000-0005-0000-0000-0000E3860000}"/>
    <cellStyle name="Normal 12 7 3 3" xfId="34885" xr:uid="{00000000-0005-0000-0000-0000E4860000}"/>
    <cellStyle name="Normal 12 7 3 4" xfId="34886" xr:uid="{00000000-0005-0000-0000-0000E5860000}"/>
    <cellStyle name="Normal 12 7 3 5" xfId="34887" xr:uid="{00000000-0005-0000-0000-0000E6860000}"/>
    <cellStyle name="Normal 12 7 3 6" xfId="34888" xr:uid="{00000000-0005-0000-0000-0000E7860000}"/>
    <cellStyle name="Normal 12 7 4" xfId="34889" xr:uid="{00000000-0005-0000-0000-0000E8860000}"/>
    <cellStyle name="Normal 12 7 4 2" xfId="34890" xr:uid="{00000000-0005-0000-0000-0000E9860000}"/>
    <cellStyle name="Normal 12 7 4 2 2" xfId="34891" xr:uid="{00000000-0005-0000-0000-0000EA860000}"/>
    <cellStyle name="Normal 12 7 4 2 3" xfId="34892" xr:uid="{00000000-0005-0000-0000-0000EB860000}"/>
    <cellStyle name="Normal 12 7 4 3" xfId="34893" xr:uid="{00000000-0005-0000-0000-0000EC860000}"/>
    <cellStyle name="Normal 12 7 4 4" xfId="34894" xr:uid="{00000000-0005-0000-0000-0000ED860000}"/>
    <cellStyle name="Normal 12 7 4 5" xfId="34895" xr:uid="{00000000-0005-0000-0000-0000EE860000}"/>
    <cellStyle name="Normal 12 7 4 6" xfId="34896" xr:uid="{00000000-0005-0000-0000-0000EF860000}"/>
    <cellStyle name="Normal 12 7 5" xfId="34897" xr:uid="{00000000-0005-0000-0000-0000F0860000}"/>
    <cellStyle name="Normal 12 7 5 2" xfId="34898" xr:uid="{00000000-0005-0000-0000-0000F1860000}"/>
    <cellStyle name="Normal 12 7 5 3" xfId="34899" xr:uid="{00000000-0005-0000-0000-0000F2860000}"/>
    <cellStyle name="Normal 12 7 6" xfId="34900" xr:uid="{00000000-0005-0000-0000-0000F3860000}"/>
    <cellStyle name="Normal 12 7 7" xfId="34901" xr:uid="{00000000-0005-0000-0000-0000F4860000}"/>
    <cellStyle name="Normal 12 7 8" xfId="34902" xr:uid="{00000000-0005-0000-0000-0000F5860000}"/>
    <cellStyle name="Normal 12 7 9" xfId="34903" xr:uid="{00000000-0005-0000-0000-0000F6860000}"/>
    <cellStyle name="Normal 12 8" xfId="34904" xr:uid="{00000000-0005-0000-0000-0000F7860000}"/>
    <cellStyle name="Normal 12 8 2" xfId="34905" xr:uid="{00000000-0005-0000-0000-0000F8860000}"/>
    <cellStyle name="Normal 12 8 2 2" xfId="34906" xr:uid="{00000000-0005-0000-0000-0000F9860000}"/>
    <cellStyle name="Normal 12 8 2 2 2" xfId="34907" xr:uid="{00000000-0005-0000-0000-0000FA860000}"/>
    <cellStyle name="Normal 12 8 2 2 3" xfId="34908" xr:uid="{00000000-0005-0000-0000-0000FB860000}"/>
    <cellStyle name="Normal 12 8 2 3" xfId="34909" xr:uid="{00000000-0005-0000-0000-0000FC860000}"/>
    <cellStyle name="Normal 12 8 2 4" xfId="34910" xr:uid="{00000000-0005-0000-0000-0000FD860000}"/>
    <cellStyle name="Normal 12 8 2 5" xfId="34911" xr:uid="{00000000-0005-0000-0000-0000FE860000}"/>
    <cellStyle name="Normal 12 8 2 6" xfId="34912" xr:uid="{00000000-0005-0000-0000-0000FF860000}"/>
    <cellStyle name="Normal 12 8 3" xfId="34913" xr:uid="{00000000-0005-0000-0000-000000870000}"/>
    <cellStyle name="Normal 12 8 3 2" xfId="34914" xr:uid="{00000000-0005-0000-0000-000001870000}"/>
    <cellStyle name="Normal 12 8 3 3" xfId="34915" xr:uid="{00000000-0005-0000-0000-000002870000}"/>
    <cellStyle name="Normal 12 8 4" xfId="34916" xr:uid="{00000000-0005-0000-0000-000003870000}"/>
    <cellStyle name="Normal 12 8 5" xfId="34917" xr:uid="{00000000-0005-0000-0000-000004870000}"/>
    <cellStyle name="Normal 12 8 6" xfId="34918" xr:uid="{00000000-0005-0000-0000-000005870000}"/>
    <cellStyle name="Normal 12 8 7" xfId="34919" xr:uid="{00000000-0005-0000-0000-000006870000}"/>
    <cellStyle name="Normal 12 9" xfId="34920" xr:uid="{00000000-0005-0000-0000-000007870000}"/>
    <cellStyle name="Normal 12 9 2" xfId="34921" xr:uid="{00000000-0005-0000-0000-000008870000}"/>
    <cellStyle name="Normal 12 9 2 2" xfId="34922" xr:uid="{00000000-0005-0000-0000-000009870000}"/>
    <cellStyle name="Normal 12 9 2 3" xfId="34923" xr:uid="{00000000-0005-0000-0000-00000A870000}"/>
    <cellStyle name="Normal 12 9 3" xfId="34924" xr:uid="{00000000-0005-0000-0000-00000B870000}"/>
    <cellStyle name="Normal 12 9 4" xfId="34925" xr:uid="{00000000-0005-0000-0000-00000C870000}"/>
    <cellStyle name="Normal 12 9 5" xfId="34926" xr:uid="{00000000-0005-0000-0000-00000D870000}"/>
    <cellStyle name="Normal 12 9 6" xfId="34927" xr:uid="{00000000-0005-0000-0000-00000E870000}"/>
    <cellStyle name="Normal 13" xfId="124" xr:uid="{00000000-0005-0000-0000-00000F870000}"/>
    <cellStyle name="Normal 13 2" xfId="392" xr:uid="{00000000-0005-0000-0000-000010870000}"/>
    <cellStyle name="Normal 13 2 2" xfId="34928" xr:uid="{00000000-0005-0000-0000-000011870000}"/>
    <cellStyle name="Normal 13 3" xfId="393" xr:uid="{00000000-0005-0000-0000-000012870000}"/>
    <cellStyle name="Normal 13 3 2" xfId="394" xr:uid="{00000000-0005-0000-0000-000013870000}"/>
    <cellStyle name="Normal 13 3 3" xfId="395" xr:uid="{00000000-0005-0000-0000-000014870000}"/>
    <cellStyle name="Normal 13 4" xfId="34929" xr:uid="{00000000-0005-0000-0000-000015870000}"/>
    <cellStyle name="Normal 14" xfId="125" xr:uid="{00000000-0005-0000-0000-000016870000}"/>
    <cellStyle name="Normal 14 2" xfId="396" xr:uid="{00000000-0005-0000-0000-000017870000}"/>
    <cellStyle name="Normal 14 2 2" xfId="397" xr:uid="{00000000-0005-0000-0000-000018870000}"/>
    <cellStyle name="Normal 14 2 3" xfId="34930" xr:uid="{00000000-0005-0000-0000-000019870000}"/>
    <cellStyle name="Normal 14 3" xfId="398" xr:uid="{00000000-0005-0000-0000-00001A870000}"/>
    <cellStyle name="Normal 14 3 2" xfId="34931" xr:uid="{00000000-0005-0000-0000-00001B870000}"/>
    <cellStyle name="Normal 14 4" xfId="399" xr:uid="{00000000-0005-0000-0000-00001C870000}"/>
    <cellStyle name="Normal 14 4 2" xfId="34932" xr:uid="{00000000-0005-0000-0000-00001D870000}"/>
    <cellStyle name="Normal 14 4 2 2" xfId="34933" xr:uid="{00000000-0005-0000-0000-00001E870000}"/>
    <cellStyle name="Normal 14 4 2 2 2" xfId="34934" xr:uid="{00000000-0005-0000-0000-00001F870000}"/>
    <cellStyle name="Normal 14 4 2 2 2 2" xfId="34935" xr:uid="{00000000-0005-0000-0000-000020870000}"/>
    <cellStyle name="Normal 14 4 2 2 2 3" xfId="34936" xr:uid="{00000000-0005-0000-0000-000021870000}"/>
    <cellStyle name="Normal 14 4 2 2 3" xfId="34937" xr:uid="{00000000-0005-0000-0000-000022870000}"/>
    <cellStyle name="Normal 14 4 2 2 4" xfId="34938" xr:uid="{00000000-0005-0000-0000-000023870000}"/>
    <cellStyle name="Normal 14 4 2 2 5" xfId="34939" xr:uid="{00000000-0005-0000-0000-000024870000}"/>
    <cellStyle name="Normal 14 4 2 2 6" xfId="34940" xr:uid="{00000000-0005-0000-0000-000025870000}"/>
    <cellStyle name="Normal 14 4 2 3" xfId="34941" xr:uid="{00000000-0005-0000-0000-000026870000}"/>
    <cellStyle name="Normal 14 4 2 3 2" xfId="34942" xr:uid="{00000000-0005-0000-0000-000027870000}"/>
    <cellStyle name="Normal 14 4 2 3 3" xfId="34943" xr:uid="{00000000-0005-0000-0000-000028870000}"/>
    <cellStyle name="Normal 14 4 2 4" xfId="34944" xr:uid="{00000000-0005-0000-0000-000029870000}"/>
    <cellStyle name="Normal 14 4 2 5" xfId="34945" xr:uid="{00000000-0005-0000-0000-00002A870000}"/>
    <cellStyle name="Normal 14 4 2 6" xfId="34946" xr:uid="{00000000-0005-0000-0000-00002B870000}"/>
    <cellStyle name="Normal 14 4 2 7" xfId="34947" xr:uid="{00000000-0005-0000-0000-00002C870000}"/>
    <cellStyle name="Normal 14 4 3" xfId="34948" xr:uid="{00000000-0005-0000-0000-00002D870000}"/>
    <cellStyle name="Normal 14 4 3 2" xfId="34949" xr:uid="{00000000-0005-0000-0000-00002E870000}"/>
    <cellStyle name="Normal 14 4 3 2 2" xfId="34950" xr:uid="{00000000-0005-0000-0000-00002F870000}"/>
    <cellStyle name="Normal 14 4 3 2 3" xfId="34951" xr:uid="{00000000-0005-0000-0000-000030870000}"/>
    <cellStyle name="Normal 14 4 3 3" xfId="34952" xr:uid="{00000000-0005-0000-0000-000031870000}"/>
    <cellStyle name="Normal 14 4 3 4" xfId="34953" xr:uid="{00000000-0005-0000-0000-000032870000}"/>
    <cellStyle name="Normal 14 4 3 5" xfId="34954" xr:uid="{00000000-0005-0000-0000-000033870000}"/>
    <cellStyle name="Normal 14 4 3 6" xfId="34955" xr:uid="{00000000-0005-0000-0000-000034870000}"/>
    <cellStyle name="Normal 14 4 4" xfId="34956" xr:uid="{00000000-0005-0000-0000-000035870000}"/>
    <cellStyle name="Normal 14 4 4 2" xfId="34957" xr:uid="{00000000-0005-0000-0000-000036870000}"/>
    <cellStyle name="Normal 14 4 4 2 2" xfId="34958" xr:uid="{00000000-0005-0000-0000-000037870000}"/>
    <cellStyle name="Normal 14 4 4 2 3" xfId="34959" xr:uid="{00000000-0005-0000-0000-000038870000}"/>
    <cellStyle name="Normal 14 4 4 3" xfId="34960" xr:uid="{00000000-0005-0000-0000-000039870000}"/>
    <cellStyle name="Normal 14 4 4 4" xfId="34961" xr:uid="{00000000-0005-0000-0000-00003A870000}"/>
    <cellStyle name="Normal 14 4 4 5" xfId="34962" xr:uid="{00000000-0005-0000-0000-00003B870000}"/>
    <cellStyle name="Normal 14 4 4 6" xfId="34963" xr:uid="{00000000-0005-0000-0000-00003C870000}"/>
    <cellStyle name="Normal 14 4 5" xfId="34964" xr:uid="{00000000-0005-0000-0000-00003D870000}"/>
    <cellStyle name="Normal 14 4 5 2" xfId="34965" xr:uid="{00000000-0005-0000-0000-00003E870000}"/>
    <cellStyle name="Normal 14 4 5 3" xfId="34966" xr:uid="{00000000-0005-0000-0000-00003F870000}"/>
    <cellStyle name="Normal 14 4 6" xfId="34967" xr:uid="{00000000-0005-0000-0000-000040870000}"/>
    <cellStyle name="Normal 14 4 7" xfId="34968" xr:uid="{00000000-0005-0000-0000-000041870000}"/>
    <cellStyle name="Normal 14 4 8" xfId="34969" xr:uid="{00000000-0005-0000-0000-000042870000}"/>
    <cellStyle name="Normal 14 4 9" xfId="34970" xr:uid="{00000000-0005-0000-0000-000043870000}"/>
    <cellStyle name="Normal 14 5" xfId="34971" xr:uid="{00000000-0005-0000-0000-000044870000}"/>
    <cellStyle name="Normal 14 5 2" xfId="34972" xr:uid="{00000000-0005-0000-0000-000045870000}"/>
    <cellStyle name="Normal 14 5 2 2" xfId="34973" xr:uid="{00000000-0005-0000-0000-000046870000}"/>
    <cellStyle name="Normal 14 5 3" xfId="34974" xr:uid="{00000000-0005-0000-0000-000047870000}"/>
    <cellStyle name="Normal 14 6" xfId="34975" xr:uid="{00000000-0005-0000-0000-000048870000}"/>
    <cellStyle name="Normal 14 7" xfId="34976" xr:uid="{00000000-0005-0000-0000-000049870000}"/>
    <cellStyle name="Normal 14 7 2" xfId="34977" xr:uid="{00000000-0005-0000-0000-00004A870000}"/>
    <cellStyle name="Normal 14 7 2 2" xfId="34978" xr:uid="{00000000-0005-0000-0000-00004B870000}"/>
    <cellStyle name="Normal 14 7 2 2 2" xfId="34979" xr:uid="{00000000-0005-0000-0000-00004C870000}"/>
    <cellStyle name="Normal 14 7 2 2 3" xfId="34980" xr:uid="{00000000-0005-0000-0000-00004D870000}"/>
    <cellStyle name="Normal 14 7 2 3" xfId="34981" xr:uid="{00000000-0005-0000-0000-00004E870000}"/>
    <cellStyle name="Normal 14 7 2 4" xfId="34982" xr:uid="{00000000-0005-0000-0000-00004F870000}"/>
    <cellStyle name="Normal 14 7 2 5" xfId="34983" xr:uid="{00000000-0005-0000-0000-000050870000}"/>
    <cellStyle name="Normal 14 7 2 6" xfId="34984" xr:uid="{00000000-0005-0000-0000-000051870000}"/>
    <cellStyle name="Normal 14 7 3" xfId="34985" xr:uid="{00000000-0005-0000-0000-000052870000}"/>
    <cellStyle name="Normal 14 7 3 2" xfId="34986" xr:uid="{00000000-0005-0000-0000-000053870000}"/>
    <cellStyle name="Normal 14 7 3 3" xfId="34987" xr:uid="{00000000-0005-0000-0000-000054870000}"/>
    <cellStyle name="Normal 14 7 4" xfId="34988" xr:uid="{00000000-0005-0000-0000-000055870000}"/>
    <cellStyle name="Normal 14 7 5" xfId="34989" xr:uid="{00000000-0005-0000-0000-000056870000}"/>
    <cellStyle name="Normal 14 7 6" xfId="34990" xr:uid="{00000000-0005-0000-0000-000057870000}"/>
    <cellStyle name="Normal 14 7 7" xfId="34991" xr:uid="{00000000-0005-0000-0000-000058870000}"/>
    <cellStyle name="Normal 14 8" xfId="34992" xr:uid="{00000000-0005-0000-0000-000059870000}"/>
    <cellStyle name="Normal 14 8 2" xfId="34993" xr:uid="{00000000-0005-0000-0000-00005A870000}"/>
    <cellStyle name="Normal 14 8 2 2" xfId="34994" xr:uid="{00000000-0005-0000-0000-00005B870000}"/>
    <cellStyle name="Normal 14 8 2 3" xfId="34995" xr:uid="{00000000-0005-0000-0000-00005C870000}"/>
    <cellStyle name="Normal 14 8 3" xfId="34996" xr:uid="{00000000-0005-0000-0000-00005D870000}"/>
    <cellStyle name="Normal 14 8 4" xfId="34997" xr:uid="{00000000-0005-0000-0000-00005E870000}"/>
    <cellStyle name="Normal 14 8 5" xfId="34998" xr:uid="{00000000-0005-0000-0000-00005F870000}"/>
    <cellStyle name="Normal 14 8 6" xfId="34999" xr:uid="{00000000-0005-0000-0000-000060870000}"/>
    <cellStyle name="Normal 14 9" xfId="35000" xr:uid="{00000000-0005-0000-0000-000061870000}"/>
    <cellStyle name="Normal 14 9 2" xfId="35001" xr:uid="{00000000-0005-0000-0000-000062870000}"/>
    <cellStyle name="Normal 15" xfId="126" xr:uid="{00000000-0005-0000-0000-000063870000}"/>
    <cellStyle name="Normal 15 10" xfId="35002" xr:uid="{00000000-0005-0000-0000-000064870000}"/>
    <cellStyle name="Normal 15 11" xfId="35003" xr:uid="{00000000-0005-0000-0000-000065870000}"/>
    <cellStyle name="Normal 15 12" xfId="35004" xr:uid="{00000000-0005-0000-0000-000066870000}"/>
    <cellStyle name="Normal 15 13" xfId="35005" xr:uid="{00000000-0005-0000-0000-000067870000}"/>
    <cellStyle name="Normal 15 2" xfId="400" xr:uid="{00000000-0005-0000-0000-000068870000}"/>
    <cellStyle name="Normal 15 2 10" xfId="35006" xr:uid="{00000000-0005-0000-0000-000069870000}"/>
    <cellStyle name="Normal 15 2 2" xfId="35007" xr:uid="{00000000-0005-0000-0000-00006A870000}"/>
    <cellStyle name="Normal 15 2 2 2" xfId="35008" xr:uid="{00000000-0005-0000-0000-00006B870000}"/>
    <cellStyle name="Normal 15 2 2 2 2" xfId="35009" xr:uid="{00000000-0005-0000-0000-00006C870000}"/>
    <cellStyle name="Normal 15 2 2 2 2 2" xfId="35010" xr:uid="{00000000-0005-0000-0000-00006D870000}"/>
    <cellStyle name="Normal 15 2 2 2 2 3" xfId="35011" xr:uid="{00000000-0005-0000-0000-00006E870000}"/>
    <cellStyle name="Normal 15 2 2 2 3" xfId="35012" xr:uid="{00000000-0005-0000-0000-00006F870000}"/>
    <cellStyle name="Normal 15 2 2 2 4" xfId="35013" xr:uid="{00000000-0005-0000-0000-000070870000}"/>
    <cellStyle name="Normal 15 2 2 2 5" xfId="35014" xr:uid="{00000000-0005-0000-0000-000071870000}"/>
    <cellStyle name="Normal 15 2 2 2 6" xfId="35015" xr:uid="{00000000-0005-0000-0000-000072870000}"/>
    <cellStyle name="Normal 15 2 2 3" xfId="35016" xr:uid="{00000000-0005-0000-0000-000073870000}"/>
    <cellStyle name="Normal 15 2 2 3 2" xfId="35017" xr:uid="{00000000-0005-0000-0000-000074870000}"/>
    <cellStyle name="Normal 15 2 2 3 2 2" xfId="35018" xr:uid="{00000000-0005-0000-0000-000075870000}"/>
    <cellStyle name="Normal 15 2 2 3 2 3" xfId="35019" xr:uid="{00000000-0005-0000-0000-000076870000}"/>
    <cellStyle name="Normal 15 2 2 3 3" xfId="35020" xr:uid="{00000000-0005-0000-0000-000077870000}"/>
    <cellStyle name="Normal 15 2 2 3 4" xfId="35021" xr:uid="{00000000-0005-0000-0000-000078870000}"/>
    <cellStyle name="Normal 15 2 2 3 5" xfId="35022" xr:uid="{00000000-0005-0000-0000-000079870000}"/>
    <cellStyle name="Normal 15 2 2 3 6" xfId="35023" xr:uid="{00000000-0005-0000-0000-00007A870000}"/>
    <cellStyle name="Normal 15 2 2 4" xfId="35024" xr:uid="{00000000-0005-0000-0000-00007B870000}"/>
    <cellStyle name="Normal 15 2 2 4 2" xfId="35025" xr:uid="{00000000-0005-0000-0000-00007C870000}"/>
    <cellStyle name="Normal 15 2 2 4 3" xfId="35026" xr:uid="{00000000-0005-0000-0000-00007D870000}"/>
    <cellStyle name="Normal 15 2 2 5" xfId="35027" xr:uid="{00000000-0005-0000-0000-00007E870000}"/>
    <cellStyle name="Normal 15 2 2 6" xfId="35028" xr:uid="{00000000-0005-0000-0000-00007F870000}"/>
    <cellStyle name="Normal 15 2 2 7" xfId="35029" xr:uid="{00000000-0005-0000-0000-000080870000}"/>
    <cellStyle name="Normal 15 2 2 8" xfId="35030" xr:uid="{00000000-0005-0000-0000-000081870000}"/>
    <cellStyle name="Normal 15 2 3" xfId="35031" xr:uid="{00000000-0005-0000-0000-000082870000}"/>
    <cellStyle name="Normal 15 2 3 2" xfId="35032" xr:uid="{00000000-0005-0000-0000-000083870000}"/>
    <cellStyle name="Normal 15 2 3 2 2" xfId="35033" xr:uid="{00000000-0005-0000-0000-000084870000}"/>
    <cellStyle name="Normal 15 2 3 2 2 2" xfId="35034" xr:uid="{00000000-0005-0000-0000-000085870000}"/>
    <cellStyle name="Normal 15 2 3 2 2 3" xfId="35035" xr:uid="{00000000-0005-0000-0000-000086870000}"/>
    <cellStyle name="Normal 15 2 3 2 3" xfId="35036" xr:uid="{00000000-0005-0000-0000-000087870000}"/>
    <cellStyle name="Normal 15 2 3 2 4" xfId="35037" xr:uid="{00000000-0005-0000-0000-000088870000}"/>
    <cellStyle name="Normal 15 2 3 2 5" xfId="35038" xr:uid="{00000000-0005-0000-0000-000089870000}"/>
    <cellStyle name="Normal 15 2 3 2 6" xfId="35039" xr:uid="{00000000-0005-0000-0000-00008A870000}"/>
    <cellStyle name="Normal 15 2 3 3" xfId="35040" xr:uid="{00000000-0005-0000-0000-00008B870000}"/>
    <cellStyle name="Normal 15 2 3 3 2" xfId="35041" xr:uid="{00000000-0005-0000-0000-00008C870000}"/>
    <cellStyle name="Normal 15 2 3 3 3" xfId="35042" xr:uid="{00000000-0005-0000-0000-00008D870000}"/>
    <cellStyle name="Normal 15 2 3 4" xfId="35043" xr:uid="{00000000-0005-0000-0000-00008E870000}"/>
    <cellStyle name="Normal 15 2 3 5" xfId="35044" xr:uid="{00000000-0005-0000-0000-00008F870000}"/>
    <cellStyle name="Normal 15 2 3 6" xfId="35045" xr:uid="{00000000-0005-0000-0000-000090870000}"/>
    <cellStyle name="Normal 15 2 3 7" xfId="35046" xr:uid="{00000000-0005-0000-0000-000091870000}"/>
    <cellStyle name="Normal 15 2 4" xfId="35047" xr:uid="{00000000-0005-0000-0000-000092870000}"/>
    <cellStyle name="Normal 15 2 4 2" xfId="35048" xr:uid="{00000000-0005-0000-0000-000093870000}"/>
    <cellStyle name="Normal 15 2 4 2 2" xfId="35049" xr:uid="{00000000-0005-0000-0000-000094870000}"/>
    <cellStyle name="Normal 15 2 4 2 3" xfId="35050" xr:uid="{00000000-0005-0000-0000-000095870000}"/>
    <cellStyle name="Normal 15 2 4 3" xfId="35051" xr:uid="{00000000-0005-0000-0000-000096870000}"/>
    <cellStyle name="Normal 15 2 4 4" xfId="35052" xr:uid="{00000000-0005-0000-0000-000097870000}"/>
    <cellStyle name="Normal 15 2 4 5" xfId="35053" xr:uid="{00000000-0005-0000-0000-000098870000}"/>
    <cellStyle name="Normal 15 2 4 6" xfId="35054" xr:uid="{00000000-0005-0000-0000-000099870000}"/>
    <cellStyle name="Normal 15 2 5" xfId="35055" xr:uid="{00000000-0005-0000-0000-00009A870000}"/>
    <cellStyle name="Normal 15 2 5 2" xfId="35056" xr:uid="{00000000-0005-0000-0000-00009B870000}"/>
    <cellStyle name="Normal 15 2 5 2 2" xfId="35057" xr:uid="{00000000-0005-0000-0000-00009C870000}"/>
    <cellStyle name="Normal 15 2 5 2 3" xfId="35058" xr:uid="{00000000-0005-0000-0000-00009D870000}"/>
    <cellStyle name="Normal 15 2 5 3" xfId="35059" xr:uid="{00000000-0005-0000-0000-00009E870000}"/>
    <cellStyle name="Normal 15 2 5 4" xfId="35060" xr:uid="{00000000-0005-0000-0000-00009F870000}"/>
    <cellStyle name="Normal 15 2 5 5" xfId="35061" xr:uid="{00000000-0005-0000-0000-0000A0870000}"/>
    <cellStyle name="Normal 15 2 5 6" xfId="35062" xr:uid="{00000000-0005-0000-0000-0000A1870000}"/>
    <cellStyle name="Normal 15 2 6" xfId="35063" xr:uid="{00000000-0005-0000-0000-0000A2870000}"/>
    <cellStyle name="Normal 15 2 6 2" xfId="35064" xr:uid="{00000000-0005-0000-0000-0000A3870000}"/>
    <cellStyle name="Normal 15 2 6 3" xfId="35065" xr:uid="{00000000-0005-0000-0000-0000A4870000}"/>
    <cellStyle name="Normal 15 2 7" xfId="35066" xr:uid="{00000000-0005-0000-0000-0000A5870000}"/>
    <cellStyle name="Normal 15 2 8" xfId="35067" xr:uid="{00000000-0005-0000-0000-0000A6870000}"/>
    <cellStyle name="Normal 15 2 9" xfId="35068" xr:uid="{00000000-0005-0000-0000-0000A7870000}"/>
    <cellStyle name="Normal 15 3" xfId="401" xr:uid="{00000000-0005-0000-0000-0000A8870000}"/>
    <cellStyle name="Normal 15 3 2" xfId="35069" xr:uid="{00000000-0005-0000-0000-0000A9870000}"/>
    <cellStyle name="Normal 15 3 2 2" xfId="35070" xr:uid="{00000000-0005-0000-0000-0000AA870000}"/>
    <cellStyle name="Normal 15 3 2 2 2" xfId="35071" xr:uid="{00000000-0005-0000-0000-0000AB870000}"/>
    <cellStyle name="Normal 15 3 2 2 2 2" xfId="35072" xr:uid="{00000000-0005-0000-0000-0000AC870000}"/>
    <cellStyle name="Normal 15 3 2 2 2 3" xfId="35073" xr:uid="{00000000-0005-0000-0000-0000AD870000}"/>
    <cellStyle name="Normal 15 3 2 2 3" xfId="35074" xr:uid="{00000000-0005-0000-0000-0000AE870000}"/>
    <cellStyle name="Normal 15 3 2 2 4" xfId="35075" xr:uid="{00000000-0005-0000-0000-0000AF870000}"/>
    <cellStyle name="Normal 15 3 2 2 5" xfId="35076" xr:uid="{00000000-0005-0000-0000-0000B0870000}"/>
    <cellStyle name="Normal 15 3 2 2 6" xfId="35077" xr:uid="{00000000-0005-0000-0000-0000B1870000}"/>
    <cellStyle name="Normal 15 3 2 3" xfId="35078" xr:uid="{00000000-0005-0000-0000-0000B2870000}"/>
    <cellStyle name="Normal 15 3 2 3 2" xfId="35079" xr:uid="{00000000-0005-0000-0000-0000B3870000}"/>
    <cellStyle name="Normal 15 3 2 3 3" xfId="35080" xr:uid="{00000000-0005-0000-0000-0000B4870000}"/>
    <cellStyle name="Normal 15 3 2 4" xfId="35081" xr:uid="{00000000-0005-0000-0000-0000B5870000}"/>
    <cellStyle name="Normal 15 3 2 5" xfId="35082" xr:uid="{00000000-0005-0000-0000-0000B6870000}"/>
    <cellStyle name="Normal 15 3 2 6" xfId="35083" xr:uid="{00000000-0005-0000-0000-0000B7870000}"/>
    <cellStyle name="Normal 15 3 2 7" xfId="35084" xr:uid="{00000000-0005-0000-0000-0000B8870000}"/>
    <cellStyle name="Normal 15 3 3" xfId="35085" xr:uid="{00000000-0005-0000-0000-0000B9870000}"/>
    <cellStyle name="Normal 15 3 3 2" xfId="35086" xr:uid="{00000000-0005-0000-0000-0000BA870000}"/>
    <cellStyle name="Normal 15 3 3 2 2" xfId="35087" xr:uid="{00000000-0005-0000-0000-0000BB870000}"/>
    <cellStyle name="Normal 15 3 3 2 3" xfId="35088" xr:uid="{00000000-0005-0000-0000-0000BC870000}"/>
    <cellStyle name="Normal 15 3 3 3" xfId="35089" xr:uid="{00000000-0005-0000-0000-0000BD870000}"/>
    <cellStyle name="Normal 15 3 3 4" xfId="35090" xr:uid="{00000000-0005-0000-0000-0000BE870000}"/>
    <cellStyle name="Normal 15 3 3 5" xfId="35091" xr:uid="{00000000-0005-0000-0000-0000BF870000}"/>
    <cellStyle name="Normal 15 3 3 6" xfId="35092" xr:uid="{00000000-0005-0000-0000-0000C0870000}"/>
    <cellStyle name="Normal 15 3 4" xfId="35093" xr:uid="{00000000-0005-0000-0000-0000C1870000}"/>
    <cellStyle name="Normal 15 3 4 2" xfId="35094" xr:uid="{00000000-0005-0000-0000-0000C2870000}"/>
    <cellStyle name="Normal 15 3 4 2 2" xfId="35095" xr:uid="{00000000-0005-0000-0000-0000C3870000}"/>
    <cellStyle name="Normal 15 3 4 2 3" xfId="35096" xr:uid="{00000000-0005-0000-0000-0000C4870000}"/>
    <cellStyle name="Normal 15 3 4 3" xfId="35097" xr:uid="{00000000-0005-0000-0000-0000C5870000}"/>
    <cellStyle name="Normal 15 3 4 4" xfId="35098" xr:uid="{00000000-0005-0000-0000-0000C6870000}"/>
    <cellStyle name="Normal 15 3 4 5" xfId="35099" xr:uid="{00000000-0005-0000-0000-0000C7870000}"/>
    <cellStyle name="Normal 15 3 4 6" xfId="35100" xr:uid="{00000000-0005-0000-0000-0000C8870000}"/>
    <cellStyle name="Normal 15 3 5" xfId="35101" xr:uid="{00000000-0005-0000-0000-0000C9870000}"/>
    <cellStyle name="Normal 15 3 5 2" xfId="35102" xr:uid="{00000000-0005-0000-0000-0000CA870000}"/>
    <cellStyle name="Normal 15 3 5 3" xfId="35103" xr:uid="{00000000-0005-0000-0000-0000CB870000}"/>
    <cellStyle name="Normal 15 3 6" xfId="35104" xr:uid="{00000000-0005-0000-0000-0000CC870000}"/>
    <cellStyle name="Normal 15 3 7" xfId="35105" xr:uid="{00000000-0005-0000-0000-0000CD870000}"/>
    <cellStyle name="Normal 15 3 8" xfId="35106" xr:uid="{00000000-0005-0000-0000-0000CE870000}"/>
    <cellStyle name="Normal 15 3 9" xfId="35107" xr:uid="{00000000-0005-0000-0000-0000CF870000}"/>
    <cellStyle name="Normal 15 4" xfId="35108" xr:uid="{00000000-0005-0000-0000-0000D0870000}"/>
    <cellStyle name="Normal 15 4 2" xfId="35109" xr:uid="{00000000-0005-0000-0000-0000D1870000}"/>
    <cellStyle name="Normal 15 4 2 2" xfId="35110" xr:uid="{00000000-0005-0000-0000-0000D2870000}"/>
    <cellStyle name="Normal 15 4 2 2 2" xfId="35111" xr:uid="{00000000-0005-0000-0000-0000D3870000}"/>
    <cellStyle name="Normal 15 4 2 2 3" xfId="35112" xr:uid="{00000000-0005-0000-0000-0000D4870000}"/>
    <cellStyle name="Normal 15 4 2 3" xfId="35113" xr:uid="{00000000-0005-0000-0000-0000D5870000}"/>
    <cellStyle name="Normal 15 4 2 4" xfId="35114" xr:uid="{00000000-0005-0000-0000-0000D6870000}"/>
    <cellStyle name="Normal 15 4 2 5" xfId="35115" xr:uid="{00000000-0005-0000-0000-0000D7870000}"/>
    <cellStyle name="Normal 15 4 2 6" xfId="35116" xr:uid="{00000000-0005-0000-0000-0000D8870000}"/>
    <cellStyle name="Normal 15 4 3" xfId="35117" xr:uid="{00000000-0005-0000-0000-0000D9870000}"/>
    <cellStyle name="Normal 15 4 3 2" xfId="35118" xr:uid="{00000000-0005-0000-0000-0000DA870000}"/>
    <cellStyle name="Normal 15 4 3 3" xfId="35119" xr:uid="{00000000-0005-0000-0000-0000DB870000}"/>
    <cellStyle name="Normal 15 4 4" xfId="35120" xr:uid="{00000000-0005-0000-0000-0000DC870000}"/>
    <cellStyle name="Normal 15 4 5" xfId="35121" xr:uid="{00000000-0005-0000-0000-0000DD870000}"/>
    <cellStyle name="Normal 15 4 6" xfId="35122" xr:uid="{00000000-0005-0000-0000-0000DE870000}"/>
    <cellStyle name="Normal 15 4 7" xfId="35123" xr:uid="{00000000-0005-0000-0000-0000DF870000}"/>
    <cellStyle name="Normal 15 5" xfId="35124" xr:uid="{00000000-0005-0000-0000-0000E0870000}"/>
    <cellStyle name="Normal 15 5 2" xfId="35125" xr:uid="{00000000-0005-0000-0000-0000E1870000}"/>
    <cellStyle name="Normal 15 5 2 2" xfId="35126" xr:uid="{00000000-0005-0000-0000-0000E2870000}"/>
    <cellStyle name="Normal 15 5 2 3" xfId="35127" xr:uid="{00000000-0005-0000-0000-0000E3870000}"/>
    <cellStyle name="Normal 15 5 3" xfId="35128" xr:uid="{00000000-0005-0000-0000-0000E4870000}"/>
    <cellStyle name="Normal 15 5 4" xfId="35129" xr:uid="{00000000-0005-0000-0000-0000E5870000}"/>
    <cellStyle name="Normal 15 5 5" xfId="35130" xr:uid="{00000000-0005-0000-0000-0000E6870000}"/>
    <cellStyle name="Normal 15 5 6" xfId="35131" xr:uid="{00000000-0005-0000-0000-0000E7870000}"/>
    <cellStyle name="Normal 15 6" xfId="35132" xr:uid="{00000000-0005-0000-0000-0000E8870000}"/>
    <cellStyle name="Normal 15 6 2" xfId="35133" xr:uid="{00000000-0005-0000-0000-0000E9870000}"/>
    <cellStyle name="Normal 15 6 2 2" xfId="35134" xr:uid="{00000000-0005-0000-0000-0000EA870000}"/>
    <cellStyle name="Normal 15 6 2 3" xfId="35135" xr:uid="{00000000-0005-0000-0000-0000EB870000}"/>
    <cellStyle name="Normal 15 6 3" xfId="35136" xr:uid="{00000000-0005-0000-0000-0000EC870000}"/>
    <cellStyle name="Normal 15 6 4" xfId="35137" xr:uid="{00000000-0005-0000-0000-0000ED870000}"/>
    <cellStyle name="Normal 15 6 5" xfId="35138" xr:uid="{00000000-0005-0000-0000-0000EE870000}"/>
    <cellStyle name="Normal 15 6 6" xfId="35139" xr:uid="{00000000-0005-0000-0000-0000EF870000}"/>
    <cellStyle name="Normal 15 7" xfId="35140" xr:uid="{00000000-0005-0000-0000-0000F0870000}"/>
    <cellStyle name="Normal 15 7 2" xfId="35141" xr:uid="{00000000-0005-0000-0000-0000F1870000}"/>
    <cellStyle name="Normal 15 7 2 2" xfId="35142" xr:uid="{00000000-0005-0000-0000-0000F2870000}"/>
    <cellStyle name="Normal 15 7 2 3" xfId="35143" xr:uid="{00000000-0005-0000-0000-0000F3870000}"/>
    <cellStyle name="Normal 15 7 3" xfId="35144" xr:uid="{00000000-0005-0000-0000-0000F4870000}"/>
    <cellStyle name="Normal 15 7 4" xfId="35145" xr:uid="{00000000-0005-0000-0000-0000F5870000}"/>
    <cellStyle name="Normal 15 7 5" xfId="35146" xr:uid="{00000000-0005-0000-0000-0000F6870000}"/>
    <cellStyle name="Normal 15 7 6" xfId="35147" xr:uid="{00000000-0005-0000-0000-0000F7870000}"/>
    <cellStyle name="Normal 15 8" xfId="35148" xr:uid="{00000000-0005-0000-0000-0000F8870000}"/>
    <cellStyle name="Normal 15 8 2" xfId="35149" xr:uid="{00000000-0005-0000-0000-0000F9870000}"/>
    <cellStyle name="Normal 15 8 2 2" xfId="35150" xr:uid="{00000000-0005-0000-0000-0000FA870000}"/>
    <cellStyle name="Normal 15 8 2 3" xfId="35151" xr:uid="{00000000-0005-0000-0000-0000FB870000}"/>
    <cellStyle name="Normal 15 8 3" xfId="35152" xr:uid="{00000000-0005-0000-0000-0000FC870000}"/>
    <cellStyle name="Normal 15 8 4" xfId="35153" xr:uid="{00000000-0005-0000-0000-0000FD870000}"/>
    <cellStyle name="Normal 15 8 5" xfId="35154" xr:uid="{00000000-0005-0000-0000-0000FE870000}"/>
    <cellStyle name="Normal 15 8 6" xfId="35155" xr:uid="{00000000-0005-0000-0000-0000FF870000}"/>
    <cellStyle name="Normal 15 9" xfId="35156" xr:uid="{00000000-0005-0000-0000-000000880000}"/>
    <cellStyle name="Normal 15 9 2" xfId="35157" xr:uid="{00000000-0005-0000-0000-000001880000}"/>
    <cellStyle name="Normal 15 9 3" xfId="35158" xr:uid="{00000000-0005-0000-0000-000002880000}"/>
    <cellStyle name="Normal 16" xfId="127" xr:uid="{00000000-0005-0000-0000-000003880000}"/>
    <cellStyle name="Normal 16 2" xfId="35159" xr:uid="{00000000-0005-0000-0000-000004880000}"/>
    <cellStyle name="Normal 16 3" xfId="35160" xr:uid="{00000000-0005-0000-0000-000005880000}"/>
    <cellStyle name="Normal 16 3 2" xfId="35161" xr:uid="{00000000-0005-0000-0000-000006880000}"/>
    <cellStyle name="Normal 16 4" xfId="35162" xr:uid="{00000000-0005-0000-0000-000007880000}"/>
    <cellStyle name="Normal 16 4 2" xfId="35163" xr:uid="{00000000-0005-0000-0000-000008880000}"/>
    <cellStyle name="Normal 16 4 2 2" xfId="35164" xr:uid="{00000000-0005-0000-0000-000009880000}"/>
    <cellStyle name="Normal 16 4 3" xfId="35165" xr:uid="{00000000-0005-0000-0000-00000A880000}"/>
    <cellStyle name="Normal 16 5" xfId="35166" xr:uid="{00000000-0005-0000-0000-00000B880000}"/>
    <cellStyle name="Normal 16 6" xfId="35167" xr:uid="{00000000-0005-0000-0000-00000C880000}"/>
    <cellStyle name="Normal 16 6 2" xfId="35168" xr:uid="{00000000-0005-0000-0000-00000D880000}"/>
    <cellStyle name="Normal 17" xfId="128" xr:uid="{00000000-0005-0000-0000-00000E880000}"/>
    <cellStyle name="Normal 17 2" xfId="402" xr:uid="{00000000-0005-0000-0000-00000F880000}"/>
    <cellStyle name="Normal 17 3" xfId="35169" xr:uid="{00000000-0005-0000-0000-000010880000}"/>
    <cellStyle name="Normal 17 3 2" xfId="35170" xr:uid="{00000000-0005-0000-0000-000011880000}"/>
    <cellStyle name="Normal 17 4" xfId="35171" xr:uid="{00000000-0005-0000-0000-000012880000}"/>
    <cellStyle name="Normal 17 4 2" xfId="35172" xr:uid="{00000000-0005-0000-0000-000013880000}"/>
    <cellStyle name="Normal 17 4 2 2" xfId="35173" xr:uid="{00000000-0005-0000-0000-000014880000}"/>
    <cellStyle name="Normal 17 4 3" xfId="35174" xr:uid="{00000000-0005-0000-0000-000015880000}"/>
    <cellStyle name="Normal 17 5" xfId="35175" xr:uid="{00000000-0005-0000-0000-000016880000}"/>
    <cellStyle name="Normal 17 6" xfId="35176" xr:uid="{00000000-0005-0000-0000-000017880000}"/>
    <cellStyle name="Normal 17 6 2" xfId="35177" xr:uid="{00000000-0005-0000-0000-000018880000}"/>
    <cellStyle name="Normal 18" xfId="243" xr:uid="{00000000-0005-0000-0000-000019880000}"/>
    <cellStyle name="Normal 18 2" xfId="403" xr:uid="{00000000-0005-0000-0000-00001A880000}"/>
    <cellStyle name="Normal 18 3" xfId="404" xr:uid="{00000000-0005-0000-0000-00001B880000}"/>
    <cellStyle name="Normal 19" xfId="272" xr:uid="{00000000-0005-0000-0000-00001C880000}"/>
    <cellStyle name="Normal 19 2" xfId="277" xr:uid="{00000000-0005-0000-0000-00001D880000}"/>
    <cellStyle name="Normal 19 2 2" xfId="35178" xr:uid="{00000000-0005-0000-0000-00001E880000}"/>
    <cellStyle name="Normal 19 2 2 2" xfId="35179" xr:uid="{00000000-0005-0000-0000-00001F880000}"/>
    <cellStyle name="Normal 19 2 2 3" xfId="35180" xr:uid="{00000000-0005-0000-0000-000020880000}"/>
    <cellStyle name="Normal 19 2 3" xfId="35181" xr:uid="{00000000-0005-0000-0000-000021880000}"/>
    <cellStyle name="Normal 19 2 4" xfId="35182" xr:uid="{00000000-0005-0000-0000-000022880000}"/>
    <cellStyle name="Normal 19 2 5" xfId="35183" xr:uid="{00000000-0005-0000-0000-000023880000}"/>
    <cellStyle name="Normal 19 2 6" xfId="35184" xr:uid="{00000000-0005-0000-0000-000024880000}"/>
    <cellStyle name="Normal 19 3" xfId="35185" xr:uid="{00000000-0005-0000-0000-000025880000}"/>
    <cellStyle name="Normal 2" xfId="44" xr:uid="{00000000-0005-0000-0000-000026880000}"/>
    <cellStyle name="Normal 2 10" xfId="35186" xr:uid="{00000000-0005-0000-0000-000027880000}"/>
    <cellStyle name="Normal 2 10 10" xfId="35187" xr:uid="{00000000-0005-0000-0000-000028880000}"/>
    <cellStyle name="Normal 2 10 10 2" xfId="35188" xr:uid="{00000000-0005-0000-0000-000029880000}"/>
    <cellStyle name="Normal 2 10 10 2 2" xfId="35189" xr:uid="{00000000-0005-0000-0000-00002A880000}"/>
    <cellStyle name="Normal 2 10 10 2 3" xfId="35190" xr:uid="{00000000-0005-0000-0000-00002B880000}"/>
    <cellStyle name="Normal 2 10 10 3" xfId="35191" xr:uid="{00000000-0005-0000-0000-00002C880000}"/>
    <cellStyle name="Normal 2 10 10 4" xfId="35192" xr:uid="{00000000-0005-0000-0000-00002D880000}"/>
    <cellStyle name="Normal 2 10 10 5" xfId="35193" xr:uid="{00000000-0005-0000-0000-00002E880000}"/>
    <cellStyle name="Normal 2 10 10 6" xfId="35194" xr:uid="{00000000-0005-0000-0000-00002F880000}"/>
    <cellStyle name="Normal 2 10 11" xfId="35195" xr:uid="{00000000-0005-0000-0000-000030880000}"/>
    <cellStyle name="Normal 2 10 11 2" xfId="35196" xr:uid="{00000000-0005-0000-0000-000031880000}"/>
    <cellStyle name="Normal 2 10 11 2 2" xfId="35197" xr:uid="{00000000-0005-0000-0000-000032880000}"/>
    <cellStyle name="Normal 2 10 11 2 3" xfId="35198" xr:uid="{00000000-0005-0000-0000-000033880000}"/>
    <cellStyle name="Normal 2 10 11 3" xfId="35199" xr:uid="{00000000-0005-0000-0000-000034880000}"/>
    <cellStyle name="Normal 2 10 11 4" xfId="35200" xr:uid="{00000000-0005-0000-0000-000035880000}"/>
    <cellStyle name="Normal 2 10 11 5" xfId="35201" xr:uid="{00000000-0005-0000-0000-000036880000}"/>
    <cellStyle name="Normal 2 10 11 6" xfId="35202" xr:uid="{00000000-0005-0000-0000-000037880000}"/>
    <cellStyle name="Normal 2 10 12" xfId="35203" xr:uid="{00000000-0005-0000-0000-000038880000}"/>
    <cellStyle name="Normal 2 10 12 2" xfId="35204" xr:uid="{00000000-0005-0000-0000-000039880000}"/>
    <cellStyle name="Normal 2 10 12 3" xfId="35205" xr:uid="{00000000-0005-0000-0000-00003A880000}"/>
    <cellStyle name="Normal 2 10 13" xfId="35206" xr:uid="{00000000-0005-0000-0000-00003B880000}"/>
    <cellStyle name="Normal 2 10 14" xfId="35207" xr:uid="{00000000-0005-0000-0000-00003C880000}"/>
    <cellStyle name="Normal 2 10 15" xfId="35208" xr:uid="{00000000-0005-0000-0000-00003D880000}"/>
    <cellStyle name="Normal 2 10 16" xfId="35209" xr:uid="{00000000-0005-0000-0000-00003E880000}"/>
    <cellStyle name="Normal 2 10 2" xfId="35210" xr:uid="{00000000-0005-0000-0000-00003F880000}"/>
    <cellStyle name="Normal 2 10 2 10" xfId="35211" xr:uid="{00000000-0005-0000-0000-000040880000}"/>
    <cellStyle name="Normal 2 10 2 10 2" xfId="35212" xr:uid="{00000000-0005-0000-0000-000041880000}"/>
    <cellStyle name="Normal 2 10 2 10 3" xfId="35213" xr:uid="{00000000-0005-0000-0000-000042880000}"/>
    <cellStyle name="Normal 2 10 2 11" xfId="35214" xr:uid="{00000000-0005-0000-0000-000043880000}"/>
    <cellStyle name="Normal 2 10 2 12" xfId="35215" xr:uid="{00000000-0005-0000-0000-000044880000}"/>
    <cellStyle name="Normal 2 10 2 13" xfId="35216" xr:uid="{00000000-0005-0000-0000-000045880000}"/>
    <cellStyle name="Normal 2 10 2 14" xfId="35217" xr:uid="{00000000-0005-0000-0000-000046880000}"/>
    <cellStyle name="Normal 2 10 2 2" xfId="35218" xr:uid="{00000000-0005-0000-0000-000047880000}"/>
    <cellStyle name="Normal 2 10 2 2 10" xfId="35219" xr:uid="{00000000-0005-0000-0000-000048880000}"/>
    <cellStyle name="Normal 2 10 2 2 11" xfId="35220" xr:uid="{00000000-0005-0000-0000-000049880000}"/>
    <cellStyle name="Normal 2 10 2 2 12" xfId="35221" xr:uid="{00000000-0005-0000-0000-00004A880000}"/>
    <cellStyle name="Normal 2 10 2 2 13" xfId="35222" xr:uid="{00000000-0005-0000-0000-00004B880000}"/>
    <cellStyle name="Normal 2 10 2 2 2" xfId="35223" xr:uid="{00000000-0005-0000-0000-00004C880000}"/>
    <cellStyle name="Normal 2 10 2 2 2 10" xfId="35224" xr:uid="{00000000-0005-0000-0000-00004D880000}"/>
    <cellStyle name="Normal 2 10 2 2 2 2" xfId="35225" xr:uid="{00000000-0005-0000-0000-00004E880000}"/>
    <cellStyle name="Normal 2 10 2 2 2 2 2" xfId="35226" xr:uid="{00000000-0005-0000-0000-00004F880000}"/>
    <cellStyle name="Normal 2 10 2 2 2 2 2 2" xfId="35227" xr:uid="{00000000-0005-0000-0000-000050880000}"/>
    <cellStyle name="Normal 2 10 2 2 2 2 2 2 2" xfId="35228" xr:uid="{00000000-0005-0000-0000-000051880000}"/>
    <cellStyle name="Normal 2 10 2 2 2 2 2 2 3" xfId="35229" xr:uid="{00000000-0005-0000-0000-000052880000}"/>
    <cellStyle name="Normal 2 10 2 2 2 2 2 3" xfId="35230" xr:uid="{00000000-0005-0000-0000-000053880000}"/>
    <cellStyle name="Normal 2 10 2 2 2 2 2 4" xfId="35231" xr:uid="{00000000-0005-0000-0000-000054880000}"/>
    <cellStyle name="Normal 2 10 2 2 2 2 2 5" xfId="35232" xr:uid="{00000000-0005-0000-0000-000055880000}"/>
    <cellStyle name="Normal 2 10 2 2 2 2 2 6" xfId="35233" xr:uid="{00000000-0005-0000-0000-000056880000}"/>
    <cellStyle name="Normal 2 10 2 2 2 2 3" xfId="35234" xr:uid="{00000000-0005-0000-0000-000057880000}"/>
    <cellStyle name="Normal 2 10 2 2 2 2 3 2" xfId="35235" xr:uid="{00000000-0005-0000-0000-000058880000}"/>
    <cellStyle name="Normal 2 10 2 2 2 2 3 2 2" xfId="35236" xr:uid="{00000000-0005-0000-0000-000059880000}"/>
    <cellStyle name="Normal 2 10 2 2 2 2 3 2 3" xfId="35237" xr:uid="{00000000-0005-0000-0000-00005A880000}"/>
    <cellStyle name="Normal 2 10 2 2 2 2 3 3" xfId="35238" xr:uid="{00000000-0005-0000-0000-00005B880000}"/>
    <cellStyle name="Normal 2 10 2 2 2 2 3 4" xfId="35239" xr:uid="{00000000-0005-0000-0000-00005C880000}"/>
    <cellStyle name="Normal 2 10 2 2 2 2 3 5" xfId="35240" xr:uid="{00000000-0005-0000-0000-00005D880000}"/>
    <cellStyle name="Normal 2 10 2 2 2 2 3 6" xfId="35241" xr:uid="{00000000-0005-0000-0000-00005E880000}"/>
    <cellStyle name="Normal 2 10 2 2 2 2 4" xfId="35242" xr:uid="{00000000-0005-0000-0000-00005F880000}"/>
    <cellStyle name="Normal 2 10 2 2 2 2 4 2" xfId="35243" xr:uid="{00000000-0005-0000-0000-000060880000}"/>
    <cellStyle name="Normal 2 10 2 2 2 2 4 3" xfId="35244" xr:uid="{00000000-0005-0000-0000-000061880000}"/>
    <cellStyle name="Normal 2 10 2 2 2 2 5" xfId="35245" xr:uid="{00000000-0005-0000-0000-000062880000}"/>
    <cellStyle name="Normal 2 10 2 2 2 2 6" xfId="35246" xr:uid="{00000000-0005-0000-0000-000063880000}"/>
    <cellStyle name="Normal 2 10 2 2 2 2 7" xfId="35247" xr:uid="{00000000-0005-0000-0000-000064880000}"/>
    <cellStyle name="Normal 2 10 2 2 2 2 8" xfId="35248" xr:uid="{00000000-0005-0000-0000-000065880000}"/>
    <cellStyle name="Normal 2 10 2 2 2 3" xfId="35249" xr:uid="{00000000-0005-0000-0000-000066880000}"/>
    <cellStyle name="Normal 2 10 2 2 2 3 2" xfId="35250" xr:uid="{00000000-0005-0000-0000-000067880000}"/>
    <cellStyle name="Normal 2 10 2 2 2 3 2 2" xfId="35251" xr:uid="{00000000-0005-0000-0000-000068880000}"/>
    <cellStyle name="Normal 2 10 2 2 2 3 2 2 2" xfId="35252" xr:uid="{00000000-0005-0000-0000-000069880000}"/>
    <cellStyle name="Normal 2 10 2 2 2 3 2 2 3" xfId="35253" xr:uid="{00000000-0005-0000-0000-00006A880000}"/>
    <cellStyle name="Normal 2 10 2 2 2 3 2 3" xfId="35254" xr:uid="{00000000-0005-0000-0000-00006B880000}"/>
    <cellStyle name="Normal 2 10 2 2 2 3 2 4" xfId="35255" xr:uid="{00000000-0005-0000-0000-00006C880000}"/>
    <cellStyle name="Normal 2 10 2 2 2 3 2 5" xfId="35256" xr:uid="{00000000-0005-0000-0000-00006D880000}"/>
    <cellStyle name="Normal 2 10 2 2 2 3 2 6" xfId="35257" xr:uid="{00000000-0005-0000-0000-00006E880000}"/>
    <cellStyle name="Normal 2 10 2 2 2 3 3" xfId="35258" xr:uid="{00000000-0005-0000-0000-00006F880000}"/>
    <cellStyle name="Normal 2 10 2 2 2 3 3 2" xfId="35259" xr:uid="{00000000-0005-0000-0000-000070880000}"/>
    <cellStyle name="Normal 2 10 2 2 2 3 3 3" xfId="35260" xr:uid="{00000000-0005-0000-0000-000071880000}"/>
    <cellStyle name="Normal 2 10 2 2 2 3 4" xfId="35261" xr:uid="{00000000-0005-0000-0000-000072880000}"/>
    <cellStyle name="Normal 2 10 2 2 2 3 5" xfId="35262" xr:uid="{00000000-0005-0000-0000-000073880000}"/>
    <cellStyle name="Normal 2 10 2 2 2 3 6" xfId="35263" xr:uid="{00000000-0005-0000-0000-000074880000}"/>
    <cellStyle name="Normal 2 10 2 2 2 3 7" xfId="35264" xr:uid="{00000000-0005-0000-0000-000075880000}"/>
    <cellStyle name="Normal 2 10 2 2 2 4" xfId="35265" xr:uid="{00000000-0005-0000-0000-000076880000}"/>
    <cellStyle name="Normal 2 10 2 2 2 4 2" xfId="35266" xr:uid="{00000000-0005-0000-0000-000077880000}"/>
    <cellStyle name="Normal 2 10 2 2 2 4 2 2" xfId="35267" xr:uid="{00000000-0005-0000-0000-000078880000}"/>
    <cellStyle name="Normal 2 10 2 2 2 4 2 3" xfId="35268" xr:uid="{00000000-0005-0000-0000-000079880000}"/>
    <cellStyle name="Normal 2 10 2 2 2 4 3" xfId="35269" xr:uid="{00000000-0005-0000-0000-00007A880000}"/>
    <cellStyle name="Normal 2 10 2 2 2 4 4" xfId="35270" xr:uid="{00000000-0005-0000-0000-00007B880000}"/>
    <cellStyle name="Normal 2 10 2 2 2 4 5" xfId="35271" xr:uid="{00000000-0005-0000-0000-00007C880000}"/>
    <cellStyle name="Normal 2 10 2 2 2 4 6" xfId="35272" xr:uid="{00000000-0005-0000-0000-00007D880000}"/>
    <cellStyle name="Normal 2 10 2 2 2 5" xfId="35273" xr:uid="{00000000-0005-0000-0000-00007E880000}"/>
    <cellStyle name="Normal 2 10 2 2 2 5 2" xfId="35274" xr:uid="{00000000-0005-0000-0000-00007F880000}"/>
    <cellStyle name="Normal 2 10 2 2 2 5 2 2" xfId="35275" xr:uid="{00000000-0005-0000-0000-000080880000}"/>
    <cellStyle name="Normal 2 10 2 2 2 5 2 3" xfId="35276" xr:uid="{00000000-0005-0000-0000-000081880000}"/>
    <cellStyle name="Normal 2 10 2 2 2 5 3" xfId="35277" xr:uid="{00000000-0005-0000-0000-000082880000}"/>
    <cellStyle name="Normal 2 10 2 2 2 5 4" xfId="35278" xr:uid="{00000000-0005-0000-0000-000083880000}"/>
    <cellStyle name="Normal 2 10 2 2 2 5 5" xfId="35279" xr:uid="{00000000-0005-0000-0000-000084880000}"/>
    <cellStyle name="Normal 2 10 2 2 2 5 6" xfId="35280" xr:uid="{00000000-0005-0000-0000-000085880000}"/>
    <cellStyle name="Normal 2 10 2 2 2 6" xfId="35281" xr:uid="{00000000-0005-0000-0000-000086880000}"/>
    <cellStyle name="Normal 2 10 2 2 2 6 2" xfId="35282" xr:uid="{00000000-0005-0000-0000-000087880000}"/>
    <cellStyle name="Normal 2 10 2 2 2 6 3" xfId="35283" xr:uid="{00000000-0005-0000-0000-000088880000}"/>
    <cellStyle name="Normal 2 10 2 2 2 7" xfId="35284" xr:uid="{00000000-0005-0000-0000-000089880000}"/>
    <cellStyle name="Normal 2 10 2 2 2 8" xfId="35285" xr:uid="{00000000-0005-0000-0000-00008A880000}"/>
    <cellStyle name="Normal 2 10 2 2 2 9" xfId="35286" xr:uid="{00000000-0005-0000-0000-00008B880000}"/>
    <cellStyle name="Normal 2 10 2 2 3" xfId="35287" xr:uid="{00000000-0005-0000-0000-00008C880000}"/>
    <cellStyle name="Normal 2 10 2 2 3 2" xfId="35288" xr:uid="{00000000-0005-0000-0000-00008D880000}"/>
    <cellStyle name="Normal 2 10 2 2 3 2 2" xfId="35289" xr:uid="{00000000-0005-0000-0000-00008E880000}"/>
    <cellStyle name="Normal 2 10 2 2 3 2 2 2" xfId="35290" xr:uid="{00000000-0005-0000-0000-00008F880000}"/>
    <cellStyle name="Normal 2 10 2 2 3 2 2 2 2" xfId="35291" xr:uid="{00000000-0005-0000-0000-000090880000}"/>
    <cellStyle name="Normal 2 10 2 2 3 2 2 2 3" xfId="35292" xr:uid="{00000000-0005-0000-0000-000091880000}"/>
    <cellStyle name="Normal 2 10 2 2 3 2 2 3" xfId="35293" xr:uid="{00000000-0005-0000-0000-000092880000}"/>
    <cellStyle name="Normal 2 10 2 2 3 2 2 4" xfId="35294" xr:uid="{00000000-0005-0000-0000-000093880000}"/>
    <cellStyle name="Normal 2 10 2 2 3 2 2 5" xfId="35295" xr:uid="{00000000-0005-0000-0000-000094880000}"/>
    <cellStyle name="Normal 2 10 2 2 3 2 2 6" xfId="35296" xr:uid="{00000000-0005-0000-0000-000095880000}"/>
    <cellStyle name="Normal 2 10 2 2 3 2 3" xfId="35297" xr:uid="{00000000-0005-0000-0000-000096880000}"/>
    <cellStyle name="Normal 2 10 2 2 3 2 3 2" xfId="35298" xr:uid="{00000000-0005-0000-0000-000097880000}"/>
    <cellStyle name="Normal 2 10 2 2 3 2 3 3" xfId="35299" xr:uid="{00000000-0005-0000-0000-000098880000}"/>
    <cellStyle name="Normal 2 10 2 2 3 2 4" xfId="35300" xr:uid="{00000000-0005-0000-0000-000099880000}"/>
    <cellStyle name="Normal 2 10 2 2 3 2 5" xfId="35301" xr:uid="{00000000-0005-0000-0000-00009A880000}"/>
    <cellStyle name="Normal 2 10 2 2 3 2 6" xfId="35302" xr:uid="{00000000-0005-0000-0000-00009B880000}"/>
    <cellStyle name="Normal 2 10 2 2 3 2 7" xfId="35303" xr:uid="{00000000-0005-0000-0000-00009C880000}"/>
    <cellStyle name="Normal 2 10 2 2 3 3" xfId="35304" xr:uid="{00000000-0005-0000-0000-00009D880000}"/>
    <cellStyle name="Normal 2 10 2 2 3 3 2" xfId="35305" xr:uid="{00000000-0005-0000-0000-00009E880000}"/>
    <cellStyle name="Normal 2 10 2 2 3 3 2 2" xfId="35306" xr:uid="{00000000-0005-0000-0000-00009F880000}"/>
    <cellStyle name="Normal 2 10 2 2 3 3 2 3" xfId="35307" xr:uid="{00000000-0005-0000-0000-0000A0880000}"/>
    <cellStyle name="Normal 2 10 2 2 3 3 3" xfId="35308" xr:uid="{00000000-0005-0000-0000-0000A1880000}"/>
    <cellStyle name="Normal 2 10 2 2 3 3 4" xfId="35309" xr:uid="{00000000-0005-0000-0000-0000A2880000}"/>
    <cellStyle name="Normal 2 10 2 2 3 3 5" xfId="35310" xr:uid="{00000000-0005-0000-0000-0000A3880000}"/>
    <cellStyle name="Normal 2 10 2 2 3 3 6" xfId="35311" xr:uid="{00000000-0005-0000-0000-0000A4880000}"/>
    <cellStyle name="Normal 2 10 2 2 3 4" xfId="35312" xr:uid="{00000000-0005-0000-0000-0000A5880000}"/>
    <cellStyle name="Normal 2 10 2 2 3 4 2" xfId="35313" xr:uid="{00000000-0005-0000-0000-0000A6880000}"/>
    <cellStyle name="Normal 2 10 2 2 3 4 2 2" xfId="35314" xr:uid="{00000000-0005-0000-0000-0000A7880000}"/>
    <cellStyle name="Normal 2 10 2 2 3 4 2 3" xfId="35315" xr:uid="{00000000-0005-0000-0000-0000A8880000}"/>
    <cellStyle name="Normal 2 10 2 2 3 4 3" xfId="35316" xr:uid="{00000000-0005-0000-0000-0000A9880000}"/>
    <cellStyle name="Normal 2 10 2 2 3 4 4" xfId="35317" xr:uid="{00000000-0005-0000-0000-0000AA880000}"/>
    <cellStyle name="Normal 2 10 2 2 3 4 5" xfId="35318" xr:uid="{00000000-0005-0000-0000-0000AB880000}"/>
    <cellStyle name="Normal 2 10 2 2 3 4 6" xfId="35319" xr:uid="{00000000-0005-0000-0000-0000AC880000}"/>
    <cellStyle name="Normal 2 10 2 2 3 5" xfId="35320" xr:uid="{00000000-0005-0000-0000-0000AD880000}"/>
    <cellStyle name="Normal 2 10 2 2 3 5 2" xfId="35321" xr:uid="{00000000-0005-0000-0000-0000AE880000}"/>
    <cellStyle name="Normal 2 10 2 2 3 5 3" xfId="35322" xr:uid="{00000000-0005-0000-0000-0000AF880000}"/>
    <cellStyle name="Normal 2 10 2 2 3 6" xfId="35323" xr:uid="{00000000-0005-0000-0000-0000B0880000}"/>
    <cellStyle name="Normal 2 10 2 2 3 7" xfId="35324" xr:uid="{00000000-0005-0000-0000-0000B1880000}"/>
    <cellStyle name="Normal 2 10 2 2 3 8" xfId="35325" xr:uid="{00000000-0005-0000-0000-0000B2880000}"/>
    <cellStyle name="Normal 2 10 2 2 3 9" xfId="35326" xr:uid="{00000000-0005-0000-0000-0000B3880000}"/>
    <cellStyle name="Normal 2 10 2 2 4" xfId="35327" xr:uid="{00000000-0005-0000-0000-0000B4880000}"/>
    <cellStyle name="Normal 2 10 2 2 4 2" xfId="35328" xr:uid="{00000000-0005-0000-0000-0000B5880000}"/>
    <cellStyle name="Normal 2 10 2 2 4 2 2" xfId="35329" xr:uid="{00000000-0005-0000-0000-0000B6880000}"/>
    <cellStyle name="Normal 2 10 2 2 4 2 2 2" xfId="35330" xr:uid="{00000000-0005-0000-0000-0000B7880000}"/>
    <cellStyle name="Normal 2 10 2 2 4 2 2 3" xfId="35331" xr:uid="{00000000-0005-0000-0000-0000B8880000}"/>
    <cellStyle name="Normal 2 10 2 2 4 2 3" xfId="35332" xr:uid="{00000000-0005-0000-0000-0000B9880000}"/>
    <cellStyle name="Normal 2 10 2 2 4 2 4" xfId="35333" xr:uid="{00000000-0005-0000-0000-0000BA880000}"/>
    <cellStyle name="Normal 2 10 2 2 4 2 5" xfId="35334" xr:uid="{00000000-0005-0000-0000-0000BB880000}"/>
    <cellStyle name="Normal 2 10 2 2 4 2 6" xfId="35335" xr:uid="{00000000-0005-0000-0000-0000BC880000}"/>
    <cellStyle name="Normal 2 10 2 2 4 3" xfId="35336" xr:uid="{00000000-0005-0000-0000-0000BD880000}"/>
    <cellStyle name="Normal 2 10 2 2 4 3 2" xfId="35337" xr:uid="{00000000-0005-0000-0000-0000BE880000}"/>
    <cellStyle name="Normal 2 10 2 2 4 3 3" xfId="35338" xr:uid="{00000000-0005-0000-0000-0000BF880000}"/>
    <cellStyle name="Normal 2 10 2 2 4 4" xfId="35339" xr:uid="{00000000-0005-0000-0000-0000C0880000}"/>
    <cellStyle name="Normal 2 10 2 2 4 5" xfId="35340" xr:uid="{00000000-0005-0000-0000-0000C1880000}"/>
    <cellStyle name="Normal 2 10 2 2 4 6" xfId="35341" xr:uid="{00000000-0005-0000-0000-0000C2880000}"/>
    <cellStyle name="Normal 2 10 2 2 4 7" xfId="35342" xr:uid="{00000000-0005-0000-0000-0000C3880000}"/>
    <cellStyle name="Normal 2 10 2 2 5" xfId="35343" xr:uid="{00000000-0005-0000-0000-0000C4880000}"/>
    <cellStyle name="Normal 2 10 2 2 5 2" xfId="35344" xr:uid="{00000000-0005-0000-0000-0000C5880000}"/>
    <cellStyle name="Normal 2 10 2 2 5 2 2" xfId="35345" xr:uid="{00000000-0005-0000-0000-0000C6880000}"/>
    <cellStyle name="Normal 2 10 2 2 5 2 3" xfId="35346" xr:uid="{00000000-0005-0000-0000-0000C7880000}"/>
    <cellStyle name="Normal 2 10 2 2 5 3" xfId="35347" xr:uid="{00000000-0005-0000-0000-0000C8880000}"/>
    <cellStyle name="Normal 2 10 2 2 5 4" xfId="35348" xr:uid="{00000000-0005-0000-0000-0000C9880000}"/>
    <cellStyle name="Normal 2 10 2 2 5 5" xfId="35349" xr:uid="{00000000-0005-0000-0000-0000CA880000}"/>
    <cellStyle name="Normal 2 10 2 2 5 6" xfId="35350" xr:uid="{00000000-0005-0000-0000-0000CB880000}"/>
    <cellStyle name="Normal 2 10 2 2 6" xfId="35351" xr:uid="{00000000-0005-0000-0000-0000CC880000}"/>
    <cellStyle name="Normal 2 10 2 2 6 2" xfId="35352" xr:uid="{00000000-0005-0000-0000-0000CD880000}"/>
    <cellStyle name="Normal 2 10 2 2 6 2 2" xfId="35353" xr:uid="{00000000-0005-0000-0000-0000CE880000}"/>
    <cellStyle name="Normal 2 10 2 2 6 2 3" xfId="35354" xr:uid="{00000000-0005-0000-0000-0000CF880000}"/>
    <cellStyle name="Normal 2 10 2 2 6 3" xfId="35355" xr:uid="{00000000-0005-0000-0000-0000D0880000}"/>
    <cellStyle name="Normal 2 10 2 2 6 4" xfId="35356" xr:uid="{00000000-0005-0000-0000-0000D1880000}"/>
    <cellStyle name="Normal 2 10 2 2 6 5" xfId="35357" xr:uid="{00000000-0005-0000-0000-0000D2880000}"/>
    <cellStyle name="Normal 2 10 2 2 6 6" xfId="35358" xr:uid="{00000000-0005-0000-0000-0000D3880000}"/>
    <cellStyle name="Normal 2 10 2 2 7" xfId="35359" xr:uid="{00000000-0005-0000-0000-0000D4880000}"/>
    <cellStyle name="Normal 2 10 2 2 7 2" xfId="35360" xr:uid="{00000000-0005-0000-0000-0000D5880000}"/>
    <cellStyle name="Normal 2 10 2 2 7 2 2" xfId="35361" xr:uid="{00000000-0005-0000-0000-0000D6880000}"/>
    <cellStyle name="Normal 2 10 2 2 7 2 3" xfId="35362" xr:uid="{00000000-0005-0000-0000-0000D7880000}"/>
    <cellStyle name="Normal 2 10 2 2 7 3" xfId="35363" xr:uid="{00000000-0005-0000-0000-0000D8880000}"/>
    <cellStyle name="Normal 2 10 2 2 7 4" xfId="35364" xr:uid="{00000000-0005-0000-0000-0000D9880000}"/>
    <cellStyle name="Normal 2 10 2 2 7 5" xfId="35365" xr:uid="{00000000-0005-0000-0000-0000DA880000}"/>
    <cellStyle name="Normal 2 10 2 2 7 6" xfId="35366" xr:uid="{00000000-0005-0000-0000-0000DB880000}"/>
    <cellStyle name="Normal 2 10 2 2 8" xfId="35367" xr:uid="{00000000-0005-0000-0000-0000DC880000}"/>
    <cellStyle name="Normal 2 10 2 2 8 2" xfId="35368" xr:uid="{00000000-0005-0000-0000-0000DD880000}"/>
    <cellStyle name="Normal 2 10 2 2 8 2 2" xfId="35369" xr:uid="{00000000-0005-0000-0000-0000DE880000}"/>
    <cellStyle name="Normal 2 10 2 2 8 2 3" xfId="35370" xr:uid="{00000000-0005-0000-0000-0000DF880000}"/>
    <cellStyle name="Normal 2 10 2 2 8 3" xfId="35371" xr:uid="{00000000-0005-0000-0000-0000E0880000}"/>
    <cellStyle name="Normal 2 10 2 2 8 4" xfId="35372" xr:uid="{00000000-0005-0000-0000-0000E1880000}"/>
    <cellStyle name="Normal 2 10 2 2 8 5" xfId="35373" xr:uid="{00000000-0005-0000-0000-0000E2880000}"/>
    <cellStyle name="Normal 2 10 2 2 8 6" xfId="35374" xr:uid="{00000000-0005-0000-0000-0000E3880000}"/>
    <cellStyle name="Normal 2 10 2 2 9" xfId="35375" xr:uid="{00000000-0005-0000-0000-0000E4880000}"/>
    <cellStyle name="Normal 2 10 2 2 9 2" xfId="35376" xr:uid="{00000000-0005-0000-0000-0000E5880000}"/>
    <cellStyle name="Normal 2 10 2 2 9 3" xfId="35377" xr:uid="{00000000-0005-0000-0000-0000E6880000}"/>
    <cellStyle name="Normal 2 10 2 3" xfId="35378" xr:uid="{00000000-0005-0000-0000-0000E7880000}"/>
    <cellStyle name="Normal 2 10 2 3 10" xfId="35379" xr:uid="{00000000-0005-0000-0000-0000E8880000}"/>
    <cellStyle name="Normal 2 10 2 3 2" xfId="35380" xr:uid="{00000000-0005-0000-0000-0000E9880000}"/>
    <cellStyle name="Normal 2 10 2 3 2 2" xfId="35381" xr:uid="{00000000-0005-0000-0000-0000EA880000}"/>
    <cellStyle name="Normal 2 10 2 3 2 2 2" xfId="35382" xr:uid="{00000000-0005-0000-0000-0000EB880000}"/>
    <cellStyle name="Normal 2 10 2 3 2 2 2 2" xfId="35383" xr:uid="{00000000-0005-0000-0000-0000EC880000}"/>
    <cellStyle name="Normal 2 10 2 3 2 2 2 3" xfId="35384" xr:uid="{00000000-0005-0000-0000-0000ED880000}"/>
    <cellStyle name="Normal 2 10 2 3 2 2 3" xfId="35385" xr:uid="{00000000-0005-0000-0000-0000EE880000}"/>
    <cellStyle name="Normal 2 10 2 3 2 2 4" xfId="35386" xr:uid="{00000000-0005-0000-0000-0000EF880000}"/>
    <cellStyle name="Normal 2 10 2 3 2 2 5" xfId="35387" xr:uid="{00000000-0005-0000-0000-0000F0880000}"/>
    <cellStyle name="Normal 2 10 2 3 2 2 6" xfId="35388" xr:uid="{00000000-0005-0000-0000-0000F1880000}"/>
    <cellStyle name="Normal 2 10 2 3 2 3" xfId="35389" xr:uid="{00000000-0005-0000-0000-0000F2880000}"/>
    <cellStyle name="Normal 2 10 2 3 2 3 2" xfId="35390" xr:uid="{00000000-0005-0000-0000-0000F3880000}"/>
    <cellStyle name="Normal 2 10 2 3 2 3 2 2" xfId="35391" xr:uid="{00000000-0005-0000-0000-0000F4880000}"/>
    <cellStyle name="Normal 2 10 2 3 2 3 2 3" xfId="35392" xr:uid="{00000000-0005-0000-0000-0000F5880000}"/>
    <cellStyle name="Normal 2 10 2 3 2 3 3" xfId="35393" xr:uid="{00000000-0005-0000-0000-0000F6880000}"/>
    <cellStyle name="Normal 2 10 2 3 2 3 4" xfId="35394" xr:uid="{00000000-0005-0000-0000-0000F7880000}"/>
    <cellStyle name="Normal 2 10 2 3 2 3 5" xfId="35395" xr:uid="{00000000-0005-0000-0000-0000F8880000}"/>
    <cellStyle name="Normal 2 10 2 3 2 3 6" xfId="35396" xr:uid="{00000000-0005-0000-0000-0000F9880000}"/>
    <cellStyle name="Normal 2 10 2 3 2 4" xfId="35397" xr:uid="{00000000-0005-0000-0000-0000FA880000}"/>
    <cellStyle name="Normal 2 10 2 3 2 4 2" xfId="35398" xr:uid="{00000000-0005-0000-0000-0000FB880000}"/>
    <cellStyle name="Normal 2 10 2 3 2 4 3" xfId="35399" xr:uid="{00000000-0005-0000-0000-0000FC880000}"/>
    <cellStyle name="Normal 2 10 2 3 2 5" xfId="35400" xr:uid="{00000000-0005-0000-0000-0000FD880000}"/>
    <cellStyle name="Normal 2 10 2 3 2 6" xfId="35401" xr:uid="{00000000-0005-0000-0000-0000FE880000}"/>
    <cellStyle name="Normal 2 10 2 3 2 7" xfId="35402" xr:uid="{00000000-0005-0000-0000-0000FF880000}"/>
    <cellStyle name="Normal 2 10 2 3 2 8" xfId="35403" xr:uid="{00000000-0005-0000-0000-000000890000}"/>
    <cellStyle name="Normal 2 10 2 3 3" xfId="35404" xr:uid="{00000000-0005-0000-0000-000001890000}"/>
    <cellStyle name="Normal 2 10 2 3 3 2" xfId="35405" xr:uid="{00000000-0005-0000-0000-000002890000}"/>
    <cellStyle name="Normal 2 10 2 3 3 2 2" xfId="35406" xr:uid="{00000000-0005-0000-0000-000003890000}"/>
    <cellStyle name="Normal 2 10 2 3 3 2 2 2" xfId="35407" xr:uid="{00000000-0005-0000-0000-000004890000}"/>
    <cellStyle name="Normal 2 10 2 3 3 2 2 3" xfId="35408" xr:uid="{00000000-0005-0000-0000-000005890000}"/>
    <cellStyle name="Normal 2 10 2 3 3 2 3" xfId="35409" xr:uid="{00000000-0005-0000-0000-000006890000}"/>
    <cellStyle name="Normal 2 10 2 3 3 2 4" xfId="35410" xr:uid="{00000000-0005-0000-0000-000007890000}"/>
    <cellStyle name="Normal 2 10 2 3 3 2 5" xfId="35411" xr:uid="{00000000-0005-0000-0000-000008890000}"/>
    <cellStyle name="Normal 2 10 2 3 3 2 6" xfId="35412" xr:uid="{00000000-0005-0000-0000-000009890000}"/>
    <cellStyle name="Normal 2 10 2 3 3 3" xfId="35413" xr:uid="{00000000-0005-0000-0000-00000A890000}"/>
    <cellStyle name="Normal 2 10 2 3 3 3 2" xfId="35414" xr:uid="{00000000-0005-0000-0000-00000B890000}"/>
    <cellStyle name="Normal 2 10 2 3 3 3 3" xfId="35415" xr:uid="{00000000-0005-0000-0000-00000C890000}"/>
    <cellStyle name="Normal 2 10 2 3 3 4" xfId="35416" xr:uid="{00000000-0005-0000-0000-00000D890000}"/>
    <cellStyle name="Normal 2 10 2 3 3 5" xfId="35417" xr:uid="{00000000-0005-0000-0000-00000E890000}"/>
    <cellStyle name="Normal 2 10 2 3 3 6" xfId="35418" xr:uid="{00000000-0005-0000-0000-00000F890000}"/>
    <cellStyle name="Normal 2 10 2 3 3 7" xfId="35419" xr:uid="{00000000-0005-0000-0000-000010890000}"/>
    <cellStyle name="Normal 2 10 2 3 4" xfId="35420" xr:uid="{00000000-0005-0000-0000-000011890000}"/>
    <cellStyle name="Normal 2 10 2 3 4 2" xfId="35421" xr:uid="{00000000-0005-0000-0000-000012890000}"/>
    <cellStyle name="Normal 2 10 2 3 4 2 2" xfId="35422" xr:uid="{00000000-0005-0000-0000-000013890000}"/>
    <cellStyle name="Normal 2 10 2 3 4 2 3" xfId="35423" xr:uid="{00000000-0005-0000-0000-000014890000}"/>
    <cellStyle name="Normal 2 10 2 3 4 3" xfId="35424" xr:uid="{00000000-0005-0000-0000-000015890000}"/>
    <cellStyle name="Normal 2 10 2 3 4 4" xfId="35425" xr:uid="{00000000-0005-0000-0000-000016890000}"/>
    <cellStyle name="Normal 2 10 2 3 4 5" xfId="35426" xr:uid="{00000000-0005-0000-0000-000017890000}"/>
    <cellStyle name="Normal 2 10 2 3 4 6" xfId="35427" xr:uid="{00000000-0005-0000-0000-000018890000}"/>
    <cellStyle name="Normal 2 10 2 3 5" xfId="35428" xr:uid="{00000000-0005-0000-0000-000019890000}"/>
    <cellStyle name="Normal 2 10 2 3 5 2" xfId="35429" xr:uid="{00000000-0005-0000-0000-00001A890000}"/>
    <cellStyle name="Normal 2 10 2 3 5 2 2" xfId="35430" xr:uid="{00000000-0005-0000-0000-00001B890000}"/>
    <cellStyle name="Normal 2 10 2 3 5 2 3" xfId="35431" xr:uid="{00000000-0005-0000-0000-00001C890000}"/>
    <cellStyle name="Normal 2 10 2 3 5 3" xfId="35432" xr:uid="{00000000-0005-0000-0000-00001D890000}"/>
    <cellStyle name="Normal 2 10 2 3 5 4" xfId="35433" xr:uid="{00000000-0005-0000-0000-00001E890000}"/>
    <cellStyle name="Normal 2 10 2 3 5 5" xfId="35434" xr:uid="{00000000-0005-0000-0000-00001F890000}"/>
    <cellStyle name="Normal 2 10 2 3 5 6" xfId="35435" xr:uid="{00000000-0005-0000-0000-000020890000}"/>
    <cellStyle name="Normal 2 10 2 3 6" xfId="35436" xr:uid="{00000000-0005-0000-0000-000021890000}"/>
    <cellStyle name="Normal 2 10 2 3 6 2" xfId="35437" xr:uid="{00000000-0005-0000-0000-000022890000}"/>
    <cellStyle name="Normal 2 10 2 3 6 3" xfId="35438" xr:uid="{00000000-0005-0000-0000-000023890000}"/>
    <cellStyle name="Normal 2 10 2 3 7" xfId="35439" xr:uid="{00000000-0005-0000-0000-000024890000}"/>
    <cellStyle name="Normal 2 10 2 3 8" xfId="35440" xr:uid="{00000000-0005-0000-0000-000025890000}"/>
    <cellStyle name="Normal 2 10 2 3 9" xfId="35441" xr:uid="{00000000-0005-0000-0000-000026890000}"/>
    <cellStyle name="Normal 2 10 2 4" xfId="35442" xr:uid="{00000000-0005-0000-0000-000027890000}"/>
    <cellStyle name="Normal 2 10 2 4 2" xfId="35443" xr:uid="{00000000-0005-0000-0000-000028890000}"/>
    <cellStyle name="Normal 2 10 2 4 2 2" xfId="35444" xr:uid="{00000000-0005-0000-0000-000029890000}"/>
    <cellStyle name="Normal 2 10 2 4 2 2 2" xfId="35445" xr:uid="{00000000-0005-0000-0000-00002A890000}"/>
    <cellStyle name="Normal 2 10 2 4 2 2 2 2" xfId="35446" xr:uid="{00000000-0005-0000-0000-00002B890000}"/>
    <cellStyle name="Normal 2 10 2 4 2 2 2 3" xfId="35447" xr:uid="{00000000-0005-0000-0000-00002C890000}"/>
    <cellStyle name="Normal 2 10 2 4 2 2 3" xfId="35448" xr:uid="{00000000-0005-0000-0000-00002D890000}"/>
    <cellStyle name="Normal 2 10 2 4 2 2 4" xfId="35449" xr:uid="{00000000-0005-0000-0000-00002E890000}"/>
    <cellStyle name="Normal 2 10 2 4 2 2 5" xfId="35450" xr:uid="{00000000-0005-0000-0000-00002F890000}"/>
    <cellStyle name="Normal 2 10 2 4 2 2 6" xfId="35451" xr:uid="{00000000-0005-0000-0000-000030890000}"/>
    <cellStyle name="Normal 2 10 2 4 2 3" xfId="35452" xr:uid="{00000000-0005-0000-0000-000031890000}"/>
    <cellStyle name="Normal 2 10 2 4 2 3 2" xfId="35453" xr:uid="{00000000-0005-0000-0000-000032890000}"/>
    <cellStyle name="Normal 2 10 2 4 2 3 3" xfId="35454" xr:uid="{00000000-0005-0000-0000-000033890000}"/>
    <cellStyle name="Normal 2 10 2 4 2 4" xfId="35455" xr:uid="{00000000-0005-0000-0000-000034890000}"/>
    <cellStyle name="Normal 2 10 2 4 2 5" xfId="35456" xr:uid="{00000000-0005-0000-0000-000035890000}"/>
    <cellStyle name="Normal 2 10 2 4 2 6" xfId="35457" xr:uid="{00000000-0005-0000-0000-000036890000}"/>
    <cellStyle name="Normal 2 10 2 4 2 7" xfId="35458" xr:uid="{00000000-0005-0000-0000-000037890000}"/>
    <cellStyle name="Normal 2 10 2 4 3" xfId="35459" xr:uid="{00000000-0005-0000-0000-000038890000}"/>
    <cellStyle name="Normal 2 10 2 4 3 2" xfId="35460" xr:uid="{00000000-0005-0000-0000-000039890000}"/>
    <cellStyle name="Normal 2 10 2 4 3 2 2" xfId="35461" xr:uid="{00000000-0005-0000-0000-00003A890000}"/>
    <cellStyle name="Normal 2 10 2 4 3 2 3" xfId="35462" xr:uid="{00000000-0005-0000-0000-00003B890000}"/>
    <cellStyle name="Normal 2 10 2 4 3 3" xfId="35463" xr:uid="{00000000-0005-0000-0000-00003C890000}"/>
    <cellStyle name="Normal 2 10 2 4 3 4" xfId="35464" xr:uid="{00000000-0005-0000-0000-00003D890000}"/>
    <cellStyle name="Normal 2 10 2 4 3 5" xfId="35465" xr:uid="{00000000-0005-0000-0000-00003E890000}"/>
    <cellStyle name="Normal 2 10 2 4 3 6" xfId="35466" xr:uid="{00000000-0005-0000-0000-00003F890000}"/>
    <cellStyle name="Normal 2 10 2 4 4" xfId="35467" xr:uid="{00000000-0005-0000-0000-000040890000}"/>
    <cellStyle name="Normal 2 10 2 4 4 2" xfId="35468" xr:uid="{00000000-0005-0000-0000-000041890000}"/>
    <cellStyle name="Normal 2 10 2 4 4 2 2" xfId="35469" xr:uid="{00000000-0005-0000-0000-000042890000}"/>
    <cellStyle name="Normal 2 10 2 4 4 2 3" xfId="35470" xr:uid="{00000000-0005-0000-0000-000043890000}"/>
    <cellStyle name="Normal 2 10 2 4 4 3" xfId="35471" xr:uid="{00000000-0005-0000-0000-000044890000}"/>
    <cellStyle name="Normal 2 10 2 4 4 4" xfId="35472" xr:uid="{00000000-0005-0000-0000-000045890000}"/>
    <cellStyle name="Normal 2 10 2 4 4 5" xfId="35473" xr:uid="{00000000-0005-0000-0000-000046890000}"/>
    <cellStyle name="Normal 2 10 2 4 4 6" xfId="35474" xr:uid="{00000000-0005-0000-0000-000047890000}"/>
    <cellStyle name="Normal 2 10 2 4 5" xfId="35475" xr:uid="{00000000-0005-0000-0000-000048890000}"/>
    <cellStyle name="Normal 2 10 2 4 5 2" xfId="35476" xr:uid="{00000000-0005-0000-0000-000049890000}"/>
    <cellStyle name="Normal 2 10 2 4 5 3" xfId="35477" xr:uid="{00000000-0005-0000-0000-00004A890000}"/>
    <cellStyle name="Normal 2 10 2 4 6" xfId="35478" xr:uid="{00000000-0005-0000-0000-00004B890000}"/>
    <cellStyle name="Normal 2 10 2 4 7" xfId="35479" xr:uid="{00000000-0005-0000-0000-00004C890000}"/>
    <cellStyle name="Normal 2 10 2 4 8" xfId="35480" xr:uid="{00000000-0005-0000-0000-00004D890000}"/>
    <cellStyle name="Normal 2 10 2 4 9" xfId="35481" xr:uid="{00000000-0005-0000-0000-00004E890000}"/>
    <cellStyle name="Normal 2 10 2 5" xfId="35482" xr:uid="{00000000-0005-0000-0000-00004F890000}"/>
    <cellStyle name="Normal 2 10 2 5 2" xfId="35483" xr:uid="{00000000-0005-0000-0000-000050890000}"/>
    <cellStyle name="Normal 2 10 2 5 2 2" xfId="35484" xr:uid="{00000000-0005-0000-0000-000051890000}"/>
    <cellStyle name="Normal 2 10 2 5 2 2 2" xfId="35485" xr:uid="{00000000-0005-0000-0000-000052890000}"/>
    <cellStyle name="Normal 2 10 2 5 2 2 3" xfId="35486" xr:uid="{00000000-0005-0000-0000-000053890000}"/>
    <cellStyle name="Normal 2 10 2 5 2 3" xfId="35487" xr:uid="{00000000-0005-0000-0000-000054890000}"/>
    <cellStyle name="Normal 2 10 2 5 2 4" xfId="35488" xr:uid="{00000000-0005-0000-0000-000055890000}"/>
    <cellStyle name="Normal 2 10 2 5 2 5" xfId="35489" xr:uid="{00000000-0005-0000-0000-000056890000}"/>
    <cellStyle name="Normal 2 10 2 5 2 6" xfId="35490" xr:uid="{00000000-0005-0000-0000-000057890000}"/>
    <cellStyle name="Normal 2 10 2 5 3" xfId="35491" xr:uid="{00000000-0005-0000-0000-000058890000}"/>
    <cellStyle name="Normal 2 10 2 5 3 2" xfId="35492" xr:uid="{00000000-0005-0000-0000-000059890000}"/>
    <cellStyle name="Normal 2 10 2 5 3 3" xfId="35493" xr:uid="{00000000-0005-0000-0000-00005A890000}"/>
    <cellStyle name="Normal 2 10 2 5 4" xfId="35494" xr:uid="{00000000-0005-0000-0000-00005B890000}"/>
    <cellStyle name="Normal 2 10 2 5 5" xfId="35495" xr:uid="{00000000-0005-0000-0000-00005C890000}"/>
    <cellStyle name="Normal 2 10 2 5 6" xfId="35496" xr:uid="{00000000-0005-0000-0000-00005D890000}"/>
    <cellStyle name="Normal 2 10 2 5 7" xfId="35497" xr:uid="{00000000-0005-0000-0000-00005E890000}"/>
    <cellStyle name="Normal 2 10 2 6" xfId="35498" xr:uid="{00000000-0005-0000-0000-00005F890000}"/>
    <cellStyle name="Normal 2 10 2 6 2" xfId="35499" xr:uid="{00000000-0005-0000-0000-000060890000}"/>
    <cellStyle name="Normal 2 10 2 6 2 2" xfId="35500" xr:uid="{00000000-0005-0000-0000-000061890000}"/>
    <cellStyle name="Normal 2 10 2 6 2 3" xfId="35501" xr:uid="{00000000-0005-0000-0000-000062890000}"/>
    <cellStyle name="Normal 2 10 2 6 3" xfId="35502" xr:uid="{00000000-0005-0000-0000-000063890000}"/>
    <cellStyle name="Normal 2 10 2 6 4" xfId="35503" xr:uid="{00000000-0005-0000-0000-000064890000}"/>
    <cellStyle name="Normal 2 10 2 6 5" xfId="35504" xr:uid="{00000000-0005-0000-0000-000065890000}"/>
    <cellStyle name="Normal 2 10 2 6 6" xfId="35505" xr:uid="{00000000-0005-0000-0000-000066890000}"/>
    <cellStyle name="Normal 2 10 2 7" xfId="35506" xr:uid="{00000000-0005-0000-0000-000067890000}"/>
    <cellStyle name="Normal 2 10 2 7 2" xfId="35507" xr:uid="{00000000-0005-0000-0000-000068890000}"/>
    <cellStyle name="Normal 2 10 2 7 2 2" xfId="35508" xr:uid="{00000000-0005-0000-0000-000069890000}"/>
    <cellStyle name="Normal 2 10 2 7 2 3" xfId="35509" xr:uid="{00000000-0005-0000-0000-00006A890000}"/>
    <cellStyle name="Normal 2 10 2 7 3" xfId="35510" xr:uid="{00000000-0005-0000-0000-00006B890000}"/>
    <cellStyle name="Normal 2 10 2 7 4" xfId="35511" xr:uid="{00000000-0005-0000-0000-00006C890000}"/>
    <cellStyle name="Normal 2 10 2 7 5" xfId="35512" xr:uid="{00000000-0005-0000-0000-00006D890000}"/>
    <cellStyle name="Normal 2 10 2 7 6" xfId="35513" xr:uid="{00000000-0005-0000-0000-00006E890000}"/>
    <cellStyle name="Normal 2 10 2 8" xfId="35514" xr:uid="{00000000-0005-0000-0000-00006F890000}"/>
    <cellStyle name="Normal 2 10 2 8 2" xfId="35515" xr:uid="{00000000-0005-0000-0000-000070890000}"/>
    <cellStyle name="Normal 2 10 2 8 2 2" xfId="35516" xr:uid="{00000000-0005-0000-0000-000071890000}"/>
    <cellStyle name="Normal 2 10 2 8 2 3" xfId="35517" xr:uid="{00000000-0005-0000-0000-000072890000}"/>
    <cellStyle name="Normal 2 10 2 8 3" xfId="35518" xr:uid="{00000000-0005-0000-0000-000073890000}"/>
    <cellStyle name="Normal 2 10 2 8 4" xfId="35519" xr:uid="{00000000-0005-0000-0000-000074890000}"/>
    <cellStyle name="Normal 2 10 2 8 5" xfId="35520" xr:uid="{00000000-0005-0000-0000-000075890000}"/>
    <cellStyle name="Normal 2 10 2 8 6" xfId="35521" xr:uid="{00000000-0005-0000-0000-000076890000}"/>
    <cellStyle name="Normal 2 10 2 9" xfId="35522" xr:uid="{00000000-0005-0000-0000-000077890000}"/>
    <cellStyle name="Normal 2 10 2 9 2" xfId="35523" xr:uid="{00000000-0005-0000-0000-000078890000}"/>
    <cellStyle name="Normal 2 10 2 9 2 2" xfId="35524" xr:uid="{00000000-0005-0000-0000-000079890000}"/>
    <cellStyle name="Normal 2 10 2 9 2 3" xfId="35525" xr:uid="{00000000-0005-0000-0000-00007A890000}"/>
    <cellStyle name="Normal 2 10 2 9 3" xfId="35526" xr:uid="{00000000-0005-0000-0000-00007B890000}"/>
    <cellStyle name="Normal 2 10 2 9 4" xfId="35527" xr:uid="{00000000-0005-0000-0000-00007C890000}"/>
    <cellStyle name="Normal 2 10 2 9 5" xfId="35528" xr:uid="{00000000-0005-0000-0000-00007D890000}"/>
    <cellStyle name="Normal 2 10 2 9 6" xfId="35529" xr:uid="{00000000-0005-0000-0000-00007E890000}"/>
    <cellStyle name="Normal 2 10 3" xfId="35530" xr:uid="{00000000-0005-0000-0000-00007F890000}"/>
    <cellStyle name="Normal 2 10 3 10" xfId="35531" xr:uid="{00000000-0005-0000-0000-000080890000}"/>
    <cellStyle name="Normal 2 10 3 10 2" xfId="35532" xr:uid="{00000000-0005-0000-0000-000081890000}"/>
    <cellStyle name="Normal 2 10 3 10 3" xfId="35533" xr:uid="{00000000-0005-0000-0000-000082890000}"/>
    <cellStyle name="Normal 2 10 3 11" xfId="35534" xr:uid="{00000000-0005-0000-0000-000083890000}"/>
    <cellStyle name="Normal 2 10 3 12" xfId="35535" xr:uid="{00000000-0005-0000-0000-000084890000}"/>
    <cellStyle name="Normal 2 10 3 13" xfId="35536" xr:uid="{00000000-0005-0000-0000-000085890000}"/>
    <cellStyle name="Normal 2 10 3 14" xfId="35537" xr:uid="{00000000-0005-0000-0000-000086890000}"/>
    <cellStyle name="Normal 2 10 3 2" xfId="35538" xr:uid="{00000000-0005-0000-0000-000087890000}"/>
    <cellStyle name="Normal 2 10 3 2 10" xfId="35539" xr:uid="{00000000-0005-0000-0000-000088890000}"/>
    <cellStyle name="Normal 2 10 3 2 11" xfId="35540" xr:uid="{00000000-0005-0000-0000-000089890000}"/>
    <cellStyle name="Normal 2 10 3 2 12" xfId="35541" xr:uid="{00000000-0005-0000-0000-00008A890000}"/>
    <cellStyle name="Normal 2 10 3 2 13" xfId="35542" xr:uid="{00000000-0005-0000-0000-00008B890000}"/>
    <cellStyle name="Normal 2 10 3 2 2" xfId="35543" xr:uid="{00000000-0005-0000-0000-00008C890000}"/>
    <cellStyle name="Normal 2 10 3 2 2 10" xfId="35544" xr:uid="{00000000-0005-0000-0000-00008D890000}"/>
    <cellStyle name="Normal 2 10 3 2 2 2" xfId="35545" xr:uid="{00000000-0005-0000-0000-00008E890000}"/>
    <cellStyle name="Normal 2 10 3 2 2 2 2" xfId="35546" xr:uid="{00000000-0005-0000-0000-00008F890000}"/>
    <cellStyle name="Normal 2 10 3 2 2 2 2 2" xfId="35547" xr:uid="{00000000-0005-0000-0000-000090890000}"/>
    <cellStyle name="Normal 2 10 3 2 2 2 2 2 2" xfId="35548" xr:uid="{00000000-0005-0000-0000-000091890000}"/>
    <cellStyle name="Normal 2 10 3 2 2 2 2 2 3" xfId="35549" xr:uid="{00000000-0005-0000-0000-000092890000}"/>
    <cellStyle name="Normal 2 10 3 2 2 2 2 3" xfId="35550" xr:uid="{00000000-0005-0000-0000-000093890000}"/>
    <cellStyle name="Normal 2 10 3 2 2 2 2 4" xfId="35551" xr:uid="{00000000-0005-0000-0000-000094890000}"/>
    <cellStyle name="Normal 2 10 3 2 2 2 2 5" xfId="35552" xr:uid="{00000000-0005-0000-0000-000095890000}"/>
    <cellStyle name="Normal 2 10 3 2 2 2 2 6" xfId="35553" xr:uid="{00000000-0005-0000-0000-000096890000}"/>
    <cellStyle name="Normal 2 10 3 2 2 2 3" xfId="35554" xr:uid="{00000000-0005-0000-0000-000097890000}"/>
    <cellStyle name="Normal 2 10 3 2 2 2 3 2" xfId="35555" xr:uid="{00000000-0005-0000-0000-000098890000}"/>
    <cellStyle name="Normal 2 10 3 2 2 2 3 2 2" xfId="35556" xr:uid="{00000000-0005-0000-0000-000099890000}"/>
    <cellStyle name="Normal 2 10 3 2 2 2 3 2 3" xfId="35557" xr:uid="{00000000-0005-0000-0000-00009A890000}"/>
    <cellStyle name="Normal 2 10 3 2 2 2 3 3" xfId="35558" xr:uid="{00000000-0005-0000-0000-00009B890000}"/>
    <cellStyle name="Normal 2 10 3 2 2 2 3 4" xfId="35559" xr:uid="{00000000-0005-0000-0000-00009C890000}"/>
    <cellStyle name="Normal 2 10 3 2 2 2 3 5" xfId="35560" xr:uid="{00000000-0005-0000-0000-00009D890000}"/>
    <cellStyle name="Normal 2 10 3 2 2 2 3 6" xfId="35561" xr:uid="{00000000-0005-0000-0000-00009E890000}"/>
    <cellStyle name="Normal 2 10 3 2 2 2 4" xfId="35562" xr:uid="{00000000-0005-0000-0000-00009F890000}"/>
    <cellStyle name="Normal 2 10 3 2 2 2 4 2" xfId="35563" xr:uid="{00000000-0005-0000-0000-0000A0890000}"/>
    <cellStyle name="Normal 2 10 3 2 2 2 4 3" xfId="35564" xr:uid="{00000000-0005-0000-0000-0000A1890000}"/>
    <cellStyle name="Normal 2 10 3 2 2 2 5" xfId="35565" xr:uid="{00000000-0005-0000-0000-0000A2890000}"/>
    <cellStyle name="Normal 2 10 3 2 2 2 6" xfId="35566" xr:uid="{00000000-0005-0000-0000-0000A3890000}"/>
    <cellStyle name="Normal 2 10 3 2 2 2 7" xfId="35567" xr:uid="{00000000-0005-0000-0000-0000A4890000}"/>
    <cellStyle name="Normal 2 10 3 2 2 2 8" xfId="35568" xr:uid="{00000000-0005-0000-0000-0000A5890000}"/>
    <cellStyle name="Normal 2 10 3 2 2 3" xfId="35569" xr:uid="{00000000-0005-0000-0000-0000A6890000}"/>
    <cellStyle name="Normal 2 10 3 2 2 3 2" xfId="35570" xr:uid="{00000000-0005-0000-0000-0000A7890000}"/>
    <cellStyle name="Normal 2 10 3 2 2 3 2 2" xfId="35571" xr:uid="{00000000-0005-0000-0000-0000A8890000}"/>
    <cellStyle name="Normal 2 10 3 2 2 3 2 2 2" xfId="35572" xr:uid="{00000000-0005-0000-0000-0000A9890000}"/>
    <cellStyle name="Normal 2 10 3 2 2 3 2 2 3" xfId="35573" xr:uid="{00000000-0005-0000-0000-0000AA890000}"/>
    <cellStyle name="Normal 2 10 3 2 2 3 2 3" xfId="35574" xr:uid="{00000000-0005-0000-0000-0000AB890000}"/>
    <cellStyle name="Normal 2 10 3 2 2 3 2 4" xfId="35575" xr:uid="{00000000-0005-0000-0000-0000AC890000}"/>
    <cellStyle name="Normal 2 10 3 2 2 3 2 5" xfId="35576" xr:uid="{00000000-0005-0000-0000-0000AD890000}"/>
    <cellStyle name="Normal 2 10 3 2 2 3 2 6" xfId="35577" xr:uid="{00000000-0005-0000-0000-0000AE890000}"/>
    <cellStyle name="Normal 2 10 3 2 2 3 3" xfId="35578" xr:uid="{00000000-0005-0000-0000-0000AF890000}"/>
    <cellStyle name="Normal 2 10 3 2 2 3 3 2" xfId="35579" xr:uid="{00000000-0005-0000-0000-0000B0890000}"/>
    <cellStyle name="Normal 2 10 3 2 2 3 3 3" xfId="35580" xr:uid="{00000000-0005-0000-0000-0000B1890000}"/>
    <cellStyle name="Normal 2 10 3 2 2 3 4" xfId="35581" xr:uid="{00000000-0005-0000-0000-0000B2890000}"/>
    <cellStyle name="Normal 2 10 3 2 2 3 5" xfId="35582" xr:uid="{00000000-0005-0000-0000-0000B3890000}"/>
    <cellStyle name="Normal 2 10 3 2 2 3 6" xfId="35583" xr:uid="{00000000-0005-0000-0000-0000B4890000}"/>
    <cellStyle name="Normal 2 10 3 2 2 3 7" xfId="35584" xr:uid="{00000000-0005-0000-0000-0000B5890000}"/>
    <cellStyle name="Normal 2 10 3 2 2 4" xfId="35585" xr:uid="{00000000-0005-0000-0000-0000B6890000}"/>
    <cellStyle name="Normal 2 10 3 2 2 4 2" xfId="35586" xr:uid="{00000000-0005-0000-0000-0000B7890000}"/>
    <cellStyle name="Normal 2 10 3 2 2 4 2 2" xfId="35587" xr:uid="{00000000-0005-0000-0000-0000B8890000}"/>
    <cellStyle name="Normal 2 10 3 2 2 4 2 3" xfId="35588" xr:uid="{00000000-0005-0000-0000-0000B9890000}"/>
    <cellStyle name="Normal 2 10 3 2 2 4 3" xfId="35589" xr:uid="{00000000-0005-0000-0000-0000BA890000}"/>
    <cellStyle name="Normal 2 10 3 2 2 4 4" xfId="35590" xr:uid="{00000000-0005-0000-0000-0000BB890000}"/>
    <cellStyle name="Normal 2 10 3 2 2 4 5" xfId="35591" xr:uid="{00000000-0005-0000-0000-0000BC890000}"/>
    <cellStyle name="Normal 2 10 3 2 2 4 6" xfId="35592" xr:uid="{00000000-0005-0000-0000-0000BD890000}"/>
    <cellStyle name="Normal 2 10 3 2 2 5" xfId="35593" xr:uid="{00000000-0005-0000-0000-0000BE890000}"/>
    <cellStyle name="Normal 2 10 3 2 2 5 2" xfId="35594" xr:uid="{00000000-0005-0000-0000-0000BF890000}"/>
    <cellStyle name="Normal 2 10 3 2 2 5 2 2" xfId="35595" xr:uid="{00000000-0005-0000-0000-0000C0890000}"/>
    <cellStyle name="Normal 2 10 3 2 2 5 2 3" xfId="35596" xr:uid="{00000000-0005-0000-0000-0000C1890000}"/>
    <cellStyle name="Normal 2 10 3 2 2 5 3" xfId="35597" xr:uid="{00000000-0005-0000-0000-0000C2890000}"/>
    <cellStyle name="Normal 2 10 3 2 2 5 4" xfId="35598" xr:uid="{00000000-0005-0000-0000-0000C3890000}"/>
    <cellStyle name="Normal 2 10 3 2 2 5 5" xfId="35599" xr:uid="{00000000-0005-0000-0000-0000C4890000}"/>
    <cellStyle name="Normal 2 10 3 2 2 5 6" xfId="35600" xr:uid="{00000000-0005-0000-0000-0000C5890000}"/>
    <cellStyle name="Normal 2 10 3 2 2 6" xfId="35601" xr:uid="{00000000-0005-0000-0000-0000C6890000}"/>
    <cellStyle name="Normal 2 10 3 2 2 6 2" xfId="35602" xr:uid="{00000000-0005-0000-0000-0000C7890000}"/>
    <cellStyle name="Normal 2 10 3 2 2 6 3" xfId="35603" xr:uid="{00000000-0005-0000-0000-0000C8890000}"/>
    <cellStyle name="Normal 2 10 3 2 2 7" xfId="35604" xr:uid="{00000000-0005-0000-0000-0000C9890000}"/>
    <cellStyle name="Normal 2 10 3 2 2 8" xfId="35605" xr:uid="{00000000-0005-0000-0000-0000CA890000}"/>
    <cellStyle name="Normal 2 10 3 2 2 9" xfId="35606" xr:uid="{00000000-0005-0000-0000-0000CB890000}"/>
    <cellStyle name="Normal 2 10 3 2 3" xfId="35607" xr:uid="{00000000-0005-0000-0000-0000CC890000}"/>
    <cellStyle name="Normal 2 10 3 2 3 2" xfId="35608" xr:uid="{00000000-0005-0000-0000-0000CD890000}"/>
    <cellStyle name="Normal 2 10 3 2 3 2 2" xfId="35609" xr:uid="{00000000-0005-0000-0000-0000CE890000}"/>
    <cellStyle name="Normal 2 10 3 2 3 2 2 2" xfId="35610" xr:uid="{00000000-0005-0000-0000-0000CF890000}"/>
    <cellStyle name="Normal 2 10 3 2 3 2 2 2 2" xfId="35611" xr:uid="{00000000-0005-0000-0000-0000D0890000}"/>
    <cellStyle name="Normal 2 10 3 2 3 2 2 2 3" xfId="35612" xr:uid="{00000000-0005-0000-0000-0000D1890000}"/>
    <cellStyle name="Normal 2 10 3 2 3 2 2 3" xfId="35613" xr:uid="{00000000-0005-0000-0000-0000D2890000}"/>
    <cellStyle name="Normal 2 10 3 2 3 2 2 4" xfId="35614" xr:uid="{00000000-0005-0000-0000-0000D3890000}"/>
    <cellStyle name="Normal 2 10 3 2 3 2 2 5" xfId="35615" xr:uid="{00000000-0005-0000-0000-0000D4890000}"/>
    <cellStyle name="Normal 2 10 3 2 3 2 2 6" xfId="35616" xr:uid="{00000000-0005-0000-0000-0000D5890000}"/>
    <cellStyle name="Normal 2 10 3 2 3 2 3" xfId="35617" xr:uid="{00000000-0005-0000-0000-0000D6890000}"/>
    <cellStyle name="Normal 2 10 3 2 3 2 3 2" xfId="35618" xr:uid="{00000000-0005-0000-0000-0000D7890000}"/>
    <cellStyle name="Normal 2 10 3 2 3 2 3 3" xfId="35619" xr:uid="{00000000-0005-0000-0000-0000D8890000}"/>
    <cellStyle name="Normal 2 10 3 2 3 2 4" xfId="35620" xr:uid="{00000000-0005-0000-0000-0000D9890000}"/>
    <cellStyle name="Normal 2 10 3 2 3 2 5" xfId="35621" xr:uid="{00000000-0005-0000-0000-0000DA890000}"/>
    <cellStyle name="Normal 2 10 3 2 3 2 6" xfId="35622" xr:uid="{00000000-0005-0000-0000-0000DB890000}"/>
    <cellStyle name="Normal 2 10 3 2 3 2 7" xfId="35623" xr:uid="{00000000-0005-0000-0000-0000DC890000}"/>
    <cellStyle name="Normal 2 10 3 2 3 3" xfId="35624" xr:uid="{00000000-0005-0000-0000-0000DD890000}"/>
    <cellStyle name="Normal 2 10 3 2 3 3 2" xfId="35625" xr:uid="{00000000-0005-0000-0000-0000DE890000}"/>
    <cellStyle name="Normal 2 10 3 2 3 3 2 2" xfId="35626" xr:uid="{00000000-0005-0000-0000-0000DF890000}"/>
    <cellStyle name="Normal 2 10 3 2 3 3 2 3" xfId="35627" xr:uid="{00000000-0005-0000-0000-0000E0890000}"/>
    <cellStyle name="Normal 2 10 3 2 3 3 3" xfId="35628" xr:uid="{00000000-0005-0000-0000-0000E1890000}"/>
    <cellStyle name="Normal 2 10 3 2 3 3 4" xfId="35629" xr:uid="{00000000-0005-0000-0000-0000E2890000}"/>
    <cellStyle name="Normal 2 10 3 2 3 3 5" xfId="35630" xr:uid="{00000000-0005-0000-0000-0000E3890000}"/>
    <cellStyle name="Normal 2 10 3 2 3 3 6" xfId="35631" xr:uid="{00000000-0005-0000-0000-0000E4890000}"/>
    <cellStyle name="Normal 2 10 3 2 3 4" xfId="35632" xr:uid="{00000000-0005-0000-0000-0000E5890000}"/>
    <cellStyle name="Normal 2 10 3 2 3 4 2" xfId="35633" xr:uid="{00000000-0005-0000-0000-0000E6890000}"/>
    <cellStyle name="Normal 2 10 3 2 3 4 2 2" xfId="35634" xr:uid="{00000000-0005-0000-0000-0000E7890000}"/>
    <cellStyle name="Normal 2 10 3 2 3 4 2 3" xfId="35635" xr:uid="{00000000-0005-0000-0000-0000E8890000}"/>
    <cellStyle name="Normal 2 10 3 2 3 4 3" xfId="35636" xr:uid="{00000000-0005-0000-0000-0000E9890000}"/>
    <cellStyle name="Normal 2 10 3 2 3 4 4" xfId="35637" xr:uid="{00000000-0005-0000-0000-0000EA890000}"/>
    <cellStyle name="Normal 2 10 3 2 3 4 5" xfId="35638" xr:uid="{00000000-0005-0000-0000-0000EB890000}"/>
    <cellStyle name="Normal 2 10 3 2 3 4 6" xfId="35639" xr:uid="{00000000-0005-0000-0000-0000EC890000}"/>
    <cellStyle name="Normal 2 10 3 2 3 5" xfId="35640" xr:uid="{00000000-0005-0000-0000-0000ED890000}"/>
    <cellStyle name="Normal 2 10 3 2 3 5 2" xfId="35641" xr:uid="{00000000-0005-0000-0000-0000EE890000}"/>
    <cellStyle name="Normal 2 10 3 2 3 5 3" xfId="35642" xr:uid="{00000000-0005-0000-0000-0000EF890000}"/>
    <cellStyle name="Normal 2 10 3 2 3 6" xfId="35643" xr:uid="{00000000-0005-0000-0000-0000F0890000}"/>
    <cellStyle name="Normal 2 10 3 2 3 7" xfId="35644" xr:uid="{00000000-0005-0000-0000-0000F1890000}"/>
    <cellStyle name="Normal 2 10 3 2 3 8" xfId="35645" xr:uid="{00000000-0005-0000-0000-0000F2890000}"/>
    <cellStyle name="Normal 2 10 3 2 3 9" xfId="35646" xr:uid="{00000000-0005-0000-0000-0000F3890000}"/>
    <cellStyle name="Normal 2 10 3 2 4" xfId="35647" xr:uid="{00000000-0005-0000-0000-0000F4890000}"/>
    <cellStyle name="Normal 2 10 3 2 4 2" xfId="35648" xr:uid="{00000000-0005-0000-0000-0000F5890000}"/>
    <cellStyle name="Normal 2 10 3 2 4 2 2" xfId="35649" xr:uid="{00000000-0005-0000-0000-0000F6890000}"/>
    <cellStyle name="Normal 2 10 3 2 4 2 2 2" xfId="35650" xr:uid="{00000000-0005-0000-0000-0000F7890000}"/>
    <cellStyle name="Normal 2 10 3 2 4 2 2 3" xfId="35651" xr:uid="{00000000-0005-0000-0000-0000F8890000}"/>
    <cellStyle name="Normal 2 10 3 2 4 2 3" xfId="35652" xr:uid="{00000000-0005-0000-0000-0000F9890000}"/>
    <cellStyle name="Normal 2 10 3 2 4 2 4" xfId="35653" xr:uid="{00000000-0005-0000-0000-0000FA890000}"/>
    <cellStyle name="Normal 2 10 3 2 4 2 5" xfId="35654" xr:uid="{00000000-0005-0000-0000-0000FB890000}"/>
    <cellStyle name="Normal 2 10 3 2 4 2 6" xfId="35655" xr:uid="{00000000-0005-0000-0000-0000FC890000}"/>
    <cellStyle name="Normal 2 10 3 2 4 3" xfId="35656" xr:uid="{00000000-0005-0000-0000-0000FD890000}"/>
    <cellStyle name="Normal 2 10 3 2 4 3 2" xfId="35657" xr:uid="{00000000-0005-0000-0000-0000FE890000}"/>
    <cellStyle name="Normal 2 10 3 2 4 3 3" xfId="35658" xr:uid="{00000000-0005-0000-0000-0000FF890000}"/>
    <cellStyle name="Normal 2 10 3 2 4 4" xfId="35659" xr:uid="{00000000-0005-0000-0000-0000008A0000}"/>
    <cellStyle name="Normal 2 10 3 2 4 5" xfId="35660" xr:uid="{00000000-0005-0000-0000-0000018A0000}"/>
    <cellStyle name="Normal 2 10 3 2 4 6" xfId="35661" xr:uid="{00000000-0005-0000-0000-0000028A0000}"/>
    <cellStyle name="Normal 2 10 3 2 4 7" xfId="35662" xr:uid="{00000000-0005-0000-0000-0000038A0000}"/>
    <cellStyle name="Normal 2 10 3 2 5" xfId="35663" xr:uid="{00000000-0005-0000-0000-0000048A0000}"/>
    <cellStyle name="Normal 2 10 3 2 5 2" xfId="35664" xr:uid="{00000000-0005-0000-0000-0000058A0000}"/>
    <cellStyle name="Normal 2 10 3 2 5 2 2" xfId="35665" xr:uid="{00000000-0005-0000-0000-0000068A0000}"/>
    <cellStyle name="Normal 2 10 3 2 5 2 3" xfId="35666" xr:uid="{00000000-0005-0000-0000-0000078A0000}"/>
    <cellStyle name="Normal 2 10 3 2 5 3" xfId="35667" xr:uid="{00000000-0005-0000-0000-0000088A0000}"/>
    <cellStyle name="Normal 2 10 3 2 5 4" xfId="35668" xr:uid="{00000000-0005-0000-0000-0000098A0000}"/>
    <cellStyle name="Normal 2 10 3 2 5 5" xfId="35669" xr:uid="{00000000-0005-0000-0000-00000A8A0000}"/>
    <cellStyle name="Normal 2 10 3 2 5 6" xfId="35670" xr:uid="{00000000-0005-0000-0000-00000B8A0000}"/>
    <cellStyle name="Normal 2 10 3 2 6" xfId="35671" xr:uid="{00000000-0005-0000-0000-00000C8A0000}"/>
    <cellStyle name="Normal 2 10 3 2 6 2" xfId="35672" xr:uid="{00000000-0005-0000-0000-00000D8A0000}"/>
    <cellStyle name="Normal 2 10 3 2 6 2 2" xfId="35673" xr:uid="{00000000-0005-0000-0000-00000E8A0000}"/>
    <cellStyle name="Normal 2 10 3 2 6 2 3" xfId="35674" xr:uid="{00000000-0005-0000-0000-00000F8A0000}"/>
    <cellStyle name="Normal 2 10 3 2 6 3" xfId="35675" xr:uid="{00000000-0005-0000-0000-0000108A0000}"/>
    <cellStyle name="Normal 2 10 3 2 6 4" xfId="35676" xr:uid="{00000000-0005-0000-0000-0000118A0000}"/>
    <cellStyle name="Normal 2 10 3 2 6 5" xfId="35677" xr:uid="{00000000-0005-0000-0000-0000128A0000}"/>
    <cellStyle name="Normal 2 10 3 2 6 6" xfId="35678" xr:uid="{00000000-0005-0000-0000-0000138A0000}"/>
    <cellStyle name="Normal 2 10 3 2 7" xfId="35679" xr:uid="{00000000-0005-0000-0000-0000148A0000}"/>
    <cellStyle name="Normal 2 10 3 2 7 2" xfId="35680" xr:uid="{00000000-0005-0000-0000-0000158A0000}"/>
    <cellStyle name="Normal 2 10 3 2 7 2 2" xfId="35681" xr:uid="{00000000-0005-0000-0000-0000168A0000}"/>
    <cellStyle name="Normal 2 10 3 2 7 2 3" xfId="35682" xr:uid="{00000000-0005-0000-0000-0000178A0000}"/>
    <cellStyle name="Normal 2 10 3 2 7 3" xfId="35683" xr:uid="{00000000-0005-0000-0000-0000188A0000}"/>
    <cellStyle name="Normal 2 10 3 2 7 4" xfId="35684" xr:uid="{00000000-0005-0000-0000-0000198A0000}"/>
    <cellStyle name="Normal 2 10 3 2 7 5" xfId="35685" xr:uid="{00000000-0005-0000-0000-00001A8A0000}"/>
    <cellStyle name="Normal 2 10 3 2 7 6" xfId="35686" xr:uid="{00000000-0005-0000-0000-00001B8A0000}"/>
    <cellStyle name="Normal 2 10 3 2 8" xfId="35687" xr:uid="{00000000-0005-0000-0000-00001C8A0000}"/>
    <cellStyle name="Normal 2 10 3 2 8 2" xfId="35688" xr:uid="{00000000-0005-0000-0000-00001D8A0000}"/>
    <cellStyle name="Normal 2 10 3 2 8 2 2" xfId="35689" xr:uid="{00000000-0005-0000-0000-00001E8A0000}"/>
    <cellStyle name="Normal 2 10 3 2 8 2 3" xfId="35690" xr:uid="{00000000-0005-0000-0000-00001F8A0000}"/>
    <cellStyle name="Normal 2 10 3 2 8 3" xfId="35691" xr:uid="{00000000-0005-0000-0000-0000208A0000}"/>
    <cellStyle name="Normal 2 10 3 2 8 4" xfId="35692" xr:uid="{00000000-0005-0000-0000-0000218A0000}"/>
    <cellStyle name="Normal 2 10 3 2 8 5" xfId="35693" xr:uid="{00000000-0005-0000-0000-0000228A0000}"/>
    <cellStyle name="Normal 2 10 3 2 8 6" xfId="35694" xr:uid="{00000000-0005-0000-0000-0000238A0000}"/>
    <cellStyle name="Normal 2 10 3 2 9" xfId="35695" xr:uid="{00000000-0005-0000-0000-0000248A0000}"/>
    <cellStyle name="Normal 2 10 3 2 9 2" xfId="35696" xr:uid="{00000000-0005-0000-0000-0000258A0000}"/>
    <cellStyle name="Normal 2 10 3 2 9 3" xfId="35697" xr:uid="{00000000-0005-0000-0000-0000268A0000}"/>
    <cellStyle name="Normal 2 10 3 3" xfId="35698" xr:uid="{00000000-0005-0000-0000-0000278A0000}"/>
    <cellStyle name="Normal 2 10 3 3 10" xfId="35699" xr:uid="{00000000-0005-0000-0000-0000288A0000}"/>
    <cellStyle name="Normal 2 10 3 3 2" xfId="35700" xr:uid="{00000000-0005-0000-0000-0000298A0000}"/>
    <cellStyle name="Normal 2 10 3 3 2 2" xfId="35701" xr:uid="{00000000-0005-0000-0000-00002A8A0000}"/>
    <cellStyle name="Normal 2 10 3 3 2 2 2" xfId="35702" xr:uid="{00000000-0005-0000-0000-00002B8A0000}"/>
    <cellStyle name="Normal 2 10 3 3 2 2 2 2" xfId="35703" xr:uid="{00000000-0005-0000-0000-00002C8A0000}"/>
    <cellStyle name="Normal 2 10 3 3 2 2 2 3" xfId="35704" xr:uid="{00000000-0005-0000-0000-00002D8A0000}"/>
    <cellStyle name="Normal 2 10 3 3 2 2 3" xfId="35705" xr:uid="{00000000-0005-0000-0000-00002E8A0000}"/>
    <cellStyle name="Normal 2 10 3 3 2 2 4" xfId="35706" xr:uid="{00000000-0005-0000-0000-00002F8A0000}"/>
    <cellStyle name="Normal 2 10 3 3 2 2 5" xfId="35707" xr:uid="{00000000-0005-0000-0000-0000308A0000}"/>
    <cellStyle name="Normal 2 10 3 3 2 2 6" xfId="35708" xr:uid="{00000000-0005-0000-0000-0000318A0000}"/>
    <cellStyle name="Normal 2 10 3 3 2 3" xfId="35709" xr:uid="{00000000-0005-0000-0000-0000328A0000}"/>
    <cellStyle name="Normal 2 10 3 3 2 3 2" xfId="35710" xr:uid="{00000000-0005-0000-0000-0000338A0000}"/>
    <cellStyle name="Normal 2 10 3 3 2 3 2 2" xfId="35711" xr:uid="{00000000-0005-0000-0000-0000348A0000}"/>
    <cellStyle name="Normal 2 10 3 3 2 3 2 3" xfId="35712" xr:uid="{00000000-0005-0000-0000-0000358A0000}"/>
    <cellStyle name="Normal 2 10 3 3 2 3 3" xfId="35713" xr:uid="{00000000-0005-0000-0000-0000368A0000}"/>
    <cellStyle name="Normal 2 10 3 3 2 3 4" xfId="35714" xr:uid="{00000000-0005-0000-0000-0000378A0000}"/>
    <cellStyle name="Normal 2 10 3 3 2 3 5" xfId="35715" xr:uid="{00000000-0005-0000-0000-0000388A0000}"/>
    <cellStyle name="Normal 2 10 3 3 2 3 6" xfId="35716" xr:uid="{00000000-0005-0000-0000-0000398A0000}"/>
    <cellStyle name="Normal 2 10 3 3 2 4" xfId="35717" xr:uid="{00000000-0005-0000-0000-00003A8A0000}"/>
    <cellStyle name="Normal 2 10 3 3 2 4 2" xfId="35718" xr:uid="{00000000-0005-0000-0000-00003B8A0000}"/>
    <cellStyle name="Normal 2 10 3 3 2 4 3" xfId="35719" xr:uid="{00000000-0005-0000-0000-00003C8A0000}"/>
    <cellStyle name="Normal 2 10 3 3 2 5" xfId="35720" xr:uid="{00000000-0005-0000-0000-00003D8A0000}"/>
    <cellStyle name="Normal 2 10 3 3 2 6" xfId="35721" xr:uid="{00000000-0005-0000-0000-00003E8A0000}"/>
    <cellStyle name="Normal 2 10 3 3 2 7" xfId="35722" xr:uid="{00000000-0005-0000-0000-00003F8A0000}"/>
    <cellStyle name="Normal 2 10 3 3 2 8" xfId="35723" xr:uid="{00000000-0005-0000-0000-0000408A0000}"/>
    <cellStyle name="Normal 2 10 3 3 3" xfId="35724" xr:uid="{00000000-0005-0000-0000-0000418A0000}"/>
    <cellStyle name="Normal 2 10 3 3 3 2" xfId="35725" xr:uid="{00000000-0005-0000-0000-0000428A0000}"/>
    <cellStyle name="Normal 2 10 3 3 3 2 2" xfId="35726" xr:uid="{00000000-0005-0000-0000-0000438A0000}"/>
    <cellStyle name="Normal 2 10 3 3 3 2 2 2" xfId="35727" xr:uid="{00000000-0005-0000-0000-0000448A0000}"/>
    <cellStyle name="Normal 2 10 3 3 3 2 2 3" xfId="35728" xr:uid="{00000000-0005-0000-0000-0000458A0000}"/>
    <cellStyle name="Normal 2 10 3 3 3 2 3" xfId="35729" xr:uid="{00000000-0005-0000-0000-0000468A0000}"/>
    <cellStyle name="Normal 2 10 3 3 3 2 4" xfId="35730" xr:uid="{00000000-0005-0000-0000-0000478A0000}"/>
    <cellStyle name="Normal 2 10 3 3 3 2 5" xfId="35731" xr:uid="{00000000-0005-0000-0000-0000488A0000}"/>
    <cellStyle name="Normal 2 10 3 3 3 2 6" xfId="35732" xr:uid="{00000000-0005-0000-0000-0000498A0000}"/>
    <cellStyle name="Normal 2 10 3 3 3 3" xfId="35733" xr:uid="{00000000-0005-0000-0000-00004A8A0000}"/>
    <cellStyle name="Normal 2 10 3 3 3 3 2" xfId="35734" xr:uid="{00000000-0005-0000-0000-00004B8A0000}"/>
    <cellStyle name="Normal 2 10 3 3 3 3 3" xfId="35735" xr:uid="{00000000-0005-0000-0000-00004C8A0000}"/>
    <cellStyle name="Normal 2 10 3 3 3 4" xfId="35736" xr:uid="{00000000-0005-0000-0000-00004D8A0000}"/>
    <cellStyle name="Normal 2 10 3 3 3 5" xfId="35737" xr:uid="{00000000-0005-0000-0000-00004E8A0000}"/>
    <cellStyle name="Normal 2 10 3 3 3 6" xfId="35738" xr:uid="{00000000-0005-0000-0000-00004F8A0000}"/>
    <cellStyle name="Normal 2 10 3 3 3 7" xfId="35739" xr:uid="{00000000-0005-0000-0000-0000508A0000}"/>
    <cellStyle name="Normal 2 10 3 3 4" xfId="35740" xr:uid="{00000000-0005-0000-0000-0000518A0000}"/>
    <cellStyle name="Normal 2 10 3 3 4 2" xfId="35741" xr:uid="{00000000-0005-0000-0000-0000528A0000}"/>
    <cellStyle name="Normal 2 10 3 3 4 2 2" xfId="35742" xr:uid="{00000000-0005-0000-0000-0000538A0000}"/>
    <cellStyle name="Normal 2 10 3 3 4 2 3" xfId="35743" xr:uid="{00000000-0005-0000-0000-0000548A0000}"/>
    <cellStyle name="Normal 2 10 3 3 4 3" xfId="35744" xr:uid="{00000000-0005-0000-0000-0000558A0000}"/>
    <cellStyle name="Normal 2 10 3 3 4 4" xfId="35745" xr:uid="{00000000-0005-0000-0000-0000568A0000}"/>
    <cellStyle name="Normal 2 10 3 3 4 5" xfId="35746" xr:uid="{00000000-0005-0000-0000-0000578A0000}"/>
    <cellStyle name="Normal 2 10 3 3 4 6" xfId="35747" xr:uid="{00000000-0005-0000-0000-0000588A0000}"/>
    <cellStyle name="Normal 2 10 3 3 5" xfId="35748" xr:uid="{00000000-0005-0000-0000-0000598A0000}"/>
    <cellStyle name="Normal 2 10 3 3 5 2" xfId="35749" xr:uid="{00000000-0005-0000-0000-00005A8A0000}"/>
    <cellStyle name="Normal 2 10 3 3 5 2 2" xfId="35750" xr:uid="{00000000-0005-0000-0000-00005B8A0000}"/>
    <cellStyle name="Normal 2 10 3 3 5 2 3" xfId="35751" xr:uid="{00000000-0005-0000-0000-00005C8A0000}"/>
    <cellStyle name="Normal 2 10 3 3 5 3" xfId="35752" xr:uid="{00000000-0005-0000-0000-00005D8A0000}"/>
    <cellStyle name="Normal 2 10 3 3 5 4" xfId="35753" xr:uid="{00000000-0005-0000-0000-00005E8A0000}"/>
    <cellStyle name="Normal 2 10 3 3 5 5" xfId="35754" xr:uid="{00000000-0005-0000-0000-00005F8A0000}"/>
    <cellStyle name="Normal 2 10 3 3 5 6" xfId="35755" xr:uid="{00000000-0005-0000-0000-0000608A0000}"/>
    <cellStyle name="Normal 2 10 3 3 6" xfId="35756" xr:uid="{00000000-0005-0000-0000-0000618A0000}"/>
    <cellStyle name="Normal 2 10 3 3 6 2" xfId="35757" xr:uid="{00000000-0005-0000-0000-0000628A0000}"/>
    <cellStyle name="Normal 2 10 3 3 6 3" xfId="35758" xr:uid="{00000000-0005-0000-0000-0000638A0000}"/>
    <cellStyle name="Normal 2 10 3 3 7" xfId="35759" xr:uid="{00000000-0005-0000-0000-0000648A0000}"/>
    <cellStyle name="Normal 2 10 3 3 8" xfId="35760" xr:uid="{00000000-0005-0000-0000-0000658A0000}"/>
    <cellStyle name="Normal 2 10 3 3 9" xfId="35761" xr:uid="{00000000-0005-0000-0000-0000668A0000}"/>
    <cellStyle name="Normal 2 10 3 4" xfId="35762" xr:uid="{00000000-0005-0000-0000-0000678A0000}"/>
    <cellStyle name="Normal 2 10 3 4 2" xfId="35763" xr:uid="{00000000-0005-0000-0000-0000688A0000}"/>
    <cellStyle name="Normal 2 10 3 4 2 2" xfId="35764" xr:uid="{00000000-0005-0000-0000-0000698A0000}"/>
    <cellStyle name="Normal 2 10 3 4 2 2 2" xfId="35765" xr:uid="{00000000-0005-0000-0000-00006A8A0000}"/>
    <cellStyle name="Normal 2 10 3 4 2 2 2 2" xfId="35766" xr:uid="{00000000-0005-0000-0000-00006B8A0000}"/>
    <cellStyle name="Normal 2 10 3 4 2 2 2 3" xfId="35767" xr:uid="{00000000-0005-0000-0000-00006C8A0000}"/>
    <cellStyle name="Normal 2 10 3 4 2 2 3" xfId="35768" xr:uid="{00000000-0005-0000-0000-00006D8A0000}"/>
    <cellStyle name="Normal 2 10 3 4 2 2 4" xfId="35769" xr:uid="{00000000-0005-0000-0000-00006E8A0000}"/>
    <cellStyle name="Normal 2 10 3 4 2 2 5" xfId="35770" xr:uid="{00000000-0005-0000-0000-00006F8A0000}"/>
    <cellStyle name="Normal 2 10 3 4 2 2 6" xfId="35771" xr:uid="{00000000-0005-0000-0000-0000708A0000}"/>
    <cellStyle name="Normal 2 10 3 4 2 3" xfId="35772" xr:uid="{00000000-0005-0000-0000-0000718A0000}"/>
    <cellStyle name="Normal 2 10 3 4 2 3 2" xfId="35773" xr:uid="{00000000-0005-0000-0000-0000728A0000}"/>
    <cellStyle name="Normal 2 10 3 4 2 3 3" xfId="35774" xr:uid="{00000000-0005-0000-0000-0000738A0000}"/>
    <cellStyle name="Normal 2 10 3 4 2 4" xfId="35775" xr:uid="{00000000-0005-0000-0000-0000748A0000}"/>
    <cellStyle name="Normal 2 10 3 4 2 5" xfId="35776" xr:uid="{00000000-0005-0000-0000-0000758A0000}"/>
    <cellStyle name="Normal 2 10 3 4 2 6" xfId="35777" xr:uid="{00000000-0005-0000-0000-0000768A0000}"/>
    <cellStyle name="Normal 2 10 3 4 2 7" xfId="35778" xr:uid="{00000000-0005-0000-0000-0000778A0000}"/>
    <cellStyle name="Normal 2 10 3 4 3" xfId="35779" xr:uid="{00000000-0005-0000-0000-0000788A0000}"/>
    <cellStyle name="Normal 2 10 3 4 3 2" xfId="35780" xr:uid="{00000000-0005-0000-0000-0000798A0000}"/>
    <cellStyle name="Normal 2 10 3 4 3 2 2" xfId="35781" xr:uid="{00000000-0005-0000-0000-00007A8A0000}"/>
    <cellStyle name="Normal 2 10 3 4 3 2 3" xfId="35782" xr:uid="{00000000-0005-0000-0000-00007B8A0000}"/>
    <cellStyle name="Normal 2 10 3 4 3 3" xfId="35783" xr:uid="{00000000-0005-0000-0000-00007C8A0000}"/>
    <cellStyle name="Normal 2 10 3 4 3 4" xfId="35784" xr:uid="{00000000-0005-0000-0000-00007D8A0000}"/>
    <cellStyle name="Normal 2 10 3 4 3 5" xfId="35785" xr:uid="{00000000-0005-0000-0000-00007E8A0000}"/>
    <cellStyle name="Normal 2 10 3 4 3 6" xfId="35786" xr:uid="{00000000-0005-0000-0000-00007F8A0000}"/>
    <cellStyle name="Normal 2 10 3 4 4" xfId="35787" xr:uid="{00000000-0005-0000-0000-0000808A0000}"/>
    <cellStyle name="Normal 2 10 3 4 4 2" xfId="35788" xr:uid="{00000000-0005-0000-0000-0000818A0000}"/>
    <cellStyle name="Normal 2 10 3 4 4 2 2" xfId="35789" xr:uid="{00000000-0005-0000-0000-0000828A0000}"/>
    <cellStyle name="Normal 2 10 3 4 4 2 3" xfId="35790" xr:uid="{00000000-0005-0000-0000-0000838A0000}"/>
    <cellStyle name="Normal 2 10 3 4 4 3" xfId="35791" xr:uid="{00000000-0005-0000-0000-0000848A0000}"/>
    <cellStyle name="Normal 2 10 3 4 4 4" xfId="35792" xr:uid="{00000000-0005-0000-0000-0000858A0000}"/>
    <cellStyle name="Normal 2 10 3 4 4 5" xfId="35793" xr:uid="{00000000-0005-0000-0000-0000868A0000}"/>
    <cellStyle name="Normal 2 10 3 4 4 6" xfId="35794" xr:uid="{00000000-0005-0000-0000-0000878A0000}"/>
    <cellStyle name="Normal 2 10 3 4 5" xfId="35795" xr:uid="{00000000-0005-0000-0000-0000888A0000}"/>
    <cellStyle name="Normal 2 10 3 4 5 2" xfId="35796" xr:uid="{00000000-0005-0000-0000-0000898A0000}"/>
    <cellStyle name="Normal 2 10 3 4 5 3" xfId="35797" xr:uid="{00000000-0005-0000-0000-00008A8A0000}"/>
    <cellStyle name="Normal 2 10 3 4 6" xfId="35798" xr:uid="{00000000-0005-0000-0000-00008B8A0000}"/>
    <cellStyle name="Normal 2 10 3 4 7" xfId="35799" xr:uid="{00000000-0005-0000-0000-00008C8A0000}"/>
    <cellStyle name="Normal 2 10 3 4 8" xfId="35800" xr:uid="{00000000-0005-0000-0000-00008D8A0000}"/>
    <cellStyle name="Normal 2 10 3 4 9" xfId="35801" xr:uid="{00000000-0005-0000-0000-00008E8A0000}"/>
    <cellStyle name="Normal 2 10 3 5" xfId="35802" xr:uid="{00000000-0005-0000-0000-00008F8A0000}"/>
    <cellStyle name="Normal 2 10 3 5 2" xfId="35803" xr:uid="{00000000-0005-0000-0000-0000908A0000}"/>
    <cellStyle name="Normal 2 10 3 5 2 2" xfId="35804" xr:uid="{00000000-0005-0000-0000-0000918A0000}"/>
    <cellStyle name="Normal 2 10 3 5 2 2 2" xfId="35805" xr:uid="{00000000-0005-0000-0000-0000928A0000}"/>
    <cellStyle name="Normal 2 10 3 5 2 2 3" xfId="35806" xr:uid="{00000000-0005-0000-0000-0000938A0000}"/>
    <cellStyle name="Normal 2 10 3 5 2 3" xfId="35807" xr:uid="{00000000-0005-0000-0000-0000948A0000}"/>
    <cellStyle name="Normal 2 10 3 5 2 4" xfId="35808" xr:uid="{00000000-0005-0000-0000-0000958A0000}"/>
    <cellStyle name="Normal 2 10 3 5 2 5" xfId="35809" xr:uid="{00000000-0005-0000-0000-0000968A0000}"/>
    <cellStyle name="Normal 2 10 3 5 2 6" xfId="35810" xr:uid="{00000000-0005-0000-0000-0000978A0000}"/>
    <cellStyle name="Normal 2 10 3 5 3" xfId="35811" xr:uid="{00000000-0005-0000-0000-0000988A0000}"/>
    <cellStyle name="Normal 2 10 3 5 3 2" xfId="35812" xr:uid="{00000000-0005-0000-0000-0000998A0000}"/>
    <cellStyle name="Normal 2 10 3 5 3 3" xfId="35813" xr:uid="{00000000-0005-0000-0000-00009A8A0000}"/>
    <cellStyle name="Normal 2 10 3 5 4" xfId="35814" xr:uid="{00000000-0005-0000-0000-00009B8A0000}"/>
    <cellStyle name="Normal 2 10 3 5 5" xfId="35815" xr:uid="{00000000-0005-0000-0000-00009C8A0000}"/>
    <cellStyle name="Normal 2 10 3 5 6" xfId="35816" xr:uid="{00000000-0005-0000-0000-00009D8A0000}"/>
    <cellStyle name="Normal 2 10 3 5 7" xfId="35817" xr:uid="{00000000-0005-0000-0000-00009E8A0000}"/>
    <cellStyle name="Normal 2 10 3 6" xfId="35818" xr:uid="{00000000-0005-0000-0000-00009F8A0000}"/>
    <cellStyle name="Normal 2 10 3 6 2" xfId="35819" xr:uid="{00000000-0005-0000-0000-0000A08A0000}"/>
    <cellStyle name="Normal 2 10 3 6 2 2" xfId="35820" xr:uid="{00000000-0005-0000-0000-0000A18A0000}"/>
    <cellStyle name="Normal 2 10 3 6 2 3" xfId="35821" xr:uid="{00000000-0005-0000-0000-0000A28A0000}"/>
    <cellStyle name="Normal 2 10 3 6 3" xfId="35822" xr:uid="{00000000-0005-0000-0000-0000A38A0000}"/>
    <cellStyle name="Normal 2 10 3 6 4" xfId="35823" xr:uid="{00000000-0005-0000-0000-0000A48A0000}"/>
    <cellStyle name="Normal 2 10 3 6 5" xfId="35824" xr:uid="{00000000-0005-0000-0000-0000A58A0000}"/>
    <cellStyle name="Normal 2 10 3 6 6" xfId="35825" xr:uid="{00000000-0005-0000-0000-0000A68A0000}"/>
    <cellStyle name="Normal 2 10 3 7" xfId="35826" xr:uid="{00000000-0005-0000-0000-0000A78A0000}"/>
    <cellStyle name="Normal 2 10 3 7 2" xfId="35827" xr:uid="{00000000-0005-0000-0000-0000A88A0000}"/>
    <cellStyle name="Normal 2 10 3 7 2 2" xfId="35828" xr:uid="{00000000-0005-0000-0000-0000A98A0000}"/>
    <cellStyle name="Normal 2 10 3 7 2 3" xfId="35829" xr:uid="{00000000-0005-0000-0000-0000AA8A0000}"/>
    <cellStyle name="Normal 2 10 3 7 3" xfId="35830" xr:uid="{00000000-0005-0000-0000-0000AB8A0000}"/>
    <cellStyle name="Normal 2 10 3 7 4" xfId="35831" xr:uid="{00000000-0005-0000-0000-0000AC8A0000}"/>
    <cellStyle name="Normal 2 10 3 7 5" xfId="35832" xr:uid="{00000000-0005-0000-0000-0000AD8A0000}"/>
    <cellStyle name="Normal 2 10 3 7 6" xfId="35833" xr:uid="{00000000-0005-0000-0000-0000AE8A0000}"/>
    <cellStyle name="Normal 2 10 3 8" xfId="35834" xr:uid="{00000000-0005-0000-0000-0000AF8A0000}"/>
    <cellStyle name="Normal 2 10 3 8 2" xfId="35835" xr:uid="{00000000-0005-0000-0000-0000B08A0000}"/>
    <cellStyle name="Normal 2 10 3 8 2 2" xfId="35836" xr:uid="{00000000-0005-0000-0000-0000B18A0000}"/>
    <cellStyle name="Normal 2 10 3 8 2 3" xfId="35837" xr:uid="{00000000-0005-0000-0000-0000B28A0000}"/>
    <cellStyle name="Normal 2 10 3 8 3" xfId="35838" xr:uid="{00000000-0005-0000-0000-0000B38A0000}"/>
    <cellStyle name="Normal 2 10 3 8 4" xfId="35839" xr:uid="{00000000-0005-0000-0000-0000B48A0000}"/>
    <cellStyle name="Normal 2 10 3 8 5" xfId="35840" xr:uid="{00000000-0005-0000-0000-0000B58A0000}"/>
    <cellStyle name="Normal 2 10 3 8 6" xfId="35841" xr:uid="{00000000-0005-0000-0000-0000B68A0000}"/>
    <cellStyle name="Normal 2 10 3 9" xfId="35842" xr:uid="{00000000-0005-0000-0000-0000B78A0000}"/>
    <cellStyle name="Normal 2 10 3 9 2" xfId="35843" xr:uid="{00000000-0005-0000-0000-0000B88A0000}"/>
    <cellStyle name="Normal 2 10 3 9 2 2" xfId="35844" xr:uid="{00000000-0005-0000-0000-0000B98A0000}"/>
    <cellStyle name="Normal 2 10 3 9 2 3" xfId="35845" xr:uid="{00000000-0005-0000-0000-0000BA8A0000}"/>
    <cellStyle name="Normal 2 10 3 9 3" xfId="35846" xr:uid="{00000000-0005-0000-0000-0000BB8A0000}"/>
    <cellStyle name="Normal 2 10 3 9 4" xfId="35847" xr:uid="{00000000-0005-0000-0000-0000BC8A0000}"/>
    <cellStyle name="Normal 2 10 3 9 5" xfId="35848" xr:uid="{00000000-0005-0000-0000-0000BD8A0000}"/>
    <cellStyle name="Normal 2 10 3 9 6" xfId="35849" xr:uid="{00000000-0005-0000-0000-0000BE8A0000}"/>
    <cellStyle name="Normal 2 10 4" xfId="35850" xr:uid="{00000000-0005-0000-0000-0000BF8A0000}"/>
    <cellStyle name="Normal 2 10 4 10" xfId="35851" xr:uid="{00000000-0005-0000-0000-0000C08A0000}"/>
    <cellStyle name="Normal 2 10 4 11" xfId="35852" xr:uid="{00000000-0005-0000-0000-0000C18A0000}"/>
    <cellStyle name="Normal 2 10 4 12" xfId="35853" xr:uid="{00000000-0005-0000-0000-0000C28A0000}"/>
    <cellStyle name="Normal 2 10 4 13" xfId="35854" xr:uid="{00000000-0005-0000-0000-0000C38A0000}"/>
    <cellStyle name="Normal 2 10 4 2" xfId="35855" xr:uid="{00000000-0005-0000-0000-0000C48A0000}"/>
    <cellStyle name="Normal 2 10 4 2 10" xfId="35856" xr:uid="{00000000-0005-0000-0000-0000C58A0000}"/>
    <cellStyle name="Normal 2 10 4 2 2" xfId="35857" xr:uid="{00000000-0005-0000-0000-0000C68A0000}"/>
    <cellStyle name="Normal 2 10 4 2 2 2" xfId="35858" xr:uid="{00000000-0005-0000-0000-0000C78A0000}"/>
    <cellStyle name="Normal 2 10 4 2 2 2 2" xfId="35859" xr:uid="{00000000-0005-0000-0000-0000C88A0000}"/>
    <cellStyle name="Normal 2 10 4 2 2 2 2 2" xfId="35860" xr:uid="{00000000-0005-0000-0000-0000C98A0000}"/>
    <cellStyle name="Normal 2 10 4 2 2 2 2 3" xfId="35861" xr:uid="{00000000-0005-0000-0000-0000CA8A0000}"/>
    <cellStyle name="Normal 2 10 4 2 2 2 3" xfId="35862" xr:uid="{00000000-0005-0000-0000-0000CB8A0000}"/>
    <cellStyle name="Normal 2 10 4 2 2 2 4" xfId="35863" xr:uid="{00000000-0005-0000-0000-0000CC8A0000}"/>
    <cellStyle name="Normal 2 10 4 2 2 2 5" xfId="35864" xr:uid="{00000000-0005-0000-0000-0000CD8A0000}"/>
    <cellStyle name="Normal 2 10 4 2 2 2 6" xfId="35865" xr:uid="{00000000-0005-0000-0000-0000CE8A0000}"/>
    <cellStyle name="Normal 2 10 4 2 2 3" xfId="35866" xr:uid="{00000000-0005-0000-0000-0000CF8A0000}"/>
    <cellStyle name="Normal 2 10 4 2 2 3 2" xfId="35867" xr:uid="{00000000-0005-0000-0000-0000D08A0000}"/>
    <cellStyle name="Normal 2 10 4 2 2 3 2 2" xfId="35868" xr:uid="{00000000-0005-0000-0000-0000D18A0000}"/>
    <cellStyle name="Normal 2 10 4 2 2 3 2 3" xfId="35869" xr:uid="{00000000-0005-0000-0000-0000D28A0000}"/>
    <cellStyle name="Normal 2 10 4 2 2 3 3" xfId="35870" xr:uid="{00000000-0005-0000-0000-0000D38A0000}"/>
    <cellStyle name="Normal 2 10 4 2 2 3 4" xfId="35871" xr:uid="{00000000-0005-0000-0000-0000D48A0000}"/>
    <cellStyle name="Normal 2 10 4 2 2 3 5" xfId="35872" xr:uid="{00000000-0005-0000-0000-0000D58A0000}"/>
    <cellStyle name="Normal 2 10 4 2 2 3 6" xfId="35873" xr:uid="{00000000-0005-0000-0000-0000D68A0000}"/>
    <cellStyle name="Normal 2 10 4 2 2 4" xfId="35874" xr:uid="{00000000-0005-0000-0000-0000D78A0000}"/>
    <cellStyle name="Normal 2 10 4 2 2 4 2" xfId="35875" xr:uid="{00000000-0005-0000-0000-0000D88A0000}"/>
    <cellStyle name="Normal 2 10 4 2 2 4 3" xfId="35876" xr:uid="{00000000-0005-0000-0000-0000D98A0000}"/>
    <cellStyle name="Normal 2 10 4 2 2 5" xfId="35877" xr:uid="{00000000-0005-0000-0000-0000DA8A0000}"/>
    <cellStyle name="Normal 2 10 4 2 2 6" xfId="35878" xr:uid="{00000000-0005-0000-0000-0000DB8A0000}"/>
    <cellStyle name="Normal 2 10 4 2 2 7" xfId="35879" xr:uid="{00000000-0005-0000-0000-0000DC8A0000}"/>
    <cellStyle name="Normal 2 10 4 2 2 8" xfId="35880" xr:uid="{00000000-0005-0000-0000-0000DD8A0000}"/>
    <cellStyle name="Normal 2 10 4 2 3" xfId="35881" xr:uid="{00000000-0005-0000-0000-0000DE8A0000}"/>
    <cellStyle name="Normal 2 10 4 2 3 2" xfId="35882" xr:uid="{00000000-0005-0000-0000-0000DF8A0000}"/>
    <cellStyle name="Normal 2 10 4 2 3 2 2" xfId="35883" xr:uid="{00000000-0005-0000-0000-0000E08A0000}"/>
    <cellStyle name="Normal 2 10 4 2 3 2 2 2" xfId="35884" xr:uid="{00000000-0005-0000-0000-0000E18A0000}"/>
    <cellStyle name="Normal 2 10 4 2 3 2 2 3" xfId="35885" xr:uid="{00000000-0005-0000-0000-0000E28A0000}"/>
    <cellStyle name="Normal 2 10 4 2 3 2 3" xfId="35886" xr:uid="{00000000-0005-0000-0000-0000E38A0000}"/>
    <cellStyle name="Normal 2 10 4 2 3 2 4" xfId="35887" xr:uid="{00000000-0005-0000-0000-0000E48A0000}"/>
    <cellStyle name="Normal 2 10 4 2 3 2 5" xfId="35888" xr:uid="{00000000-0005-0000-0000-0000E58A0000}"/>
    <cellStyle name="Normal 2 10 4 2 3 2 6" xfId="35889" xr:uid="{00000000-0005-0000-0000-0000E68A0000}"/>
    <cellStyle name="Normal 2 10 4 2 3 3" xfId="35890" xr:uid="{00000000-0005-0000-0000-0000E78A0000}"/>
    <cellStyle name="Normal 2 10 4 2 3 3 2" xfId="35891" xr:uid="{00000000-0005-0000-0000-0000E88A0000}"/>
    <cellStyle name="Normal 2 10 4 2 3 3 3" xfId="35892" xr:uid="{00000000-0005-0000-0000-0000E98A0000}"/>
    <cellStyle name="Normal 2 10 4 2 3 4" xfId="35893" xr:uid="{00000000-0005-0000-0000-0000EA8A0000}"/>
    <cellStyle name="Normal 2 10 4 2 3 5" xfId="35894" xr:uid="{00000000-0005-0000-0000-0000EB8A0000}"/>
    <cellStyle name="Normal 2 10 4 2 3 6" xfId="35895" xr:uid="{00000000-0005-0000-0000-0000EC8A0000}"/>
    <cellStyle name="Normal 2 10 4 2 3 7" xfId="35896" xr:uid="{00000000-0005-0000-0000-0000ED8A0000}"/>
    <cellStyle name="Normal 2 10 4 2 4" xfId="35897" xr:uid="{00000000-0005-0000-0000-0000EE8A0000}"/>
    <cellStyle name="Normal 2 10 4 2 4 2" xfId="35898" xr:uid="{00000000-0005-0000-0000-0000EF8A0000}"/>
    <cellStyle name="Normal 2 10 4 2 4 2 2" xfId="35899" xr:uid="{00000000-0005-0000-0000-0000F08A0000}"/>
    <cellStyle name="Normal 2 10 4 2 4 2 3" xfId="35900" xr:uid="{00000000-0005-0000-0000-0000F18A0000}"/>
    <cellStyle name="Normal 2 10 4 2 4 3" xfId="35901" xr:uid="{00000000-0005-0000-0000-0000F28A0000}"/>
    <cellStyle name="Normal 2 10 4 2 4 4" xfId="35902" xr:uid="{00000000-0005-0000-0000-0000F38A0000}"/>
    <cellStyle name="Normal 2 10 4 2 4 5" xfId="35903" xr:uid="{00000000-0005-0000-0000-0000F48A0000}"/>
    <cellStyle name="Normal 2 10 4 2 4 6" xfId="35904" xr:uid="{00000000-0005-0000-0000-0000F58A0000}"/>
    <cellStyle name="Normal 2 10 4 2 5" xfId="35905" xr:uid="{00000000-0005-0000-0000-0000F68A0000}"/>
    <cellStyle name="Normal 2 10 4 2 5 2" xfId="35906" xr:uid="{00000000-0005-0000-0000-0000F78A0000}"/>
    <cellStyle name="Normal 2 10 4 2 5 2 2" xfId="35907" xr:uid="{00000000-0005-0000-0000-0000F88A0000}"/>
    <cellStyle name="Normal 2 10 4 2 5 2 3" xfId="35908" xr:uid="{00000000-0005-0000-0000-0000F98A0000}"/>
    <cellStyle name="Normal 2 10 4 2 5 3" xfId="35909" xr:uid="{00000000-0005-0000-0000-0000FA8A0000}"/>
    <cellStyle name="Normal 2 10 4 2 5 4" xfId="35910" xr:uid="{00000000-0005-0000-0000-0000FB8A0000}"/>
    <cellStyle name="Normal 2 10 4 2 5 5" xfId="35911" xr:uid="{00000000-0005-0000-0000-0000FC8A0000}"/>
    <cellStyle name="Normal 2 10 4 2 5 6" xfId="35912" xr:uid="{00000000-0005-0000-0000-0000FD8A0000}"/>
    <cellStyle name="Normal 2 10 4 2 6" xfId="35913" xr:uid="{00000000-0005-0000-0000-0000FE8A0000}"/>
    <cellStyle name="Normal 2 10 4 2 6 2" xfId="35914" xr:uid="{00000000-0005-0000-0000-0000FF8A0000}"/>
    <cellStyle name="Normal 2 10 4 2 6 3" xfId="35915" xr:uid="{00000000-0005-0000-0000-0000008B0000}"/>
    <cellStyle name="Normal 2 10 4 2 7" xfId="35916" xr:uid="{00000000-0005-0000-0000-0000018B0000}"/>
    <cellStyle name="Normal 2 10 4 2 8" xfId="35917" xr:uid="{00000000-0005-0000-0000-0000028B0000}"/>
    <cellStyle name="Normal 2 10 4 2 9" xfId="35918" xr:uid="{00000000-0005-0000-0000-0000038B0000}"/>
    <cellStyle name="Normal 2 10 4 3" xfId="35919" xr:uid="{00000000-0005-0000-0000-0000048B0000}"/>
    <cellStyle name="Normal 2 10 4 3 2" xfId="35920" xr:uid="{00000000-0005-0000-0000-0000058B0000}"/>
    <cellStyle name="Normal 2 10 4 3 2 2" xfId="35921" xr:uid="{00000000-0005-0000-0000-0000068B0000}"/>
    <cellStyle name="Normal 2 10 4 3 2 2 2" xfId="35922" xr:uid="{00000000-0005-0000-0000-0000078B0000}"/>
    <cellStyle name="Normal 2 10 4 3 2 2 2 2" xfId="35923" xr:uid="{00000000-0005-0000-0000-0000088B0000}"/>
    <cellStyle name="Normal 2 10 4 3 2 2 2 3" xfId="35924" xr:uid="{00000000-0005-0000-0000-0000098B0000}"/>
    <cellStyle name="Normal 2 10 4 3 2 2 3" xfId="35925" xr:uid="{00000000-0005-0000-0000-00000A8B0000}"/>
    <cellStyle name="Normal 2 10 4 3 2 2 4" xfId="35926" xr:uid="{00000000-0005-0000-0000-00000B8B0000}"/>
    <cellStyle name="Normal 2 10 4 3 2 2 5" xfId="35927" xr:uid="{00000000-0005-0000-0000-00000C8B0000}"/>
    <cellStyle name="Normal 2 10 4 3 2 2 6" xfId="35928" xr:uid="{00000000-0005-0000-0000-00000D8B0000}"/>
    <cellStyle name="Normal 2 10 4 3 2 3" xfId="35929" xr:uid="{00000000-0005-0000-0000-00000E8B0000}"/>
    <cellStyle name="Normal 2 10 4 3 2 3 2" xfId="35930" xr:uid="{00000000-0005-0000-0000-00000F8B0000}"/>
    <cellStyle name="Normal 2 10 4 3 2 3 3" xfId="35931" xr:uid="{00000000-0005-0000-0000-0000108B0000}"/>
    <cellStyle name="Normal 2 10 4 3 2 4" xfId="35932" xr:uid="{00000000-0005-0000-0000-0000118B0000}"/>
    <cellStyle name="Normal 2 10 4 3 2 5" xfId="35933" xr:uid="{00000000-0005-0000-0000-0000128B0000}"/>
    <cellStyle name="Normal 2 10 4 3 2 6" xfId="35934" xr:uid="{00000000-0005-0000-0000-0000138B0000}"/>
    <cellStyle name="Normal 2 10 4 3 2 7" xfId="35935" xr:uid="{00000000-0005-0000-0000-0000148B0000}"/>
    <cellStyle name="Normal 2 10 4 3 3" xfId="35936" xr:uid="{00000000-0005-0000-0000-0000158B0000}"/>
    <cellStyle name="Normal 2 10 4 3 3 2" xfId="35937" xr:uid="{00000000-0005-0000-0000-0000168B0000}"/>
    <cellStyle name="Normal 2 10 4 3 3 2 2" xfId="35938" xr:uid="{00000000-0005-0000-0000-0000178B0000}"/>
    <cellStyle name="Normal 2 10 4 3 3 2 3" xfId="35939" xr:uid="{00000000-0005-0000-0000-0000188B0000}"/>
    <cellStyle name="Normal 2 10 4 3 3 3" xfId="35940" xr:uid="{00000000-0005-0000-0000-0000198B0000}"/>
    <cellStyle name="Normal 2 10 4 3 3 4" xfId="35941" xr:uid="{00000000-0005-0000-0000-00001A8B0000}"/>
    <cellStyle name="Normal 2 10 4 3 3 5" xfId="35942" xr:uid="{00000000-0005-0000-0000-00001B8B0000}"/>
    <cellStyle name="Normal 2 10 4 3 3 6" xfId="35943" xr:uid="{00000000-0005-0000-0000-00001C8B0000}"/>
    <cellStyle name="Normal 2 10 4 3 4" xfId="35944" xr:uid="{00000000-0005-0000-0000-00001D8B0000}"/>
    <cellStyle name="Normal 2 10 4 3 4 2" xfId="35945" xr:uid="{00000000-0005-0000-0000-00001E8B0000}"/>
    <cellStyle name="Normal 2 10 4 3 4 2 2" xfId="35946" xr:uid="{00000000-0005-0000-0000-00001F8B0000}"/>
    <cellStyle name="Normal 2 10 4 3 4 2 3" xfId="35947" xr:uid="{00000000-0005-0000-0000-0000208B0000}"/>
    <cellStyle name="Normal 2 10 4 3 4 3" xfId="35948" xr:uid="{00000000-0005-0000-0000-0000218B0000}"/>
    <cellStyle name="Normal 2 10 4 3 4 4" xfId="35949" xr:uid="{00000000-0005-0000-0000-0000228B0000}"/>
    <cellStyle name="Normal 2 10 4 3 4 5" xfId="35950" xr:uid="{00000000-0005-0000-0000-0000238B0000}"/>
    <cellStyle name="Normal 2 10 4 3 4 6" xfId="35951" xr:uid="{00000000-0005-0000-0000-0000248B0000}"/>
    <cellStyle name="Normal 2 10 4 3 5" xfId="35952" xr:uid="{00000000-0005-0000-0000-0000258B0000}"/>
    <cellStyle name="Normal 2 10 4 3 5 2" xfId="35953" xr:uid="{00000000-0005-0000-0000-0000268B0000}"/>
    <cellStyle name="Normal 2 10 4 3 5 3" xfId="35954" xr:uid="{00000000-0005-0000-0000-0000278B0000}"/>
    <cellStyle name="Normal 2 10 4 3 6" xfId="35955" xr:uid="{00000000-0005-0000-0000-0000288B0000}"/>
    <cellStyle name="Normal 2 10 4 3 7" xfId="35956" xr:uid="{00000000-0005-0000-0000-0000298B0000}"/>
    <cellStyle name="Normal 2 10 4 3 8" xfId="35957" xr:uid="{00000000-0005-0000-0000-00002A8B0000}"/>
    <cellStyle name="Normal 2 10 4 3 9" xfId="35958" xr:uid="{00000000-0005-0000-0000-00002B8B0000}"/>
    <cellStyle name="Normal 2 10 4 4" xfId="35959" xr:uid="{00000000-0005-0000-0000-00002C8B0000}"/>
    <cellStyle name="Normal 2 10 4 4 2" xfId="35960" xr:uid="{00000000-0005-0000-0000-00002D8B0000}"/>
    <cellStyle name="Normal 2 10 4 4 2 2" xfId="35961" xr:uid="{00000000-0005-0000-0000-00002E8B0000}"/>
    <cellStyle name="Normal 2 10 4 4 2 2 2" xfId="35962" xr:uid="{00000000-0005-0000-0000-00002F8B0000}"/>
    <cellStyle name="Normal 2 10 4 4 2 2 3" xfId="35963" xr:uid="{00000000-0005-0000-0000-0000308B0000}"/>
    <cellStyle name="Normal 2 10 4 4 2 3" xfId="35964" xr:uid="{00000000-0005-0000-0000-0000318B0000}"/>
    <cellStyle name="Normal 2 10 4 4 2 4" xfId="35965" xr:uid="{00000000-0005-0000-0000-0000328B0000}"/>
    <cellStyle name="Normal 2 10 4 4 2 5" xfId="35966" xr:uid="{00000000-0005-0000-0000-0000338B0000}"/>
    <cellStyle name="Normal 2 10 4 4 2 6" xfId="35967" xr:uid="{00000000-0005-0000-0000-0000348B0000}"/>
    <cellStyle name="Normal 2 10 4 4 3" xfId="35968" xr:uid="{00000000-0005-0000-0000-0000358B0000}"/>
    <cellStyle name="Normal 2 10 4 4 3 2" xfId="35969" xr:uid="{00000000-0005-0000-0000-0000368B0000}"/>
    <cellStyle name="Normal 2 10 4 4 3 3" xfId="35970" xr:uid="{00000000-0005-0000-0000-0000378B0000}"/>
    <cellStyle name="Normal 2 10 4 4 4" xfId="35971" xr:uid="{00000000-0005-0000-0000-0000388B0000}"/>
    <cellStyle name="Normal 2 10 4 4 5" xfId="35972" xr:uid="{00000000-0005-0000-0000-0000398B0000}"/>
    <cellStyle name="Normal 2 10 4 4 6" xfId="35973" xr:uid="{00000000-0005-0000-0000-00003A8B0000}"/>
    <cellStyle name="Normal 2 10 4 4 7" xfId="35974" xr:uid="{00000000-0005-0000-0000-00003B8B0000}"/>
    <cellStyle name="Normal 2 10 4 5" xfId="35975" xr:uid="{00000000-0005-0000-0000-00003C8B0000}"/>
    <cellStyle name="Normal 2 10 4 5 2" xfId="35976" xr:uid="{00000000-0005-0000-0000-00003D8B0000}"/>
    <cellStyle name="Normal 2 10 4 5 2 2" xfId="35977" xr:uid="{00000000-0005-0000-0000-00003E8B0000}"/>
    <cellStyle name="Normal 2 10 4 5 2 3" xfId="35978" xr:uid="{00000000-0005-0000-0000-00003F8B0000}"/>
    <cellStyle name="Normal 2 10 4 5 3" xfId="35979" xr:uid="{00000000-0005-0000-0000-0000408B0000}"/>
    <cellStyle name="Normal 2 10 4 5 4" xfId="35980" xr:uid="{00000000-0005-0000-0000-0000418B0000}"/>
    <cellStyle name="Normal 2 10 4 5 5" xfId="35981" xr:uid="{00000000-0005-0000-0000-0000428B0000}"/>
    <cellStyle name="Normal 2 10 4 5 6" xfId="35982" xr:uid="{00000000-0005-0000-0000-0000438B0000}"/>
    <cellStyle name="Normal 2 10 4 6" xfId="35983" xr:uid="{00000000-0005-0000-0000-0000448B0000}"/>
    <cellStyle name="Normal 2 10 4 6 2" xfId="35984" xr:uid="{00000000-0005-0000-0000-0000458B0000}"/>
    <cellStyle name="Normal 2 10 4 6 2 2" xfId="35985" xr:uid="{00000000-0005-0000-0000-0000468B0000}"/>
    <cellStyle name="Normal 2 10 4 6 2 3" xfId="35986" xr:uid="{00000000-0005-0000-0000-0000478B0000}"/>
    <cellStyle name="Normal 2 10 4 6 3" xfId="35987" xr:uid="{00000000-0005-0000-0000-0000488B0000}"/>
    <cellStyle name="Normal 2 10 4 6 4" xfId="35988" xr:uid="{00000000-0005-0000-0000-0000498B0000}"/>
    <cellStyle name="Normal 2 10 4 6 5" xfId="35989" xr:uid="{00000000-0005-0000-0000-00004A8B0000}"/>
    <cellStyle name="Normal 2 10 4 6 6" xfId="35990" xr:uid="{00000000-0005-0000-0000-00004B8B0000}"/>
    <cellStyle name="Normal 2 10 4 7" xfId="35991" xr:uid="{00000000-0005-0000-0000-00004C8B0000}"/>
    <cellStyle name="Normal 2 10 4 7 2" xfId="35992" xr:uid="{00000000-0005-0000-0000-00004D8B0000}"/>
    <cellStyle name="Normal 2 10 4 7 2 2" xfId="35993" xr:uid="{00000000-0005-0000-0000-00004E8B0000}"/>
    <cellStyle name="Normal 2 10 4 7 2 3" xfId="35994" xr:uid="{00000000-0005-0000-0000-00004F8B0000}"/>
    <cellStyle name="Normal 2 10 4 7 3" xfId="35995" xr:uid="{00000000-0005-0000-0000-0000508B0000}"/>
    <cellStyle name="Normal 2 10 4 7 4" xfId="35996" xr:uid="{00000000-0005-0000-0000-0000518B0000}"/>
    <cellStyle name="Normal 2 10 4 7 5" xfId="35997" xr:uid="{00000000-0005-0000-0000-0000528B0000}"/>
    <cellStyle name="Normal 2 10 4 7 6" xfId="35998" xr:uid="{00000000-0005-0000-0000-0000538B0000}"/>
    <cellStyle name="Normal 2 10 4 8" xfId="35999" xr:uid="{00000000-0005-0000-0000-0000548B0000}"/>
    <cellStyle name="Normal 2 10 4 8 2" xfId="36000" xr:uid="{00000000-0005-0000-0000-0000558B0000}"/>
    <cellStyle name="Normal 2 10 4 8 2 2" xfId="36001" xr:uid="{00000000-0005-0000-0000-0000568B0000}"/>
    <cellStyle name="Normal 2 10 4 8 2 3" xfId="36002" xr:uid="{00000000-0005-0000-0000-0000578B0000}"/>
    <cellStyle name="Normal 2 10 4 8 3" xfId="36003" xr:uid="{00000000-0005-0000-0000-0000588B0000}"/>
    <cellStyle name="Normal 2 10 4 8 4" xfId="36004" xr:uid="{00000000-0005-0000-0000-0000598B0000}"/>
    <cellStyle name="Normal 2 10 4 8 5" xfId="36005" xr:uid="{00000000-0005-0000-0000-00005A8B0000}"/>
    <cellStyle name="Normal 2 10 4 8 6" xfId="36006" xr:uid="{00000000-0005-0000-0000-00005B8B0000}"/>
    <cellStyle name="Normal 2 10 4 9" xfId="36007" xr:uid="{00000000-0005-0000-0000-00005C8B0000}"/>
    <cellStyle name="Normal 2 10 4 9 2" xfId="36008" xr:uid="{00000000-0005-0000-0000-00005D8B0000}"/>
    <cellStyle name="Normal 2 10 4 9 3" xfId="36009" xr:uid="{00000000-0005-0000-0000-00005E8B0000}"/>
    <cellStyle name="Normal 2 10 5" xfId="36010" xr:uid="{00000000-0005-0000-0000-00005F8B0000}"/>
    <cellStyle name="Normal 2 10 5 10" xfId="36011" xr:uid="{00000000-0005-0000-0000-0000608B0000}"/>
    <cellStyle name="Normal 2 10 5 2" xfId="36012" xr:uid="{00000000-0005-0000-0000-0000618B0000}"/>
    <cellStyle name="Normal 2 10 5 2 2" xfId="36013" xr:uid="{00000000-0005-0000-0000-0000628B0000}"/>
    <cellStyle name="Normal 2 10 5 2 2 2" xfId="36014" xr:uid="{00000000-0005-0000-0000-0000638B0000}"/>
    <cellStyle name="Normal 2 10 5 2 2 2 2" xfId="36015" xr:uid="{00000000-0005-0000-0000-0000648B0000}"/>
    <cellStyle name="Normal 2 10 5 2 2 2 3" xfId="36016" xr:uid="{00000000-0005-0000-0000-0000658B0000}"/>
    <cellStyle name="Normal 2 10 5 2 2 3" xfId="36017" xr:uid="{00000000-0005-0000-0000-0000668B0000}"/>
    <cellStyle name="Normal 2 10 5 2 2 4" xfId="36018" xr:uid="{00000000-0005-0000-0000-0000678B0000}"/>
    <cellStyle name="Normal 2 10 5 2 2 5" xfId="36019" xr:uid="{00000000-0005-0000-0000-0000688B0000}"/>
    <cellStyle name="Normal 2 10 5 2 2 6" xfId="36020" xr:uid="{00000000-0005-0000-0000-0000698B0000}"/>
    <cellStyle name="Normal 2 10 5 2 3" xfId="36021" xr:uid="{00000000-0005-0000-0000-00006A8B0000}"/>
    <cellStyle name="Normal 2 10 5 2 3 2" xfId="36022" xr:uid="{00000000-0005-0000-0000-00006B8B0000}"/>
    <cellStyle name="Normal 2 10 5 2 3 2 2" xfId="36023" xr:uid="{00000000-0005-0000-0000-00006C8B0000}"/>
    <cellStyle name="Normal 2 10 5 2 3 2 3" xfId="36024" xr:uid="{00000000-0005-0000-0000-00006D8B0000}"/>
    <cellStyle name="Normal 2 10 5 2 3 3" xfId="36025" xr:uid="{00000000-0005-0000-0000-00006E8B0000}"/>
    <cellStyle name="Normal 2 10 5 2 3 4" xfId="36026" xr:uid="{00000000-0005-0000-0000-00006F8B0000}"/>
    <cellStyle name="Normal 2 10 5 2 3 5" xfId="36027" xr:uid="{00000000-0005-0000-0000-0000708B0000}"/>
    <cellStyle name="Normal 2 10 5 2 3 6" xfId="36028" xr:uid="{00000000-0005-0000-0000-0000718B0000}"/>
    <cellStyle name="Normal 2 10 5 2 4" xfId="36029" xr:uid="{00000000-0005-0000-0000-0000728B0000}"/>
    <cellStyle name="Normal 2 10 5 2 4 2" xfId="36030" xr:uid="{00000000-0005-0000-0000-0000738B0000}"/>
    <cellStyle name="Normal 2 10 5 2 4 3" xfId="36031" xr:uid="{00000000-0005-0000-0000-0000748B0000}"/>
    <cellStyle name="Normal 2 10 5 2 5" xfId="36032" xr:uid="{00000000-0005-0000-0000-0000758B0000}"/>
    <cellStyle name="Normal 2 10 5 2 6" xfId="36033" xr:uid="{00000000-0005-0000-0000-0000768B0000}"/>
    <cellStyle name="Normal 2 10 5 2 7" xfId="36034" xr:uid="{00000000-0005-0000-0000-0000778B0000}"/>
    <cellStyle name="Normal 2 10 5 2 8" xfId="36035" xr:uid="{00000000-0005-0000-0000-0000788B0000}"/>
    <cellStyle name="Normal 2 10 5 3" xfId="36036" xr:uid="{00000000-0005-0000-0000-0000798B0000}"/>
    <cellStyle name="Normal 2 10 5 3 2" xfId="36037" xr:uid="{00000000-0005-0000-0000-00007A8B0000}"/>
    <cellStyle name="Normal 2 10 5 3 2 2" xfId="36038" xr:uid="{00000000-0005-0000-0000-00007B8B0000}"/>
    <cellStyle name="Normal 2 10 5 3 2 2 2" xfId="36039" xr:uid="{00000000-0005-0000-0000-00007C8B0000}"/>
    <cellStyle name="Normal 2 10 5 3 2 2 3" xfId="36040" xr:uid="{00000000-0005-0000-0000-00007D8B0000}"/>
    <cellStyle name="Normal 2 10 5 3 2 3" xfId="36041" xr:uid="{00000000-0005-0000-0000-00007E8B0000}"/>
    <cellStyle name="Normal 2 10 5 3 2 4" xfId="36042" xr:uid="{00000000-0005-0000-0000-00007F8B0000}"/>
    <cellStyle name="Normal 2 10 5 3 2 5" xfId="36043" xr:uid="{00000000-0005-0000-0000-0000808B0000}"/>
    <cellStyle name="Normal 2 10 5 3 2 6" xfId="36044" xr:uid="{00000000-0005-0000-0000-0000818B0000}"/>
    <cellStyle name="Normal 2 10 5 3 3" xfId="36045" xr:uid="{00000000-0005-0000-0000-0000828B0000}"/>
    <cellStyle name="Normal 2 10 5 3 3 2" xfId="36046" xr:uid="{00000000-0005-0000-0000-0000838B0000}"/>
    <cellStyle name="Normal 2 10 5 3 3 3" xfId="36047" xr:uid="{00000000-0005-0000-0000-0000848B0000}"/>
    <cellStyle name="Normal 2 10 5 3 4" xfId="36048" xr:uid="{00000000-0005-0000-0000-0000858B0000}"/>
    <cellStyle name="Normal 2 10 5 3 5" xfId="36049" xr:uid="{00000000-0005-0000-0000-0000868B0000}"/>
    <cellStyle name="Normal 2 10 5 3 6" xfId="36050" xr:uid="{00000000-0005-0000-0000-0000878B0000}"/>
    <cellStyle name="Normal 2 10 5 3 7" xfId="36051" xr:uid="{00000000-0005-0000-0000-0000888B0000}"/>
    <cellStyle name="Normal 2 10 5 4" xfId="36052" xr:uid="{00000000-0005-0000-0000-0000898B0000}"/>
    <cellStyle name="Normal 2 10 5 4 2" xfId="36053" xr:uid="{00000000-0005-0000-0000-00008A8B0000}"/>
    <cellStyle name="Normal 2 10 5 4 2 2" xfId="36054" xr:uid="{00000000-0005-0000-0000-00008B8B0000}"/>
    <cellStyle name="Normal 2 10 5 4 2 3" xfId="36055" xr:uid="{00000000-0005-0000-0000-00008C8B0000}"/>
    <cellStyle name="Normal 2 10 5 4 3" xfId="36056" xr:uid="{00000000-0005-0000-0000-00008D8B0000}"/>
    <cellStyle name="Normal 2 10 5 4 4" xfId="36057" xr:uid="{00000000-0005-0000-0000-00008E8B0000}"/>
    <cellStyle name="Normal 2 10 5 4 5" xfId="36058" xr:uid="{00000000-0005-0000-0000-00008F8B0000}"/>
    <cellStyle name="Normal 2 10 5 4 6" xfId="36059" xr:uid="{00000000-0005-0000-0000-0000908B0000}"/>
    <cellStyle name="Normal 2 10 5 5" xfId="36060" xr:uid="{00000000-0005-0000-0000-0000918B0000}"/>
    <cellStyle name="Normal 2 10 5 5 2" xfId="36061" xr:uid="{00000000-0005-0000-0000-0000928B0000}"/>
    <cellStyle name="Normal 2 10 5 5 2 2" xfId="36062" xr:uid="{00000000-0005-0000-0000-0000938B0000}"/>
    <cellStyle name="Normal 2 10 5 5 2 3" xfId="36063" xr:uid="{00000000-0005-0000-0000-0000948B0000}"/>
    <cellStyle name="Normal 2 10 5 5 3" xfId="36064" xr:uid="{00000000-0005-0000-0000-0000958B0000}"/>
    <cellStyle name="Normal 2 10 5 5 4" xfId="36065" xr:uid="{00000000-0005-0000-0000-0000968B0000}"/>
    <cellStyle name="Normal 2 10 5 5 5" xfId="36066" xr:uid="{00000000-0005-0000-0000-0000978B0000}"/>
    <cellStyle name="Normal 2 10 5 5 6" xfId="36067" xr:uid="{00000000-0005-0000-0000-0000988B0000}"/>
    <cellStyle name="Normal 2 10 5 6" xfId="36068" xr:uid="{00000000-0005-0000-0000-0000998B0000}"/>
    <cellStyle name="Normal 2 10 5 6 2" xfId="36069" xr:uid="{00000000-0005-0000-0000-00009A8B0000}"/>
    <cellStyle name="Normal 2 10 5 6 3" xfId="36070" xr:uid="{00000000-0005-0000-0000-00009B8B0000}"/>
    <cellStyle name="Normal 2 10 5 7" xfId="36071" xr:uid="{00000000-0005-0000-0000-00009C8B0000}"/>
    <cellStyle name="Normal 2 10 5 8" xfId="36072" xr:uid="{00000000-0005-0000-0000-00009D8B0000}"/>
    <cellStyle name="Normal 2 10 5 9" xfId="36073" xr:uid="{00000000-0005-0000-0000-00009E8B0000}"/>
    <cellStyle name="Normal 2 10 6" xfId="36074" xr:uid="{00000000-0005-0000-0000-00009F8B0000}"/>
    <cellStyle name="Normal 2 10 6 2" xfId="36075" xr:uid="{00000000-0005-0000-0000-0000A08B0000}"/>
    <cellStyle name="Normal 2 10 6 2 2" xfId="36076" xr:uid="{00000000-0005-0000-0000-0000A18B0000}"/>
    <cellStyle name="Normal 2 10 6 2 2 2" xfId="36077" xr:uid="{00000000-0005-0000-0000-0000A28B0000}"/>
    <cellStyle name="Normal 2 10 6 2 2 2 2" xfId="36078" xr:uid="{00000000-0005-0000-0000-0000A38B0000}"/>
    <cellStyle name="Normal 2 10 6 2 2 2 3" xfId="36079" xr:uid="{00000000-0005-0000-0000-0000A48B0000}"/>
    <cellStyle name="Normal 2 10 6 2 2 3" xfId="36080" xr:uid="{00000000-0005-0000-0000-0000A58B0000}"/>
    <cellStyle name="Normal 2 10 6 2 2 4" xfId="36081" xr:uid="{00000000-0005-0000-0000-0000A68B0000}"/>
    <cellStyle name="Normal 2 10 6 2 2 5" xfId="36082" xr:uid="{00000000-0005-0000-0000-0000A78B0000}"/>
    <cellStyle name="Normal 2 10 6 2 2 6" xfId="36083" xr:uid="{00000000-0005-0000-0000-0000A88B0000}"/>
    <cellStyle name="Normal 2 10 6 2 3" xfId="36084" xr:uid="{00000000-0005-0000-0000-0000A98B0000}"/>
    <cellStyle name="Normal 2 10 6 2 3 2" xfId="36085" xr:uid="{00000000-0005-0000-0000-0000AA8B0000}"/>
    <cellStyle name="Normal 2 10 6 2 3 3" xfId="36086" xr:uid="{00000000-0005-0000-0000-0000AB8B0000}"/>
    <cellStyle name="Normal 2 10 6 2 4" xfId="36087" xr:uid="{00000000-0005-0000-0000-0000AC8B0000}"/>
    <cellStyle name="Normal 2 10 6 2 5" xfId="36088" xr:uid="{00000000-0005-0000-0000-0000AD8B0000}"/>
    <cellStyle name="Normal 2 10 6 2 6" xfId="36089" xr:uid="{00000000-0005-0000-0000-0000AE8B0000}"/>
    <cellStyle name="Normal 2 10 6 2 7" xfId="36090" xr:uid="{00000000-0005-0000-0000-0000AF8B0000}"/>
    <cellStyle name="Normal 2 10 6 3" xfId="36091" xr:uid="{00000000-0005-0000-0000-0000B08B0000}"/>
    <cellStyle name="Normal 2 10 6 3 2" xfId="36092" xr:uid="{00000000-0005-0000-0000-0000B18B0000}"/>
    <cellStyle name="Normal 2 10 6 3 2 2" xfId="36093" xr:uid="{00000000-0005-0000-0000-0000B28B0000}"/>
    <cellStyle name="Normal 2 10 6 3 2 3" xfId="36094" xr:uid="{00000000-0005-0000-0000-0000B38B0000}"/>
    <cellStyle name="Normal 2 10 6 3 3" xfId="36095" xr:uid="{00000000-0005-0000-0000-0000B48B0000}"/>
    <cellStyle name="Normal 2 10 6 3 4" xfId="36096" xr:uid="{00000000-0005-0000-0000-0000B58B0000}"/>
    <cellStyle name="Normal 2 10 6 3 5" xfId="36097" xr:uid="{00000000-0005-0000-0000-0000B68B0000}"/>
    <cellStyle name="Normal 2 10 6 3 6" xfId="36098" xr:uid="{00000000-0005-0000-0000-0000B78B0000}"/>
    <cellStyle name="Normal 2 10 6 4" xfId="36099" xr:uid="{00000000-0005-0000-0000-0000B88B0000}"/>
    <cellStyle name="Normal 2 10 6 4 2" xfId="36100" xr:uid="{00000000-0005-0000-0000-0000B98B0000}"/>
    <cellStyle name="Normal 2 10 6 4 2 2" xfId="36101" xr:uid="{00000000-0005-0000-0000-0000BA8B0000}"/>
    <cellStyle name="Normal 2 10 6 4 2 3" xfId="36102" xr:uid="{00000000-0005-0000-0000-0000BB8B0000}"/>
    <cellStyle name="Normal 2 10 6 4 3" xfId="36103" xr:uid="{00000000-0005-0000-0000-0000BC8B0000}"/>
    <cellStyle name="Normal 2 10 6 4 4" xfId="36104" xr:uid="{00000000-0005-0000-0000-0000BD8B0000}"/>
    <cellStyle name="Normal 2 10 6 4 5" xfId="36105" xr:uid="{00000000-0005-0000-0000-0000BE8B0000}"/>
    <cellStyle name="Normal 2 10 6 4 6" xfId="36106" xr:uid="{00000000-0005-0000-0000-0000BF8B0000}"/>
    <cellStyle name="Normal 2 10 6 5" xfId="36107" xr:uid="{00000000-0005-0000-0000-0000C08B0000}"/>
    <cellStyle name="Normal 2 10 6 5 2" xfId="36108" xr:uid="{00000000-0005-0000-0000-0000C18B0000}"/>
    <cellStyle name="Normal 2 10 6 5 3" xfId="36109" xr:uid="{00000000-0005-0000-0000-0000C28B0000}"/>
    <cellStyle name="Normal 2 10 6 6" xfId="36110" xr:uid="{00000000-0005-0000-0000-0000C38B0000}"/>
    <cellStyle name="Normal 2 10 6 7" xfId="36111" xr:uid="{00000000-0005-0000-0000-0000C48B0000}"/>
    <cellStyle name="Normal 2 10 6 8" xfId="36112" xr:uid="{00000000-0005-0000-0000-0000C58B0000}"/>
    <cellStyle name="Normal 2 10 6 9" xfId="36113" xr:uid="{00000000-0005-0000-0000-0000C68B0000}"/>
    <cellStyle name="Normal 2 10 7" xfId="36114" xr:uid="{00000000-0005-0000-0000-0000C78B0000}"/>
    <cellStyle name="Normal 2 10 7 2" xfId="36115" xr:uid="{00000000-0005-0000-0000-0000C88B0000}"/>
    <cellStyle name="Normal 2 10 7 2 2" xfId="36116" xr:uid="{00000000-0005-0000-0000-0000C98B0000}"/>
    <cellStyle name="Normal 2 10 7 2 2 2" xfId="36117" xr:uid="{00000000-0005-0000-0000-0000CA8B0000}"/>
    <cellStyle name="Normal 2 10 7 2 2 3" xfId="36118" xr:uid="{00000000-0005-0000-0000-0000CB8B0000}"/>
    <cellStyle name="Normal 2 10 7 2 3" xfId="36119" xr:uid="{00000000-0005-0000-0000-0000CC8B0000}"/>
    <cellStyle name="Normal 2 10 7 2 4" xfId="36120" xr:uid="{00000000-0005-0000-0000-0000CD8B0000}"/>
    <cellStyle name="Normal 2 10 7 2 5" xfId="36121" xr:uid="{00000000-0005-0000-0000-0000CE8B0000}"/>
    <cellStyle name="Normal 2 10 7 2 6" xfId="36122" xr:uid="{00000000-0005-0000-0000-0000CF8B0000}"/>
    <cellStyle name="Normal 2 10 7 3" xfId="36123" xr:uid="{00000000-0005-0000-0000-0000D08B0000}"/>
    <cellStyle name="Normal 2 10 7 3 2" xfId="36124" xr:uid="{00000000-0005-0000-0000-0000D18B0000}"/>
    <cellStyle name="Normal 2 10 7 3 3" xfId="36125" xr:uid="{00000000-0005-0000-0000-0000D28B0000}"/>
    <cellStyle name="Normal 2 10 7 4" xfId="36126" xr:uid="{00000000-0005-0000-0000-0000D38B0000}"/>
    <cellStyle name="Normal 2 10 7 5" xfId="36127" xr:uid="{00000000-0005-0000-0000-0000D48B0000}"/>
    <cellStyle name="Normal 2 10 7 6" xfId="36128" xr:uid="{00000000-0005-0000-0000-0000D58B0000}"/>
    <cellStyle name="Normal 2 10 7 7" xfId="36129" xr:uid="{00000000-0005-0000-0000-0000D68B0000}"/>
    <cellStyle name="Normal 2 10 8" xfId="36130" xr:uid="{00000000-0005-0000-0000-0000D78B0000}"/>
    <cellStyle name="Normal 2 10 8 2" xfId="36131" xr:uid="{00000000-0005-0000-0000-0000D88B0000}"/>
    <cellStyle name="Normal 2 10 8 2 2" xfId="36132" xr:uid="{00000000-0005-0000-0000-0000D98B0000}"/>
    <cellStyle name="Normal 2 10 8 2 3" xfId="36133" xr:uid="{00000000-0005-0000-0000-0000DA8B0000}"/>
    <cellStyle name="Normal 2 10 8 3" xfId="36134" xr:uid="{00000000-0005-0000-0000-0000DB8B0000}"/>
    <cellStyle name="Normal 2 10 8 4" xfId="36135" xr:uid="{00000000-0005-0000-0000-0000DC8B0000}"/>
    <cellStyle name="Normal 2 10 8 5" xfId="36136" xr:uid="{00000000-0005-0000-0000-0000DD8B0000}"/>
    <cellStyle name="Normal 2 10 8 6" xfId="36137" xr:uid="{00000000-0005-0000-0000-0000DE8B0000}"/>
    <cellStyle name="Normal 2 10 9" xfId="36138" xr:uid="{00000000-0005-0000-0000-0000DF8B0000}"/>
    <cellStyle name="Normal 2 10 9 2" xfId="36139" xr:uid="{00000000-0005-0000-0000-0000E08B0000}"/>
    <cellStyle name="Normal 2 10 9 2 2" xfId="36140" xr:uid="{00000000-0005-0000-0000-0000E18B0000}"/>
    <cellStyle name="Normal 2 10 9 2 3" xfId="36141" xr:uid="{00000000-0005-0000-0000-0000E28B0000}"/>
    <cellStyle name="Normal 2 10 9 3" xfId="36142" xr:uid="{00000000-0005-0000-0000-0000E38B0000}"/>
    <cellStyle name="Normal 2 10 9 4" xfId="36143" xr:uid="{00000000-0005-0000-0000-0000E48B0000}"/>
    <cellStyle name="Normal 2 10 9 5" xfId="36144" xr:uid="{00000000-0005-0000-0000-0000E58B0000}"/>
    <cellStyle name="Normal 2 10 9 6" xfId="36145" xr:uid="{00000000-0005-0000-0000-0000E68B0000}"/>
    <cellStyle name="Normal 2 11" xfId="36146" xr:uid="{00000000-0005-0000-0000-0000E78B0000}"/>
    <cellStyle name="Normal 2 12" xfId="36147" xr:uid="{00000000-0005-0000-0000-0000E88B0000}"/>
    <cellStyle name="Normal 2 12 10" xfId="36148" xr:uid="{00000000-0005-0000-0000-0000E98B0000}"/>
    <cellStyle name="Normal 2 12 10 2" xfId="36149" xr:uid="{00000000-0005-0000-0000-0000EA8B0000}"/>
    <cellStyle name="Normal 2 12 10 2 2" xfId="36150" xr:uid="{00000000-0005-0000-0000-0000EB8B0000}"/>
    <cellStyle name="Normal 2 12 10 2 3" xfId="36151" xr:uid="{00000000-0005-0000-0000-0000EC8B0000}"/>
    <cellStyle name="Normal 2 12 10 3" xfId="36152" xr:uid="{00000000-0005-0000-0000-0000ED8B0000}"/>
    <cellStyle name="Normal 2 12 10 4" xfId="36153" xr:uid="{00000000-0005-0000-0000-0000EE8B0000}"/>
    <cellStyle name="Normal 2 12 10 5" xfId="36154" xr:uid="{00000000-0005-0000-0000-0000EF8B0000}"/>
    <cellStyle name="Normal 2 12 10 6" xfId="36155" xr:uid="{00000000-0005-0000-0000-0000F08B0000}"/>
    <cellStyle name="Normal 2 12 11" xfId="36156" xr:uid="{00000000-0005-0000-0000-0000F18B0000}"/>
    <cellStyle name="Normal 2 12 11 2" xfId="36157" xr:uid="{00000000-0005-0000-0000-0000F28B0000}"/>
    <cellStyle name="Normal 2 12 11 3" xfId="36158" xr:uid="{00000000-0005-0000-0000-0000F38B0000}"/>
    <cellStyle name="Normal 2 12 12" xfId="36159" xr:uid="{00000000-0005-0000-0000-0000F48B0000}"/>
    <cellStyle name="Normal 2 12 13" xfId="36160" xr:uid="{00000000-0005-0000-0000-0000F58B0000}"/>
    <cellStyle name="Normal 2 12 14" xfId="36161" xr:uid="{00000000-0005-0000-0000-0000F68B0000}"/>
    <cellStyle name="Normal 2 12 15" xfId="36162" xr:uid="{00000000-0005-0000-0000-0000F78B0000}"/>
    <cellStyle name="Normal 2 12 2" xfId="36163" xr:uid="{00000000-0005-0000-0000-0000F88B0000}"/>
    <cellStyle name="Normal 2 12 2 10" xfId="36164" xr:uid="{00000000-0005-0000-0000-0000F98B0000}"/>
    <cellStyle name="Normal 2 12 2 10 2" xfId="36165" xr:uid="{00000000-0005-0000-0000-0000FA8B0000}"/>
    <cellStyle name="Normal 2 12 2 10 3" xfId="36166" xr:uid="{00000000-0005-0000-0000-0000FB8B0000}"/>
    <cellStyle name="Normal 2 12 2 11" xfId="36167" xr:uid="{00000000-0005-0000-0000-0000FC8B0000}"/>
    <cellStyle name="Normal 2 12 2 12" xfId="36168" xr:uid="{00000000-0005-0000-0000-0000FD8B0000}"/>
    <cellStyle name="Normal 2 12 2 13" xfId="36169" xr:uid="{00000000-0005-0000-0000-0000FE8B0000}"/>
    <cellStyle name="Normal 2 12 2 14" xfId="36170" xr:uid="{00000000-0005-0000-0000-0000FF8B0000}"/>
    <cellStyle name="Normal 2 12 2 2" xfId="36171" xr:uid="{00000000-0005-0000-0000-0000008C0000}"/>
    <cellStyle name="Normal 2 12 2 2 10" xfId="36172" xr:uid="{00000000-0005-0000-0000-0000018C0000}"/>
    <cellStyle name="Normal 2 12 2 2 11" xfId="36173" xr:uid="{00000000-0005-0000-0000-0000028C0000}"/>
    <cellStyle name="Normal 2 12 2 2 12" xfId="36174" xr:uid="{00000000-0005-0000-0000-0000038C0000}"/>
    <cellStyle name="Normal 2 12 2 2 13" xfId="36175" xr:uid="{00000000-0005-0000-0000-0000048C0000}"/>
    <cellStyle name="Normal 2 12 2 2 2" xfId="36176" xr:uid="{00000000-0005-0000-0000-0000058C0000}"/>
    <cellStyle name="Normal 2 12 2 2 2 10" xfId="36177" xr:uid="{00000000-0005-0000-0000-0000068C0000}"/>
    <cellStyle name="Normal 2 12 2 2 2 2" xfId="36178" xr:uid="{00000000-0005-0000-0000-0000078C0000}"/>
    <cellStyle name="Normal 2 12 2 2 2 2 2" xfId="36179" xr:uid="{00000000-0005-0000-0000-0000088C0000}"/>
    <cellStyle name="Normal 2 12 2 2 2 2 2 2" xfId="36180" xr:uid="{00000000-0005-0000-0000-0000098C0000}"/>
    <cellStyle name="Normal 2 12 2 2 2 2 2 2 2" xfId="36181" xr:uid="{00000000-0005-0000-0000-00000A8C0000}"/>
    <cellStyle name="Normal 2 12 2 2 2 2 2 2 3" xfId="36182" xr:uid="{00000000-0005-0000-0000-00000B8C0000}"/>
    <cellStyle name="Normal 2 12 2 2 2 2 2 3" xfId="36183" xr:uid="{00000000-0005-0000-0000-00000C8C0000}"/>
    <cellStyle name="Normal 2 12 2 2 2 2 2 4" xfId="36184" xr:uid="{00000000-0005-0000-0000-00000D8C0000}"/>
    <cellStyle name="Normal 2 12 2 2 2 2 2 5" xfId="36185" xr:uid="{00000000-0005-0000-0000-00000E8C0000}"/>
    <cellStyle name="Normal 2 12 2 2 2 2 2 6" xfId="36186" xr:uid="{00000000-0005-0000-0000-00000F8C0000}"/>
    <cellStyle name="Normal 2 12 2 2 2 2 3" xfId="36187" xr:uid="{00000000-0005-0000-0000-0000108C0000}"/>
    <cellStyle name="Normal 2 12 2 2 2 2 3 2" xfId="36188" xr:uid="{00000000-0005-0000-0000-0000118C0000}"/>
    <cellStyle name="Normal 2 12 2 2 2 2 3 2 2" xfId="36189" xr:uid="{00000000-0005-0000-0000-0000128C0000}"/>
    <cellStyle name="Normal 2 12 2 2 2 2 3 2 3" xfId="36190" xr:uid="{00000000-0005-0000-0000-0000138C0000}"/>
    <cellStyle name="Normal 2 12 2 2 2 2 3 3" xfId="36191" xr:uid="{00000000-0005-0000-0000-0000148C0000}"/>
    <cellStyle name="Normal 2 12 2 2 2 2 3 4" xfId="36192" xr:uid="{00000000-0005-0000-0000-0000158C0000}"/>
    <cellStyle name="Normal 2 12 2 2 2 2 3 5" xfId="36193" xr:uid="{00000000-0005-0000-0000-0000168C0000}"/>
    <cellStyle name="Normal 2 12 2 2 2 2 3 6" xfId="36194" xr:uid="{00000000-0005-0000-0000-0000178C0000}"/>
    <cellStyle name="Normal 2 12 2 2 2 2 4" xfId="36195" xr:uid="{00000000-0005-0000-0000-0000188C0000}"/>
    <cellStyle name="Normal 2 12 2 2 2 2 4 2" xfId="36196" xr:uid="{00000000-0005-0000-0000-0000198C0000}"/>
    <cellStyle name="Normal 2 12 2 2 2 2 4 3" xfId="36197" xr:uid="{00000000-0005-0000-0000-00001A8C0000}"/>
    <cellStyle name="Normal 2 12 2 2 2 2 5" xfId="36198" xr:uid="{00000000-0005-0000-0000-00001B8C0000}"/>
    <cellStyle name="Normal 2 12 2 2 2 2 6" xfId="36199" xr:uid="{00000000-0005-0000-0000-00001C8C0000}"/>
    <cellStyle name="Normal 2 12 2 2 2 2 7" xfId="36200" xr:uid="{00000000-0005-0000-0000-00001D8C0000}"/>
    <cellStyle name="Normal 2 12 2 2 2 2 8" xfId="36201" xr:uid="{00000000-0005-0000-0000-00001E8C0000}"/>
    <cellStyle name="Normal 2 12 2 2 2 3" xfId="36202" xr:uid="{00000000-0005-0000-0000-00001F8C0000}"/>
    <cellStyle name="Normal 2 12 2 2 2 3 2" xfId="36203" xr:uid="{00000000-0005-0000-0000-0000208C0000}"/>
    <cellStyle name="Normal 2 12 2 2 2 3 2 2" xfId="36204" xr:uid="{00000000-0005-0000-0000-0000218C0000}"/>
    <cellStyle name="Normal 2 12 2 2 2 3 2 2 2" xfId="36205" xr:uid="{00000000-0005-0000-0000-0000228C0000}"/>
    <cellStyle name="Normal 2 12 2 2 2 3 2 2 3" xfId="36206" xr:uid="{00000000-0005-0000-0000-0000238C0000}"/>
    <cellStyle name="Normal 2 12 2 2 2 3 2 3" xfId="36207" xr:uid="{00000000-0005-0000-0000-0000248C0000}"/>
    <cellStyle name="Normal 2 12 2 2 2 3 2 4" xfId="36208" xr:uid="{00000000-0005-0000-0000-0000258C0000}"/>
    <cellStyle name="Normal 2 12 2 2 2 3 2 5" xfId="36209" xr:uid="{00000000-0005-0000-0000-0000268C0000}"/>
    <cellStyle name="Normal 2 12 2 2 2 3 2 6" xfId="36210" xr:uid="{00000000-0005-0000-0000-0000278C0000}"/>
    <cellStyle name="Normal 2 12 2 2 2 3 3" xfId="36211" xr:uid="{00000000-0005-0000-0000-0000288C0000}"/>
    <cellStyle name="Normal 2 12 2 2 2 3 3 2" xfId="36212" xr:uid="{00000000-0005-0000-0000-0000298C0000}"/>
    <cellStyle name="Normal 2 12 2 2 2 3 3 3" xfId="36213" xr:uid="{00000000-0005-0000-0000-00002A8C0000}"/>
    <cellStyle name="Normal 2 12 2 2 2 3 4" xfId="36214" xr:uid="{00000000-0005-0000-0000-00002B8C0000}"/>
    <cellStyle name="Normal 2 12 2 2 2 3 5" xfId="36215" xr:uid="{00000000-0005-0000-0000-00002C8C0000}"/>
    <cellStyle name="Normal 2 12 2 2 2 3 6" xfId="36216" xr:uid="{00000000-0005-0000-0000-00002D8C0000}"/>
    <cellStyle name="Normal 2 12 2 2 2 3 7" xfId="36217" xr:uid="{00000000-0005-0000-0000-00002E8C0000}"/>
    <cellStyle name="Normal 2 12 2 2 2 4" xfId="36218" xr:uid="{00000000-0005-0000-0000-00002F8C0000}"/>
    <cellStyle name="Normal 2 12 2 2 2 4 2" xfId="36219" xr:uid="{00000000-0005-0000-0000-0000308C0000}"/>
    <cellStyle name="Normal 2 12 2 2 2 4 2 2" xfId="36220" xr:uid="{00000000-0005-0000-0000-0000318C0000}"/>
    <cellStyle name="Normal 2 12 2 2 2 4 2 3" xfId="36221" xr:uid="{00000000-0005-0000-0000-0000328C0000}"/>
    <cellStyle name="Normal 2 12 2 2 2 4 3" xfId="36222" xr:uid="{00000000-0005-0000-0000-0000338C0000}"/>
    <cellStyle name="Normal 2 12 2 2 2 4 4" xfId="36223" xr:uid="{00000000-0005-0000-0000-0000348C0000}"/>
    <cellStyle name="Normal 2 12 2 2 2 4 5" xfId="36224" xr:uid="{00000000-0005-0000-0000-0000358C0000}"/>
    <cellStyle name="Normal 2 12 2 2 2 4 6" xfId="36225" xr:uid="{00000000-0005-0000-0000-0000368C0000}"/>
    <cellStyle name="Normal 2 12 2 2 2 5" xfId="36226" xr:uid="{00000000-0005-0000-0000-0000378C0000}"/>
    <cellStyle name="Normal 2 12 2 2 2 5 2" xfId="36227" xr:uid="{00000000-0005-0000-0000-0000388C0000}"/>
    <cellStyle name="Normal 2 12 2 2 2 5 2 2" xfId="36228" xr:uid="{00000000-0005-0000-0000-0000398C0000}"/>
    <cellStyle name="Normal 2 12 2 2 2 5 2 3" xfId="36229" xr:uid="{00000000-0005-0000-0000-00003A8C0000}"/>
    <cellStyle name="Normal 2 12 2 2 2 5 3" xfId="36230" xr:uid="{00000000-0005-0000-0000-00003B8C0000}"/>
    <cellStyle name="Normal 2 12 2 2 2 5 4" xfId="36231" xr:uid="{00000000-0005-0000-0000-00003C8C0000}"/>
    <cellStyle name="Normal 2 12 2 2 2 5 5" xfId="36232" xr:uid="{00000000-0005-0000-0000-00003D8C0000}"/>
    <cellStyle name="Normal 2 12 2 2 2 5 6" xfId="36233" xr:uid="{00000000-0005-0000-0000-00003E8C0000}"/>
    <cellStyle name="Normal 2 12 2 2 2 6" xfId="36234" xr:uid="{00000000-0005-0000-0000-00003F8C0000}"/>
    <cellStyle name="Normal 2 12 2 2 2 6 2" xfId="36235" xr:uid="{00000000-0005-0000-0000-0000408C0000}"/>
    <cellStyle name="Normal 2 12 2 2 2 6 3" xfId="36236" xr:uid="{00000000-0005-0000-0000-0000418C0000}"/>
    <cellStyle name="Normal 2 12 2 2 2 7" xfId="36237" xr:uid="{00000000-0005-0000-0000-0000428C0000}"/>
    <cellStyle name="Normal 2 12 2 2 2 8" xfId="36238" xr:uid="{00000000-0005-0000-0000-0000438C0000}"/>
    <cellStyle name="Normal 2 12 2 2 2 9" xfId="36239" xr:uid="{00000000-0005-0000-0000-0000448C0000}"/>
    <cellStyle name="Normal 2 12 2 2 3" xfId="36240" xr:uid="{00000000-0005-0000-0000-0000458C0000}"/>
    <cellStyle name="Normal 2 12 2 2 3 2" xfId="36241" xr:uid="{00000000-0005-0000-0000-0000468C0000}"/>
    <cellStyle name="Normal 2 12 2 2 3 2 2" xfId="36242" xr:uid="{00000000-0005-0000-0000-0000478C0000}"/>
    <cellStyle name="Normal 2 12 2 2 3 2 2 2" xfId="36243" xr:uid="{00000000-0005-0000-0000-0000488C0000}"/>
    <cellStyle name="Normal 2 12 2 2 3 2 2 2 2" xfId="36244" xr:uid="{00000000-0005-0000-0000-0000498C0000}"/>
    <cellStyle name="Normal 2 12 2 2 3 2 2 2 3" xfId="36245" xr:uid="{00000000-0005-0000-0000-00004A8C0000}"/>
    <cellStyle name="Normal 2 12 2 2 3 2 2 3" xfId="36246" xr:uid="{00000000-0005-0000-0000-00004B8C0000}"/>
    <cellStyle name="Normal 2 12 2 2 3 2 2 4" xfId="36247" xr:uid="{00000000-0005-0000-0000-00004C8C0000}"/>
    <cellStyle name="Normal 2 12 2 2 3 2 2 5" xfId="36248" xr:uid="{00000000-0005-0000-0000-00004D8C0000}"/>
    <cellStyle name="Normal 2 12 2 2 3 2 2 6" xfId="36249" xr:uid="{00000000-0005-0000-0000-00004E8C0000}"/>
    <cellStyle name="Normal 2 12 2 2 3 2 3" xfId="36250" xr:uid="{00000000-0005-0000-0000-00004F8C0000}"/>
    <cellStyle name="Normal 2 12 2 2 3 2 3 2" xfId="36251" xr:uid="{00000000-0005-0000-0000-0000508C0000}"/>
    <cellStyle name="Normal 2 12 2 2 3 2 3 3" xfId="36252" xr:uid="{00000000-0005-0000-0000-0000518C0000}"/>
    <cellStyle name="Normal 2 12 2 2 3 2 4" xfId="36253" xr:uid="{00000000-0005-0000-0000-0000528C0000}"/>
    <cellStyle name="Normal 2 12 2 2 3 2 5" xfId="36254" xr:uid="{00000000-0005-0000-0000-0000538C0000}"/>
    <cellStyle name="Normal 2 12 2 2 3 2 6" xfId="36255" xr:uid="{00000000-0005-0000-0000-0000548C0000}"/>
    <cellStyle name="Normal 2 12 2 2 3 2 7" xfId="36256" xr:uid="{00000000-0005-0000-0000-0000558C0000}"/>
    <cellStyle name="Normal 2 12 2 2 3 3" xfId="36257" xr:uid="{00000000-0005-0000-0000-0000568C0000}"/>
    <cellStyle name="Normal 2 12 2 2 3 3 2" xfId="36258" xr:uid="{00000000-0005-0000-0000-0000578C0000}"/>
    <cellStyle name="Normal 2 12 2 2 3 3 2 2" xfId="36259" xr:uid="{00000000-0005-0000-0000-0000588C0000}"/>
    <cellStyle name="Normal 2 12 2 2 3 3 2 3" xfId="36260" xr:uid="{00000000-0005-0000-0000-0000598C0000}"/>
    <cellStyle name="Normal 2 12 2 2 3 3 3" xfId="36261" xr:uid="{00000000-0005-0000-0000-00005A8C0000}"/>
    <cellStyle name="Normal 2 12 2 2 3 3 4" xfId="36262" xr:uid="{00000000-0005-0000-0000-00005B8C0000}"/>
    <cellStyle name="Normal 2 12 2 2 3 3 5" xfId="36263" xr:uid="{00000000-0005-0000-0000-00005C8C0000}"/>
    <cellStyle name="Normal 2 12 2 2 3 3 6" xfId="36264" xr:uid="{00000000-0005-0000-0000-00005D8C0000}"/>
    <cellStyle name="Normal 2 12 2 2 3 4" xfId="36265" xr:uid="{00000000-0005-0000-0000-00005E8C0000}"/>
    <cellStyle name="Normal 2 12 2 2 3 4 2" xfId="36266" xr:uid="{00000000-0005-0000-0000-00005F8C0000}"/>
    <cellStyle name="Normal 2 12 2 2 3 4 2 2" xfId="36267" xr:uid="{00000000-0005-0000-0000-0000608C0000}"/>
    <cellStyle name="Normal 2 12 2 2 3 4 2 3" xfId="36268" xr:uid="{00000000-0005-0000-0000-0000618C0000}"/>
    <cellStyle name="Normal 2 12 2 2 3 4 3" xfId="36269" xr:uid="{00000000-0005-0000-0000-0000628C0000}"/>
    <cellStyle name="Normal 2 12 2 2 3 4 4" xfId="36270" xr:uid="{00000000-0005-0000-0000-0000638C0000}"/>
    <cellStyle name="Normal 2 12 2 2 3 4 5" xfId="36271" xr:uid="{00000000-0005-0000-0000-0000648C0000}"/>
    <cellStyle name="Normal 2 12 2 2 3 4 6" xfId="36272" xr:uid="{00000000-0005-0000-0000-0000658C0000}"/>
    <cellStyle name="Normal 2 12 2 2 3 5" xfId="36273" xr:uid="{00000000-0005-0000-0000-0000668C0000}"/>
    <cellStyle name="Normal 2 12 2 2 3 5 2" xfId="36274" xr:uid="{00000000-0005-0000-0000-0000678C0000}"/>
    <cellStyle name="Normal 2 12 2 2 3 5 3" xfId="36275" xr:uid="{00000000-0005-0000-0000-0000688C0000}"/>
    <cellStyle name="Normal 2 12 2 2 3 6" xfId="36276" xr:uid="{00000000-0005-0000-0000-0000698C0000}"/>
    <cellStyle name="Normal 2 12 2 2 3 7" xfId="36277" xr:uid="{00000000-0005-0000-0000-00006A8C0000}"/>
    <cellStyle name="Normal 2 12 2 2 3 8" xfId="36278" xr:uid="{00000000-0005-0000-0000-00006B8C0000}"/>
    <cellStyle name="Normal 2 12 2 2 3 9" xfId="36279" xr:uid="{00000000-0005-0000-0000-00006C8C0000}"/>
    <cellStyle name="Normal 2 12 2 2 4" xfId="36280" xr:uid="{00000000-0005-0000-0000-00006D8C0000}"/>
    <cellStyle name="Normal 2 12 2 2 4 2" xfId="36281" xr:uid="{00000000-0005-0000-0000-00006E8C0000}"/>
    <cellStyle name="Normal 2 12 2 2 4 2 2" xfId="36282" xr:uid="{00000000-0005-0000-0000-00006F8C0000}"/>
    <cellStyle name="Normal 2 12 2 2 4 2 2 2" xfId="36283" xr:uid="{00000000-0005-0000-0000-0000708C0000}"/>
    <cellStyle name="Normal 2 12 2 2 4 2 2 3" xfId="36284" xr:uid="{00000000-0005-0000-0000-0000718C0000}"/>
    <cellStyle name="Normal 2 12 2 2 4 2 3" xfId="36285" xr:uid="{00000000-0005-0000-0000-0000728C0000}"/>
    <cellStyle name="Normal 2 12 2 2 4 2 4" xfId="36286" xr:uid="{00000000-0005-0000-0000-0000738C0000}"/>
    <cellStyle name="Normal 2 12 2 2 4 2 5" xfId="36287" xr:uid="{00000000-0005-0000-0000-0000748C0000}"/>
    <cellStyle name="Normal 2 12 2 2 4 2 6" xfId="36288" xr:uid="{00000000-0005-0000-0000-0000758C0000}"/>
    <cellStyle name="Normal 2 12 2 2 4 3" xfId="36289" xr:uid="{00000000-0005-0000-0000-0000768C0000}"/>
    <cellStyle name="Normal 2 12 2 2 4 3 2" xfId="36290" xr:uid="{00000000-0005-0000-0000-0000778C0000}"/>
    <cellStyle name="Normal 2 12 2 2 4 3 3" xfId="36291" xr:uid="{00000000-0005-0000-0000-0000788C0000}"/>
    <cellStyle name="Normal 2 12 2 2 4 4" xfId="36292" xr:uid="{00000000-0005-0000-0000-0000798C0000}"/>
    <cellStyle name="Normal 2 12 2 2 4 5" xfId="36293" xr:uid="{00000000-0005-0000-0000-00007A8C0000}"/>
    <cellStyle name="Normal 2 12 2 2 4 6" xfId="36294" xr:uid="{00000000-0005-0000-0000-00007B8C0000}"/>
    <cellStyle name="Normal 2 12 2 2 4 7" xfId="36295" xr:uid="{00000000-0005-0000-0000-00007C8C0000}"/>
    <cellStyle name="Normal 2 12 2 2 5" xfId="36296" xr:uid="{00000000-0005-0000-0000-00007D8C0000}"/>
    <cellStyle name="Normal 2 12 2 2 5 2" xfId="36297" xr:uid="{00000000-0005-0000-0000-00007E8C0000}"/>
    <cellStyle name="Normal 2 12 2 2 5 2 2" xfId="36298" xr:uid="{00000000-0005-0000-0000-00007F8C0000}"/>
    <cellStyle name="Normal 2 12 2 2 5 2 3" xfId="36299" xr:uid="{00000000-0005-0000-0000-0000808C0000}"/>
    <cellStyle name="Normal 2 12 2 2 5 3" xfId="36300" xr:uid="{00000000-0005-0000-0000-0000818C0000}"/>
    <cellStyle name="Normal 2 12 2 2 5 4" xfId="36301" xr:uid="{00000000-0005-0000-0000-0000828C0000}"/>
    <cellStyle name="Normal 2 12 2 2 5 5" xfId="36302" xr:uid="{00000000-0005-0000-0000-0000838C0000}"/>
    <cellStyle name="Normal 2 12 2 2 5 6" xfId="36303" xr:uid="{00000000-0005-0000-0000-0000848C0000}"/>
    <cellStyle name="Normal 2 12 2 2 6" xfId="36304" xr:uid="{00000000-0005-0000-0000-0000858C0000}"/>
    <cellStyle name="Normal 2 12 2 2 6 2" xfId="36305" xr:uid="{00000000-0005-0000-0000-0000868C0000}"/>
    <cellStyle name="Normal 2 12 2 2 6 2 2" xfId="36306" xr:uid="{00000000-0005-0000-0000-0000878C0000}"/>
    <cellStyle name="Normal 2 12 2 2 6 2 3" xfId="36307" xr:uid="{00000000-0005-0000-0000-0000888C0000}"/>
    <cellStyle name="Normal 2 12 2 2 6 3" xfId="36308" xr:uid="{00000000-0005-0000-0000-0000898C0000}"/>
    <cellStyle name="Normal 2 12 2 2 6 4" xfId="36309" xr:uid="{00000000-0005-0000-0000-00008A8C0000}"/>
    <cellStyle name="Normal 2 12 2 2 6 5" xfId="36310" xr:uid="{00000000-0005-0000-0000-00008B8C0000}"/>
    <cellStyle name="Normal 2 12 2 2 6 6" xfId="36311" xr:uid="{00000000-0005-0000-0000-00008C8C0000}"/>
    <cellStyle name="Normal 2 12 2 2 7" xfId="36312" xr:uid="{00000000-0005-0000-0000-00008D8C0000}"/>
    <cellStyle name="Normal 2 12 2 2 7 2" xfId="36313" xr:uid="{00000000-0005-0000-0000-00008E8C0000}"/>
    <cellStyle name="Normal 2 12 2 2 7 2 2" xfId="36314" xr:uid="{00000000-0005-0000-0000-00008F8C0000}"/>
    <cellStyle name="Normal 2 12 2 2 7 2 3" xfId="36315" xr:uid="{00000000-0005-0000-0000-0000908C0000}"/>
    <cellStyle name="Normal 2 12 2 2 7 3" xfId="36316" xr:uid="{00000000-0005-0000-0000-0000918C0000}"/>
    <cellStyle name="Normal 2 12 2 2 7 4" xfId="36317" xr:uid="{00000000-0005-0000-0000-0000928C0000}"/>
    <cellStyle name="Normal 2 12 2 2 7 5" xfId="36318" xr:uid="{00000000-0005-0000-0000-0000938C0000}"/>
    <cellStyle name="Normal 2 12 2 2 7 6" xfId="36319" xr:uid="{00000000-0005-0000-0000-0000948C0000}"/>
    <cellStyle name="Normal 2 12 2 2 8" xfId="36320" xr:uid="{00000000-0005-0000-0000-0000958C0000}"/>
    <cellStyle name="Normal 2 12 2 2 8 2" xfId="36321" xr:uid="{00000000-0005-0000-0000-0000968C0000}"/>
    <cellStyle name="Normal 2 12 2 2 8 2 2" xfId="36322" xr:uid="{00000000-0005-0000-0000-0000978C0000}"/>
    <cellStyle name="Normal 2 12 2 2 8 2 3" xfId="36323" xr:uid="{00000000-0005-0000-0000-0000988C0000}"/>
    <cellStyle name="Normal 2 12 2 2 8 3" xfId="36324" xr:uid="{00000000-0005-0000-0000-0000998C0000}"/>
    <cellStyle name="Normal 2 12 2 2 8 4" xfId="36325" xr:uid="{00000000-0005-0000-0000-00009A8C0000}"/>
    <cellStyle name="Normal 2 12 2 2 8 5" xfId="36326" xr:uid="{00000000-0005-0000-0000-00009B8C0000}"/>
    <cellStyle name="Normal 2 12 2 2 8 6" xfId="36327" xr:uid="{00000000-0005-0000-0000-00009C8C0000}"/>
    <cellStyle name="Normal 2 12 2 2 9" xfId="36328" xr:uid="{00000000-0005-0000-0000-00009D8C0000}"/>
    <cellStyle name="Normal 2 12 2 2 9 2" xfId="36329" xr:uid="{00000000-0005-0000-0000-00009E8C0000}"/>
    <cellStyle name="Normal 2 12 2 2 9 3" xfId="36330" xr:uid="{00000000-0005-0000-0000-00009F8C0000}"/>
    <cellStyle name="Normal 2 12 2 3" xfId="36331" xr:uid="{00000000-0005-0000-0000-0000A08C0000}"/>
    <cellStyle name="Normal 2 12 2 3 10" xfId="36332" xr:uid="{00000000-0005-0000-0000-0000A18C0000}"/>
    <cellStyle name="Normal 2 12 2 3 2" xfId="36333" xr:uid="{00000000-0005-0000-0000-0000A28C0000}"/>
    <cellStyle name="Normal 2 12 2 3 2 2" xfId="36334" xr:uid="{00000000-0005-0000-0000-0000A38C0000}"/>
    <cellStyle name="Normal 2 12 2 3 2 2 2" xfId="36335" xr:uid="{00000000-0005-0000-0000-0000A48C0000}"/>
    <cellStyle name="Normal 2 12 2 3 2 2 2 2" xfId="36336" xr:uid="{00000000-0005-0000-0000-0000A58C0000}"/>
    <cellStyle name="Normal 2 12 2 3 2 2 2 3" xfId="36337" xr:uid="{00000000-0005-0000-0000-0000A68C0000}"/>
    <cellStyle name="Normal 2 12 2 3 2 2 3" xfId="36338" xr:uid="{00000000-0005-0000-0000-0000A78C0000}"/>
    <cellStyle name="Normal 2 12 2 3 2 2 4" xfId="36339" xr:uid="{00000000-0005-0000-0000-0000A88C0000}"/>
    <cellStyle name="Normal 2 12 2 3 2 2 5" xfId="36340" xr:uid="{00000000-0005-0000-0000-0000A98C0000}"/>
    <cellStyle name="Normal 2 12 2 3 2 2 6" xfId="36341" xr:uid="{00000000-0005-0000-0000-0000AA8C0000}"/>
    <cellStyle name="Normal 2 12 2 3 2 3" xfId="36342" xr:uid="{00000000-0005-0000-0000-0000AB8C0000}"/>
    <cellStyle name="Normal 2 12 2 3 2 3 2" xfId="36343" xr:uid="{00000000-0005-0000-0000-0000AC8C0000}"/>
    <cellStyle name="Normal 2 12 2 3 2 3 2 2" xfId="36344" xr:uid="{00000000-0005-0000-0000-0000AD8C0000}"/>
    <cellStyle name="Normal 2 12 2 3 2 3 2 3" xfId="36345" xr:uid="{00000000-0005-0000-0000-0000AE8C0000}"/>
    <cellStyle name="Normal 2 12 2 3 2 3 3" xfId="36346" xr:uid="{00000000-0005-0000-0000-0000AF8C0000}"/>
    <cellStyle name="Normal 2 12 2 3 2 3 4" xfId="36347" xr:uid="{00000000-0005-0000-0000-0000B08C0000}"/>
    <cellStyle name="Normal 2 12 2 3 2 3 5" xfId="36348" xr:uid="{00000000-0005-0000-0000-0000B18C0000}"/>
    <cellStyle name="Normal 2 12 2 3 2 3 6" xfId="36349" xr:uid="{00000000-0005-0000-0000-0000B28C0000}"/>
    <cellStyle name="Normal 2 12 2 3 2 4" xfId="36350" xr:uid="{00000000-0005-0000-0000-0000B38C0000}"/>
    <cellStyle name="Normal 2 12 2 3 2 4 2" xfId="36351" xr:uid="{00000000-0005-0000-0000-0000B48C0000}"/>
    <cellStyle name="Normal 2 12 2 3 2 4 3" xfId="36352" xr:uid="{00000000-0005-0000-0000-0000B58C0000}"/>
    <cellStyle name="Normal 2 12 2 3 2 5" xfId="36353" xr:uid="{00000000-0005-0000-0000-0000B68C0000}"/>
    <cellStyle name="Normal 2 12 2 3 2 6" xfId="36354" xr:uid="{00000000-0005-0000-0000-0000B78C0000}"/>
    <cellStyle name="Normal 2 12 2 3 2 7" xfId="36355" xr:uid="{00000000-0005-0000-0000-0000B88C0000}"/>
    <cellStyle name="Normal 2 12 2 3 2 8" xfId="36356" xr:uid="{00000000-0005-0000-0000-0000B98C0000}"/>
    <cellStyle name="Normal 2 12 2 3 3" xfId="36357" xr:uid="{00000000-0005-0000-0000-0000BA8C0000}"/>
    <cellStyle name="Normal 2 12 2 3 3 2" xfId="36358" xr:uid="{00000000-0005-0000-0000-0000BB8C0000}"/>
    <cellStyle name="Normal 2 12 2 3 3 2 2" xfId="36359" xr:uid="{00000000-0005-0000-0000-0000BC8C0000}"/>
    <cellStyle name="Normal 2 12 2 3 3 2 2 2" xfId="36360" xr:uid="{00000000-0005-0000-0000-0000BD8C0000}"/>
    <cellStyle name="Normal 2 12 2 3 3 2 2 3" xfId="36361" xr:uid="{00000000-0005-0000-0000-0000BE8C0000}"/>
    <cellStyle name="Normal 2 12 2 3 3 2 3" xfId="36362" xr:uid="{00000000-0005-0000-0000-0000BF8C0000}"/>
    <cellStyle name="Normal 2 12 2 3 3 2 4" xfId="36363" xr:uid="{00000000-0005-0000-0000-0000C08C0000}"/>
    <cellStyle name="Normal 2 12 2 3 3 2 5" xfId="36364" xr:uid="{00000000-0005-0000-0000-0000C18C0000}"/>
    <cellStyle name="Normal 2 12 2 3 3 2 6" xfId="36365" xr:uid="{00000000-0005-0000-0000-0000C28C0000}"/>
    <cellStyle name="Normal 2 12 2 3 3 3" xfId="36366" xr:uid="{00000000-0005-0000-0000-0000C38C0000}"/>
    <cellStyle name="Normal 2 12 2 3 3 3 2" xfId="36367" xr:uid="{00000000-0005-0000-0000-0000C48C0000}"/>
    <cellStyle name="Normal 2 12 2 3 3 3 3" xfId="36368" xr:uid="{00000000-0005-0000-0000-0000C58C0000}"/>
    <cellStyle name="Normal 2 12 2 3 3 4" xfId="36369" xr:uid="{00000000-0005-0000-0000-0000C68C0000}"/>
    <cellStyle name="Normal 2 12 2 3 3 5" xfId="36370" xr:uid="{00000000-0005-0000-0000-0000C78C0000}"/>
    <cellStyle name="Normal 2 12 2 3 3 6" xfId="36371" xr:uid="{00000000-0005-0000-0000-0000C88C0000}"/>
    <cellStyle name="Normal 2 12 2 3 3 7" xfId="36372" xr:uid="{00000000-0005-0000-0000-0000C98C0000}"/>
    <cellStyle name="Normal 2 12 2 3 4" xfId="36373" xr:uid="{00000000-0005-0000-0000-0000CA8C0000}"/>
    <cellStyle name="Normal 2 12 2 3 4 2" xfId="36374" xr:uid="{00000000-0005-0000-0000-0000CB8C0000}"/>
    <cellStyle name="Normal 2 12 2 3 4 2 2" xfId="36375" xr:uid="{00000000-0005-0000-0000-0000CC8C0000}"/>
    <cellStyle name="Normal 2 12 2 3 4 2 3" xfId="36376" xr:uid="{00000000-0005-0000-0000-0000CD8C0000}"/>
    <cellStyle name="Normal 2 12 2 3 4 3" xfId="36377" xr:uid="{00000000-0005-0000-0000-0000CE8C0000}"/>
    <cellStyle name="Normal 2 12 2 3 4 4" xfId="36378" xr:uid="{00000000-0005-0000-0000-0000CF8C0000}"/>
    <cellStyle name="Normal 2 12 2 3 4 5" xfId="36379" xr:uid="{00000000-0005-0000-0000-0000D08C0000}"/>
    <cellStyle name="Normal 2 12 2 3 4 6" xfId="36380" xr:uid="{00000000-0005-0000-0000-0000D18C0000}"/>
    <cellStyle name="Normal 2 12 2 3 5" xfId="36381" xr:uid="{00000000-0005-0000-0000-0000D28C0000}"/>
    <cellStyle name="Normal 2 12 2 3 5 2" xfId="36382" xr:uid="{00000000-0005-0000-0000-0000D38C0000}"/>
    <cellStyle name="Normal 2 12 2 3 5 2 2" xfId="36383" xr:uid="{00000000-0005-0000-0000-0000D48C0000}"/>
    <cellStyle name="Normal 2 12 2 3 5 2 3" xfId="36384" xr:uid="{00000000-0005-0000-0000-0000D58C0000}"/>
    <cellStyle name="Normal 2 12 2 3 5 3" xfId="36385" xr:uid="{00000000-0005-0000-0000-0000D68C0000}"/>
    <cellStyle name="Normal 2 12 2 3 5 4" xfId="36386" xr:uid="{00000000-0005-0000-0000-0000D78C0000}"/>
    <cellStyle name="Normal 2 12 2 3 5 5" xfId="36387" xr:uid="{00000000-0005-0000-0000-0000D88C0000}"/>
    <cellStyle name="Normal 2 12 2 3 5 6" xfId="36388" xr:uid="{00000000-0005-0000-0000-0000D98C0000}"/>
    <cellStyle name="Normal 2 12 2 3 6" xfId="36389" xr:uid="{00000000-0005-0000-0000-0000DA8C0000}"/>
    <cellStyle name="Normal 2 12 2 3 6 2" xfId="36390" xr:uid="{00000000-0005-0000-0000-0000DB8C0000}"/>
    <cellStyle name="Normal 2 12 2 3 6 3" xfId="36391" xr:uid="{00000000-0005-0000-0000-0000DC8C0000}"/>
    <cellStyle name="Normal 2 12 2 3 7" xfId="36392" xr:uid="{00000000-0005-0000-0000-0000DD8C0000}"/>
    <cellStyle name="Normal 2 12 2 3 8" xfId="36393" xr:uid="{00000000-0005-0000-0000-0000DE8C0000}"/>
    <cellStyle name="Normal 2 12 2 3 9" xfId="36394" xr:uid="{00000000-0005-0000-0000-0000DF8C0000}"/>
    <cellStyle name="Normal 2 12 2 4" xfId="36395" xr:uid="{00000000-0005-0000-0000-0000E08C0000}"/>
    <cellStyle name="Normal 2 12 2 4 2" xfId="36396" xr:uid="{00000000-0005-0000-0000-0000E18C0000}"/>
    <cellStyle name="Normal 2 12 2 4 2 2" xfId="36397" xr:uid="{00000000-0005-0000-0000-0000E28C0000}"/>
    <cellStyle name="Normal 2 12 2 4 2 2 2" xfId="36398" xr:uid="{00000000-0005-0000-0000-0000E38C0000}"/>
    <cellStyle name="Normal 2 12 2 4 2 2 2 2" xfId="36399" xr:uid="{00000000-0005-0000-0000-0000E48C0000}"/>
    <cellStyle name="Normal 2 12 2 4 2 2 2 3" xfId="36400" xr:uid="{00000000-0005-0000-0000-0000E58C0000}"/>
    <cellStyle name="Normal 2 12 2 4 2 2 3" xfId="36401" xr:uid="{00000000-0005-0000-0000-0000E68C0000}"/>
    <cellStyle name="Normal 2 12 2 4 2 2 4" xfId="36402" xr:uid="{00000000-0005-0000-0000-0000E78C0000}"/>
    <cellStyle name="Normal 2 12 2 4 2 2 5" xfId="36403" xr:uid="{00000000-0005-0000-0000-0000E88C0000}"/>
    <cellStyle name="Normal 2 12 2 4 2 2 6" xfId="36404" xr:uid="{00000000-0005-0000-0000-0000E98C0000}"/>
    <cellStyle name="Normal 2 12 2 4 2 3" xfId="36405" xr:uid="{00000000-0005-0000-0000-0000EA8C0000}"/>
    <cellStyle name="Normal 2 12 2 4 2 3 2" xfId="36406" xr:uid="{00000000-0005-0000-0000-0000EB8C0000}"/>
    <cellStyle name="Normal 2 12 2 4 2 3 3" xfId="36407" xr:uid="{00000000-0005-0000-0000-0000EC8C0000}"/>
    <cellStyle name="Normal 2 12 2 4 2 4" xfId="36408" xr:uid="{00000000-0005-0000-0000-0000ED8C0000}"/>
    <cellStyle name="Normal 2 12 2 4 2 5" xfId="36409" xr:uid="{00000000-0005-0000-0000-0000EE8C0000}"/>
    <cellStyle name="Normal 2 12 2 4 2 6" xfId="36410" xr:uid="{00000000-0005-0000-0000-0000EF8C0000}"/>
    <cellStyle name="Normal 2 12 2 4 2 7" xfId="36411" xr:uid="{00000000-0005-0000-0000-0000F08C0000}"/>
    <cellStyle name="Normal 2 12 2 4 3" xfId="36412" xr:uid="{00000000-0005-0000-0000-0000F18C0000}"/>
    <cellStyle name="Normal 2 12 2 4 3 2" xfId="36413" xr:uid="{00000000-0005-0000-0000-0000F28C0000}"/>
    <cellStyle name="Normal 2 12 2 4 3 2 2" xfId="36414" xr:uid="{00000000-0005-0000-0000-0000F38C0000}"/>
    <cellStyle name="Normal 2 12 2 4 3 2 3" xfId="36415" xr:uid="{00000000-0005-0000-0000-0000F48C0000}"/>
    <cellStyle name="Normal 2 12 2 4 3 3" xfId="36416" xr:uid="{00000000-0005-0000-0000-0000F58C0000}"/>
    <cellStyle name="Normal 2 12 2 4 3 4" xfId="36417" xr:uid="{00000000-0005-0000-0000-0000F68C0000}"/>
    <cellStyle name="Normal 2 12 2 4 3 5" xfId="36418" xr:uid="{00000000-0005-0000-0000-0000F78C0000}"/>
    <cellStyle name="Normal 2 12 2 4 3 6" xfId="36419" xr:uid="{00000000-0005-0000-0000-0000F88C0000}"/>
    <cellStyle name="Normal 2 12 2 4 4" xfId="36420" xr:uid="{00000000-0005-0000-0000-0000F98C0000}"/>
    <cellStyle name="Normal 2 12 2 4 4 2" xfId="36421" xr:uid="{00000000-0005-0000-0000-0000FA8C0000}"/>
    <cellStyle name="Normal 2 12 2 4 4 2 2" xfId="36422" xr:uid="{00000000-0005-0000-0000-0000FB8C0000}"/>
    <cellStyle name="Normal 2 12 2 4 4 2 3" xfId="36423" xr:uid="{00000000-0005-0000-0000-0000FC8C0000}"/>
    <cellStyle name="Normal 2 12 2 4 4 3" xfId="36424" xr:uid="{00000000-0005-0000-0000-0000FD8C0000}"/>
    <cellStyle name="Normal 2 12 2 4 4 4" xfId="36425" xr:uid="{00000000-0005-0000-0000-0000FE8C0000}"/>
    <cellStyle name="Normal 2 12 2 4 4 5" xfId="36426" xr:uid="{00000000-0005-0000-0000-0000FF8C0000}"/>
    <cellStyle name="Normal 2 12 2 4 4 6" xfId="36427" xr:uid="{00000000-0005-0000-0000-0000008D0000}"/>
    <cellStyle name="Normal 2 12 2 4 5" xfId="36428" xr:uid="{00000000-0005-0000-0000-0000018D0000}"/>
    <cellStyle name="Normal 2 12 2 4 5 2" xfId="36429" xr:uid="{00000000-0005-0000-0000-0000028D0000}"/>
    <cellStyle name="Normal 2 12 2 4 5 3" xfId="36430" xr:uid="{00000000-0005-0000-0000-0000038D0000}"/>
    <cellStyle name="Normal 2 12 2 4 6" xfId="36431" xr:uid="{00000000-0005-0000-0000-0000048D0000}"/>
    <cellStyle name="Normal 2 12 2 4 7" xfId="36432" xr:uid="{00000000-0005-0000-0000-0000058D0000}"/>
    <cellStyle name="Normal 2 12 2 4 8" xfId="36433" xr:uid="{00000000-0005-0000-0000-0000068D0000}"/>
    <cellStyle name="Normal 2 12 2 4 9" xfId="36434" xr:uid="{00000000-0005-0000-0000-0000078D0000}"/>
    <cellStyle name="Normal 2 12 2 5" xfId="36435" xr:uid="{00000000-0005-0000-0000-0000088D0000}"/>
    <cellStyle name="Normal 2 12 2 5 2" xfId="36436" xr:uid="{00000000-0005-0000-0000-0000098D0000}"/>
    <cellStyle name="Normal 2 12 2 5 2 2" xfId="36437" xr:uid="{00000000-0005-0000-0000-00000A8D0000}"/>
    <cellStyle name="Normal 2 12 2 5 2 2 2" xfId="36438" xr:uid="{00000000-0005-0000-0000-00000B8D0000}"/>
    <cellStyle name="Normal 2 12 2 5 2 2 3" xfId="36439" xr:uid="{00000000-0005-0000-0000-00000C8D0000}"/>
    <cellStyle name="Normal 2 12 2 5 2 3" xfId="36440" xr:uid="{00000000-0005-0000-0000-00000D8D0000}"/>
    <cellStyle name="Normal 2 12 2 5 2 4" xfId="36441" xr:uid="{00000000-0005-0000-0000-00000E8D0000}"/>
    <cellStyle name="Normal 2 12 2 5 2 5" xfId="36442" xr:uid="{00000000-0005-0000-0000-00000F8D0000}"/>
    <cellStyle name="Normal 2 12 2 5 2 6" xfId="36443" xr:uid="{00000000-0005-0000-0000-0000108D0000}"/>
    <cellStyle name="Normal 2 12 2 5 3" xfId="36444" xr:uid="{00000000-0005-0000-0000-0000118D0000}"/>
    <cellStyle name="Normal 2 12 2 5 3 2" xfId="36445" xr:uid="{00000000-0005-0000-0000-0000128D0000}"/>
    <cellStyle name="Normal 2 12 2 5 3 3" xfId="36446" xr:uid="{00000000-0005-0000-0000-0000138D0000}"/>
    <cellStyle name="Normal 2 12 2 5 4" xfId="36447" xr:uid="{00000000-0005-0000-0000-0000148D0000}"/>
    <cellStyle name="Normal 2 12 2 5 5" xfId="36448" xr:uid="{00000000-0005-0000-0000-0000158D0000}"/>
    <cellStyle name="Normal 2 12 2 5 6" xfId="36449" xr:uid="{00000000-0005-0000-0000-0000168D0000}"/>
    <cellStyle name="Normal 2 12 2 5 7" xfId="36450" xr:uid="{00000000-0005-0000-0000-0000178D0000}"/>
    <cellStyle name="Normal 2 12 2 6" xfId="36451" xr:uid="{00000000-0005-0000-0000-0000188D0000}"/>
    <cellStyle name="Normal 2 12 2 6 2" xfId="36452" xr:uid="{00000000-0005-0000-0000-0000198D0000}"/>
    <cellStyle name="Normal 2 12 2 6 2 2" xfId="36453" xr:uid="{00000000-0005-0000-0000-00001A8D0000}"/>
    <cellStyle name="Normal 2 12 2 6 2 3" xfId="36454" xr:uid="{00000000-0005-0000-0000-00001B8D0000}"/>
    <cellStyle name="Normal 2 12 2 6 3" xfId="36455" xr:uid="{00000000-0005-0000-0000-00001C8D0000}"/>
    <cellStyle name="Normal 2 12 2 6 4" xfId="36456" xr:uid="{00000000-0005-0000-0000-00001D8D0000}"/>
    <cellStyle name="Normal 2 12 2 6 5" xfId="36457" xr:uid="{00000000-0005-0000-0000-00001E8D0000}"/>
    <cellStyle name="Normal 2 12 2 6 6" xfId="36458" xr:uid="{00000000-0005-0000-0000-00001F8D0000}"/>
    <cellStyle name="Normal 2 12 2 7" xfId="36459" xr:uid="{00000000-0005-0000-0000-0000208D0000}"/>
    <cellStyle name="Normal 2 12 2 7 2" xfId="36460" xr:uid="{00000000-0005-0000-0000-0000218D0000}"/>
    <cellStyle name="Normal 2 12 2 7 2 2" xfId="36461" xr:uid="{00000000-0005-0000-0000-0000228D0000}"/>
    <cellStyle name="Normal 2 12 2 7 2 3" xfId="36462" xr:uid="{00000000-0005-0000-0000-0000238D0000}"/>
    <cellStyle name="Normal 2 12 2 7 3" xfId="36463" xr:uid="{00000000-0005-0000-0000-0000248D0000}"/>
    <cellStyle name="Normal 2 12 2 7 4" xfId="36464" xr:uid="{00000000-0005-0000-0000-0000258D0000}"/>
    <cellStyle name="Normal 2 12 2 7 5" xfId="36465" xr:uid="{00000000-0005-0000-0000-0000268D0000}"/>
    <cellStyle name="Normal 2 12 2 7 6" xfId="36466" xr:uid="{00000000-0005-0000-0000-0000278D0000}"/>
    <cellStyle name="Normal 2 12 2 8" xfId="36467" xr:uid="{00000000-0005-0000-0000-0000288D0000}"/>
    <cellStyle name="Normal 2 12 2 8 2" xfId="36468" xr:uid="{00000000-0005-0000-0000-0000298D0000}"/>
    <cellStyle name="Normal 2 12 2 8 2 2" xfId="36469" xr:uid="{00000000-0005-0000-0000-00002A8D0000}"/>
    <cellStyle name="Normal 2 12 2 8 2 3" xfId="36470" xr:uid="{00000000-0005-0000-0000-00002B8D0000}"/>
    <cellStyle name="Normal 2 12 2 8 3" xfId="36471" xr:uid="{00000000-0005-0000-0000-00002C8D0000}"/>
    <cellStyle name="Normal 2 12 2 8 4" xfId="36472" xr:uid="{00000000-0005-0000-0000-00002D8D0000}"/>
    <cellStyle name="Normal 2 12 2 8 5" xfId="36473" xr:uid="{00000000-0005-0000-0000-00002E8D0000}"/>
    <cellStyle name="Normal 2 12 2 8 6" xfId="36474" xr:uid="{00000000-0005-0000-0000-00002F8D0000}"/>
    <cellStyle name="Normal 2 12 2 9" xfId="36475" xr:uid="{00000000-0005-0000-0000-0000308D0000}"/>
    <cellStyle name="Normal 2 12 2 9 2" xfId="36476" xr:uid="{00000000-0005-0000-0000-0000318D0000}"/>
    <cellStyle name="Normal 2 12 2 9 2 2" xfId="36477" xr:uid="{00000000-0005-0000-0000-0000328D0000}"/>
    <cellStyle name="Normal 2 12 2 9 2 3" xfId="36478" xr:uid="{00000000-0005-0000-0000-0000338D0000}"/>
    <cellStyle name="Normal 2 12 2 9 3" xfId="36479" xr:uid="{00000000-0005-0000-0000-0000348D0000}"/>
    <cellStyle name="Normal 2 12 2 9 4" xfId="36480" xr:uid="{00000000-0005-0000-0000-0000358D0000}"/>
    <cellStyle name="Normal 2 12 2 9 5" xfId="36481" xr:uid="{00000000-0005-0000-0000-0000368D0000}"/>
    <cellStyle name="Normal 2 12 2 9 6" xfId="36482" xr:uid="{00000000-0005-0000-0000-0000378D0000}"/>
    <cellStyle name="Normal 2 12 3" xfId="36483" xr:uid="{00000000-0005-0000-0000-0000388D0000}"/>
    <cellStyle name="Normal 2 12 3 10" xfId="36484" xr:uid="{00000000-0005-0000-0000-0000398D0000}"/>
    <cellStyle name="Normal 2 12 3 11" xfId="36485" xr:uid="{00000000-0005-0000-0000-00003A8D0000}"/>
    <cellStyle name="Normal 2 12 3 12" xfId="36486" xr:uid="{00000000-0005-0000-0000-00003B8D0000}"/>
    <cellStyle name="Normal 2 12 3 13" xfId="36487" xr:uid="{00000000-0005-0000-0000-00003C8D0000}"/>
    <cellStyle name="Normal 2 12 3 2" xfId="36488" xr:uid="{00000000-0005-0000-0000-00003D8D0000}"/>
    <cellStyle name="Normal 2 12 3 2 10" xfId="36489" xr:uid="{00000000-0005-0000-0000-00003E8D0000}"/>
    <cellStyle name="Normal 2 12 3 2 2" xfId="36490" xr:uid="{00000000-0005-0000-0000-00003F8D0000}"/>
    <cellStyle name="Normal 2 12 3 2 2 2" xfId="36491" xr:uid="{00000000-0005-0000-0000-0000408D0000}"/>
    <cellStyle name="Normal 2 12 3 2 2 2 2" xfId="36492" xr:uid="{00000000-0005-0000-0000-0000418D0000}"/>
    <cellStyle name="Normal 2 12 3 2 2 2 2 2" xfId="36493" xr:uid="{00000000-0005-0000-0000-0000428D0000}"/>
    <cellStyle name="Normal 2 12 3 2 2 2 2 3" xfId="36494" xr:uid="{00000000-0005-0000-0000-0000438D0000}"/>
    <cellStyle name="Normal 2 12 3 2 2 2 3" xfId="36495" xr:uid="{00000000-0005-0000-0000-0000448D0000}"/>
    <cellStyle name="Normal 2 12 3 2 2 2 4" xfId="36496" xr:uid="{00000000-0005-0000-0000-0000458D0000}"/>
    <cellStyle name="Normal 2 12 3 2 2 2 5" xfId="36497" xr:uid="{00000000-0005-0000-0000-0000468D0000}"/>
    <cellStyle name="Normal 2 12 3 2 2 2 6" xfId="36498" xr:uid="{00000000-0005-0000-0000-0000478D0000}"/>
    <cellStyle name="Normal 2 12 3 2 2 3" xfId="36499" xr:uid="{00000000-0005-0000-0000-0000488D0000}"/>
    <cellStyle name="Normal 2 12 3 2 2 3 2" xfId="36500" xr:uid="{00000000-0005-0000-0000-0000498D0000}"/>
    <cellStyle name="Normal 2 12 3 2 2 3 2 2" xfId="36501" xr:uid="{00000000-0005-0000-0000-00004A8D0000}"/>
    <cellStyle name="Normal 2 12 3 2 2 3 2 3" xfId="36502" xr:uid="{00000000-0005-0000-0000-00004B8D0000}"/>
    <cellStyle name="Normal 2 12 3 2 2 3 3" xfId="36503" xr:uid="{00000000-0005-0000-0000-00004C8D0000}"/>
    <cellStyle name="Normal 2 12 3 2 2 3 4" xfId="36504" xr:uid="{00000000-0005-0000-0000-00004D8D0000}"/>
    <cellStyle name="Normal 2 12 3 2 2 3 5" xfId="36505" xr:uid="{00000000-0005-0000-0000-00004E8D0000}"/>
    <cellStyle name="Normal 2 12 3 2 2 3 6" xfId="36506" xr:uid="{00000000-0005-0000-0000-00004F8D0000}"/>
    <cellStyle name="Normal 2 12 3 2 2 4" xfId="36507" xr:uid="{00000000-0005-0000-0000-0000508D0000}"/>
    <cellStyle name="Normal 2 12 3 2 2 4 2" xfId="36508" xr:uid="{00000000-0005-0000-0000-0000518D0000}"/>
    <cellStyle name="Normal 2 12 3 2 2 4 3" xfId="36509" xr:uid="{00000000-0005-0000-0000-0000528D0000}"/>
    <cellStyle name="Normal 2 12 3 2 2 5" xfId="36510" xr:uid="{00000000-0005-0000-0000-0000538D0000}"/>
    <cellStyle name="Normal 2 12 3 2 2 6" xfId="36511" xr:uid="{00000000-0005-0000-0000-0000548D0000}"/>
    <cellStyle name="Normal 2 12 3 2 2 7" xfId="36512" xr:uid="{00000000-0005-0000-0000-0000558D0000}"/>
    <cellStyle name="Normal 2 12 3 2 2 8" xfId="36513" xr:uid="{00000000-0005-0000-0000-0000568D0000}"/>
    <cellStyle name="Normal 2 12 3 2 3" xfId="36514" xr:uid="{00000000-0005-0000-0000-0000578D0000}"/>
    <cellStyle name="Normal 2 12 3 2 3 2" xfId="36515" xr:uid="{00000000-0005-0000-0000-0000588D0000}"/>
    <cellStyle name="Normal 2 12 3 2 3 2 2" xfId="36516" xr:uid="{00000000-0005-0000-0000-0000598D0000}"/>
    <cellStyle name="Normal 2 12 3 2 3 2 2 2" xfId="36517" xr:uid="{00000000-0005-0000-0000-00005A8D0000}"/>
    <cellStyle name="Normal 2 12 3 2 3 2 2 3" xfId="36518" xr:uid="{00000000-0005-0000-0000-00005B8D0000}"/>
    <cellStyle name="Normal 2 12 3 2 3 2 3" xfId="36519" xr:uid="{00000000-0005-0000-0000-00005C8D0000}"/>
    <cellStyle name="Normal 2 12 3 2 3 2 4" xfId="36520" xr:uid="{00000000-0005-0000-0000-00005D8D0000}"/>
    <cellStyle name="Normal 2 12 3 2 3 2 5" xfId="36521" xr:uid="{00000000-0005-0000-0000-00005E8D0000}"/>
    <cellStyle name="Normal 2 12 3 2 3 2 6" xfId="36522" xr:uid="{00000000-0005-0000-0000-00005F8D0000}"/>
    <cellStyle name="Normal 2 12 3 2 3 3" xfId="36523" xr:uid="{00000000-0005-0000-0000-0000608D0000}"/>
    <cellStyle name="Normal 2 12 3 2 3 3 2" xfId="36524" xr:uid="{00000000-0005-0000-0000-0000618D0000}"/>
    <cellStyle name="Normal 2 12 3 2 3 3 3" xfId="36525" xr:uid="{00000000-0005-0000-0000-0000628D0000}"/>
    <cellStyle name="Normal 2 12 3 2 3 4" xfId="36526" xr:uid="{00000000-0005-0000-0000-0000638D0000}"/>
    <cellStyle name="Normal 2 12 3 2 3 5" xfId="36527" xr:uid="{00000000-0005-0000-0000-0000648D0000}"/>
    <cellStyle name="Normal 2 12 3 2 3 6" xfId="36528" xr:uid="{00000000-0005-0000-0000-0000658D0000}"/>
    <cellStyle name="Normal 2 12 3 2 3 7" xfId="36529" xr:uid="{00000000-0005-0000-0000-0000668D0000}"/>
    <cellStyle name="Normal 2 12 3 2 4" xfId="36530" xr:uid="{00000000-0005-0000-0000-0000678D0000}"/>
    <cellStyle name="Normal 2 12 3 2 4 2" xfId="36531" xr:uid="{00000000-0005-0000-0000-0000688D0000}"/>
    <cellStyle name="Normal 2 12 3 2 4 2 2" xfId="36532" xr:uid="{00000000-0005-0000-0000-0000698D0000}"/>
    <cellStyle name="Normal 2 12 3 2 4 2 3" xfId="36533" xr:uid="{00000000-0005-0000-0000-00006A8D0000}"/>
    <cellStyle name="Normal 2 12 3 2 4 3" xfId="36534" xr:uid="{00000000-0005-0000-0000-00006B8D0000}"/>
    <cellStyle name="Normal 2 12 3 2 4 4" xfId="36535" xr:uid="{00000000-0005-0000-0000-00006C8D0000}"/>
    <cellStyle name="Normal 2 12 3 2 4 5" xfId="36536" xr:uid="{00000000-0005-0000-0000-00006D8D0000}"/>
    <cellStyle name="Normal 2 12 3 2 4 6" xfId="36537" xr:uid="{00000000-0005-0000-0000-00006E8D0000}"/>
    <cellStyle name="Normal 2 12 3 2 5" xfId="36538" xr:uid="{00000000-0005-0000-0000-00006F8D0000}"/>
    <cellStyle name="Normal 2 12 3 2 5 2" xfId="36539" xr:uid="{00000000-0005-0000-0000-0000708D0000}"/>
    <cellStyle name="Normal 2 12 3 2 5 2 2" xfId="36540" xr:uid="{00000000-0005-0000-0000-0000718D0000}"/>
    <cellStyle name="Normal 2 12 3 2 5 2 3" xfId="36541" xr:uid="{00000000-0005-0000-0000-0000728D0000}"/>
    <cellStyle name="Normal 2 12 3 2 5 3" xfId="36542" xr:uid="{00000000-0005-0000-0000-0000738D0000}"/>
    <cellStyle name="Normal 2 12 3 2 5 4" xfId="36543" xr:uid="{00000000-0005-0000-0000-0000748D0000}"/>
    <cellStyle name="Normal 2 12 3 2 5 5" xfId="36544" xr:uid="{00000000-0005-0000-0000-0000758D0000}"/>
    <cellStyle name="Normal 2 12 3 2 5 6" xfId="36545" xr:uid="{00000000-0005-0000-0000-0000768D0000}"/>
    <cellStyle name="Normal 2 12 3 2 6" xfId="36546" xr:uid="{00000000-0005-0000-0000-0000778D0000}"/>
    <cellStyle name="Normal 2 12 3 2 6 2" xfId="36547" xr:uid="{00000000-0005-0000-0000-0000788D0000}"/>
    <cellStyle name="Normal 2 12 3 2 6 3" xfId="36548" xr:uid="{00000000-0005-0000-0000-0000798D0000}"/>
    <cellStyle name="Normal 2 12 3 2 7" xfId="36549" xr:uid="{00000000-0005-0000-0000-00007A8D0000}"/>
    <cellStyle name="Normal 2 12 3 2 8" xfId="36550" xr:uid="{00000000-0005-0000-0000-00007B8D0000}"/>
    <cellStyle name="Normal 2 12 3 2 9" xfId="36551" xr:uid="{00000000-0005-0000-0000-00007C8D0000}"/>
    <cellStyle name="Normal 2 12 3 3" xfId="36552" xr:uid="{00000000-0005-0000-0000-00007D8D0000}"/>
    <cellStyle name="Normal 2 12 3 3 2" xfId="36553" xr:uid="{00000000-0005-0000-0000-00007E8D0000}"/>
    <cellStyle name="Normal 2 12 3 3 2 2" xfId="36554" xr:uid="{00000000-0005-0000-0000-00007F8D0000}"/>
    <cellStyle name="Normal 2 12 3 3 2 2 2" xfId="36555" xr:uid="{00000000-0005-0000-0000-0000808D0000}"/>
    <cellStyle name="Normal 2 12 3 3 2 2 2 2" xfId="36556" xr:uid="{00000000-0005-0000-0000-0000818D0000}"/>
    <cellStyle name="Normal 2 12 3 3 2 2 2 3" xfId="36557" xr:uid="{00000000-0005-0000-0000-0000828D0000}"/>
    <cellStyle name="Normal 2 12 3 3 2 2 3" xfId="36558" xr:uid="{00000000-0005-0000-0000-0000838D0000}"/>
    <cellStyle name="Normal 2 12 3 3 2 2 4" xfId="36559" xr:uid="{00000000-0005-0000-0000-0000848D0000}"/>
    <cellStyle name="Normal 2 12 3 3 2 2 5" xfId="36560" xr:uid="{00000000-0005-0000-0000-0000858D0000}"/>
    <cellStyle name="Normal 2 12 3 3 2 2 6" xfId="36561" xr:uid="{00000000-0005-0000-0000-0000868D0000}"/>
    <cellStyle name="Normal 2 12 3 3 2 3" xfId="36562" xr:uid="{00000000-0005-0000-0000-0000878D0000}"/>
    <cellStyle name="Normal 2 12 3 3 2 3 2" xfId="36563" xr:uid="{00000000-0005-0000-0000-0000888D0000}"/>
    <cellStyle name="Normal 2 12 3 3 2 3 3" xfId="36564" xr:uid="{00000000-0005-0000-0000-0000898D0000}"/>
    <cellStyle name="Normal 2 12 3 3 2 4" xfId="36565" xr:uid="{00000000-0005-0000-0000-00008A8D0000}"/>
    <cellStyle name="Normal 2 12 3 3 2 5" xfId="36566" xr:uid="{00000000-0005-0000-0000-00008B8D0000}"/>
    <cellStyle name="Normal 2 12 3 3 2 6" xfId="36567" xr:uid="{00000000-0005-0000-0000-00008C8D0000}"/>
    <cellStyle name="Normal 2 12 3 3 2 7" xfId="36568" xr:uid="{00000000-0005-0000-0000-00008D8D0000}"/>
    <cellStyle name="Normal 2 12 3 3 3" xfId="36569" xr:uid="{00000000-0005-0000-0000-00008E8D0000}"/>
    <cellStyle name="Normal 2 12 3 3 3 2" xfId="36570" xr:uid="{00000000-0005-0000-0000-00008F8D0000}"/>
    <cellStyle name="Normal 2 12 3 3 3 2 2" xfId="36571" xr:uid="{00000000-0005-0000-0000-0000908D0000}"/>
    <cellStyle name="Normal 2 12 3 3 3 2 3" xfId="36572" xr:uid="{00000000-0005-0000-0000-0000918D0000}"/>
    <cellStyle name="Normal 2 12 3 3 3 3" xfId="36573" xr:uid="{00000000-0005-0000-0000-0000928D0000}"/>
    <cellStyle name="Normal 2 12 3 3 3 4" xfId="36574" xr:uid="{00000000-0005-0000-0000-0000938D0000}"/>
    <cellStyle name="Normal 2 12 3 3 3 5" xfId="36575" xr:uid="{00000000-0005-0000-0000-0000948D0000}"/>
    <cellStyle name="Normal 2 12 3 3 3 6" xfId="36576" xr:uid="{00000000-0005-0000-0000-0000958D0000}"/>
    <cellStyle name="Normal 2 12 3 3 4" xfId="36577" xr:uid="{00000000-0005-0000-0000-0000968D0000}"/>
    <cellStyle name="Normal 2 12 3 3 4 2" xfId="36578" xr:uid="{00000000-0005-0000-0000-0000978D0000}"/>
    <cellStyle name="Normal 2 12 3 3 4 2 2" xfId="36579" xr:uid="{00000000-0005-0000-0000-0000988D0000}"/>
    <cellStyle name="Normal 2 12 3 3 4 2 3" xfId="36580" xr:uid="{00000000-0005-0000-0000-0000998D0000}"/>
    <cellStyle name="Normal 2 12 3 3 4 3" xfId="36581" xr:uid="{00000000-0005-0000-0000-00009A8D0000}"/>
    <cellStyle name="Normal 2 12 3 3 4 4" xfId="36582" xr:uid="{00000000-0005-0000-0000-00009B8D0000}"/>
    <cellStyle name="Normal 2 12 3 3 4 5" xfId="36583" xr:uid="{00000000-0005-0000-0000-00009C8D0000}"/>
    <cellStyle name="Normal 2 12 3 3 4 6" xfId="36584" xr:uid="{00000000-0005-0000-0000-00009D8D0000}"/>
    <cellStyle name="Normal 2 12 3 3 5" xfId="36585" xr:uid="{00000000-0005-0000-0000-00009E8D0000}"/>
    <cellStyle name="Normal 2 12 3 3 5 2" xfId="36586" xr:uid="{00000000-0005-0000-0000-00009F8D0000}"/>
    <cellStyle name="Normal 2 12 3 3 5 3" xfId="36587" xr:uid="{00000000-0005-0000-0000-0000A08D0000}"/>
    <cellStyle name="Normal 2 12 3 3 6" xfId="36588" xr:uid="{00000000-0005-0000-0000-0000A18D0000}"/>
    <cellStyle name="Normal 2 12 3 3 7" xfId="36589" xr:uid="{00000000-0005-0000-0000-0000A28D0000}"/>
    <cellStyle name="Normal 2 12 3 3 8" xfId="36590" xr:uid="{00000000-0005-0000-0000-0000A38D0000}"/>
    <cellStyle name="Normal 2 12 3 3 9" xfId="36591" xr:uid="{00000000-0005-0000-0000-0000A48D0000}"/>
    <cellStyle name="Normal 2 12 3 4" xfId="36592" xr:uid="{00000000-0005-0000-0000-0000A58D0000}"/>
    <cellStyle name="Normal 2 12 3 4 2" xfId="36593" xr:uid="{00000000-0005-0000-0000-0000A68D0000}"/>
    <cellStyle name="Normal 2 12 3 4 2 2" xfId="36594" xr:uid="{00000000-0005-0000-0000-0000A78D0000}"/>
    <cellStyle name="Normal 2 12 3 4 2 2 2" xfId="36595" xr:uid="{00000000-0005-0000-0000-0000A88D0000}"/>
    <cellStyle name="Normal 2 12 3 4 2 2 3" xfId="36596" xr:uid="{00000000-0005-0000-0000-0000A98D0000}"/>
    <cellStyle name="Normal 2 12 3 4 2 3" xfId="36597" xr:uid="{00000000-0005-0000-0000-0000AA8D0000}"/>
    <cellStyle name="Normal 2 12 3 4 2 4" xfId="36598" xr:uid="{00000000-0005-0000-0000-0000AB8D0000}"/>
    <cellStyle name="Normal 2 12 3 4 2 5" xfId="36599" xr:uid="{00000000-0005-0000-0000-0000AC8D0000}"/>
    <cellStyle name="Normal 2 12 3 4 2 6" xfId="36600" xr:uid="{00000000-0005-0000-0000-0000AD8D0000}"/>
    <cellStyle name="Normal 2 12 3 4 3" xfId="36601" xr:uid="{00000000-0005-0000-0000-0000AE8D0000}"/>
    <cellStyle name="Normal 2 12 3 4 3 2" xfId="36602" xr:uid="{00000000-0005-0000-0000-0000AF8D0000}"/>
    <cellStyle name="Normal 2 12 3 4 3 3" xfId="36603" xr:uid="{00000000-0005-0000-0000-0000B08D0000}"/>
    <cellStyle name="Normal 2 12 3 4 4" xfId="36604" xr:uid="{00000000-0005-0000-0000-0000B18D0000}"/>
    <cellStyle name="Normal 2 12 3 4 5" xfId="36605" xr:uid="{00000000-0005-0000-0000-0000B28D0000}"/>
    <cellStyle name="Normal 2 12 3 4 6" xfId="36606" xr:uid="{00000000-0005-0000-0000-0000B38D0000}"/>
    <cellStyle name="Normal 2 12 3 4 7" xfId="36607" xr:uid="{00000000-0005-0000-0000-0000B48D0000}"/>
    <cellStyle name="Normal 2 12 3 5" xfId="36608" xr:uid="{00000000-0005-0000-0000-0000B58D0000}"/>
    <cellStyle name="Normal 2 12 3 5 2" xfId="36609" xr:uid="{00000000-0005-0000-0000-0000B68D0000}"/>
    <cellStyle name="Normal 2 12 3 5 2 2" xfId="36610" xr:uid="{00000000-0005-0000-0000-0000B78D0000}"/>
    <cellStyle name="Normal 2 12 3 5 2 3" xfId="36611" xr:uid="{00000000-0005-0000-0000-0000B88D0000}"/>
    <cellStyle name="Normal 2 12 3 5 3" xfId="36612" xr:uid="{00000000-0005-0000-0000-0000B98D0000}"/>
    <cellStyle name="Normal 2 12 3 5 4" xfId="36613" xr:uid="{00000000-0005-0000-0000-0000BA8D0000}"/>
    <cellStyle name="Normal 2 12 3 5 5" xfId="36614" xr:uid="{00000000-0005-0000-0000-0000BB8D0000}"/>
    <cellStyle name="Normal 2 12 3 5 6" xfId="36615" xr:uid="{00000000-0005-0000-0000-0000BC8D0000}"/>
    <cellStyle name="Normal 2 12 3 6" xfId="36616" xr:uid="{00000000-0005-0000-0000-0000BD8D0000}"/>
    <cellStyle name="Normal 2 12 3 6 2" xfId="36617" xr:uid="{00000000-0005-0000-0000-0000BE8D0000}"/>
    <cellStyle name="Normal 2 12 3 6 2 2" xfId="36618" xr:uid="{00000000-0005-0000-0000-0000BF8D0000}"/>
    <cellStyle name="Normal 2 12 3 6 2 3" xfId="36619" xr:uid="{00000000-0005-0000-0000-0000C08D0000}"/>
    <cellStyle name="Normal 2 12 3 6 3" xfId="36620" xr:uid="{00000000-0005-0000-0000-0000C18D0000}"/>
    <cellStyle name="Normal 2 12 3 6 4" xfId="36621" xr:uid="{00000000-0005-0000-0000-0000C28D0000}"/>
    <cellStyle name="Normal 2 12 3 6 5" xfId="36622" xr:uid="{00000000-0005-0000-0000-0000C38D0000}"/>
    <cellStyle name="Normal 2 12 3 6 6" xfId="36623" xr:uid="{00000000-0005-0000-0000-0000C48D0000}"/>
    <cellStyle name="Normal 2 12 3 7" xfId="36624" xr:uid="{00000000-0005-0000-0000-0000C58D0000}"/>
    <cellStyle name="Normal 2 12 3 7 2" xfId="36625" xr:uid="{00000000-0005-0000-0000-0000C68D0000}"/>
    <cellStyle name="Normal 2 12 3 7 2 2" xfId="36626" xr:uid="{00000000-0005-0000-0000-0000C78D0000}"/>
    <cellStyle name="Normal 2 12 3 7 2 3" xfId="36627" xr:uid="{00000000-0005-0000-0000-0000C88D0000}"/>
    <cellStyle name="Normal 2 12 3 7 3" xfId="36628" xr:uid="{00000000-0005-0000-0000-0000C98D0000}"/>
    <cellStyle name="Normal 2 12 3 7 4" xfId="36629" xr:uid="{00000000-0005-0000-0000-0000CA8D0000}"/>
    <cellStyle name="Normal 2 12 3 7 5" xfId="36630" xr:uid="{00000000-0005-0000-0000-0000CB8D0000}"/>
    <cellStyle name="Normal 2 12 3 7 6" xfId="36631" xr:uid="{00000000-0005-0000-0000-0000CC8D0000}"/>
    <cellStyle name="Normal 2 12 3 8" xfId="36632" xr:uid="{00000000-0005-0000-0000-0000CD8D0000}"/>
    <cellStyle name="Normal 2 12 3 8 2" xfId="36633" xr:uid="{00000000-0005-0000-0000-0000CE8D0000}"/>
    <cellStyle name="Normal 2 12 3 8 2 2" xfId="36634" xr:uid="{00000000-0005-0000-0000-0000CF8D0000}"/>
    <cellStyle name="Normal 2 12 3 8 2 3" xfId="36635" xr:uid="{00000000-0005-0000-0000-0000D08D0000}"/>
    <cellStyle name="Normal 2 12 3 8 3" xfId="36636" xr:uid="{00000000-0005-0000-0000-0000D18D0000}"/>
    <cellStyle name="Normal 2 12 3 8 4" xfId="36637" xr:uid="{00000000-0005-0000-0000-0000D28D0000}"/>
    <cellStyle name="Normal 2 12 3 8 5" xfId="36638" xr:uid="{00000000-0005-0000-0000-0000D38D0000}"/>
    <cellStyle name="Normal 2 12 3 8 6" xfId="36639" xr:uid="{00000000-0005-0000-0000-0000D48D0000}"/>
    <cellStyle name="Normal 2 12 3 9" xfId="36640" xr:uid="{00000000-0005-0000-0000-0000D58D0000}"/>
    <cellStyle name="Normal 2 12 3 9 2" xfId="36641" xr:uid="{00000000-0005-0000-0000-0000D68D0000}"/>
    <cellStyle name="Normal 2 12 3 9 3" xfId="36642" xr:uid="{00000000-0005-0000-0000-0000D78D0000}"/>
    <cellStyle name="Normal 2 12 4" xfId="36643" xr:uid="{00000000-0005-0000-0000-0000D88D0000}"/>
    <cellStyle name="Normal 2 12 4 10" xfId="36644" xr:uid="{00000000-0005-0000-0000-0000D98D0000}"/>
    <cellStyle name="Normal 2 12 4 2" xfId="36645" xr:uid="{00000000-0005-0000-0000-0000DA8D0000}"/>
    <cellStyle name="Normal 2 12 4 2 2" xfId="36646" xr:uid="{00000000-0005-0000-0000-0000DB8D0000}"/>
    <cellStyle name="Normal 2 12 4 2 2 2" xfId="36647" xr:uid="{00000000-0005-0000-0000-0000DC8D0000}"/>
    <cellStyle name="Normal 2 12 4 2 2 2 2" xfId="36648" xr:uid="{00000000-0005-0000-0000-0000DD8D0000}"/>
    <cellStyle name="Normal 2 12 4 2 2 2 3" xfId="36649" xr:uid="{00000000-0005-0000-0000-0000DE8D0000}"/>
    <cellStyle name="Normal 2 12 4 2 2 3" xfId="36650" xr:uid="{00000000-0005-0000-0000-0000DF8D0000}"/>
    <cellStyle name="Normal 2 12 4 2 2 4" xfId="36651" xr:uid="{00000000-0005-0000-0000-0000E08D0000}"/>
    <cellStyle name="Normal 2 12 4 2 2 5" xfId="36652" xr:uid="{00000000-0005-0000-0000-0000E18D0000}"/>
    <cellStyle name="Normal 2 12 4 2 2 6" xfId="36653" xr:uid="{00000000-0005-0000-0000-0000E28D0000}"/>
    <cellStyle name="Normal 2 12 4 2 3" xfId="36654" xr:uid="{00000000-0005-0000-0000-0000E38D0000}"/>
    <cellStyle name="Normal 2 12 4 2 3 2" xfId="36655" xr:uid="{00000000-0005-0000-0000-0000E48D0000}"/>
    <cellStyle name="Normal 2 12 4 2 3 2 2" xfId="36656" xr:uid="{00000000-0005-0000-0000-0000E58D0000}"/>
    <cellStyle name="Normal 2 12 4 2 3 2 3" xfId="36657" xr:uid="{00000000-0005-0000-0000-0000E68D0000}"/>
    <cellStyle name="Normal 2 12 4 2 3 3" xfId="36658" xr:uid="{00000000-0005-0000-0000-0000E78D0000}"/>
    <cellStyle name="Normal 2 12 4 2 3 4" xfId="36659" xr:uid="{00000000-0005-0000-0000-0000E88D0000}"/>
    <cellStyle name="Normal 2 12 4 2 3 5" xfId="36660" xr:uid="{00000000-0005-0000-0000-0000E98D0000}"/>
    <cellStyle name="Normal 2 12 4 2 3 6" xfId="36661" xr:uid="{00000000-0005-0000-0000-0000EA8D0000}"/>
    <cellStyle name="Normal 2 12 4 2 4" xfId="36662" xr:uid="{00000000-0005-0000-0000-0000EB8D0000}"/>
    <cellStyle name="Normal 2 12 4 2 4 2" xfId="36663" xr:uid="{00000000-0005-0000-0000-0000EC8D0000}"/>
    <cellStyle name="Normal 2 12 4 2 4 3" xfId="36664" xr:uid="{00000000-0005-0000-0000-0000ED8D0000}"/>
    <cellStyle name="Normal 2 12 4 2 5" xfId="36665" xr:uid="{00000000-0005-0000-0000-0000EE8D0000}"/>
    <cellStyle name="Normal 2 12 4 2 6" xfId="36666" xr:uid="{00000000-0005-0000-0000-0000EF8D0000}"/>
    <cellStyle name="Normal 2 12 4 2 7" xfId="36667" xr:uid="{00000000-0005-0000-0000-0000F08D0000}"/>
    <cellStyle name="Normal 2 12 4 2 8" xfId="36668" xr:uid="{00000000-0005-0000-0000-0000F18D0000}"/>
    <cellStyle name="Normal 2 12 4 3" xfId="36669" xr:uid="{00000000-0005-0000-0000-0000F28D0000}"/>
    <cellStyle name="Normal 2 12 4 3 2" xfId="36670" xr:uid="{00000000-0005-0000-0000-0000F38D0000}"/>
    <cellStyle name="Normal 2 12 4 3 2 2" xfId="36671" xr:uid="{00000000-0005-0000-0000-0000F48D0000}"/>
    <cellStyle name="Normal 2 12 4 3 2 2 2" xfId="36672" xr:uid="{00000000-0005-0000-0000-0000F58D0000}"/>
    <cellStyle name="Normal 2 12 4 3 2 2 3" xfId="36673" xr:uid="{00000000-0005-0000-0000-0000F68D0000}"/>
    <cellStyle name="Normal 2 12 4 3 2 3" xfId="36674" xr:uid="{00000000-0005-0000-0000-0000F78D0000}"/>
    <cellStyle name="Normal 2 12 4 3 2 4" xfId="36675" xr:uid="{00000000-0005-0000-0000-0000F88D0000}"/>
    <cellStyle name="Normal 2 12 4 3 2 5" xfId="36676" xr:uid="{00000000-0005-0000-0000-0000F98D0000}"/>
    <cellStyle name="Normal 2 12 4 3 2 6" xfId="36677" xr:uid="{00000000-0005-0000-0000-0000FA8D0000}"/>
    <cellStyle name="Normal 2 12 4 3 3" xfId="36678" xr:uid="{00000000-0005-0000-0000-0000FB8D0000}"/>
    <cellStyle name="Normal 2 12 4 3 3 2" xfId="36679" xr:uid="{00000000-0005-0000-0000-0000FC8D0000}"/>
    <cellStyle name="Normal 2 12 4 3 3 3" xfId="36680" xr:uid="{00000000-0005-0000-0000-0000FD8D0000}"/>
    <cellStyle name="Normal 2 12 4 3 4" xfId="36681" xr:uid="{00000000-0005-0000-0000-0000FE8D0000}"/>
    <cellStyle name="Normal 2 12 4 3 5" xfId="36682" xr:uid="{00000000-0005-0000-0000-0000FF8D0000}"/>
    <cellStyle name="Normal 2 12 4 3 6" xfId="36683" xr:uid="{00000000-0005-0000-0000-0000008E0000}"/>
    <cellStyle name="Normal 2 12 4 3 7" xfId="36684" xr:uid="{00000000-0005-0000-0000-0000018E0000}"/>
    <cellStyle name="Normal 2 12 4 4" xfId="36685" xr:uid="{00000000-0005-0000-0000-0000028E0000}"/>
    <cellStyle name="Normal 2 12 4 4 2" xfId="36686" xr:uid="{00000000-0005-0000-0000-0000038E0000}"/>
    <cellStyle name="Normal 2 12 4 4 2 2" xfId="36687" xr:uid="{00000000-0005-0000-0000-0000048E0000}"/>
    <cellStyle name="Normal 2 12 4 4 2 3" xfId="36688" xr:uid="{00000000-0005-0000-0000-0000058E0000}"/>
    <cellStyle name="Normal 2 12 4 4 3" xfId="36689" xr:uid="{00000000-0005-0000-0000-0000068E0000}"/>
    <cellStyle name="Normal 2 12 4 4 4" xfId="36690" xr:uid="{00000000-0005-0000-0000-0000078E0000}"/>
    <cellStyle name="Normal 2 12 4 4 5" xfId="36691" xr:uid="{00000000-0005-0000-0000-0000088E0000}"/>
    <cellStyle name="Normal 2 12 4 4 6" xfId="36692" xr:uid="{00000000-0005-0000-0000-0000098E0000}"/>
    <cellStyle name="Normal 2 12 4 5" xfId="36693" xr:uid="{00000000-0005-0000-0000-00000A8E0000}"/>
    <cellStyle name="Normal 2 12 4 5 2" xfId="36694" xr:uid="{00000000-0005-0000-0000-00000B8E0000}"/>
    <cellStyle name="Normal 2 12 4 5 2 2" xfId="36695" xr:uid="{00000000-0005-0000-0000-00000C8E0000}"/>
    <cellStyle name="Normal 2 12 4 5 2 3" xfId="36696" xr:uid="{00000000-0005-0000-0000-00000D8E0000}"/>
    <cellStyle name="Normal 2 12 4 5 3" xfId="36697" xr:uid="{00000000-0005-0000-0000-00000E8E0000}"/>
    <cellStyle name="Normal 2 12 4 5 4" xfId="36698" xr:uid="{00000000-0005-0000-0000-00000F8E0000}"/>
    <cellStyle name="Normal 2 12 4 5 5" xfId="36699" xr:uid="{00000000-0005-0000-0000-0000108E0000}"/>
    <cellStyle name="Normal 2 12 4 5 6" xfId="36700" xr:uid="{00000000-0005-0000-0000-0000118E0000}"/>
    <cellStyle name="Normal 2 12 4 6" xfId="36701" xr:uid="{00000000-0005-0000-0000-0000128E0000}"/>
    <cellStyle name="Normal 2 12 4 6 2" xfId="36702" xr:uid="{00000000-0005-0000-0000-0000138E0000}"/>
    <cellStyle name="Normal 2 12 4 6 3" xfId="36703" xr:uid="{00000000-0005-0000-0000-0000148E0000}"/>
    <cellStyle name="Normal 2 12 4 7" xfId="36704" xr:uid="{00000000-0005-0000-0000-0000158E0000}"/>
    <cellStyle name="Normal 2 12 4 8" xfId="36705" xr:uid="{00000000-0005-0000-0000-0000168E0000}"/>
    <cellStyle name="Normal 2 12 4 9" xfId="36706" xr:uid="{00000000-0005-0000-0000-0000178E0000}"/>
    <cellStyle name="Normal 2 12 5" xfId="36707" xr:uid="{00000000-0005-0000-0000-0000188E0000}"/>
    <cellStyle name="Normal 2 12 5 2" xfId="36708" xr:uid="{00000000-0005-0000-0000-0000198E0000}"/>
    <cellStyle name="Normal 2 12 5 2 2" xfId="36709" xr:uid="{00000000-0005-0000-0000-00001A8E0000}"/>
    <cellStyle name="Normal 2 12 5 2 2 2" xfId="36710" xr:uid="{00000000-0005-0000-0000-00001B8E0000}"/>
    <cellStyle name="Normal 2 12 5 2 2 2 2" xfId="36711" xr:uid="{00000000-0005-0000-0000-00001C8E0000}"/>
    <cellStyle name="Normal 2 12 5 2 2 2 3" xfId="36712" xr:uid="{00000000-0005-0000-0000-00001D8E0000}"/>
    <cellStyle name="Normal 2 12 5 2 2 3" xfId="36713" xr:uid="{00000000-0005-0000-0000-00001E8E0000}"/>
    <cellStyle name="Normal 2 12 5 2 2 4" xfId="36714" xr:uid="{00000000-0005-0000-0000-00001F8E0000}"/>
    <cellStyle name="Normal 2 12 5 2 2 5" xfId="36715" xr:uid="{00000000-0005-0000-0000-0000208E0000}"/>
    <cellStyle name="Normal 2 12 5 2 2 6" xfId="36716" xr:uid="{00000000-0005-0000-0000-0000218E0000}"/>
    <cellStyle name="Normal 2 12 5 2 3" xfId="36717" xr:uid="{00000000-0005-0000-0000-0000228E0000}"/>
    <cellStyle name="Normal 2 12 5 2 3 2" xfId="36718" xr:uid="{00000000-0005-0000-0000-0000238E0000}"/>
    <cellStyle name="Normal 2 12 5 2 3 3" xfId="36719" xr:uid="{00000000-0005-0000-0000-0000248E0000}"/>
    <cellStyle name="Normal 2 12 5 2 4" xfId="36720" xr:uid="{00000000-0005-0000-0000-0000258E0000}"/>
    <cellStyle name="Normal 2 12 5 2 5" xfId="36721" xr:uid="{00000000-0005-0000-0000-0000268E0000}"/>
    <cellStyle name="Normal 2 12 5 2 6" xfId="36722" xr:uid="{00000000-0005-0000-0000-0000278E0000}"/>
    <cellStyle name="Normal 2 12 5 2 7" xfId="36723" xr:uid="{00000000-0005-0000-0000-0000288E0000}"/>
    <cellStyle name="Normal 2 12 5 3" xfId="36724" xr:uid="{00000000-0005-0000-0000-0000298E0000}"/>
    <cellStyle name="Normal 2 12 5 3 2" xfId="36725" xr:uid="{00000000-0005-0000-0000-00002A8E0000}"/>
    <cellStyle name="Normal 2 12 5 3 2 2" xfId="36726" xr:uid="{00000000-0005-0000-0000-00002B8E0000}"/>
    <cellStyle name="Normal 2 12 5 3 2 3" xfId="36727" xr:uid="{00000000-0005-0000-0000-00002C8E0000}"/>
    <cellStyle name="Normal 2 12 5 3 3" xfId="36728" xr:uid="{00000000-0005-0000-0000-00002D8E0000}"/>
    <cellStyle name="Normal 2 12 5 3 4" xfId="36729" xr:uid="{00000000-0005-0000-0000-00002E8E0000}"/>
    <cellStyle name="Normal 2 12 5 3 5" xfId="36730" xr:uid="{00000000-0005-0000-0000-00002F8E0000}"/>
    <cellStyle name="Normal 2 12 5 3 6" xfId="36731" xr:uid="{00000000-0005-0000-0000-0000308E0000}"/>
    <cellStyle name="Normal 2 12 5 4" xfId="36732" xr:uid="{00000000-0005-0000-0000-0000318E0000}"/>
    <cellStyle name="Normal 2 12 5 4 2" xfId="36733" xr:uid="{00000000-0005-0000-0000-0000328E0000}"/>
    <cellStyle name="Normal 2 12 5 4 2 2" xfId="36734" xr:uid="{00000000-0005-0000-0000-0000338E0000}"/>
    <cellStyle name="Normal 2 12 5 4 2 3" xfId="36735" xr:uid="{00000000-0005-0000-0000-0000348E0000}"/>
    <cellStyle name="Normal 2 12 5 4 3" xfId="36736" xr:uid="{00000000-0005-0000-0000-0000358E0000}"/>
    <cellStyle name="Normal 2 12 5 4 4" xfId="36737" xr:uid="{00000000-0005-0000-0000-0000368E0000}"/>
    <cellStyle name="Normal 2 12 5 4 5" xfId="36738" xr:uid="{00000000-0005-0000-0000-0000378E0000}"/>
    <cellStyle name="Normal 2 12 5 4 6" xfId="36739" xr:uid="{00000000-0005-0000-0000-0000388E0000}"/>
    <cellStyle name="Normal 2 12 5 5" xfId="36740" xr:uid="{00000000-0005-0000-0000-0000398E0000}"/>
    <cellStyle name="Normal 2 12 5 5 2" xfId="36741" xr:uid="{00000000-0005-0000-0000-00003A8E0000}"/>
    <cellStyle name="Normal 2 12 5 5 3" xfId="36742" xr:uid="{00000000-0005-0000-0000-00003B8E0000}"/>
    <cellStyle name="Normal 2 12 5 6" xfId="36743" xr:uid="{00000000-0005-0000-0000-00003C8E0000}"/>
    <cellStyle name="Normal 2 12 5 7" xfId="36744" xr:uid="{00000000-0005-0000-0000-00003D8E0000}"/>
    <cellStyle name="Normal 2 12 5 8" xfId="36745" xr:uid="{00000000-0005-0000-0000-00003E8E0000}"/>
    <cellStyle name="Normal 2 12 5 9" xfId="36746" xr:uid="{00000000-0005-0000-0000-00003F8E0000}"/>
    <cellStyle name="Normal 2 12 6" xfId="36747" xr:uid="{00000000-0005-0000-0000-0000408E0000}"/>
    <cellStyle name="Normal 2 12 6 2" xfId="36748" xr:uid="{00000000-0005-0000-0000-0000418E0000}"/>
    <cellStyle name="Normal 2 12 6 2 2" xfId="36749" xr:uid="{00000000-0005-0000-0000-0000428E0000}"/>
    <cellStyle name="Normal 2 12 6 2 2 2" xfId="36750" xr:uid="{00000000-0005-0000-0000-0000438E0000}"/>
    <cellStyle name="Normal 2 12 6 2 2 3" xfId="36751" xr:uid="{00000000-0005-0000-0000-0000448E0000}"/>
    <cellStyle name="Normal 2 12 6 2 3" xfId="36752" xr:uid="{00000000-0005-0000-0000-0000458E0000}"/>
    <cellStyle name="Normal 2 12 6 2 4" xfId="36753" xr:uid="{00000000-0005-0000-0000-0000468E0000}"/>
    <cellStyle name="Normal 2 12 6 2 5" xfId="36754" xr:uid="{00000000-0005-0000-0000-0000478E0000}"/>
    <cellStyle name="Normal 2 12 6 2 6" xfId="36755" xr:uid="{00000000-0005-0000-0000-0000488E0000}"/>
    <cellStyle name="Normal 2 12 6 3" xfId="36756" xr:uid="{00000000-0005-0000-0000-0000498E0000}"/>
    <cellStyle name="Normal 2 12 6 3 2" xfId="36757" xr:uid="{00000000-0005-0000-0000-00004A8E0000}"/>
    <cellStyle name="Normal 2 12 6 3 3" xfId="36758" xr:uid="{00000000-0005-0000-0000-00004B8E0000}"/>
    <cellStyle name="Normal 2 12 6 4" xfId="36759" xr:uid="{00000000-0005-0000-0000-00004C8E0000}"/>
    <cellStyle name="Normal 2 12 6 5" xfId="36760" xr:uid="{00000000-0005-0000-0000-00004D8E0000}"/>
    <cellStyle name="Normal 2 12 6 6" xfId="36761" xr:uid="{00000000-0005-0000-0000-00004E8E0000}"/>
    <cellStyle name="Normal 2 12 6 7" xfId="36762" xr:uid="{00000000-0005-0000-0000-00004F8E0000}"/>
    <cellStyle name="Normal 2 12 7" xfId="36763" xr:uid="{00000000-0005-0000-0000-0000508E0000}"/>
    <cellStyle name="Normal 2 12 7 2" xfId="36764" xr:uid="{00000000-0005-0000-0000-0000518E0000}"/>
    <cellStyle name="Normal 2 12 7 2 2" xfId="36765" xr:uid="{00000000-0005-0000-0000-0000528E0000}"/>
    <cellStyle name="Normal 2 12 7 2 3" xfId="36766" xr:uid="{00000000-0005-0000-0000-0000538E0000}"/>
    <cellStyle name="Normal 2 12 7 3" xfId="36767" xr:uid="{00000000-0005-0000-0000-0000548E0000}"/>
    <cellStyle name="Normal 2 12 7 4" xfId="36768" xr:uid="{00000000-0005-0000-0000-0000558E0000}"/>
    <cellStyle name="Normal 2 12 7 5" xfId="36769" xr:uid="{00000000-0005-0000-0000-0000568E0000}"/>
    <cellStyle name="Normal 2 12 7 6" xfId="36770" xr:uid="{00000000-0005-0000-0000-0000578E0000}"/>
    <cellStyle name="Normal 2 12 8" xfId="36771" xr:uid="{00000000-0005-0000-0000-0000588E0000}"/>
    <cellStyle name="Normal 2 12 8 2" xfId="36772" xr:uid="{00000000-0005-0000-0000-0000598E0000}"/>
    <cellStyle name="Normal 2 12 8 2 2" xfId="36773" xr:uid="{00000000-0005-0000-0000-00005A8E0000}"/>
    <cellStyle name="Normal 2 12 8 2 3" xfId="36774" xr:uid="{00000000-0005-0000-0000-00005B8E0000}"/>
    <cellStyle name="Normal 2 12 8 3" xfId="36775" xr:uid="{00000000-0005-0000-0000-00005C8E0000}"/>
    <cellStyle name="Normal 2 12 8 4" xfId="36776" xr:uid="{00000000-0005-0000-0000-00005D8E0000}"/>
    <cellStyle name="Normal 2 12 8 5" xfId="36777" xr:uid="{00000000-0005-0000-0000-00005E8E0000}"/>
    <cellStyle name="Normal 2 12 8 6" xfId="36778" xr:uid="{00000000-0005-0000-0000-00005F8E0000}"/>
    <cellStyle name="Normal 2 12 9" xfId="36779" xr:uid="{00000000-0005-0000-0000-0000608E0000}"/>
    <cellStyle name="Normal 2 12 9 2" xfId="36780" xr:uid="{00000000-0005-0000-0000-0000618E0000}"/>
    <cellStyle name="Normal 2 12 9 2 2" xfId="36781" xr:uid="{00000000-0005-0000-0000-0000628E0000}"/>
    <cellStyle name="Normal 2 12 9 2 3" xfId="36782" xr:uid="{00000000-0005-0000-0000-0000638E0000}"/>
    <cellStyle name="Normal 2 12 9 3" xfId="36783" xr:uid="{00000000-0005-0000-0000-0000648E0000}"/>
    <cellStyle name="Normal 2 12 9 4" xfId="36784" xr:uid="{00000000-0005-0000-0000-0000658E0000}"/>
    <cellStyle name="Normal 2 12 9 5" xfId="36785" xr:uid="{00000000-0005-0000-0000-0000668E0000}"/>
    <cellStyle name="Normal 2 12 9 6" xfId="36786" xr:uid="{00000000-0005-0000-0000-0000678E0000}"/>
    <cellStyle name="Normal 2 13" xfId="36787" xr:uid="{00000000-0005-0000-0000-0000688E0000}"/>
    <cellStyle name="Normal 2 13 10" xfId="36788" xr:uid="{00000000-0005-0000-0000-0000698E0000}"/>
    <cellStyle name="Normal 2 13 11" xfId="36789" xr:uid="{00000000-0005-0000-0000-00006A8E0000}"/>
    <cellStyle name="Normal 2 13 12" xfId="36790" xr:uid="{00000000-0005-0000-0000-00006B8E0000}"/>
    <cellStyle name="Normal 2 13 13" xfId="36791" xr:uid="{00000000-0005-0000-0000-00006C8E0000}"/>
    <cellStyle name="Normal 2 13 2" xfId="36792" xr:uid="{00000000-0005-0000-0000-00006D8E0000}"/>
    <cellStyle name="Normal 2 13 2 10" xfId="36793" xr:uid="{00000000-0005-0000-0000-00006E8E0000}"/>
    <cellStyle name="Normal 2 13 2 2" xfId="36794" xr:uid="{00000000-0005-0000-0000-00006F8E0000}"/>
    <cellStyle name="Normal 2 13 2 2 2" xfId="36795" xr:uid="{00000000-0005-0000-0000-0000708E0000}"/>
    <cellStyle name="Normal 2 13 2 2 2 2" xfId="36796" xr:uid="{00000000-0005-0000-0000-0000718E0000}"/>
    <cellStyle name="Normal 2 13 2 2 2 2 2" xfId="36797" xr:uid="{00000000-0005-0000-0000-0000728E0000}"/>
    <cellStyle name="Normal 2 13 2 2 2 2 3" xfId="36798" xr:uid="{00000000-0005-0000-0000-0000738E0000}"/>
    <cellStyle name="Normal 2 13 2 2 2 3" xfId="36799" xr:uid="{00000000-0005-0000-0000-0000748E0000}"/>
    <cellStyle name="Normal 2 13 2 2 2 4" xfId="36800" xr:uid="{00000000-0005-0000-0000-0000758E0000}"/>
    <cellStyle name="Normal 2 13 2 2 2 5" xfId="36801" xr:uid="{00000000-0005-0000-0000-0000768E0000}"/>
    <cellStyle name="Normal 2 13 2 2 2 6" xfId="36802" xr:uid="{00000000-0005-0000-0000-0000778E0000}"/>
    <cellStyle name="Normal 2 13 2 2 3" xfId="36803" xr:uid="{00000000-0005-0000-0000-0000788E0000}"/>
    <cellStyle name="Normal 2 13 2 2 3 2" xfId="36804" xr:uid="{00000000-0005-0000-0000-0000798E0000}"/>
    <cellStyle name="Normal 2 13 2 2 3 2 2" xfId="36805" xr:uid="{00000000-0005-0000-0000-00007A8E0000}"/>
    <cellStyle name="Normal 2 13 2 2 3 2 3" xfId="36806" xr:uid="{00000000-0005-0000-0000-00007B8E0000}"/>
    <cellStyle name="Normal 2 13 2 2 3 3" xfId="36807" xr:uid="{00000000-0005-0000-0000-00007C8E0000}"/>
    <cellStyle name="Normal 2 13 2 2 3 4" xfId="36808" xr:uid="{00000000-0005-0000-0000-00007D8E0000}"/>
    <cellStyle name="Normal 2 13 2 2 3 5" xfId="36809" xr:uid="{00000000-0005-0000-0000-00007E8E0000}"/>
    <cellStyle name="Normal 2 13 2 2 3 6" xfId="36810" xr:uid="{00000000-0005-0000-0000-00007F8E0000}"/>
    <cellStyle name="Normal 2 13 2 2 4" xfId="36811" xr:uid="{00000000-0005-0000-0000-0000808E0000}"/>
    <cellStyle name="Normal 2 13 2 2 4 2" xfId="36812" xr:uid="{00000000-0005-0000-0000-0000818E0000}"/>
    <cellStyle name="Normal 2 13 2 2 4 3" xfId="36813" xr:uid="{00000000-0005-0000-0000-0000828E0000}"/>
    <cellStyle name="Normal 2 13 2 2 5" xfId="36814" xr:uid="{00000000-0005-0000-0000-0000838E0000}"/>
    <cellStyle name="Normal 2 13 2 2 6" xfId="36815" xr:uid="{00000000-0005-0000-0000-0000848E0000}"/>
    <cellStyle name="Normal 2 13 2 2 7" xfId="36816" xr:uid="{00000000-0005-0000-0000-0000858E0000}"/>
    <cellStyle name="Normal 2 13 2 2 8" xfId="36817" xr:uid="{00000000-0005-0000-0000-0000868E0000}"/>
    <cellStyle name="Normal 2 13 2 3" xfId="36818" xr:uid="{00000000-0005-0000-0000-0000878E0000}"/>
    <cellStyle name="Normal 2 13 2 3 2" xfId="36819" xr:uid="{00000000-0005-0000-0000-0000888E0000}"/>
    <cellStyle name="Normal 2 13 2 3 2 2" xfId="36820" xr:uid="{00000000-0005-0000-0000-0000898E0000}"/>
    <cellStyle name="Normal 2 13 2 3 2 2 2" xfId="36821" xr:uid="{00000000-0005-0000-0000-00008A8E0000}"/>
    <cellStyle name="Normal 2 13 2 3 2 2 3" xfId="36822" xr:uid="{00000000-0005-0000-0000-00008B8E0000}"/>
    <cellStyle name="Normal 2 13 2 3 2 3" xfId="36823" xr:uid="{00000000-0005-0000-0000-00008C8E0000}"/>
    <cellStyle name="Normal 2 13 2 3 2 4" xfId="36824" xr:uid="{00000000-0005-0000-0000-00008D8E0000}"/>
    <cellStyle name="Normal 2 13 2 3 2 5" xfId="36825" xr:uid="{00000000-0005-0000-0000-00008E8E0000}"/>
    <cellStyle name="Normal 2 13 2 3 2 6" xfId="36826" xr:uid="{00000000-0005-0000-0000-00008F8E0000}"/>
    <cellStyle name="Normal 2 13 2 3 3" xfId="36827" xr:uid="{00000000-0005-0000-0000-0000908E0000}"/>
    <cellStyle name="Normal 2 13 2 3 3 2" xfId="36828" xr:uid="{00000000-0005-0000-0000-0000918E0000}"/>
    <cellStyle name="Normal 2 13 2 3 3 3" xfId="36829" xr:uid="{00000000-0005-0000-0000-0000928E0000}"/>
    <cellStyle name="Normal 2 13 2 3 4" xfId="36830" xr:uid="{00000000-0005-0000-0000-0000938E0000}"/>
    <cellStyle name="Normal 2 13 2 3 5" xfId="36831" xr:uid="{00000000-0005-0000-0000-0000948E0000}"/>
    <cellStyle name="Normal 2 13 2 3 6" xfId="36832" xr:uid="{00000000-0005-0000-0000-0000958E0000}"/>
    <cellStyle name="Normal 2 13 2 3 7" xfId="36833" xr:uid="{00000000-0005-0000-0000-0000968E0000}"/>
    <cellStyle name="Normal 2 13 2 4" xfId="36834" xr:uid="{00000000-0005-0000-0000-0000978E0000}"/>
    <cellStyle name="Normal 2 13 2 4 2" xfId="36835" xr:uid="{00000000-0005-0000-0000-0000988E0000}"/>
    <cellStyle name="Normal 2 13 2 4 2 2" xfId="36836" xr:uid="{00000000-0005-0000-0000-0000998E0000}"/>
    <cellStyle name="Normal 2 13 2 4 2 3" xfId="36837" xr:uid="{00000000-0005-0000-0000-00009A8E0000}"/>
    <cellStyle name="Normal 2 13 2 4 3" xfId="36838" xr:uid="{00000000-0005-0000-0000-00009B8E0000}"/>
    <cellStyle name="Normal 2 13 2 4 4" xfId="36839" xr:uid="{00000000-0005-0000-0000-00009C8E0000}"/>
    <cellStyle name="Normal 2 13 2 4 5" xfId="36840" xr:uid="{00000000-0005-0000-0000-00009D8E0000}"/>
    <cellStyle name="Normal 2 13 2 4 6" xfId="36841" xr:uid="{00000000-0005-0000-0000-00009E8E0000}"/>
    <cellStyle name="Normal 2 13 2 5" xfId="36842" xr:uid="{00000000-0005-0000-0000-00009F8E0000}"/>
    <cellStyle name="Normal 2 13 2 5 2" xfId="36843" xr:uid="{00000000-0005-0000-0000-0000A08E0000}"/>
    <cellStyle name="Normal 2 13 2 5 2 2" xfId="36844" xr:uid="{00000000-0005-0000-0000-0000A18E0000}"/>
    <cellStyle name="Normal 2 13 2 5 2 3" xfId="36845" xr:uid="{00000000-0005-0000-0000-0000A28E0000}"/>
    <cellStyle name="Normal 2 13 2 5 3" xfId="36846" xr:uid="{00000000-0005-0000-0000-0000A38E0000}"/>
    <cellStyle name="Normal 2 13 2 5 4" xfId="36847" xr:uid="{00000000-0005-0000-0000-0000A48E0000}"/>
    <cellStyle name="Normal 2 13 2 5 5" xfId="36848" xr:uid="{00000000-0005-0000-0000-0000A58E0000}"/>
    <cellStyle name="Normal 2 13 2 5 6" xfId="36849" xr:uid="{00000000-0005-0000-0000-0000A68E0000}"/>
    <cellStyle name="Normal 2 13 2 6" xfId="36850" xr:uid="{00000000-0005-0000-0000-0000A78E0000}"/>
    <cellStyle name="Normal 2 13 2 6 2" xfId="36851" xr:uid="{00000000-0005-0000-0000-0000A88E0000}"/>
    <cellStyle name="Normal 2 13 2 6 3" xfId="36852" xr:uid="{00000000-0005-0000-0000-0000A98E0000}"/>
    <cellStyle name="Normal 2 13 2 7" xfId="36853" xr:uid="{00000000-0005-0000-0000-0000AA8E0000}"/>
    <cellStyle name="Normal 2 13 2 8" xfId="36854" xr:uid="{00000000-0005-0000-0000-0000AB8E0000}"/>
    <cellStyle name="Normal 2 13 2 9" xfId="36855" xr:uid="{00000000-0005-0000-0000-0000AC8E0000}"/>
    <cellStyle name="Normal 2 13 3" xfId="36856" xr:uid="{00000000-0005-0000-0000-0000AD8E0000}"/>
    <cellStyle name="Normal 2 13 3 2" xfId="36857" xr:uid="{00000000-0005-0000-0000-0000AE8E0000}"/>
    <cellStyle name="Normal 2 13 3 2 2" xfId="36858" xr:uid="{00000000-0005-0000-0000-0000AF8E0000}"/>
    <cellStyle name="Normal 2 13 3 2 2 2" xfId="36859" xr:uid="{00000000-0005-0000-0000-0000B08E0000}"/>
    <cellStyle name="Normal 2 13 3 2 2 2 2" xfId="36860" xr:uid="{00000000-0005-0000-0000-0000B18E0000}"/>
    <cellStyle name="Normal 2 13 3 2 2 2 3" xfId="36861" xr:uid="{00000000-0005-0000-0000-0000B28E0000}"/>
    <cellStyle name="Normal 2 13 3 2 2 3" xfId="36862" xr:uid="{00000000-0005-0000-0000-0000B38E0000}"/>
    <cellStyle name="Normal 2 13 3 2 2 4" xfId="36863" xr:uid="{00000000-0005-0000-0000-0000B48E0000}"/>
    <cellStyle name="Normal 2 13 3 2 2 5" xfId="36864" xr:uid="{00000000-0005-0000-0000-0000B58E0000}"/>
    <cellStyle name="Normal 2 13 3 2 2 6" xfId="36865" xr:uid="{00000000-0005-0000-0000-0000B68E0000}"/>
    <cellStyle name="Normal 2 13 3 2 3" xfId="36866" xr:uid="{00000000-0005-0000-0000-0000B78E0000}"/>
    <cellStyle name="Normal 2 13 3 2 3 2" xfId="36867" xr:uid="{00000000-0005-0000-0000-0000B88E0000}"/>
    <cellStyle name="Normal 2 13 3 2 3 3" xfId="36868" xr:uid="{00000000-0005-0000-0000-0000B98E0000}"/>
    <cellStyle name="Normal 2 13 3 2 4" xfId="36869" xr:uid="{00000000-0005-0000-0000-0000BA8E0000}"/>
    <cellStyle name="Normal 2 13 3 2 5" xfId="36870" xr:uid="{00000000-0005-0000-0000-0000BB8E0000}"/>
    <cellStyle name="Normal 2 13 3 2 6" xfId="36871" xr:uid="{00000000-0005-0000-0000-0000BC8E0000}"/>
    <cellStyle name="Normal 2 13 3 2 7" xfId="36872" xr:uid="{00000000-0005-0000-0000-0000BD8E0000}"/>
    <cellStyle name="Normal 2 13 3 3" xfId="36873" xr:uid="{00000000-0005-0000-0000-0000BE8E0000}"/>
    <cellStyle name="Normal 2 13 3 3 2" xfId="36874" xr:uid="{00000000-0005-0000-0000-0000BF8E0000}"/>
    <cellStyle name="Normal 2 13 3 3 2 2" xfId="36875" xr:uid="{00000000-0005-0000-0000-0000C08E0000}"/>
    <cellStyle name="Normal 2 13 3 3 2 3" xfId="36876" xr:uid="{00000000-0005-0000-0000-0000C18E0000}"/>
    <cellStyle name="Normal 2 13 3 3 3" xfId="36877" xr:uid="{00000000-0005-0000-0000-0000C28E0000}"/>
    <cellStyle name="Normal 2 13 3 3 4" xfId="36878" xr:uid="{00000000-0005-0000-0000-0000C38E0000}"/>
    <cellStyle name="Normal 2 13 3 3 5" xfId="36879" xr:uid="{00000000-0005-0000-0000-0000C48E0000}"/>
    <cellStyle name="Normal 2 13 3 3 6" xfId="36880" xr:uid="{00000000-0005-0000-0000-0000C58E0000}"/>
    <cellStyle name="Normal 2 13 3 4" xfId="36881" xr:uid="{00000000-0005-0000-0000-0000C68E0000}"/>
    <cellStyle name="Normal 2 13 3 4 2" xfId="36882" xr:uid="{00000000-0005-0000-0000-0000C78E0000}"/>
    <cellStyle name="Normal 2 13 3 4 2 2" xfId="36883" xr:uid="{00000000-0005-0000-0000-0000C88E0000}"/>
    <cellStyle name="Normal 2 13 3 4 2 3" xfId="36884" xr:uid="{00000000-0005-0000-0000-0000C98E0000}"/>
    <cellStyle name="Normal 2 13 3 4 3" xfId="36885" xr:uid="{00000000-0005-0000-0000-0000CA8E0000}"/>
    <cellStyle name="Normal 2 13 3 4 4" xfId="36886" xr:uid="{00000000-0005-0000-0000-0000CB8E0000}"/>
    <cellStyle name="Normal 2 13 3 4 5" xfId="36887" xr:uid="{00000000-0005-0000-0000-0000CC8E0000}"/>
    <cellStyle name="Normal 2 13 3 4 6" xfId="36888" xr:uid="{00000000-0005-0000-0000-0000CD8E0000}"/>
    <cellStyle name="Normal 2 13 3 5" xfId="36889" xr:uid="{00000000-0005-0000-0000-0000CE8E0000}"/>
    <cellStyle name="Normal 2 13 3 5 2" xfId="36890" xr:uid="{00000000-0005-0000-0000-0000CF8E0000}"/>
    <cellStyle name="Normal 2 13 3 5 3" xfId="36891" xr:uid="{00000000-0005-0000-0000-0000D08E0000}"/>
    <cellStyle name="Normal 2 13 3 6" xfId="36892" xr:uid="{00000000-0005-0000-0000-0000D18E0000}"/>
    <cellStyle name="Normal 2 13 3 7" xfId="36893" xr:uid="{00000000-0005-0000-0000-0000D28E0000}"/>
    <cellStyle name="Normal 2 13 3 8" xfId="36894" xr:uid="{00000000-0005-0000-0000-0000D38E0000}"/>
    <cellStyle name="Normal 2 13 3 9" xfId="36895" xr:uid="{00000000-0005-0000-0000-0000D48E0000}"/>
    <cellStyle name="Normal 2 13 4" xfId="36896" xr:uid="{00000000-0005-0000-0000-0000D58E0000}"/>
    <cellStyle name="Normal 2 13 4 2" xfId="36897" xr:uid="{00000000-0005-0000-0000-0000D68E0000}"/>
    <cellStyle name="Normal 2 13 4 2 2" xfId="36898" xr:uid="{00000000-0005-0000-0000-0000D78E0000}"/>
    <cellStyle name="Normal 2 13 4 2 2 2" xfId="36899" xr:uid="{00000000-0005-0000-0000-0000D88E0000}"/>
    <cellStyle name="Normal 2 13 4 2 2 3" xfId="36900" xr:uid="{00000000-0005-0000-0000-0000D98E0000}"/>
    <cellStyle name="Normal 2 13 4 2 3" xfId="36901" xr:uid="{00000000-0005-0000-0000-0000DA8E0000}"/>
    <cellStyle name="Normal 2 13 4 2 4" xfId="36902" xr:uid="{00000000-0005-0000-0000-0000DB8E0000}"/>
    <cellStyle name="Normal 2 13 4 2 5" xfId="36903" xr:uid="{00000000-0005-0000-0000-0000DC8E0000}"/>
    <cellStyle name="Normal 2 13 4 2 6" xfId="36904" xr:uid="{00000000-0005-0000-0000-0000DD8E0000}"/>
    <cellStyle name="Normal 2 13 4 3" xfId="36905" xr:uid="{00000000-0005-0000-0000-0000DE8E0000}"/>
    <cellStyle name="Normal 2 13 4 3 2" xfId="36906" xr:uid="{00000000-0005-0000-0000-0000DF8E0000}"/>
    <cellStyle name="Normal 2 13 4 3 3" xfId="36907" xr:uid="{00000000-0005-0000-0000-0000E08E0000}"/>
    <cellStyle name="Normal 2 13 4 4" xfId="36908" xr:uid="{00000000-0005-0000-0000-0000E18E0000}"/>
    <cellStyle name="Normal 2 13 4 5" xfId="36909" xr:uid="{00000000-0005-0000-0000-0000E28E0000}"/>
    <cellStyle name="Normal 2 13 4 6" xfId="36910" xr:uid="{00000000-0005-0000-0000-0000E38E0000}"/>
    <cellStyle name="Normal 2 13 4 7" xfId="36911" xr:uid="{00000000-0005-0000-0000-0000E48E0000}"/>
    <cellStyle name="Normal 2 13 5" xfId="36912" xr:uid="{00000000-0005-0000-0000-0000E58E0000}"/>
    <cellStyle name="Normal 2 13 5 2" xfId="36913" xr:uid="{00000000-0005-0000-0000-0000E68E0000}"/>
    <cellStyle name="Normal 2 13 5 2 2" xfId="36914" xr:uid="{00000000-0005-0000-0000-0000E78E0000}"/>
    <cellStyle name="Normal 2 13 5 2 3" xfId="36915" xr:uid="{00000000-0005-0000-0000-0000E88E0000}"/>
    <cellStyle name="Normal 2 13 5 3" xfId="36916" xr:uid="{00000000-0005-0000-0000-0000E98E0000}"/>
    <cellStyle name="Normal 2 13 5 4" xfId="36917" xr:uid="{00000000-0005-0000-0000-0000EA8E0000}"/>
    <cellStyle name="Normal 2 13 5 5" xfId="36918" xr:uid="{00000000-0005-0000-0000-0000EB8E0000}"/>
    <cellStyle name="Normal 2 13 5 6" xfId="36919" xr:uid="{00000000-0005-0000-0000-0000EC8E0000}"/>
    <cellStyle name="Normal 2 13 6" xfId="36920" xr:uid="{00000000-0005-0000-0000-0000ED8E0000}"/>
    <cellStyle name="Normal 2 13 6 2" xfId="36921" xr:uid="{00000000-0005-0000-0000-0000EE8E0000}"/>
    <cellStyle name="Normal 2 13 6 2 2" xfId="36922" xr:uid="{00000000-0005-0000-0000-0000EF8E0000}"/>
    <cellStyle name="Normal 2 13 6 2 3" xfId="36923" xr:uid="{00000000-0005-0000-0000-0000F08E0000}"/>
    <cellStyle name="Normal 2 13 6 3" xfId="36924" xr:uid="{00000000-0005-0000-0000-0000F18E0000}"/>
    <cellStyle name="Normal 2 13 6 4" xfId="36925" xr:uid="{00000000-0005-0000-0000-0000F28E0000}"/>
    <cellStyle name="Normal 2 13 6 5" xfId="36926" xr:uid="{00000000-0005-0000-0000-0000F38E0000}"/>
    <cellStyle name="Normal 2 13 6 6" xfId="36927" xr:uid="{00000000-0005-0000-0000-0000F48E0000}"/>
    <cellStyle name="Normal 2 13 7" xfId="36928" xr:uid="{00000000-0005-0000-0000-0000F58E0000}"/>
    <cellStyle name="Normal 2 13 7 2" xfId="36929" xr:uid="{00000000-0005-0000-0000-0000F68E0000}"/>
    <cellStyle name="Normal 2 13 7 2 2" xfId="36930" xr:uid="{00000000-0005-0000-0000-0000F78E0000}"/>
    <cellStyle name="Normal 2 13 7 2 3" xfId="36931" xr:uid="{00000000-0005-0000-0000-0000F88E0000}"/>
    <cellStyle name="Normal 2 13 7 3" xfId="36932" xr:uid="{00000000-0005-0000-0000-0000F98E0000}"/>
    <cellStyle name="Normal 2 13 7 4" xfId="36933" xr:uid="{00000000-0005-0000-0000-0000FA8E0000}"/>
    <cellStyle name="Normal 2 13 7 5" xfId="36934" xr:uid="{00000000-0005-0000-0000-0000FB8E0000}"/>
    <cellStyle name="Normal 2 13 7 6" xfId="36935" xr:uid="{00000000-0005-0000-0000-0000FC8E0000}"/>
    <cellStyle name="Normal 2 13 8" xfId="36936" xr:uid="{00000000-0005-0000-0000-0000FD8E0000}"/>
    <cellStyle name="Normal 2 13 8 2" xfId="36937" xr:uid="{00000000-0005-0000-0000-0000FE8E0000}"/>
    <cellStyle name="Normal 2 13 8 2 2" xfId="36938" xr:uid="{00000000-0005-0000-0000-0000FF8E0000}"/>
    <cellStyle name="Normal 2 13 8 2 3" xfId="36939" xr:uid="{00000000-0005-0000-0000-0000008F0000}"/>
    <cellStyle name="Normal 2 13 8 3" xfId="36940" xr:uid="{00000000-0005-0000-0000-0000018F0000}"/>
    <cellStyle name="Normal 2 13 8 4" xfId="36941" xr:uid="{00000000-0005-0000-0000-0000028F0000}"/>
    <cellStyle name="Normal 2 13 8 5" xfId="36942" xr:uid="{00000000-0005-0000-0000-0000038F0000}"/>
    <cellStyle name="Normal 2 13 8 6" xfId="36943" xr:uid="{00000000-0005-0000-0000-0000048F0000}"/>
    <cellStyle name="Normal 2 13 9" xfId="36944" xr:uid="{00000000-0005-0000-0000-0000058F0000}"/>
    <cellStyle name="Normal 2 13 9 2" xfId="36945" xr:uid="{00000000-0005-0000-0000-0000068F0000}"/>
    <cellStyle name="Normal 2 13 9 3" xfId="36946" xr:uid="{00000000-0005-0000-0000-0000078F0000}"/>
    <cellStyle name="Normal 2 14" xfId="36947" xr:uid="{00000000-0005-0000-0000-0000088F0000}"/>
    <cellStyle name="Normal 2 14 10" xfId="36948" xr:uid="{00000000-0005-0000-0000-0000098F0000}"/>
    <cellStyle name="Normal 2 14 11" xfId="36949" xr:uid="{00000000-0005-0000-0000-00000A8F0000}"/>
    <cellStyle name="Normal 2 14 12" xfId="36950" xr:uid="{00000000-0005-0000-0000-00000B8F0000}"/>
    <cellStyle name="Normal 2 14 13" xfId="36951" xr:uid="{00000000-0005-0000-0000-00000C8F0000}"/>
    <cellStyle name="Normal 2 14 2" xfId="36952" xr:uid="{00000000-0005-0000-0000-00000D8F0000}"/>
    <cellStyle name="Normal 2 14 2 10" xfId="36953" xr:uid="{00000000-0005-0000-0000-00000E8F0000}"/>
    <cellStyle name="Normal 2 14 2 2" xfId="36954" xr:uid="{00000000-0005-0000-0000-00000F8F0000}"/>
    <cellStyle name="Normal 2 14 2 2 2" xfId="36955" xr:uid="{00000000-0005-0000-0000-0000108F0000}"/>
    <cellStyle name="Normal 2 14 2 2 2 2" xfId="36956" xr:uid="{00000000-0005-0000-0000-0000118F0000}"/>
    <cellStyle name="Normal 2 14 2 2 2 2 2" xfId="36957" xr:uid="{00000000-0005-0000-0000-0000128F0000}"/>
    <cellStyle name="Normal 2 14 2 2 2 2 3" xfId="36958" xr:uid="{00000000-0005-0000-0000-0000138F0000}"/>
    <cellStyle name="Normal 2 14 2 2 2 3" xfId="36959" xr:uid="{00000000-0005-0000-0000-0000148F0000}"/>
    <cellStyle name="Normal 2 14 2 2 2 4" xfId="36960" xr:uid="{00000000-0005-0000-0000-0000158F0000}"/>
    <cellStyle name="Normal 2 14 2 2 2 5" xfId="36961" xr:uid="{00000000-0005-0000-0000-0000168F0000}"/>
    <cellStyle name="Normal 2 14 2 2 2 6" xfId="36962" xr:uid="{00000000-0005-0000-0000-0000178F0000}"/>
    <cellStyle name="Normal 2 14 2 2 3" xfId="36963" xr:uid="{00000000-0005-0000-0000-0000188F0000}"/>
    <cellStyle name="Normal 2 14 2 2 3 2" xfId="36964" xr:uid="{00000000-0005-0000-0000-0000198F0000}"/>
    <cellStyle name="Normal 2 14 2 2 3 2 2" xfId="36965" xr:uid="{00000000-0005-0000-0000-00001A8F0000}"/>
    <cellStyle name="Normal 2 14 2 2 3 2 3" xfId="36966" xr:uid="{00000000-0005-0000-0000-00001B8F0000}"/>
    <cellStyle name="Normal 2 14 2 2 3 3" xfId="36967" xr:uid="{00000000-0005-0000-0000-00001C8F0000}"/>
    <cellStyle name="Normal 2 14 2 2 3 4" xfId="36968" xr:uid="{00000000-0005-0000-0000-00001D8F0000}"/>
    <cellStyle name="Normal 2 14 2 2 3 5" xfId="36969" xr:uid="{00000000-0005-0000-0000-00001E8F0000}"/>
    <cellStyle name="Normal 2 14 2 2 3 6" xfId="36970" xr:uid="{00000000-0005-0000-0000-00001F8F0000}"/>
    <cellStyle name="Normal 2 14 2 2 4" xfId="36971" xr:uid="{00000000-0005-0000-0000-0000208F0000}"/>
    <cellStyle name="Normal 2 14 2 2 4 2" xfId="36972" xr:uid="{00000000-0005-0000-0000-0000218F0000}"/>
    <cellStyle name="Normal 2 14 2 2 4 3" xfId="36973" xr:uid="{00000000-0005-0000-0000-0000228F0000}"/>
    <cellStyle name="Normal 2 14 2 2 5" xfId="36974" xr:uid="{00000000-0005-0000-0000-0000238F0000}"/>
    <cellStyle name="Normal 2 14 2 2 6" xfId="36975" xr:uid="{00000000-0005-0000-0000-0000248F0000}"/>
    <cellStyle name="Normal 2 14 2 2 7" xfId="36976" xr:uid="{00000000-0005-0000-0000-0000258F0000}"/>
    <cellStyle name="Normal 2 14 2 2 8" xfId="36977" xr:uid="{00000000-0005-0000-0000-0000268F0000}"/>
    <cellStyle name="Normal 2 14 2 3" xfId="36978" xr:uid="{00000000-0005-0000-0000-0000278F0000}"/>
    <cellStyle name="Normal 2 14 2 3 2" xfId="36979" xr:uid="{00000000-0005-0000-0000-0000288F0000}"/>
    <cellStyle name="Normal 2 14 2 3 2 2" xfId="36980" xr:uid="{00000000-0005-0000-0000-0000298F0000}"/>
    <cellStyle name="Normal 2 14 2 3 2 2 2" xfId="36981" xr:uid="{00000000-0005-0000-0000-00002A8F0000}"/>
    <cellStyle name="Normal 2 14 2 3 2 2 3" xfId="36982" xr:uid="{00000000-0005-0000-0000-00002B8F0000}"/>
    <cellStyle name="Normal 2 14 2 3 2 3" xfId="36983" xr:uid="{00000000-0005-0000-0000-00002C8F0000}"/>
    <cellStyle name="Normal 2 14 2 3 2 4" xfId="36984" xr:uid="{00000000-0005-0000-0000-00002D8F0000}"/>
    <cellStyle name="Normal 2 14 2 3 2 5" xfId="36985" xr:uid="{00000000-0005-0000-0000-00002E8F0000}"/>
    <cellStyle name="Normal 2 14 2 3 2 6" xfId="36986" xr:uid="{00000000-0005-0000-0000-00002F8F0000}"/>
    <cellStyle name="Normal 2 14 2 3 3" xfId="36987" xr:uid="{00000000-0005-0000-0000-0000308F0000}"/>
    <cellStyle name="Normal 2 14 2 3 3 2" xfId="36988" xr:uid="{00000000-0005-0000-0000-0000318F0000}"/>
    <cellStyle name="Normal 2 14 2 3 3 3" xfId="36989" xr:uid="{00000000-0005-0000-0000-0000328F0000}"/>
    <cellStyle name="Normal 2 14 2 3 4" xfId="36990" xr:uid="{00000000-0005-0000-0000-0000338F0000}"/>
    <cellStyle name="Normal 2 14 2 3 5" xfId="36991" xr:uid="{00000000-0005-0000-0000-0000348F0000}"/>
    <cellStyle name="Normal 2 14 2 3 6" xfId="36992" xr:uid="{00000000-0005-0000-0000-0000358F0000}"/>
    <cellStyle name="Normal 2 14 2 3 7" xfId="36993" xr:uid="{00000000-0005-0000-0000-0000368F0000}"/>
    <cellStyle name="Normal 2 14 2 4" xfId="36994" xr:uid="{00000000-0005-0000-0000-0000378F0000}"/>
    <cellStyle name="Normal 2 14 2 4 2" xfId="36995" xr:uid="{00000000-0005-0000-0000-0000388F0000}"/>
    <cellStyle name="Normal 2 14 2 4 2 2" xfId="36996" xr:uid="{00000000-0005-0000-0000-0000398F0000}"/>
    <cellStyle name="Normal 2 14 2 4 2 3" xfId="36997" xr:uid="{00000000-0005-0000-0000-00003A8F0000}"/>
    <cellStyle name="Normal 2 14 2 4 3" xfId="36998" xr:uid="{00000000-0005-0000-0000-00003B8F0000}"/>
    <cellStyle name="Normal 2 14 2 4 4" xfId="36999" xr:uid="{00000000-0005-0000-0000-00003C8F0000}"/>
    <cellStyle name="Normal 2 14 2 4 5" xfId="37000" xr:uid="{00000000-0005-0000-0000-00003D8F0000}"/>
    <cellStyle name="Normal 2 14 2 4 6" xfId="37001" xr:uid="{00000000-0005-0000-0000-00003E8F0000}"/>
    <cellStyle name="Normal 2 14 2 5" xfId="37002" xr:uid="{00000000-0005-0000-0000-00003F8F0000}"/>
    <cellStyle name="Normal 2 14 2 5 2" xfId="37003" xr:uid="{00000000-0005-0000-0000-0000408F0000}"/>
    <cellStyle name="Normal 2 14 2 5 2 2" xfId="37004" xr:uid="{00000000-0005-0000-0000-0000418F0000}"/>
    <cellStyle name="Normal 2 14 2 5 2 3" xfId="37005" xr:uid="{00000000-0005-0000-0000-0000428F0000}"/>
    <cellStyle name="Normal 2 14 2 5 3" xfId="37006" xr:uid="{00000000-0005-0000-0000-0000438F0000}"/>
    <cellStyle name="Normal 2 14 2 5 4" xfId="37007" xr:uid="{00000000-0005-0000-0000-0000448F0000}"/>
    <cellStyle name="Normal 2 14 2 5 5" xfId="37008" xr:uid="{00000000-0005-0000-0000-0000458F0000}"/>
    <cellStyle name="Normal 2 14 2 5 6" xfId="37009" xr:uid="{00000000-0005-0000-0000-0000468F0000}"/>
    <cellStyle name="Normal 2 14 2 6" xfId="37010" xr:uid="{00000000-0005-0000-0000-0000478F0000}"/>
    <cellStyle name="Normal 2 14 2 6 2" xfId="37011" xr:uid="{00000000-0005-0000-0000-0000488F0000}"/>
    <cellStyle name="Normal 2 14 2 6 3" xfId="37012" xr:uid="{00000000-0005-0000-0000-0000498F0000}"/>
    <cellStyle name="Normal 2 14 2 7" xfId="37013" xr:uid="{00000000-0005-0000-0000-00004A8F0000}"/>
    <cellStyle name="Normal 2 14 2 8" xfId="37014" xr:uid="{00000000-0005-0000-0000-00004B8F0000}"/>
    <cellStyle name="Normal 2 14 2 9" xfId="37015" xr:uid="{00000000-0005-0000-0000-00004C8F0000}"/>
    <cellStyle name="Normal 2 14 3" xfId="37016" xr:uid="{00000000-0005-0000-0000-00004D8F0000}"/>
    <cellStyle name="Normal 2 14 3 2" xfId="37017" xr:uid="{00000000-0005-0000-0000-00004E8F0000}"/>
    <cellStyle name="Normal 2 14 3 2 2" xfId="37018" xr:uid="{00000000-0005-0000-0000-00004F8F0000}"/>
    <cellStyle name="Normal 2 14 3 2 2 2" xfId="37019" xr:uid="{00000000-0005-0000-0000-0000508F0000}"/>
    <cellStyle name="Normal 2 14 3 2 2 2 2" xfId="37020" xr:uid="{00000000-0005-0000-0000-0000518F0000}"/>
    <cellStyle name="Normal 2 14 3 2 2 2 3" xfId="37021" xr:uid="{00000000-0005-0000-0000-0000528F0000}"/>
    <cellStyle name="Normal 2 14 3 2 2 3" xfId="37022" xr:uid="{00000000-0005-0000-0000-0000538F0000}"/>
    <cellStyle name="Normal 2 14 3 2 2 4" xfId="37023" xr:uid="{00000000-0005-0000-0000-0000548F0000}"/>
    <cellStyle name="Normal 2 14 3 2 2 5" xfId="37024" xr:uid="{00000000-0005-0000-0000-0000558F0000}"/>
    <cellStyle name="Normal 2 14 3 2 2 6" xfId="37025" xr:uid="{00000000-0005-0000-0000-0000568F0000}"/>
    <cellStyle name="Normal 2 14 3 2 3" xfId="37026" xr:uid="{00000000-0005-0000-0000-0000578F0000}"/>
    <cellStyle name="Normal 2 14 3 2 3 2" xfId="37027" xr:uid="{00000000-0005-0000-0000-0000588F0000}"/>
    <cellStyle name="Normal 2 14 3 2 3 3" xfId="37028" xr:uid="{00000000-0005-0000-0000-0000598F0000}"/>
    <cellStyle name="Normal 2 14 3 2 4" xfId="37029" xr:uid="{00000000-0005-0000-0000-00005A8F0000}"/>
    <cellStyle name="Normal 2 14 3 2 5" xfId="37030" xr:uid="{00000000-0005-0000-0000-00005B8F0000}"/>
    <cellStyle name="Normal 2 14 3 2 6" xfId="37031" xr:uid="{00000000-0005-0000-0000-00005C8F0000}"/>
    <cellStyle name="Normal 2 14 3 2 7" xfId="37032" xr:uid="{00000000-0005-0000-0000-00005D8F0000}"/>
    <cellStyle name="Normal 2 14 3 3" xfId="37033" xr:uid="{00000000-0005-0000-0000-00005E8F0000}"/>
    <cellStyle name="Normal 2 14 3 3 2" xfId="37034" xr:uid="{00000000-0005-0000-0000-00005F8F0000}"/>
    <cellStyle name="Normal 2 14 3 3 2 2" xfId="37035" xr:uid="{00000000-0005-0000-0000-0000608F0000}"/>
    <cellStyle name="Normal 2 14 3 3 2 3" xfId="37036" xr:uid="{00000000-0005-0000-0000-0000618F0000}"/>
    <cellStyle name="Normal 2 14 3 3 3" xfId="37037" xr:uid="{00000000-0005-0000-0000-0000628F0000}"/>
    <cellStyle name="Normal 2 14 3 3 4" xfId="37038" xr:uid="{00000000-0005-0000-0000-0000638F0000}"/>
    <cellStyle name="Normal 2 14 3 3 5" xfId="37039" xr:uid="{00000000-0005-0000-0000-0000648F0000}"/>
    <cellStyle name="Normal 2 14 3 3 6" xfId="37040" xr:uid="{00000000-0005-0000-0000-0000658F0000}"/>
    <cellStyle name="Normal 2 14 3 4" xfId="37041" xr:uid="{00000000-0005-0000-0000-0000668F0000}"/>
    <cellStyle name="Normal 2 14 3 4 2" xfId="37042" xr:uid="{00000000-0005-0000-0000-0000678F0000}"/>
    <cellStyle name="Normal 2 14 3 4 2 2" xfId="37043" xr:uid="{00000000-0005-0000-0000-0000688F0000}"/>
    <cellStyle name="Normal 2 14 3 4 2 3" xfId="37044" xr:uid="{00000000-0005-0000-0000-0000698F0000}"/>
    <cellStyle name="Normal 2 14 3 4 3" xfId="37045" xr:uid="{00000000-0005-0000-0000-00006A8F0000}"/>
    <cellStyle name="Normal 2 14 3 4 4" xfId="37046" xr:uid="{00000000-0005-0000-0000-00006B8F0000}"/>
    <cellStyle name="Normal 2 14 3 4 5" xfId="37047" xr:uid="{00000000-0005-0000-0000-00006C8F0000}"/>
    <cellStyle name="Normal 2 14 3 4 6" xfId="37048" xr:uid="{00000000-0005-0000-0000-00006D8F0000}"/>
    <cellStyle name="Normal 2 14 3 5" xfId="37049" xr:uid="{00000000-0005-0000-0000-00006E8F0000}"/>
    <cellStyle name="Normal 2 14 3 5 2" xfId="37050" xr:uid="{00000000-0005-0000-0000-00006F8F0000}"/>
    <cellStyle name="Normal 2 14 3 5 3" xfId="37051" xr:uid="{00000000-0005-0000-0000-0000708F0000}"/>
    <cellStyle name="Normal 2 14 3 6" xfId="37052" xr:uid="{00000000-0005-0000-0000-0000718F0000}"/>
    <cellStyle name="Normal 2 14 3 7" xfId="37053" xr:uid="{00000000-0005-0000-0000-0000728F0000}"/>
    <cellStyle name="Normal 2 14 3 8" xfId="37054" xr:uid="{00000000-0005-0000-0000-0000738F0000}"/>
    <cellStyle name="Normal 2 14 3 9" xfId="37055" xr:uid="{00000000-0005-0000-0000-0000748F0000}"/>
    <cellStyle name="Normal 2 14 4" xfId="37056" xr:uid="{00000000-0005-0000-0000-0000758F0000}"/>
    <cellStyle name="Normal 2 14 4 2" xfId="37057" xr:uid="{00000000-0005-0000-0000-0000768F0000}"/>
    <cellStyle name="Normal 2 14 4 2 2" xfId="37058" xr:uid="{00000000-0005-0000-0000-0000778F0000}"/>
    <cellStyle name="Normal 2 14 4 2 2 2" xfId="37059" xr:uid="{00000000-0005-0000-0000-0000788F0000}"/>
    <cellStyle name="Normal 2 14 4 2 2 3" xfId="37060" xr:uid="{00000000-0005-0000-0000-0000798F0000}"/>
    <cellStyle name="Normal 2 14 4 2 3" xfId="37061" xr:uid="{00000000-0005-0000-0000-00007A8F0000}"/>
    <cellStyle name="Normal 2 14 4 2 4" xfId="37062" xr:uid="{00000000-0005-0000-0000-00007B8F0000}"/>
    <cellStyle name="Normal 2 14 4 2 5" xfId="37063" xr:uid="{00000000-0005-0000-0000-00007C8F0000}"/>
    <cellStyle name="Normal 2 14 4 2 6" xfId="37064" xr:uid="{00000000-0005-0000-0000-00007D8F0000}"/>
    <cellStyle name="Normal 2 14 4 3" xfId="37065" xr:uid="{00000000-0005-0000-0000-00007E8F0000}"/>
    <cellStyle name="Normal 2 14 4 3 2" xfId="37066" xr:uid="{00000000-0005-0000-0000-00007F8F0000}"/>
    <cellStyle name="Normal 2 14 4 3 3" xfId="37067" xr:uid="{00000000-0005-0000-0000-0000808F0000}"/>
    <cellStyle name="Normal 2 14 4 4" xfId="37068" xr:uid="{00000000-0005-0000-0000-0000818F0000}"/>
    <cellStyle name="Normal 2 14 4 5" xfId="37069" xr:uid="{00000000-0005-0000-0000-0000828F0000}"/>
    <cellStyle name="Normal 2 14 4 6" xfId="37070" xr:uid="{00000000-0005-0000-0000-0000838F0000}"/>
    <cellStyle name="Normal 2 14 4 7" xfId="37071" xr:uid="{00000000-0005-0000-0000-0000848F0000}"/>
    <cellStyle name="Normal 2 14 5" xfId="37072" xr:uid="{00000000-0005-0000-0000-0000858F0000}"/>
    <cellStyle name="Normal 2 14 5 2" xfId="37073" xr:uid="{00000000-0005-0000-0000-0000868F0000}"/>
    <cellStyle name="Normal 2 14 5 2 2" xfId="37074" xr:uid="{00000000-0005-0000-0000-0000878F0000}"/>
    <cellStyle name="Normal 2 14 5 2 3" xfId="37075" xr:uid="{00000000-0005-0000-0000-0000888F0000}"/>
    <cellStyle name="Normal 2 14 5 3" xfId="37076" xr:uid="{00000000-0005-0000-0000-0000898F0000}"/>
    <cellStyle name="Normal 2 14 5 4" xfId="37077" xr:uid="{00000000-0005-0000-0000-00008A8F0000}"/>
    <cellStyle name="Normal 2 14 5 5" xfId="37078" xr:uid="{00000000-0005-0000-0000-00008B8F0000}"/>
    <cellStyle name="Normal 2 14 5 6" xfId="37079" xr:uid="{00000000-0005-0000-0000-00008C8F0000}"/>
    <cellStyle name="Normal 2 14 6" xfId="37080" xr:uid="{00000000-0005-0000-0000-00008D8F0000}"/>
    <cellStyle name="Normal 2 14 6 2" xfId="37081" xr:uid="{00000000-0005-0000-0000-00008E8F0000}"/>
    <cellStyle name="Normal 2 14 6 2 2" xfId="37082" xr:uid="{00000000-0005-0000-0000-00008F8F0000}"/>
    <cellStyle name="Normal 2 14 6 2 3" xfId="37083" xr:uid="{00000000-0005-0000-0000-0000908F0000}"/>
    <cellStyle name="Normal 2 14 6 3" xfId="37084" xr:uid="{00000000-0005-0000-0000-0000918F0000}"/>
    <cellStyle name="Normal 2 14 6 4" xfId="37085" xr:uid="{00000000-0005-0000-0000-0000928F0000}"/>
    <cellStyle name="Normal 2 14 6 5" xfId="37086" xr:uid="{00000000-0005-0000-0000-0000938F0000}"/>
    <cellStyle name="Normal 2 14 6 6" xfId="37087" xr:uid="{00000000-0005-0000-0000-0000948F0000}"/>
    <cellStyle name="Normal 2 14 7" xfId="37088" xr:uid="{00000000-0005-0000-0000-0000958F0000}"/>
    <cellStyle name="Normal 2 14 7 2" xfId="37089" xr:uid="{00000000-0005-0000-0000-0000968F0000}"/>
    <cellStyle name="Normal 2 14 7 2 2" xfId="37090" xr:uid="{00000000-0005-0000-0000-0000978F0000}"/>
    <cellStyle name="Normal 2 14 7 2 3" xfId="37091" xr:uid="{00000000-0005-0000-0000-0000988F0000}"/>
    <cellStyle name="Normal 2 14 7 3" xfId="37092" xr:uid="{00000000-0005-0000-0000-0000998F0000}"/>
    <cellStyle name="Normal 2 14 7 4" xfId="37093" xr:uid="{00000000-0005-0000-0000-00009A8F0000}"/>
    <cellStyle name="Normal 2 14 7 5" xfId="37094" xr:uid="{00000000-0005-0000-0000-00009B8F0000}"/>
    <cellStyle name="Normal 2 14 7 6" xfId="37095" xr:uid="{00000000-0005-0000-0000-00009C8F0000}"/>
    <cellStyle name="Normal 2 14 8" xfId="37096" xr:uid="{00000000-0005-0000-0000-00009D8F0000}"/>
    <cellStyle name="Normal 2 14 8 2" xfId="37097" xr:uid="{00000000-0005-0000-0000-00009E8F0000}"/>
    <cellStyle name="Normal 2 14 8 2 2" xfId="37098" xr:uid="{00000000-0005-0000-0000-00009F8F0000}"/>
    <cellStyle name="Normal 2 14 8 2 3" xfId="37099" xr:uid="{00000000-0005-0000-0000-0000A08F0000}"/>
    <cellStyle name="Normal 2 14 8 3" xfId="37100" xr:uid="{00000000-0005-0000-0000-0000A18F0000}"/>
    <cellStyle name="Normal 2 14 8 4" xfId="37101" xr:uid="{00000000-0005-0000-0000-0000A28F0000}"/>
    <cellStyle name="Normal 2 14 8 5" xfId="37102" xr:uid="{00000000-0005-0000-0000-0000A38F0000}"/>
    <cellStyle name="Normal 2 14 8 6" xfId="37103" xr:uid="{00000000-0005-0000-0000-0000A48F0000}"/>
    <cellStyle name="Normal 2 14 9" xfId="37104" xr:uid="{00000000-0005-0000-0000-0000A58F0000}"/>
    <cellStyle name="Normal 2 14 9 2" xfId="37105" xr:uid="{00000000-0005-0000-0000-0000A68F0000}"/>
    <cellStyle name="Normal 2 14 9 3" xfId="37106" xr:uid="{00000000-0005-0000-0000-0000A78F0000}"/>
    <cellStyle name="Normal 2 15" xfId="37107" xr:uid="{00000000-0005-0000-0000-0000A88F0000}"/>
    <cellStyle name="Normal 2 15 2" xfId="37108" xr:uid="{00000000-0005-0000-0000-0000A98F0000}"/>
    <cellStyle name="Normal 2 16" xfId="37109" xr:uid="{00000000-0005-0000-0000-0000AA8F0000}"/>
    <cellStyle name="Normal 2 16 2" xfId="37110" xr:uid="{00000000-0005-0000-0000-0000AB8F0000}"/>
    <cellStyle name="Normal 2 16 3" xfId="37111" xr:uid="{00000000-0005-0000-0000-0000AC8F0000}"/>
    <cellStyle name="Normal 2 16 3 2" xfId="37112" xr:uid="{00000000-0005-0000-0000-0000AD8F0000}"/>
    <cellStyle name="Normal 2 16 3 2 2" xfId="37113" xr:uid="{00000000-0005-0000-0000-0000AE8F0000}"/>
    <cellStyle name="Normal 2 16 3 2 3" xfId="37114" xr:uid="{00000000-0005-0000-0000-0000AF8F0000}"/>
    <cellStyle name="Normal 2 16 3 3" xfId="37115" xr:uid="{00000000-0005-0000-0000-0000B08F0000}"/>
    <cellStyle name="Normal 2 16 3 4" xfId="37116" xr:uid="{00000000-0005-0000-0000-0000B18F0000}"/>
    <cellStyle name="Normal 2 16 3 5" xfId="37117" xr:uid="{00000000-0005-0000-0000-0000B28F0000}"/>
    <cellStyle name="Normal 2 16 3 6" xfId="37118" xr:uid="{00000000-0005-0000-0000-0000B38F0000}"/>
    <cellStyle name="Normal 2 17" xfId="37119" xr:uid="{00000000-0005-0000-0000-0000B48F0000}"/>
    <cellStyle name="Normal 2 17 2" xfId="37120" xr:uid="{00000000-0005-0000-0000-0000B58F0000}"/>
    <cellStyle name="Normal 2 17 2 2" xfId="37121" xr:uid="{00000000-0005-0000-0000-0000B68F0000}"/>
    <cellStyle name="Normal 2 17 3" xfId="37122" xr:uid="{00000000-0005-0000-0000-0000B78F0000}"/>
    <cellStyle name="Normal 2 18" xfId="37123" xr:uid="{00000000-0005-0000-0000-0000B88F0000}"/>
    <cellStyle name="Normal 2 18 2" xfId="37124" xr:uid="{00000000-0005-0000-0000-0000B98F0000}"/>
    <cellStyle name="Normal 2 18 2 2" xfId="37125" xr:uid="{00000000-0005-0000-0000-0000BA8F0000}"/>
    <cellStyle name="Normal 2 18 2 3" xfId="37126" xr:uid="{00000000-0005-0000-0000-0000BB8F0000}"/>
    <cellStyle name="Normal 2 18 3" xfId="37127" xr:uid="{00000000-0005-0000-0000-0000BC8F0000}"/>
    <cellStyle name="Normal 2 18 4" xfId="37128" xr:uid="{00000000-0005-0000-0000-0000BD8F0000}"/>
    <cellStyle name="Normal 2 18 5" xfId="37129" xr:uid="{00000000-0005-0000-0000-0000BE8F0000}"/>
    <cellStyle name="Normal 2 18 6" xfId="37130" xr:uid="{00000000-0005-0000-0000-0000BF8F0000}"/>
    <cellStyle name="Normal 2 19" xfId="37131" xr:uid="{00000000-0005-0000-0000-0000C08F0000}"/>
    <cellStyle name="Normal 2 19 2" xfId="37132" xr:uid="{00000000-0005-0000-0000-0000C18F0000}"/>
    <cellStyle name="Normal 2 19 2 2" xfId="37133" xr:uid="{00000000-0005-0000-0000-0000C28F0000}"/>
    <cellStyle name="Normal 2 19 2 3" xfId="37134" xr:uid="{00000000-0005-0000-0000-0000C38F0000}"/>
    <cellStyle name="Normal 2 19 3" xfId="37135" xr:uid="{00000000-0005-0000-0000-0000C48F0000}"/>
    <cellStyle name="Normal 2 19 4" xfId="37136" xr:uid="{00000000-0005-0000-0000-0000C58F0000}"/>
    <cellStyle name="Normal 2 19 5" xfId="37137" xr:uid="{00000000-0005-0000-0000-0000C68F0000}"/>
    <cellStyle name="Normal 2 19 6" xfId="37138" xr:uid="{00000000-0005-0000-0000-0000C78F0000}"/>
    <cellStyle name="Normal 2 2" xfId="129" xr:uid="{00000000-0005-0000-0000-0000C88F0000}"/>
    <cellStyle name="Normal 2 2 2" xfId="130" xr:uid="{00000000-0005-0000-0000-0000C98F0000}"/>
    <cellStyle name="Normal 2 2 2 2" xfId="37139" xr:uid="{00000000-0005-0000-0000-0000CA8F0000}"/>
    <cellStyle name="Normal 2 2 2 3" xfId="37140" xr:uid="{00000000-0005-0000-0000-0000CB8F0000}"/>
    <cellStyle name="Normal 2 2 2 4" xfId="37141" xr:uid="{00000000-0005-0000-0000-0000CC8F0000}"/>
    <cellStyle name="Normal 2 2 3" xfId="131" xr:uid="{00000000-0005-0000-0000-0000CD8F0000}"/>
    <cellStyle name="Normal 2 2 4" xfId="132" xr:uid="{00000000-0005-0000-0000-0000CE8F0000}"/>
    <cellStyle name="Normal 2 2 5" xfId="37142" xr:uid="{00000000-0005-0000-0000-0000CF8F0000}"/>
    <cellStyle name="Normal 2 2 6" xfId="37143" xr:uid="{00000000-0005-0000-0000-0000D08F0000}"/>
    <cellStyle name="Normal 2 20" xfId="37144" xr:uid="{00000000-0005-0000-0000-0000D18F0000}"/>
    <cellStyle name="Normal 2 20 2" xfId="37145" xr:uid="{00000000-0005-0000-0000-0000D28F0000}"/>
    <cellStyle name="Normal 2 21" xfId="37146" xr:uid="{00000000-0005-0000-0000-0000D38F0000}"/>
    <cellStyle name="Normal 2 21 2" xfId="37147" xr:uid="{00000000-0005-0000-0000-0000D48F0000}"/>
    <cellStyle name="Normal 2 21 3" xfId="37148" xr:uid="{00000000-0005-0000-0000-0000D58F0000}"/>
    <cellStyle name="Normal 2 22" xfId="37149" xr:uid="{00000000-0005-0000-0000-0000D68F0000}"/>
    <cellStyle name="Normal 2 23" xfId="37150" xr:uid="{00000000-0005-0000-0000-0000D78F0000}"/>
    <cellStyle name="Normal 2 24" xfId="37151" xr:uid="{00000000-0005-0000-0000-0000D88F0000}"/>
    <cellStyle name="Normal 2 25" xfId="37152" xr:uid="{00000000-0005-0000-0000-0000D98F0000}"/>
    <cellStyle name="Normal 2 3" xfId="133" xr:uid="{00000000-0005-0000-0000-0000DA8F0000}"/>
    <cellStyle name="Normal 2 3 13" xfId="244" xr:uid="{00000000-0005-0000-0000-0000DB8F0000}"/>
    <cellStyle name="Normal 2 3 19" xfId="245" xr:uid="{00000000-0005-0000-0000-0000DC8F0000}"/>
    <cellStyle name="Normal 2 3 2" xfId="134" xr:uid="{00000000-0005-0000-0000-0000DD8F0000}"/>
    <cellStyle name="Normal 2 3 2 2" xfId="37153" xr:uid="{00000000-0005-0000-0000-0000DE8F0000}"/>
    <cellStyle name="Normal 2 3 3" xfId="37154" xr:uid="{00000000-0005-0000-0000-0000DF8F0000}"/>
    <cellStyle name="Normal 2 3 3 10" xfId="37155" xr:uid="{00000000-0005-0000-0000-0000E08F0000}"/>
    <cellStyle name="Normal 2 3 3 10 2" xfId="37156" xr:uid="{00000000-0005-0000-0000-0000E18F0000}"/>
    <cellStyle name="Normal 2 3 3 10 2 2" xfId="37157" xr:uid="{00000000-0005-0000-0000-0000E28F0000}"/>
    <cellStyle name="Normal 2 3 3 10 2 3" xfId="37158" xr:uid="{00000000-0005-0000-0000-0000E38F0000}"/>
    <cellStyle name="Normal 2 3 3 10 3" xfId="37159" xr:uid="{00000000-0005-0000-0000-0000E48F0000}"/>
    <cellStyle name="Normal 2 3 3 10 4" xfId="37160" xr:uid="{00000000-0005-0000-0000-0000E58F0000}"/>
    <cellStyle name="Normal 2 3 3 10 5" xfId="37161" xr:uid="{00000000-0005-0000-0000-0000E68F0000}"/>
    <cellStyle name="Normal 2 3 3 10 6" xfId="37162" xr:uid="{00000000-0005-0000-0000-0000E78F0000}"/>
    <cellStyle name="Normal 2 3 3 11" xfId="37163" xr:uid="{00000000-0005-0000-0000-0000E88F0000}"/>
    <cellStyle name="Normal 2 3 3 11 2" xfId="37164" xr:uid="{00000000-0005-0000-0000-0000E98F0000}"/>
    <cellStyle name="Normal 2 3 3 11 3" xfId="37165" xr:uid="{00000000-0005-0000-0000-0000EA8F0000}"/>
    <cellStyle name="Normal 2 3 3 12" xfId="37166" xr:uid="{00000000-0005-0000-0000-0000EB8F0000}"/>
    <cellStyle name="Normal 2 3 3 13" xfId="37167" xr:uid="{00000000-0005-0000-0000-0000EC8F0000}"/>
    <cellStyle name="Normal 2 3 3 14" xfId="37168" xr:uid="{00000000-0005-0000-0000-0000ED8F0000}"/>
    <cellStyle name="Normal 2 3 3 15" xfId="37169" xr:uid="{00000000-0005-0000-0000-0000EE8F0000}"/>
    <cellStyle name="Normal 2 3 3 2" xfId="37170" xr:uid="{00000000-0005-0000-0000-0000EF8F0000}"/>
    <cellStyle name="Normal 2 3 3 2 10" xfId="37171" xr:uid="{00000000-0005-0000-0000-0000F08F0000}"/>
    <cellStyle name="Normal 2 3 3 2 10 2" xfId="37172" xr:uid="{00000000-0005-0000-0000-0000F18F0000}"/>
    <cellStyle name="Normal 2 3 3 2 10 3" xfId="37173" xr:uid="{00000000-0005-0000-0000-0000F28F0000}"/>
    <cellStyle name="Normal 2 3 3 2 11" xfId="37174" xr:uid="{00000000-0005-0000-0000-0000F38F0000}"/>
    <cellStyle name="Normal 2 3 3 2 12" xfId="37175" xr:uid="{00000000-0005-0000-0000-0000F48F0000}"/>
    <cellStyle name="Normal 2 3 3 2 13" xfId="37176" xr:uid="{00000000-0005-0000-0000-0000F58F0000}"/>
    <cellStyle name="Normal 2 3 3 2 14" xfId="37177" xr:uid="{00000000-0005-0000-0000-0000F68F0000}"/>
    <cellStyle name="Normal 2 3 3 2 2" xfId="37178" xr:uid="{00000000-0005-0000-0000-0000F78F0000}"/>
    <cellStyle name="Normal 2 3 3 2 2 10" xfId="37179" xr:uid="{00000000-0005-0000-0000-0000F88F0000}"/>
    <cellStyle name="Normal 2 3 3 2 2 11" xfId="37180" xr:uid="{00000000-0005-0000-0000-0000F98F0000}"/>
    <cellStyle name="Normal 2 3 3 2 2 12" xfId="37181" xr:uid="{00000000-0005-0000-0000-0000FA8F0000}"/>
    <cellStyle name="Normal 2 3 3 2 2 13" xfId="37182" xr:uid="{00000000-0005-0000-0000-0000FB8F0000}"/>
    <cellStyle name="Normal 2 3 3 2 2 2" xfId="37183" xr:uid="{00000000-0005-0000-0000-0000FC8F0000}"/>
    <cellStyle name="Normal 2 3 3 2 2 2 10" xfId="37184" xr:uid="{00000000-0005-0000-0000-0000FD8F0000}"/>
    <cellStyle name="Normal 2 3 3 2 2 2 2" xfId="37185" xr:uid="{00000000-0005-0000-0000-0000FE8F0000}"/>
    <cellStyle name="Normal 2 3 3 2 2 2 2 2" xfId="37186" xr:uid="{00000000-0005-0000-0000-0000FF8F0000}"/>
    <cellStyle name="Normal 2 3 3 2 2 2 2 2 2" xfId="37187" xr:uid="{00000000-0005-0000-0000-000000900000}"/>
    <cellStyle name="Normal 2 3 3 2 2 2 2 2 2 2" xfId="37188" xr:uid="{00000000-0005-0000-0000-000001900000}"/>
    <cellStyle name="Normal 2 3 3 2 2 2 2 2 2 3" xfId="37189" xr:uid="{00000000-0005-0000-0000-000002900000}"/>
    <cellStyle name="Normal 2 3 3 2 2 2 2 2 3" xfId="37190" xr:uid="{00000000-0005-0000-0000-000003900000}"/>
    <cellStyle name="Normal 2 3 3 2 2 2 2 2 4" xfId="37191" xr:uid="{00000000-0005-0000-0000-000004900000}"/>
    <cellStyle name="Normal 2 3 3 2 2 2 2 2 5" xfId="37192" xr:uid="{00000000-0005-0000-0000-000005900000}"/>
    <cellStyle name="Normal 2 3 3 2 2 2 2 2 6" xfId="37193" xr:uid="{00000000-0005-0000-0000-000006900000}"/>
    <cellStyle name="Normal 2 3 3 2 2 2 2 3" xfId="37194" xr:uid="{00000000-0005-0000-0000-000007900000}"/>
    <cellStyle name="Normal 2 3 3 2 2 2 2 3 2" xfId="37195" xr:uid="{00000000-0005-0000-0000-000008900000}"/>
    <cellStyle name="Normal 2 3 3 2 2 2 2 3 2 2" xfId="37196" xr:uid="{00000000-0005-0000-0000-000009900000}"/>
    <cellStyle name="Normal 2 3 3 2 2 2 2 3 2 3" xfId="37197" xr:uid="{00000000-0005-0000-0000-00000A900000}"/>
    <cellStyle name="Normal 2 3 3 2 2 2 2 3 3" xfId="37198" xr:uid="{00000000-0005-0000-0000-00000B900000}"/>
    <cellStyle name="Normal 2 3 3 2 2 2 2 3 4" xfId="37199" xr:uid="{00000000-0005-0000-0000-00000C900000}"/>
    <cellStyle name="Normal 2 3 3 2 2 2 2 3 5" xfId="37200" xr:uid="{00000000-0005-0000-0000-00000D900000}"/>
    <cellStyle name="Normal 2 3 3 2 2 2 2 3 6" xfId="37201" xr:uid="{00000000-0005-0000-0000-00000E900000}"/>
    <cellStyle name="Normal 2 3 3 2 2 2 2 4" xfId="37202" xr:uid="{00000000-0005-0000-0000-00000F900000}"/>
    <cellStyle name="Normal 2 3 3 2 2 2 2 4 2" xfId="37203" xr:uid="{00000000-0005-0000-0000-000010900000}"/>
    <cellStyle name="Normal 2 3 3 2 2 2 2 4 3" xfId="37204" xr:uid="{00000000-0005-0000-0000-000011900000}"/>
    <cellStyle name="Normal 2 3 3 2 2 2 2 5" xfId="37205" xr:uid="{00000000-0005-0000-0000-000012900000}"/>
    <cellStyle name="Normal 2 3 3 2 2 2 2 6" xfId="37206" xr:uid="{00000000-0005-0000-0000-000013900000}"/>
    <cellStyle name="Normal 2 3 3 2 2 2 2 7" xfId="37207" xr:uid="{00000000-0005-0000-0000-000014900000}"/>
    <cellStyle name="Normal 2 3 3 2 2 2 2 8" xfId="37208" xr:uid="{00000000-0005-0000-0000-000015900000}"/>
    <cellStyle name="Normal 2 3 3 2 2 2 3" xfId="37209" xr:uid="{00000000-0005-0000-0000-000016900000}"/>
    <cellStyle name="Normal 2 3 3 2 2 2 3 2" xfId="37210" xr:uid="{00000000-0005-0000-0000-000017900000}"/>
    <cellStyle name="Normal 2 3 3 2 2 2 3 2 2" xfId="37211" xr:uid="{00000000-0005-0000-0000-000018900000}"/>
    <cellStyle name="Normal 2 3 3 2 2 2 3 2 2 2" xfId="37212" xr:uid="{00000000-0005-0000-0000-000019900000}"/>
    <cellStyle name="Normal 2 3 3 2 2 2 3 2 2 3" xfId="37213" xr:uid="{00000000-0005-0000-0000-00001A900000}"/>
    <cellStyle name="Normal 2 3 3 2 2 2 3 2 3" xfId="37214" xr:uid="{00000000-0005-0000-0000-00001B900000}"/>
    <cellStyle name="Normal 2 3 3 2 2 2 3 2 4" xfId="37215" xr:uid="{00000000-0005-0000-0000-00001C900000}"/>
    <cellStyle name="Normal 2 3 3 2 2 2 3 2 5" xfId="37216" xr:uid="{00000000-0005-0000-0000-00001D900000}"/>
    <cellStyle name="Normal 2 3 3 2 2 2 3 2 6" xfId="37217" xr:uid="{00000000-0005-0000-0000-00001E900000}"/>
    <cellStyle name="Normal 2 3 3 2 2 2 3 3" xfId="37218" xr:uid="{00000000-0005-0000-0000-00001F900000}"/>
    <cellStyle name="Normal 2 3 3 2 2 2 3 3 2" xfId="37219" xr:uid="{00000000-0005-0000-0000-000020900000}"/>
    <cellStyle name="Normal 2 3 3 2 2 2 3 3 3" xfId="37220" xr:uid="{00000000-0005-0000-0000-000021900000}"/>
    <cellStyle name="Normal 2 3 3 2 2 2 3 4" xfId="37221" xr:uid="{00000000-0005-0000-0000-000022900000}"/>
    <cellStyle name="Normal 2 3 3 2 2 2 3 5" xfId="37222" xr:uid="{00000000-0005-0000-0000-000023900000}"/>
    <cellStyle name="Normal 2 3 3 2 2 2 3 6" xfId="37223" xr:uid="{00000000-0005-0000-0000-000024900000}"/>
    <cellStyle name="Normal 2 3 3 2 2 2 3 7" xfId="37224" xr:uid="{00000000-0005-0000-0000-000025900000}"/>
    <cellStyle name="Normal 2 3 3 2 2 2 4" xfId="37225" xr:uid="{00000000-0005-0000-0000-000026900000}"/>
    <cellStyle name="Normal 2 3 3 2 2 2 4 2" xfId="37226" xr:uid="{00000000-0005-0000-0000-000027900000}"/>
    <cellStyle name="Normal 2 3 3 2 2 2 4 2 2" xfId="37227" xr:uid="{00000000-0005-0000-0000-000028900000}"/>
    <cellStyle name="Normal 2 3 3 2 2 2 4 2 3" xfId="37228" xr:uid="{00000000-0005-0000-0000-000029900000}"/>
    <cellStyle name="Normal 2 3 3 2 2 2 4 3" xfId="37229" xr:uid="{00000000-0005-0000-0000-00002A900000}"/>
    <cellStyle name="Normal 2 3 3 2 2 2 4 4" xfId="37230" xr:uid="{00000000-0005-0000-0000-00002B900000}"/>
    <cellStyle name="Normal 2 3 3 2 2 2 4 5" xfId="37231" xr:uid="{00000000-0005-0000-0000-00002C900000}"/>
    <cellStyle name="Normal 2 3 3 2 2 2 4 6" xfId="37232" xr:uid="{00000000-0005-0000-0000-00002D900000}"/>
    <cellStyle name="Normal 2 3 3 2 2 2 5" xfId="37233" xr:uid="{00000000-0005-0000-0000-00002E900000}"/>
    <cellStyle name="Normal 2 3 3 2 2 2 5 2" xfId="37234" xr:uid="{00000000-0005-0000-0000-00002F900000}"/>
    <cellStyle name="Normal 2 3 3 2 2 2 5 2 2" xfId="37235" xr:uid="{00000000-0005-0000-0000-000030900000}"/>
    <cellStyle name="Normal 2 3 3 2 2 2 5 2 3" xfId="37236" xr:uid="{00000000-0005-0000-0000-000031900000}"/>
    <cellStyle name="Normal 2 3 3 2 2 2 5 3" xfId="37237" xr:uid="{00000000-0005-0000-0000-000032900000}"/>
    <cellStyle name="Normal 2 3 3 2 2 2 5 4" xfId="37238" xr:uid="{00000000-0005-0000-0000-000033900000}"/>
    <cellStyle name="Normal 2 3 3 2 2 2 5 5" xfId="37239" xr:uid="{00000000-0005-0000-0000-000034900000}"/>
    <cellStyle name="Normal 2 3 3 2 2 2 5 6" xfId="37240" xr:uid="{00000000-0005-0000-0000-000035900000}"/>
    <cellStyle name="Normal 2 3 3 2 2 2 6" xfId="37241" xr:uid="{00000000-0005-0000-0000-000036900000}"/>
    <cellStyle name="Normal 2 3 3 2 2 2 6 2" xfId="37242" xr:uid="{00000000-0005-0000-0000-000037900000}"/>
    <cellStyle name="Normal 2 3 3 2 2 2 6 3" xfId="37243" xr:uid="{00000000-0005-0000-0000-000038900000}"/>
    <cellStyle name="Normal 2 3 3 2 2 2 7" xfId="37244" xr:uid="{00000000-0005-0000-0000-000039900000}"/>
    <cellStyle name="Normal 2 3 3 2 2 2 8" xfId="37245" xr:uid="{00000000-0005-0000-0000-00003A900000}"/>
    <cellStyle name="Normal 2 3 3 2 2 2 9" xfId="37246" xr:uid="{00000000-0005-0000-0000-00003B900000}"/>
    <cellStyle name="Normal 2 3 3 2 2 3" xfId="37247" xr:uid="{00000000-0005-0000-0000-00003C900000}"/>
    <cellStyle name="Normal 2 3 3 2 2 3 2" xfId="37248" xr:uid="{00000000-0005-0000-0000-00003D900000}"/>
    <cellStyle name="Normal 2 3 3 2 2 3 2 2" xfId="37249" xr:uid="{00000000-0005-0000-0000-00003E900000}"/>
    <cellStyle name="Normal 2 3 3 2 2 3 2 2 2" xfId="37250" xr:uid="{00000000-0005-0000-0000-00003F900000}"/>
    <cellStyle name="Normal 2 3 3 2 2 3 2 2 2 2" xfId="37251" xr:uid="{00000000-0005-0000-0000-000040900000}"/>
    <cellStyle name="Normal 2 3 3 2 2 3 2 2 2 3" xfId="37252" xr:uid="{00000000-0005-0000-0000-000041900000}"/>
    <cellStyle name="Normal 2 3 3 2 2 3 2 2 3" xfId="37253" xr:uid="{00000000-0005-0000-0000-000042900000}"/>
    <cellStyle name="Normal 2 3 3 2 2 3 2 2 4" xfId="37254" xr:uid="{00000000-0005-0000-0000-000043900000}"/>
    <cellStyle name="Normal 2 3 3 2 2 3 2 2 5" xfId="37255" xr:uid="{00000000-0005-0000-0000-000044900000}"/>
    <cellStyle name="Normal 2 3 3 2 2 3 2 2 6" xfId="37256" xr:uid="{00000000-0005-0000-0000-000045900000}"/>
    <cellStyle name="Normal 2 3 3 2 2 3 2 3" xfId="37257" xr:uid="{00000000-0005-0000-0000-000046900000}"/>
    <cellStyle name="Normal 2 3 3 2 2 3 2 3 2" xfId="37258" xr:uid="{00000000-0005-0000-0000-000047900000}"/>
    <cellStyle name="Normal 2 3 3 2 2 3 2 3 3" xfId="37259" xr:uid="{00000000-0005-0000-0000-000048900000}"/>
    <cellStyle name="Normal 2 3 3 2 2 3 2 4" xfId="37260" xr:uid="{00000000-0005-0000-0000-000049900000}"/>
    <cellStyle name="Normal 2 3 3 2 2 3 2 5" xfId="37261" xr:uid="{00000000-0005-0000-0000-00004A900000}"/>
    <cellStyle name="Normal 2 3 3 2 2 3 2 6" xfId="37262" xr:uid="{00000000-0005-0000-0000-00004B900000}"/>
    <cellStyle name="Normal 2 3 3 2 2 3 2 7" xfId="37263" xr:uid="{00000000-0005-0000-0000-00004C900000}"/>
    <cellStyle name="Normal 2 3 3 2 2 3 3" xfId="37264" xr:uid="{00000000-0005-0000-0000-00004D900000}"/>
    <cellStyle name="Normal 2 3 3 2 2 3 3 2" xfId="37265" xr:uid="{00000000-0005-0000-0000-00004E900000}"/>
    <cellStyle name="Normal 2 3 3 2 2 3 3 2 2" xfId="37266" xr:uid="{00000000-0005-0000-0000-00004F900000}"/>
    <cellStyle name="Normal 2 3 3 2 2 3 3 2 3" xfId="37267" xr:uid="{00000000-0005-0000-0000-000050900000}"/>
    <cellStyle name="Normal 2 3 3 2 2 3 3 3" xfId="37268" xr:uid="{00000000-0005-0000-0000-000051900000}"/>
    <cellStyle name="Normal 2 3 3 2 2 3 3 4" xfId="37269" xr:uid="{00000000-0005-0000-0000-000052900000}"/>
    <cellStyle name="Normal 2 3 3 2 2 3 3 5" xfId="37270" xr:uid="{00000000-0005-0000-0000-000053900000}"/>
    <cellStyle name="Normal 2 3 3 2 2 3 3 6" xfId="37271" xr:uid="{00000000-0005-0000-0000-000054900000}"/>
    <cellStyle name="Normal 2 3 3 2 2 3 4" xfId="37272" xr:uid="{00000000-0005-0000-0000-000055900000}"/>
    <cellStyle name="Normal 2 3 3 2 2 3 4 2" xfId="37273" xr:uid="{00000000-0005-0000-0000-000056900000}"/>
    <cellStyle name="Normal 2 3 3 2 2 3 4 2 2" xfId="37274" xr:uid="{00000000-0005-0000-0000-000057900000}"/>
    <cellStyle name="Normal 2 3 3 2 2 3 4 2 3" xfId="37275" xr:uid="{00000000-0005-0000-0000-000058900000}"/>
    <cellStyle name="Normal 2 3 3 2 2 3 4 3" xfId="37276" xr:uid="{00000000-0005-0000-0000-000059900000}"/>
    <cellStyle name="Normal 2 3 3 2 2 3 4 4" xfId="37277" xr:uid="{00000000-0005-0000-0000-00005A900000}"/>
    <cellStyle name="Normal 2 3 3 2 2 3 4 5" xfId="37278" xr:uid="{00000000-0005-0000-0000-00005B900000}"/>
    <cellStyle name="Normal 2 3 3 2 2 3 4 6" xfId="37279" xr:uid="{00000000-0005-0000-0000-00005C900000}"/>
    <cellStyle name="Normal 2 3 3 2 2 3 5" xfId="37280" xr:uid="{00000000-0005-0000-0000-00005D900000}"/>
    <cellStyle name="Normal 2 3 3 2 2 3 5 2" xfId="37281" xr:uid="{00000000-0005-0000-0000-00005E900000}"/>
    <cellStyle name="Normal 2 3 3 2 2 3 5 3" xfId="37282" xr:uid="{00000000-0005-0000-0000-00005F900000}"/>
    <cellStyle name="Normal 2 3 3 2 2 3 6" xfId="37283" xr:uid="{00000000-0005-0000-0000-000060900000}"/>
    <cellStyle name="Normal 2 3 3 2 2 3 7" xfId="37284" xr:uid="{00000000-0005-0000-0000-000061900000}"/>
    <cellStyle name="Normal 2 3 3 2 2 3 8" xfId="37285" xr:uid="{00000000-0005-0000-0000-000062900000}"/>
    <cellStyle name="Normal 2 3 3 2 2 3 9" xfId="37286" xr:uid="{00000000-0005-0000-0000-000063900000}"/>
    <cellStyle name="Normal 2 3 3 2 2 4" xfId="37287" xr:uid="{00000000-0005-0000-0000-000064900000}"/>
    <cellStyle name="Normal 2 3 3 2 2 4 2" xfId="37288" xr:uid="{00000000-0005-0000-0000-000065900000}"/>
    <cellStyle name="Normal 2 3 3 2 2 4 2 2" xfId="37289" xr:uid="{00000000-0005-0000-0000-000066900000}"/>
    <cellStyle name="Normal 2 3 3 2 2 4 2 2 2" xfId="37290" xr:uid="{00000000-0005-0000-0000-000067900000}"/>
    <cellStyle name="Normal 2 3 3 2 2 4 2 2 3" xfId="37291" xr:uid="{00000000-0005-0000-0000-000068900000}"/>
    <cellStyle name="Normal 2 3 3 2 2 4 2 3" xfId="37292" xr:uid="{00000000-0005-0000-0000-000069900000}"/>
    <cellStyle name="Normal 2 3 3 2 2 4 2 4" xfId="37293" xr:uid="{00000000-0005-0000-0000-00006A900000}"/>
    <cellStyle name="Normal 2 3 3 2 2 4 2 5" xfId="37294" xr:uid="{00000000-0005-0000-0000-00006B900000}"/>
    <cellStyle name="Normal 2 3 3 2 2 4 2 6" xfId="37295" xr:uid="{00000000-0005-0000-0000-00006C900000}"/>
    <cellStyle name="Normal 2 3 3 2 2 4 3" xfId="37296" xr:uid="{00000000-0005-0000-0000-00006D900000}"/>
    <cellStyle name="Normal 2 3 3 2 2 4 3 2" xfId="37297" xr:uid="{00000000-0005-0000-0000-00006E900000}"/>
    <cellStyle name="Normal 2 3 3 2 2 4 3 3" xfId="37298" xr:uid="{00000000-0005-0000-0000-00006F900000}"/>
    <cellStyle name="Normal 2 3 3 2 2 4 4" xfId="37299" xr:uid="{00000000-0005-0000-0000-000070900000}"/>
    <cellStyle name="Normal 2 3 3 2 2 4 5" xfId="37300" xr:uid="{00000000-0005-0000-0000-000071900000}"/>
    <cellStyle name="Normal 2 3 3 2 2 4 6" xfId="37301" xr:uid="{00000000-0005-0000-0000-000072900000}"/>
    <cellStyle name="Normal 2 3 3 2 2 4 7" xfId="37302" xr:uid="{00000000-0005-0000-0000-000073900000}"/>
    <cellStyle name="Normal 2 3 3 2 2 5" xfId="37303" xr:uid="{00000000-0005-0000-0000-000074900000}"/>
    <cellStyle name="Normal 2 3 3 2 2 5 2" xfId="37304" xr:uid="{00000000-0005-0000-0000-000075900000}"/>
    <cellStyle name="Normal 2 3 3 2 2 5 2 2" xfId="37305" xr:uid="{00000000-0005-0000-0000-000076900000}"/>
    <cellStyle name="Normal 2 3 3 2 2 5 2 3" xfId="37306" xr:uid="{00000000-0005-0000-0000-000077900000}"/>
    <cellStyle name="Normal 2 3 3 2 2 5 3" xfId="37307" xr:uid="{00000000-0005-0000-0000-000078900000}"/>
    <cellStyle name="Normal 2 3 3 2 2 5 4" xfId="37308" xr:uid="{00000000-0005-0000-0000-000079900000}"/>
    <cellStyle name="Normal 2 3 3 2 2 5 5" xfId="37309" xr:uid="{00000000-0005-0000-0000-00007A900000}"/>
    <cellStyle name="Normal 2 3 3 2 2 5 6" xfId="37310" xr:uid="{00000000-0005-0000-0000-00007B900000}"/>
    <cellStyle name="Normal 2 3 3 2 2 6" xfId="37311" xr:uid="{00000000-0005-0000-0000-00007C900000}"/>
    <cellStyle name="Normal 2 3 3 2 2 6 2" xfId="37312" xr:uid="{00000000-0005-0000-0000-00007D900000}"/>
    <cellStyle name="Normal 2 3 3 2 2 6 2 2" xfId="37313" xr:uid="{00000000-0005-0000-0000-00007E900000}"/>
    <cellStyle name="Normal 2 3 3 2 2 6 2 3" xfId="37314" xr:uid="{00000000-0005-0000-0000-00007F900000}"/>
    <cellStyle name="Normal 2 3 3 2 2 6 3" xfId="37315" xr:uid="{00000000-0005-0000-0000-000080900000}"/>
    <cellStyle name="Normal 2 3 3 2 2 6 4" xfId="37316" xr:uid="{00000000-0005-0000-0000-000081900000}"/>
    <cellStyle name="Normal 2 3 3 2 2 6 5" xfId="37317" xr:uid="{00000000-0005-0000-0000-000082900000}"/>
    <cellStyle name="Normal 2 3 3 2 2 6 6" xfId="37318" xr:uid="{00000000-0005-0000-0000-000083900000}"/>
    <cellStyle name="Normal 2 3 3 2 2 7" xfId="37319" xr:uid="{00000000-0005-0000-0000-000084900000}"/>
    <cellStyle name="Normal 2 3 3 2 2 7 2" xfId="37320" xr:uid="{00000000-0005-0000-0000-000085900000}"/>
    <cellStyle name="Normal 2 3 3 2 2 7 2 2" xfId="37321" xr:uid="{00000000-0005-0000-0000-000086900000}"/>
    <cellStyle name="Normal 2 3 3 2 2 7 2 3" xfId="37322" xr:uid="{00000000-0005-0000-0000-000087900000}"/>
    <cellStyle name="Normal 2 3 3 2 2 7 3" xfId="37323" xr:uid="{00000000-0005-0000-0000-000088900000}"/>
    <cellStyle name="Normal 2 3 3 2 2 7 4" xfId="37324" xr:uid="{00000000-0005-0000-0000-000089900000}"/>
    <cellStyle name="Normal 2 3 3 2 2 7 5" xfId="37325" xr:uid="{00000000-0005-0000-0000-00008A900000}"/>
    <cellStyle name="Normal 2 3 3 2 2 7 6" xfId="37326" xr:uid="{00000000-0005-0000-0000-00008B900000}"/>
    <cellStyle name="Normal 2 3 3 2 2 8" xfId="37327" xr:uid="{00000000-0005-0000-0000-00008C900000}"/>
    <cellStyle name="Normal 2 3 3 2 2 8 2" xfId="37328" xr:uid="{00000000-0005-0000-0000-00008D900000}"/>
    <cellStyle name="Normal 2 3 3 2 2 8 2 2" xfId="37329" xr:uid="{00000000-0005-0000-0000-00008E900000}"/>
    <cellStyle name="Normal 2 3 3 2 2 8 2 3" xfId="37330" xr:uid="{00000000-0005-0000-0000-00008F900000}"/>
    <cellStyle name="Normal 2 3 3 2 2 8 3" xfId="37331" xr:uid="{00000000-0005-0000-0000-000090900000}"/>
    <cellStyle name="Normal 2 3 3 2 2 8 4" xfId="37332" xr:uid="{00000000-0005-0000-0000-000091900000}"/>
    <cellStyle name="Normal 2 3 3 2 2 8 5" xfId="37333" xr:uid="{00000000-0005-0000-0000-000092900000}"/>
    <cellStyle name="Normal 2 3 3 2 2 8 6" xfId="37334" xr:uid="{00000000-0005-0000-0000-000093900000}"/>
    <cellStyle name="Normal 2 3 3 2 2 9" xfId="37335" xr:uid="{00000000-0005-0000-0000-000094900000}"/>
    <cellStyle name="Normal 2 3 3 2 2 9 2" xfId="37336" xr:uid="{00000000-0005-0000-0000-000095900000}"/>
    <cellStyle name="Normal 2 3 3 2 2 9 3" xfId="37337" xr:uid="{00000000-0005-0000-0000-000096900000}"/>
    <cellStyle name="Normal 2 3 3 2 3" xfId="37338" xr:uid="{00000000-0005-0000-0000-000097900000}"/>
    <cellStyle name="Normal 2 3 3 2 3 10" xfId="37339" xr:uid="{00000000-0005-0000-0000-000098900000}"/>
    <cellStyle name="Normal 2 3 3 2 3 2" xfId="37340" xr:uid="{00000000-0005-0000-0000-000099900000}"/>
    <cellStyle name="Normal 2 3 3 2 3 2 2" xfId="37341" xr:uid="{00000000-0005-0000-0000-00009A900000}"/>
    <cellStyle name="Normal 2 3 3 2 3 2 2 2" xfId="37342" xr:uid="{00000000-0005-0000-0000-00009B900000}"/>
    <cellStyle name="Normal 2 3 3 2 3 2 2 2 2" xfId="37343" xr:uid="{00000000-0005-0000-0000-00009C900000}"/>
    <cellStyle name="Normal 2 3 3 2 3 2 2 2 3" xfId="37344" xr:uid="{00000000-0005-0000-0000-00009D900000}"/>
    <cellStyle name="Normal 2 3 3 2 3 2 2 3" xfId="37345" xr:uid="{00000000-0005-0000-0000-00009E900000}"/>
    <cellStyle name="Normal 2 3 3 2 3 2 2 4" xfId="37346" xr:uid="{00000000-0005-0000-0000-00009F900000}"/>
    <cellStyle name="Normal 2 3 3 2 3 2 2 5" xfId="37347" xr:uid="{00000000-0005-0000-0000-0000A0900000}"/>
    <cellStyle name="Normal 2 3 3 2 3 2 2 6" xfId="37348" xr:uid="{00000000-0005-0000-0000-0000A1900000}"/>
    <cellStyle name="Normal 2 3 3 2 3 2 3" xfId="37349" xr:uid="{00000000-0005-0000-0000-0000A2900000}"/>
    <cellStyle name="Normal 2 3 3 2 3 2 3 2" xfId="37350" xr:uid="{00000000-0005-0000-0000-0000A3900000}"/>
    <cellStyle name="Normal 2 3 3 2 3 2 3 2 2" xfId="37351" xr:uid="{00000000-0005-0000-0000-0000A4900000}"/>
    <cellStyle name="Normal 2 3 3 2 3 2 3 2 3" xfId="37352" xr:uid="{00000000-0005-0000-0000-0000A5900000}"/>
    <cellStyle name="Normal 2 3 3 2 3 2 3 3" xfId="37353" xr:uid="{00000000-0005-0000-0000-0000A6900000}"/>
    <cellStyle name="Normal 2 3 3 2 3 2 3 4" xfId="37354" xr:uid="{00000000-0005-0000-0000-0000A7900000}"/>
    <cellStyle name="Normal 2 3 3 2 3 2 3 5" xfId="37355" xr:uid="{00000000-0005-0000-0000-0000A8900000}"/>
    <cellStyle name="Normal 2 3 3 2 3 2 3 6" xfId="37356" xr:uid="{00000000-0005-0000-0000-0000A9900000}"/>
    <cellStyle name="Normal 2 3 3 2 3 2 4" xfId="37357" xr:uid="{00000000-0005-0000-0000-0000AA900000}"/>
    <cellStyle name="Normal 2 3 3 2 3 2 4 2" xfId="37358" xr:uid="{00000000-0005-0000-0000-0000AB900000}"/>
    <cellStyle name="Normal 2 3 3 2 3 2 4 3" xfId="37359" xr:uid="{00000000-0005-0000-0000-0000AC900000}"/>
    <cellStyle name="Normal 2 3 3 2 3 2 5" xfId="37360" xr:uid="{00000000-0005-0000-0000-0000AD900000}"/>
    <cellStyle name="Normal 2 3 3 2 3 2 6" xfId="37361" xr:uid="{00000000-0005-0000-0000-0000AE900000}"/>
    <cellStyle name="Normal 2 3 3 2 3 2 7" xfId="37362" xr:uid="{00000000-0005-0000-0000-0000AF900000}"/>
    <cellStyle name="Normal 2 3 3 2 3 2 8" xfId="37363" xr:uid="{00000000-0005-0000-0000-0000B0900000}"/>
    <cellStyle name="Normal 2 3 3 2 3 3" xfId="37364" xr:uid="{00000000-0005-0000-0000-0000B1900000}"/>
    <cellStyle name="Normal 2 3 3 2 3 3 2" xfId="37365" xr:uid="{00000000-0005-0000-0000-0000B2900000}"/>
    <cellStyle name="Normal 2 3 3 2 3 3 2 2" xfId="37366" xr:uid="{00000000-0005-0000-0000-0000B3900000}"/>
    <cellStyle name="Normal 2 3 3 2 3 3 2 2 2" xfId="37367" xr:uid="{00000000-0005-0000-0000-0000B4900000}"/>
    <cellStyle name="Normal 2 3 3 2 3 3 2 2 3" xfId="37368" xr:uid="{00000000-0005-0000-0000-0000B5900000}"/>
    <cellStyle name="Normal 2 3 3 2 3 3 2 3" xfId="37369" xr:uid="{00000000-0005-0000-0000-0000B6900000}"/>
    <cellStyle name="Normal 2 3 3 2 3 3 2 4" xfId="37370" xr:uid="{00000000-0005-0000-0000-0000B7900000}"/>
    <cellStyle name="Normal 2 3 3 2 3 3 2 5" xfId="37371" xr:uid="{00000000-0005-0000-0000-0000B8900000}"/>
    <cellStyle name="Normal 2 3 3 2 3 3 2 6" xfId="37372" xr:uid="{00000000-0005-0000-0000-0000B9900000}"/>
    <cellStyle name="Normal 2 3 3 2 3 3 3" xfId="37373" xr:uid="{00000000-0005-0000-0000-0000BA900000}"/>
    <cellStyle name="Normal 2 3 3 2 3 3 3 2" xfId="37374" xr:uid="{00000000-0005-0000-0000-0000BB900000}"/>
    <cellStyle name="Normal 2 3 3 2 3 3 3 3" xfId="37375" xr:uid="{00000000-0005-0000-0000-0000BC900000}"/>
    <cellStyle name="Normal 2 3 3 2 3 3 4" xfId="37376" xr:uid="{00000000-0005-0000-0000-0000BD900000}"/>
    <cellStyle name="Normal 2 3 3 2 3 3 5" xfId="37377" xr:uid="{00000000-0005-0000-0000-0000BE900000}"/>
    <cellStyle name="Normal 2 3 3 2 3 3 6" xfId="37378" xr:uid="{00000000-0005-0000-0000-0000BF900000}"/>
    <cellStyle name="Normal 2 3 3 2 3 3 7" xfId="37379" xr:uid="{00000000-0005-0000-0000-0000C0900000}"/>
    <cellStyle name="Normal 2 3 3 2 3 4" xfId="37380" xr:uid="{00000000-0005-0000-0000-0000C1900000}"/>
    <cellStyle name="Normal 2 3 3 2 3 4 2" xfId="37381" xr:uid="{00000000-0005-0000-0000-0000C2900000}"/>
    <cellStyle name="Normal 2 3 3 2 3 4 2 2" xfId="37382" xr:uid="{00000000-0005-0000-0000-0000C3900000}"/>
    <cellStyle name="Normal 2 3 3 2 3 4 2 3" xfId="37383" xr:uid="{00000000-0005-0000-0000-0000C4900000}"/>
    <cellStyle name="Normal 2 3 3 2 3 4 3" xfId="37384" xr:uid="{00000000-0005-0000-0000-0000C5900000}"/>
    <cellStyle name="Normal 2 3 3 2 3 4 4" xfId="37385" xr:uid="{00000000-0005-0000-0000-0000C6900000}"/>
    <cellStyle name="Normal 2 3 3 2 3 4 5" xfId="37386" xr:uid="{00000000-0005-0000-0000-0000C7900000}"/>
    <cellStyle name="Normal 2 3 3 2 3 4 6" xfId="37387" xr:uid="{00000000-0005-0000-0000-0000C8900000}"/>
    <cellStyle name="Normal 2 3 3 2 3 5" xfId="37388" xr:uid="{00000000-0005-0000-0000-0000C9900000}"/>
    <cellStyle name="Normal 2 3 3 2 3 5 2" xfId="37389" xr:uid="{00000000-0005-0000-0000-0000CA900000}"/>
    <cellStyle name="Normal 2 3 3 2 3 5 2 2" xfId="37390" xr:uid="{00000000-0005-0000-0000-0000CB900000}"/>
    <cellStyle name="Normal 2 3 3 2 3 5 2 3" xfId="37391" xr:uid="{00000000-0005-0000-0000-0000CC900000}"/>
    <cellStyle name="Normal 2 3 3 2 3 5 3" xfId="37392" xr:uid="{00000000-0005-0000-0000-0000CD900000}"/>
    <cellStyle name="Normal 2 3 3 2 3 5 4" xfId="37393" xr:uid="{00000000-0005-0000-0000-0000CE900000}"/>
    <cellStyle name="Normal 2 3 3 2 3 5 5" xfId="37394" xr:uid="{00000000-0005-0000-0000-0000CF900000}"/>
    <cellStyle name="Normal 2 3 3 2 3 5 6" xfId="37395" xr:uid="{00000000-0005-0000-0000-0000D0900000}"/>
    <cellStyle name="Normal 2 3 3 2 3 6" xfId="37396" xr:uid="{00000000-0005-0000-0000-0000D1900000}"/>
    <cellStyle name="Normal 2 3 3 2 3 6 2" xfId="37397" xr:uid="{00000000-0005-0000-0000-0000D2900000}"/>
    <cellStyle name="Normal 2 3 3 2 3 6 3" xfId="37398" xr:uid="{00000000-0005-0000-0000-0000D3900000}"/>
    <cellStyle name="Normal 2 3 3 2 3 7" xfId="37399" xr:uid="{00000000-0005-0000-0000-0000D4900000}"/>
    <cellStyle name="Normal 2 3 3 2 3 8" xfId="37400" xr:uid="{00000000-0005-0000-0000-0000D5900000}"/>
    <cellStyle name="Normal 2 3 3 2 3 9" xfId="37401" xr:uid="{00000000-0005-0000-0000-0000D6900000}"/>
    <cellStyle name="Normal 2 3 3 2 4" xfId="37402" xr:uid="{00000000-0005-0000-0000-0000D7900000}"/>
    <cellStyle name="Normal 2 3 3 2 4 2" xfId="37403" xr:uid="{00000000-0005-0000-0000-0000D8900000}"/>
    <cellStyle name="Normal 2 3 3 2 4 2 2" xfId="37404" xr:uid="{00000000-0005-0000-0000-0000D9900000}"/>
    <cellStyle name="Normal 2 3 3 2 4 2 2 2" xfId="37405" xr:uid="{00000000-0005-0000-0000-0000DA900000}"/>
    <cellStyle name="Normal 2 3 3 2 4 2 2 2 2" xfId="37406" xr:uid="{00000000-0005-0000-0000-0000DB900000}"/>
    <cellStyle name="Normal 2 3 3 2 4 2 2 2 3" xfId="37407" xr:uid="{00000000-0005-0000-0000-0000DC900000}"/>
    <cellStyle name="Normal 2 3 3 2 4 2 2 3" xfId="37408" xr:uid="{00000000-0005-0000-0000-0000DD900000}"/>
    <cellStyle name="Normal 2 3 3 2 4 2 2 4" xfId="37409" xr:uid="{00000000-0005-0000-0000-0000DE900000}"/>
    <cellStyle name="Normal 2 3 3 2 4 2 2 5" xfId="37410" xr:uid="{00000000-0005-0000-0000-0000DF900000}"/>
    <cellStyle name="Normal 2 3 3 2 4 2 2 6" xfId="37411" xr:uid="{00000000-0005-0000-0000-0000E0900000}"/>
    <cellStyle name="Normal 2 3 3 2 4 2 3" xfId="37412" xr:uid="{00000000-0005-0000-0000-0000E1900000}"/>
    <cellStyle name="Normal 2 3 3 2 4 2 3 2" xfId="37413" xr:uid="{00000000-0005-0000-0000-0000E2900000}"/>
    <cellStyle name="Normal 2 3 3 2 4 2 3 3" xfId="37414" xr:uid="{00000000-0005-0000-0000-0000E3900000}"/>
    <cellStyle name="Normal 2 3 3 2 4 2 4" xfId="37415" xr:uid="{00000000-0005-0000-0000-0000E4900000}"/>
    <cellStyle name="Normal 2 3 3 2 4 2 5" xfId="37416" xr:uid="{00000000-0005-0000-0000-0000E5900000}"/>
    <cellStyle name="Normal 2 3 3 2 4 2 6" xfId="37417" xr:uid="{00000000-0005-0000-0000-0000E6900000}"/>
    <cellStyle name="Normal 2 3 3 2 4 2 7" xfId="37418" xr:uid="{00000000-0005-0000-0000-0000E7900000}"/>
    <cellStyle name="Normal 2 3 3 2 4 3" xfId="37419" xr:uid="{00000000-0005-0000-0000-0000E8900000}"/>
    <cellStyle name="Normal 2 3 3 2 4 3 2" xfId="37420" xr:uid="{00000000-0005-0000-0000-0000E9900000}"/>
    <cellStyle name="Normal 2 3 3 2 4 3 2 2" xfId="37421" xr:uid="{00000000-0005-0000-0000-0000EA900000}"/>
    <cellStyle name="Normal 2 3 3 2 4 3 2 3" xfId="37422" xr:uid="{00000000-0005-0000-0000-0000EB900000}"/>
    <cellStyle name="Normal 2 3 3 2 4 3 3" xfId="37423" xr:uid="{00000000-0005-0000-0000-0000EC900000}"/>
    <cellStyle name="Normal 2 3 3 2 4 3 4" xfId="37424" xr:uid="{00000000-0005-0000-0000-0000ED900000}"/>
    <cellStyle name="Normal 2 3 3 2 4 3 5" xfId="37425" xr:uid="{00000000-0005-0000-0000-0000EE900000}"/>
    <cellStyle name="Normal 2 3 3 2 4 3 6" xfId="37426" xr:uid="{00000000-0005-0000-0000-0000EF900000}"/>
    <cellStyle name="Normal 2 3 3 2 4 4" xfId="37427" xr:uid="{00000000-0005-0000-0000-0000F0900000}"/>
    <cellStyle name="Normal 2 3 3 2 4 4 2" xfId="37428" xr:uid="{00000000-0005-0000-0000-0000F1900000}"/>
    <cellStyle name="Normal 2 3 3 2 4 4 2 2" xfId="37429" xr:uid="{00000000-0005-0000-0000-0000F2900000}"/>
    <cellStyle name="Normal 2 3 3 2 4 4 2 3" xfId="37430" xr:uid="{00000000-0005-0000-0000-0000F3900000}"/>
    <cellStyle name="Normal 2 3 3 2 4 4 3" xfId="37431" xr:uid="{00000000-0005-0000-0000-0000F4900000}"/>
    <cellStyle name="Normal 2 3 3 2 4 4 4" xfId="37432" xr:uid="{00000000-0005-0000-0000-0000F5900000}"/>
    <cellStyle name="Normal 2 3 3 2 4 4 5" xfId="37433" xr:uid="{00000000-0005-0000-0000-0000F6900000}"/>
    <cellStyle name="Normal 2 3 3 2 4 4 6" xfId="37434" xr:uid="{00000000-0005-0000-0000-0000F7900000}"/>
    <cellStyle name="Normal 2 3 3 2 4 5" xfId="37435" xr:uid="{00000000-0005-0000-0000-0000F8900000}"/>
    <cellStyle name="Normal 2 3 3 2 4 5 2" xfId="37436" xr:uid="{00000000-0005-0000-0000-0000F9900000}"/>
    <cellStyle name="Normal 2 3 3 2 4 5 3" xfId="37437" xr:uid="{00000000-0005-0000-0000-0000FA900000}"/>
    <cellStyle name="Normal 2 3 3 2 4 6" xfId="37438" xr:uid="{00000000-0005-0000-0000-0000FB900000}"/>
    <cellStyle name="Normal 2 3 3 2 4 7" xfId="37439" xr:uid="{00000000-0005-0000-0000-0000FC900000}"/>
    <cellStyle name="Normal 2 3 3 2 4 8" xfId="37440" xr:uid="{00000000-0005-0000-0000-0000FD900000}"/>
    <cellStyle name="Normal 2 3 3 2 4 9" xfId="37441" xr:uid="{00000000-0005-0000-0000-0000FE900000}"/>
    <cellStyle name="Normal 2 3 3 2 5" xfId="37442" xr:uid="{00000000-0005-0000-0000-0000FF900000}"/>
    <cellStyle name="Normal 2 3 3 2 5 2" xfId="37443" xr:uid="{00000000-0005-0000-0000-000000910000}"/>
    <cellStyle name="Normal 2 3 3 2 5 2 2" xfId="37444" xr:uid="{00000000-0005-0000-0000-000001910000}"/>
    <cellStyle name="Normal 2 3 3 2 5 2 2 2" xfId="37445" xr:uid="{00000000-0005-0000-0000-000002910000}"/>
    <cellStyle name="Normal 2 3 3 2 5 2 2 3" xfId="37446" xr:uid="{00000000-0005-0000-0000-000003910000}"/>
    <cellStyle name="Normal 2 3 3 2 5 2 3" xfId="37447" xr:uid="{00000000-0005-0000-0000-000004910000}"/>
    <cellStyle name="Normal 2 3 3 2 5 2 4" xfId="37448" xr:uid="{00000000-0005-0000-0000-000005910000}"/>
    <cellStyle name="Normal 2 3 3 2 5 2 5" xfId="37449" xr:uid="{00000000-0005-0000-0000-000006910000}"/>
    <cellStyle name="Normal 2 3 3 2 5 2 6" xfId="37450" xr:uid="{00000000-0005-0000-0000-000007910000}"/>
    <cellStyle name="Normal 2 3 3 2 5 3" xfId="37451" xr:uid="{00000000-0005-0000-0000-000008910000}"/>
    <cellStyle name="Normal 2 3 3 2 5 3 2" xfId="37452" xr:uid="{00000000-0005-0000-0000-000009910000}"/>
    <cellStyle name="Normal 2 3 3 2 5 3 3" xfId="37453" xr:uid="{00000000-0005-0000-0000-00000A910000}"/>
    <cellStyle name="Normal 2 3 3 2 5 4" xfId="37454" xr:uid="{00000000-0005-0000-0000-00000B910000}"/>
    <cellStyle name="Normal 2 3 3 2 5 5" xfId="37455" xr:uid="{00000000-0005-0000-0000-00000C910000}"/>
    <cellStyle name="Normal 2 3 3 2 5 6" xfId="37456" xr:uid="{00000000-0005-0000-0000-00000D910000}"/>
    <cellStyle name="Normal 2 3 3 2 5 7" xfId="37457" xr:uid="{00000000-0005-0000-0000-00000E910000}"/>
    <cellStyle name="Normal 2 3 3 2 6" xfId="37458" xr:uid="{00000000-0005-0000-0000-00000F910000}"/>
    <cellStyle name="Normal 2 3 3 2 6 2" xfId="37459" xr:uid="{00000000-0005-0000-0000-000010910000}"/>
    <cellStyle name="Normal 2 3 3 2 6 2 2" xfId="37460" xr:uid="{00000000-0005-0000-0000-000011910000}"/>
    <cellStyle name="Normal 2 3 3 2 6 2 3" xfId="37461" xr:uid="{00000000-0005-0000-0000-000012910000}"/>
    <cellStyle name="Normal 2 3 3 2 6 3" xfId="37462" xr:uid="{00000000-0005-0000-0000-000013910000}"/>
    <cellStyle name="Normal 2 3 3 2 6 4" xfId="37463" xr:uid="{00000000-0005-0000-0000-000014910000}"/>
    <cellStyle name="Normal 2 3 3 2 6 5" xfId="37464" xr:uid="{00000000-0005-0000-0000-000015910000}"/>
    <cellStyle name="Normal 2 3 3 2 6 6" xfId="37465" xr:uid="{00000000-0005-0000-0000-000016910000}"/>
    <cellStyle name="Normal 2 3 3 2 7" xfId="37466" xr:uid="{00000000-0005-0000-0000-000017910000}"/>
    <cellStyle name="Normal 2 3 3 2 7 2" xfId="37467" xr:uid="{00000000-0005-0000-0000-000018910000}"/>
    <cellStyle name="Normal 2 3 3 2 7 2 2" xfId="37468" xr:uid="{00000000-0005-0000-0000-000019910000}"/>
    <cellStyle name="Normal 2 3 3 2 7 2 3" xfId="37469" xr:uid="{00000000-0005-0000-0000-00001A910000}"/>
    <cellStyle name="Normal 2 3 3 2 7 3" xfId="37470" xr:uid="{00000000-0005-0000-0000-00001B910000}"/>
    <cellStyle name="Normal 2 3 3 2 7 4" xfId="37471" xr:uid="{00000000-0005-0000-0000-00001C910000}"/>
    <cellStyle name="Normal 2 3 3 2 7 5" xfId="37472" xr:uid="{00000000-0005-0000-0000-00001D910000}"/>
    <cellStyle name="Normal 2 3 3 2 7 6" xfId="37473" xr:uid="{00000000-0005-0000-0000-00001E910000}"/>
    <cellStyle name="Normal 2 3 3 2 8" xfId="37474" xr:uid="{00000000-0005-0000-0000-00001F910000}"/>
    <cellStyle name="Normal 2 3 3 2 8 2" xfId="37475" xr:uid="{00000000-0005-0000-0000-000020910000}"/>
    <cellStyle name="Normal 2 3 3 2 8 2 2" xfId="37476" xr:uid="{00000000-0005-0000-0000-000021910000}"/>
    <cellStyle name="Normal 2 3 3 2 8 2 3" xfId="37477" xr:uid="{00000000-0005-0000-0000-000022910000}"/>
    <cellStyle name="Normal 2 3 3 2 8 3" xfId="37478" xr:uid="{00000000-0005-0000-0000-000023910000}"/>
    <cellStyle name="Normal 2 3 3 2 8 4" xfId="37479" xr:uid="{00000000-0005-0000-0000-000024910000}"/>
    <cellStyle name="Normal 2 3 3 2 8 5" xfId="37480" xr:uid="{00000000-0005-0000-0000-000025910000}"/>
    <cellStyle name="Normal 2 3 3 2 8 6" xfId="37481" xr:uid="{00000000-0005-0000-0000-000026910000}"/>
    <cellStyle name="Normal 2 3 3 2 9" xfId="37482" xr:uid="{00000000-0005-0000-0000-000027910000}"/>
    <cellStyle name="Normal 2 3 3 2 9 2" xfId="37483" xr:uid="{00000000-0005-0000-0000-000028910000}"/>
    <cellStyle name="Normal 2 3 3 2 9 2 2" xfId="37484" xr:uid="{00000000-0005-0000-0000-000029910000}"/>
    <cellStyle name="Normal 2 3 3 2 9 2 3" xfId="37485" xr:uid="{00000000-0005-0000-0000-00002A910000}"/>
    <cellStyle name="Normal 2 3 3 2 9 3" xfId="37486" xr:uid="{00000000-0005-0000-0000-00002B910000}"/>
    <cellStyle name="Normal 2 3 3 2 9 4" xfId="37487" xr:uid="{00000000-0005-0000-0000-00002C910000}"/>
    <cellStyle name="Normal 2 3 3 2 9 5" xfId="37488" xr:uid="{00000000-0005-0000-0000-00002D910000}"/>
    <cellStyle name="Normal 2 3 3 2 9 6" xfId="37489" xr:uid="{00000000-0005-0000-0000-00002E910000}"/>
    <cellStyle name="Normal 2 3 3 3" xfId="37490" xr:uid="{00000000-0005-0000-0000-00002F910000}"/>
    <cellStyle name="Normal 2 3 3 3 10" xfId="37491" xr:uid="{00000000-0005-0000-0000-000030910000}"/>
    <cellStyle name="Normal 2 3 3 3 11" xfId="37492" xr:uid="{00000000-0005-0000-0000-000031910000}"/>
    <cellStyle name="Normal 2 3 3 3 12" xfId="37493" xr:uid="{00000000-0005-0000-0000-000032910000}"/>
    <cellStyle name="Normal 2 3 3 3 13" xfId="37494" xr:uid="{00000000-0005-0000-0000-000033910000}"/>
    <cellStyle name="Normal 2 3 3 3 2" xfId="37495" xr:uid="{00000000-0005-0000-0000-000034910000}"/>
    <cellStyle name="Normal 2 3 3 3 2 10" xfId="37496" xr:uid="{00000000-0005-0000-0000-000035910000}"/>
    <cellStyle name="Normal 2 3 3 3 2 2" xfId="37497" xr:uid="{00000000-0005-0000-0000-000036910000}"/>
    <cellStyle name="Normal 2 3 3 3 2 2 2" xfId="37498" xr:uid="{00000000-0005-0000-0000-000037910000}"/>
    <cellStyle name="Normal 2 3 3 3 2 2 2 2" xfId="37499" xr:uid="{00000000-0005-0000-0000-000038910000}"/>
    <cellStyle name="Normal 2 3 3 3 2 2 2 2 2" xfId="37500" xr:uid="{00000000-0005-0000-0000-000039910000}"/>
    <cellStyle name="Normal 2 3 3 3 2 2 2 2 3" xfId="37501" xr:uid="{00000000-0005-0000-0000-00003A910000}"/>
    <cellStyle name="Normal 2 3 3 3 2 2 2 3" xfId="37502" xr:uid="{00000000-0005-0000-0000-00003B910000}"/>
    <cellStyle name="Normal 2 3 3 3 2 2 2 4" xfId="37503" xr:uid="{00000000-0005-0000-0000-00003C910000}"/>
    <cellStyle name="Normal 2 3 3 3 2 2 2 5" xfId="37504" xr:uid="{00000000-0005-0000-0000-00003D910000}"/>
    <cellStyle name="Normal 2 3 3 3 2 2 2 6" xfId="37505" xr:uid="{00000000-0005-0000-0000-00003E910000}"/>
    <cellStyle name="Normal 2 3 3 3 2 2 3" xfId="37506" xr:uid="{00000000-0005-0000-0000-00003F910000}"/>
    <cellStyle name="Normal 2 3 3 3 2 2 3 2" xfId="37507" xr:uid="{00000000-0005-0000-0000-000040910000}"/>
    <cellStyle name="Normal 2 3 3 3 2 2 3 2 2" xfId="37508" xr:uid="{00000000-0005-0000-0000-000041910000}"/>
    <cellStyle name="Normal 2 3 3 3 2 2 3 2 3" xfId="37509" xr:uid="{00000000-0005-0000-0000-000042910000}"/>
    <cellStyle name="Normal 2 3 3 3 2 2 3 3" xfId="37510" xr:uid="{00000000-0005-0000-0000-000043910000}"/>
    <cellStyle name="Normal 2 3 3 3 2 2 3 4" xfId="37511" xr:uid="{00000000-0005-0000-0000-000044910000}"/>
    <cellStyle name="Normal 2 3 3 3 2 2 3 5" xfId="37512" xr:uid="{00000000-0005-0000-0000-000045910000}"/>
    <cellStyle name="Normal 2 3 3 3 2 2 3 6" xfId="37513" xr:uid="{00000000-0005-0000-0000-000046910000}"/>
    <cellStyle name="Normal 2 3 3 3 2 2 4" xfId="37514" xr:uid="{00000000-0005-0000-0000-000047910000}"/>
    <cellStyle name="Normal 2 3 3 3 2 2 4 2" xfId="37515" xr:uid="{00000000-0005-0000-0000-000048910000}"/>
    <cellStyle name="Normal 2 3 3 3 2 2 4 3" xfId="37516" xr:uid="{00000000-0005-0000-0000-000049910000}"/>
    <cellStyle name="Normal 2 3 3 3 2 2 5" xfId="37517" xr:uid="{00000000-0005-0000-0000-00004A910000}"/>
    <cellStyle name="Normal 2 3 3 3 2 2 6" xfId="37518" xr:uid="{00000000-0005-0000-0000-00004B910000}"/>
    <cellStyle name="Normal 2 3 3 3 2 2 7" xfId="37519" xr:uid="{00000000-0005-0000-0000-00004C910000}"/>
    <cellStyle name="Normal 2 3 3 3 2 2 8" xfId="37520" xr:uid="{00000000-0005-0000-0000-00004D910000}"/>
    <cellStyle name="Normal 2 3 3 3 2 3" xfId="37521" xr:uid="{00000000-0005-0000-0000-00004E910000}"/>
    <cellStyle name="Normal 2 3 3 3 2 3 2" xfId="37522" xr:uid="{00000000-0005-0000-0000-00004F910000}"/>
    <cellStyle name="Normal 2 3 3 3 2 3 2 2" xfId="37523" xr:uid="{00000000-0005-0000-0000-000050910000}"/>
    <cellStyle name="Normal 2 3 3 3 2 3 2 2 2" xfId="37524" xr:uid="{00000000-0005-0000-0000-000051910000}"/>
    <cellStyle name="Normal 2 3 3 3 2 3 2 2 3" xfId="37525" xr:uid="{00000000-0005-0000-0000-000052910000}"/>
    <cellStyle name="Normal 2 3 3 3 2 3 2 3" xfId="37526" xr:uid="{00000000-0005-0000-0000-000053910000}"/>
    <cellStyle name="Normal 2 3 3 3 2 3 2 4" xfId="37527" xr:uid="{00000000-0005-0000-0000-000054910000}"/>
    <cellStyle name="Normal 2 3 3 3 2 3 2 5" xfId="37528" xr:uid="{00000000-0005-0000-0000-000055910000}"/>
    <cellStyle name="Normal 2 3 3 3 2 3 2 6" xfId="37529" xr:uid="{00000000-0005-0000-0000-000056910000}"/>
    <cellStyle name="Normal 2 3 3 3 2 3 3" xfId="37530" xr:uid="{00000000-0005-0000-0000-000057910000}"/>
    <cellStyle name="Normal 2 3 3 3 2 3 3 2" xfId="37531" xr:uid="{00000000-0005-0000-0000-000058910000}"/>
    <cellStyle name="Normal 2 3 3 3 2 3 3 3" xfId="37532" xr:uid="{00000000-0005-0000-0000-000059910000}"/>
    <cellStyle name="Normal 2 3 3 3 2 3 4" xfId="37533" xr:uid="{00000000-0005-0000-0000-00005A910000}"/>
    <cellStyle name="Normal 2 3 3 3 2 3 5" xfId="37534" xr:uid="{00000000-0005-0000-0000-00005B910000}"/>
    <cellStyle name="Normal 2 3 3 3 2 3 6" xfId="37535" xr:uid="{00000000-0005-0000-0000-00005C910000}"/>
    <cellStyle name="Normal 2 3 3 3 2 3 7" xfId="37536" xr:uid="{00000000-0005-0000-0000-00005D910000}"/>
    <cellStyle name="Normal 2 3 3 3 2 4" xfId="37537" xr:uid="{00000000-0005-0000-0000-00005E910000}"/>
    <cellStyle name="Normal 2 3 3 3 2 4 2" xfId="37538" xr:uid="{00000000-0005-0000-0000-00005F910000}"/>
    <cellStyle name="Normal 2 3 3 3 2 4 2 2" xfId="37539" xr:uid="{00000000-0005-0000-0000-000060910000}"/>
    <cellStyle name="Normal 2 3 3 3 2 4 2 3" xfId="37540" xr:uid="{00000000-0005-0000-0000-000061910000}"/>
    <cellStyle name="Normal 2 3 3 3 2 4 3" xfId="37541" xr:uid="{00000000-0005-0000-0000-000062910000}"/>
    <cellStyle name="Normal 2 3 3 3 2 4 4" xfId="37542" xr:uid="{00000000-0005-0000-0000-000063910000}"/>
    <cellStyle name="Normal 2 3 3 3 2 4 5" xfId="37543" xr:uid="{00000000-0005-0000-0000-000064910000}"/>
    <cellStyle name="Normal 2 3 3 3 2 4 6" xfId="37544" xr:uid="{00000000-0005-0000-0000-000065910000}"/>
    <cellStyle name="Normal 2 3 3 3 2 5" xfId="37545" xr:uid="{00000000-0005-0000-0000-000066910000}"/>
    <cellStyle name="Normal 2 3 3 3 2 5 2" xfId="37546" xr:uid="{00000000-0005-0000-0000-000067910000}"/>
    <cellStyle name="Normal 2 3 3 3 2 5 2 2" xfId="37547" xr:uid="{00000000-0005-0000-0000-000068910000}"/>
    <cellStyle name="Normal 2 3 3 3 2 5 2 3" xfId="37548" xr:uid="{00000000-0005-0000-0000-000069910000}"/>
    <cellStyle name="Normal 2 3 3 3 2 5 3" xfId="37549" xr:uid="{00000000-0005-0000-0000-00006A910000}"/>
    <cellStyle name="Normal 2 3 3 3 2 5 4" xfId="37550" xr:uid="{00000000-0005-0000-0000-00006B910000}"/>
    <cellStyle name="Normal 2 3 3 3 2 5 5" xfId="37551" xr:uid="{00000000-0005-0000-0000-00006C910000}"/>
    <cellStyle name="Normal 2 3 3 3 2 5 6" xfId="37552" xr:uid="{00000000-0005-0000-0000-00006D910000}"/>
    <cellStyle name="Normal 2 3 3 3 2 6" xfId="37553" xr:uid="{00000000-0005-0000-0000-00006E910000}"/>
    <cellStyle name="Normal 2 3 3 3 2 6 2" xfId="37554" xr:uid="{00000000-0005-0000-0000-00006F910000}"/>
    <cellStyle name="Normal 2 3 3 3 2 6 3" xfId="37555" xr:uid="{00000000-0005-0000-0000-000070910000}"/>
    <cellStyle name="Normal 2 3 3 3 2 7" xfId="37556" xr:uid="{00000000-0005-0000-0000-000071910000}"/>
    <cellStyle name="Normal 2 3 3 3 2 8" xfId="37557" xr:uid="{00000000-0005-0000-0000-000072910000}"/>
    <cellStyle name="Normal 2 3 3 3 2 9" xfId="37558" xr:uid="{00000000-0005-0000-0000-000073910000}"/>
    <cellStyle name="Normal 2 3 3 3 3" xfId="37559" xr:uid="{00000000-0005-0000-0000-000074910000}"/>
    <cellStyle name="Normal 2 3 3 3 3 2" xfId="37560" xr:uid="{00000000-0005-0000-0000-000075910000}"/>
    <cellStyle name="Normal 2 3 3 3 3 2 2" xfId="37561" xr:uid="{00000000-0005-0000-0000-000076910000}"/>
    <cellStyle name="Normal 2 3 3 3 3 2 2 2" xfId="37562" xr:uid="{00000000-0005-0000-0000-000077910000}"/>
    <cellStyle name="Normal 2 3 3 3 3 2 2 2 2" xfId="37563" xr:uid="{00000000-0005-0000-0000-000078910000}"/>
    <cellStyle name="Normal 2 3 3 3 3 2 2 2 3" xfId="37564" xr:uid="{00000000-0005-0000-0000-000079910000}"/>
    <cellStyle name="Normal 2 3 3 3 3 2 2 3" xfId="37565" xr:uid="{00000000-0005-0000-0000-00007A910000}"/>
    <cellStyle name="Normal 2 3 3 3 3 2 2 4" xfId="37566" xr:uid="{00000000-0005-0000-0000-00007B910000}"/>
    <cellStyle name="Normal 2 3 3 3 3 2 2 5" xfId="37567" xr:uid="{00000000-0005-0000-0000-00007C910000}"/>
    <cellStyle name="Normal 2 3 3 3 3 2 2 6" xfId="37568" xr:uid="{00000000-0005-0000-0000-00007D910000}"/>
    <cellStyle name="Normal 2 3 3 3 3 2 3" xfId="37569" xr:uid="{00000000-0005-0000-0000-00007E910000}"/>
    <cellStyle name="Normal 2 3 3 3 3 2 3 2" xfId="37570" xr:uid="{00000000-0005-0000-0000-00007F910000}"/>
    <cellStyle name="Normal 2 3 3 3 3 2 3 3" xfId="37571" xr:uid="{00000000-0005-0000-0000-000080910000}"/>
    <cellStyle name="Normal 2 3 3 3 3 2 4" xfId="37572" xr:uid="{00000000-0005-0000-0000-000081910000}"/>
    <cellStyle name="Normal 2 3 3 3 3 2 5" xfId="37573" xr:uid="{00000000-0005-0000-0000-000082910000}"/>
    <cellStyle name="Normal 2 3 3 3 3 2 6" xfId="37574" xr:uid="{00000000-0005-0000-0000-000083910000}"/>
    <cellStyle name="Normal 2 3 3 3 3 2 7" xfId="37575" xr:uid="{00000000-0005-0000-0000-000084910000}"/>
    <cellStyle name="Normal 2 3 3 3 3 3" xfId="37576" xr:uid="{00000000-0005-0000-0000-000085910000}"/>
    <cellStyle name="Normal 2 3 3 3 3 3 2" xfId="37577" xr:uid="{00000000-0005-0000-0000-000086910000}"/>
    <cellStyle name="Normal 2 3 3 3 3 3 2 2" xfId="37578" xr:uid="{00000000-0005-0000-0000-000087910000}"/>
    <cellStyle name="Normal 2 3 3 3 3 3 2 3" xfId="37579" xr:uid="{00000000-0005-0000-0000-000088910000}"/>
    <cellStyle name="Normal 2 3 3 3 3 3 3" xfId="37580" xr:uid="{00000000-0005-0000-0000-000089910000}"/>
    <cellStyle name="Normal 2 3 3 3 3 3 4" xfId="37581" xr:uid="{00000000-0005-0000-0000-00008A910000}"/>
    <cellStyle name="Normal 2 3 3 3 3 3 5" xfId="37582" xr:uid="{00000000-0005-0000-0000-00008B910000}"/>
    <cellStyle name="Normal 2 3 3 3 3 3 6" xfId="37583" xr:uid="{00000000-0005-0000-0000-00008C910000}"/>
    <cellStyle name="Normal 2 3 3 3 3 4" xfId="37584" xr:uid="{00000000-0005-0000-0000-00008D910000}"/>
    <cellStyle name="Normal 2 3 3 3 3 4 2" xfId="37585" xr:uid="{00000000-0005-0000-0000-00008E910000}"/>
    <cellStyle name="Normal 2 3 3 3 3 4 2 2" xfId="37586" xr:uid="{00000000-0005-0000-0000-00008F910000}"/>
    <cellStyle name="Normal 2 3 3 3 3 4 2 3" xfId="37587" xr:uid="{00000000-0005-0000-0000-000090910000}"/>
    <cellStyle name="Normal 2 3 3 3 3 4 3" xfId="37588" xr:uid="{00000000-0005-0000-0000-000091910000}"/>
    <cellStyle name="Normal 2 3 3 3 3 4 4" xfId="37589" xr:uid="{00000000-0005-0000-0000-000092910000}"/>
    <cellStyle name="Normal 2 3 3 3 3 4 5" xfId="37590" xr:uid="{00000000-0005-0000-0000-000093910000}"/>
    <cellStyle name="Normal 2 3 3 3 3 4 6" xfId="37591" xr:uid="{00000000-0005-0000-0000-000094910000}"/>
    <cellStyle name="Normal 2 3 3 3 3 5" xfId="37592" xr:uid="{00000000-0005-0000-0000-000095910000}"/>
    <cellStyle name="Normal 2 3 3 3 3 5 2" xfId="37593" xr:uid="{00000000-0005-0000-0000-000096910000}"/>
    <cellStyle name="Normal 2 3 3 3 3 5 3" xfId="37594" xr:uid="{00000000-0005-0000-0000-000097910000}"/>
    <cellStyle name="Normal 2 3 3 3 3 6" xfId="37595" xr:uid="{00000000-0005-0000-0000-000098910000}"/>
    <cellStyle name="Normal 2 3 3 3 3 7" xfId="37596" xr:uid="{00000000-0005-0000-0000-000099910000}"/>
    <cellStyle name="Normal 2 3 3 3 3 8" xfId="37597" xr:uid="{00000000-0005-0000-0000-00009A910000}"/>
    <cellStyle name="Normal 2 3 3 3 3 9" xfId="37598" xr:uid="{00000000-0005-0000-0000-00009B910000}"/>
    <cellStyle name="Normal 2 3 3 3 4" xfId="37599" xr:uid="{00000000-0005-0000-0000-00009C910000}"/>
    <cellStyle name="Normal 2 3 3 3 4 2" xfId="37600" xr:uid="{00000000-0005-0000-0000-00009D910000}"/>
    <cellStyle name="Normal 2 3 3 3 4 2 2" xfId="37601" xr:uid="{00000000-0005-0000-0000-00009E910000}"/>
    <cellStyle name="Normal 2 3 3 3 4 2 2 2" xfId="37602" xr:uid="{00000000-0005-0000-0000-00009F910000}"/>
    <cellStyle name="Normal 2 3 3 3 4 2 2 3" xfId="37603" xr:uid="{00000000-0005-0000-0000-0000A0910000}"/>
    <cellStyle name="Normal 2 3 3 3 4 2 3" xfId="37604" xr:uid="{00000000-0005-0000-0000-0000A1910000}"/>
    <cellStyle name="Normal 2 3 3 3 4 2 4" xfId="37605" xr:uid="{00000000-0005-0000-0000-0000A2910000}"/>
    <cellStyle name="Normal 2 3 3 3 4 2 5" xfId="37606" xr:uid="{00000000-0005-0000-0000-0000A3910000}"/>
    <cellStyle name="Normal 2 3 3 3 4 2 6" xfId="37607" xr:uid="{00000000-0005-0000-0000-0000A4910000}"/>
    <cellStyle name="Normal 2 3 3 3 4 3" xfId="37608" xr:uid="{00000000-0005-0000-0000-0000A5910000}"/>
    <cellStyle name="Normal 2 3 3 3 4 3 2" xfId="37609" xr:uid="{00000000-0005-0000-0000-0000A6910000}"/>
    <cellStyle name="Normal 2 3 3 3 4 3 3" xfId="37610" xr:uid="{00000000-0005-0000-0000-0000A7910000}"/>
    <cellStyle name="Normal 2 3 3 3 4 4" xfId="37611" xr:uid="{00000000-0005-0000-0000-0000A8910000}"/>
    <cellStyle name="Normal 2 3 3 3 4 5" xfId="37612" xr:uid="{00000000-0005-0000-0000-0000A9910000}"/>
    <cellStyle name="Normal 2 3 3 3 4 6" xfId="37613" xr:uid="{00000000-0005-0000-0000-0000AA910000}"/>
    <cellStyle name="Normal 2 3 3 3 4 7" xfId="37614" xr:uid="{00000000-0005-0000-0000-0000AB910000}"/>
    <cellStyle name="Normal 2 3 3 3 5" xfId="37615" xr:uid="{00000000-0005-0000-0000-0000AC910000}"/>
    <cellStyle name="Normal 2 3 3 3 5 2" xfId="37616" xr:uid="{00000000-0005-0000-0000-0000AD910000}"/>
    <cellStyle name="Normal 2 3 3 3 5 2 2" xfId="37617" xr:uid="{00000000-0005-0000-0000-0000AE910000}"/>
    <cellStyle name="Normal 2 3 3 3 5 2 3" xfId="37618" xr:uid="{00000000-0005-0000-0000-0000AF910000}"/>
    <cellStyle name="Normal 2 3 3 3 5 3" xfId="37619" xr:uid="{00000000-0005-0000-0000-0000B0910000}"/>
    <cellStyle name="Normal 2 3 3 3 5 4" xfId="37620" xr:uid="{00000000-0005-0000-0000-0000B1910000}"/>
    <cellStyle name="Normal 2 3 3 3 5 5" xfId="37621" xr:uid="{00000000-0005-0000-0000-0000B2910000}"/>
    <cellStyle name="Normal 2 3 3 3 5 6" xfId="37622" xr:uid="{00000000-0005-0000-0000-0000B3910000}"/>
    <cellStyle name="Normal 2 3 3 3 6" xfId="37623" xr:uid="{00000000-0005-0000-0000-0000B4910000}"/>
    <cellStyle name="Normal 2 3 3 3 6 2" xfId="37624" xr:uid="{00000000-0005-0000-0000-0000B5910000}"/>
    <cellStyle name="Normal 2 3 3 3 6 2 2" xfId="37625" xr:uid="{00000000-0005-0000-0000-0000B6910000}"/>
    <cellStyle name="Normal 2 3 3 3 6 2 3" xfId="37626" xr:uid="{00000000-0005-0000-0000-0000B7910000}"/>
    <cellStyle name="Normal 2 3 3 3 6 3" xfId="37627" xr:uid="{00000000-0005-0000-0000-0000B8910000}"/>
    <cellStyle name="Normal 2 3 3 3 6 4" xfId="37628" xr:uid="{00000000-0005-0000-0000-0000B9910000}"/>
    <cellStyle name="Normal 2 3 3 3 6 5" xfId="37629" xr:uid="{00000000-0005-0000-0000-0000BA910000}"/>
    <cellStyle name="Normal 2 3 3 3 6 6" xfId="37630" xr:uid="{00000000-0005-0000-0000-0000BB910000}"/>
    <cellStyle name="Normal 2 3 3 3 7" xfId="37631" xr:uid="{00000000-0005-0000-0000-0000BC910000}"/>
    <cellStyle name="Normal 2 3 3 3 7 2" xfId="37632" xr:uid="{00000000-0005-0000-0000-0000BD910000}"/>
    <cellStyle name="Normal 2 3 3 3 7 2 2" xfId="37633" xr:uid="{00000000-0005-0000-0000-0000BE910000}"/>
    <cellStyle name="Normal 2 3 3 3 7 2 3" xfId="37634" xr:uid="{00000000-0005-0000-0000-0000BF910000}"/>
    <cellStyle name="Normal 2 3 3 3 7 3" xfId="37635" xr:uid="{00000000-0005-0000-0000-0000C0910000}"/>
    <cellStyle name="Normal 2 3 3 3 7 4" xfId="37636" xr:uid="{00000000-0005-0000-0000-0000C1910000}"/>
    <cellStyle name="Normal 2 3 3 3 7 5" xfId="37637" xr:uid="{00000000-0005-0000-0000-0000C2910000}"/>
    <cellStyle name="Normal 2 3 3 3 7 6" xfId="37638" xr:uid="{00000000-0005-0000-0000-0000C3910000}"/>
    <cellStyle name="Normal 2 3 3 3 8" xfId="37639" xr:uid="{00000000-0005-0000-0000-0000C4910000}"/>
    <cellStyle name="Normal 2 3 3 3 8 2" xfId="37640" xr:uid="{00000000-0005-0000-0000-0000C5910000}"/>
    <cellStyle name="Normal 2 3 3 3 8 2 2" xfId="37641" xr:uid="{00000000-0005-0000-0000-0000C6910000}"/>
    <cellStyle name="Normal 2 3 3 3 8 2 3" xfId="37642" xr:uid="{00000000-0005-0000-0000-0000C7910000}"/>
    <cellStyle name="Normal 2 3 3 3 8 3" xfId="37643" xr:uid="{00000000-0005-0000-0000-0000C8910000}"/>
    <cellStyle name="Normal 2 3 3 3 8 4" xfId="37644" xr:uid="{00000000-0005-0000-0000-0000C9910000}"/>
    <cellStyle name="Normal 2 3 3 3 8 5" xfId="37645" xr:uid="{00000000-0005-0000-0000-0000CA910000}"/>
    <cellStyle name="Normal 2 3 3 3 8 6" xfId="37646" xr:uid="{00000000-0005-0000-0000-0000CB910000}"/>
    <cellStyle name="Normal 2 3 3 3 9" xfId="37647" xr:uid="{00000000-0005-0000-0000-0000CC910000}"/>
    <cellStyle name="Normal 2 3 3 3 9 2" xfId="37648" xr:uid="{00000000-0005-0000-0000-0000CD910000}"/>
    <cellStyle name="Normal 2 3 3 3 9 3" xfId="37649" xr:uid="{00000000-0005-0000-0000-0000CE910000}"/>
    <cellStyle name="Normal 2 3 3 4" xfId="37650" xr:uid="{00000000-0005-0000-0000-0000CF910000}"/>
    <cellStyle name="Normal 2 3 3 4 10" xfId="37651" xr:uid="{00000000-0005-0000-0000-0000D0910000}"/>
    <cellStyle name="Normal 2 3 3 4 2" xfId="37652" xr:uid="{00000000-0005-0000-0000-0000D1910000}"/>
    <cellStyle name="Normal 2 3 3 4 2 2" xfId="37653" xr:uid="{00000000-0005-0000-0000-0000D2910000}"/>
    <cellStyle name="Normal 2 3 3 4 2 2 2" xfId="37654" xr:uid="{00000000-0005-0000-0000-0000D3910000}"/>
    <cellStyle name="Normal 2 3 3 4 2 2 2 2" xfId="37655" xr:uid="{00000000-0005-0000-0000-0000D4910000}"/>
    <cellStyle name="Normal 2 3 3 4 2 2 2 3" xfId="37656" xr:uid="{00000000-0005-0000-0000-0000D5910000}"/>
    <cellStyle name="Normal 2 3 3 4 2 2 3" xfId="37657" xr:uid="{00000000-0005-0000-0000-0000D6910000}"/>
    <cellStyle name="Normal 2 3 3 4 2 2 4" xfId="37658" xr:uid="{00000000-0005-0000-0000-0000D7910000}"/>
    <cellStyle name="Normal 2 3 3 4 2 2 5" xfId="37659" xr:uid="{00000000-0005-0000-0000-0000D8910000}"/>
    <cellStyle name="Normal 2 3 3 4 2 2 6" xfId="37660" xr:uid="{00000000-0005-0000-0000-0000D9910000}"/>
    <cellStyle name="Normal 2 3 3 4 2 3" xfId="37661" xr:uid="{00000000-0005-0000-0000-0000DA910000}"/>
    <cellStyle name="Normal 2 3 3 4 2 3 2" xfId="37662" xr:uid="{00000000-0005-0000-0000-0000DB910000}"/>
    <cellStyle name="Normal 2 3 3 4 2 3 2 2" xfId="37663" xr:uid="{00000000-0005-0000-0000-0000DC910000}"/>
    <cellStyle name="Normal 2 3 3 4 2 3 2 3" xfId="37664" xr:uid="{00000000-0005-0000-0000-0000DD910000}"/>
    <cellStyle name="Normal 2 3 3 4 2 3 3" xfId="37665" xr:uid="{00000000-0005-0000-0000-0000DE910000}"/>
    <cellStyle name="Normal 2 3 3 4 2 3 4" xfId="37666" xr:uid="{00000000-0005-0000-0000-0000DF910000}"/>
    <cellStyle name="Normal 2 3 3 4 2 3 5" xfId="37667" xr:uid="{00000000-0005-0000-0000-0000E0910000}"/>
    <cellStyle name="Normal 2 3 3 4 2 3 6" xfId="37668" xr:uid="{00000000-0005-0000-0000-0000E1910000}"/>
    <cellStyle name="Normal 2 3 3 4 2 4" xfId="37669" xr:uid="{00000000-0005-0000-0000-0000E2910000}"/>
    <cellStyle name="Normal 2 3 3 4 2 4 2" xfId="37670" xr:uid="{00000000-0005-0000-0000-0000E3910000}"/>
    <cellStyle name="Normal 2 3 3 4 2 4 3" xfId="37671" xr:uid="{00000000-0005-0000-0000-0000E4910000}"/>
    <cellStyle name="Normal 2 3 3 4 2 5" xfId="37672" xr:uid="{00000000-0005-0000-0000-0000E5910000}"/>
    <cellStyle name="Normal 2 3 3 4 2 6" xfId="37673" xr:uid="{00000000-0005-0000-0000-0000E6910000}"/>
    <cellStyle name="Normal 2 3 3 4 2 7" xfId="37674" xr:uid="{00000000-0005-0000-0000-0000E7910000}"/>
    <cellStyle name="Normal 2 3 3 4 2 8" xfId="37675" xr:uid="{00000000-0005-0000-0000-0000E8910000}"/>
    <cellStyle name="Normal 2 3 3 4 3" xfId="37676" xr:uid="{00000000-0005-0000-0000-0000E9910000}"/>
    <cellStyle name="Normal 2 3 3 4 3 2" xfId="37677" xr:uid="{00000000-0005-0000-0000-0000EA910000}"/>
    <cellStyle name="Normal 2 3 3 4 3 2 2" xfId="37678" xr:uid="{00000000-0005-0000-0000-0000EB910000}"/>
    <cellStyle name="Normal 2 3 3 4 3 2 2 2" xfId="37679" xr:uid="{00000000-0005-0000-0000-0000EC910000}"/>
    <cellStyle name="Normal 2 3 3 4 3 2 2 3" xfId="37680" xr:uid="{00000000-0005-0000-0000-0000ED910000}"/>
    <cellStyle name="Normal 2 3 3 4 3 2 3" xfId="37681" xr:uid="{00000000-0005-0000-0000-0000EE910000}"/>
    <cellStyle name="Normal 2 3 3 4 3 2 4" xfId="37682" xr:uid="{00000000-0005-0000-0000-0000EF910000}"/>
    <cellStyle name="Normal 2 3 3 4 3 2 5" xfId="37683" xr:uid="{00000000-0005-0000-0000-0000F0910000}"/>
    <cellStyle name="Normal 2 3 3 4 3 2 6" xfId="37684" xr:uid="{00000000-0005-0000-0000-0000F1910000}"/>
    <cellStyle name="Normal 2 3 3 4 3 3" xfId="37685" xr:uid="{00000000-0005-0000-0000-0000F2910000}"/>
    <cellStyle name="Normal 2 3 3 4 3 3 2" xfId="37686" xr:uid="{00000000-0005-0000-0000-0000F3910000}"/>
    <cellStyle name="Normal 2 3 3 4 3 3 3" xfId="37687" xr:uid="{00000000-0005-0000-0000-0000F4910000}"/>
    <cellStyle name="Normal 2 3 3 4 3 4" xfId="37688" xr:uid="{00000000-0005-0000-0000-0000F5910000}"/>
    <cellStyle name="Normal 2 3 3 4 3 5" xfId="37689" xr:uid="{00000000-0005-0000-0000-0000F6910000}"/>
    <cellStyle name="Normal 2 3 3 4 3 6" xfId="37690" xr:uid="{00000000-0005-0000-0000-0000F7910000}"/>
    <cellStyle name="Normal 2 3 3 4 3 7" xfId="37691" xr:uid="{00000000-0005-0000-0000-0000F8910000}"/>
    <cellStyle name="Normal 2 3 3 4 4" xfId="37692" xr:uid="{00000000-0005-0000-0000-0000F9910000}"/>
    <cellStyle name="Normal 2 3 3 4 4 2" xfId="37693" xr:uid="{00000000-0005-0000-0000-0000FA910000}"/>
    <cellStyle name="Normal 2 3 3 4 4 2 2" xfId="37694" xr:uid="{00000000-0005-0000-0000-0000FB910000}"/>
    <cellStyle name="Normal 2 3 3 4 4 2 3" xfId="37695" xr:uid="{00000000-0005-0000-0000-0000FC910000}"/>
    <cellStyle name="Normal 2 3 3 4 4 3" xfId="37696" xr:uid="{00000000-0005-0000-0000-0000FD910000}"/>
    <cellStyle name="Normal 2 3 3 4 4 4" xfId="37697" xr:uid="{00000000-0005-0000-0000-0000FE910000}"/>
    <cellStyle name="Normal 2 3 3 4 4 5" xfId="37698" xr:uid="{00000000-0005-0000-0000-0000FF910000}"/>
    <cellStyle name="Normal 2 3 3 4 4 6" xfId="37699" xr:uid="{00000000-0005-0000-0000-000000920000}"/>
    <cellStyle name="Normal 2 3 3 4 5" xfId="37700" xr:uid="{00000000-0005-0000-0000-000001920000}"/>
    <cellStyle name="Normal 2 3 3 4 5 2" xfId="37701" xr:uid="{00000000-0005-0000-0000-000002920000}"/>
    <cellStyle name="Normal 2 3 3 4 5 2 2" xfId="37702" xr:uid="{00000000-0005-0000-0000-000003920000}"/>
    <cellStyle name="Normal 2 3 3 4 5 2 3" xfId="37703" xr:uid="{00000000-0005-0000-0000-000004920000}"/>
    <cellStyle name="Normal 2 3 3 4 5 3" xfId="37704" xr:uid="{00000000-0005-0000-0000-000005920000}"/>
    <cellStyle name="Normal 2 3 3 4 5 4" xfId="37705" xr:uid="{00000000-0005-0000-0000-000006920000}"/>
    <cellStyle name="Normal 2 3 3 4 5 5" xfId="37706" xr:uid="{00000000-0005-0000-0000-000007920000}"/>
    <cellStyle name="Normal 2 3 3 4 5 6" xfId="37707" xr:uid="{00000000-0005-0000-0000-000008920000}"/>
    <cellStyle name="Normal 2 3 3 4 6" xfId="37708" xr:uid="{00000000-0005-0000-0000-000009920000}"/>
    <cellStyle name="Normal 2 3 3 4 6 2" xfId="37709" xr:uid="{00000000-0005-0000-0000-00000A920000}"/>
    <cellStyle name="Normal 2 3 3 4 6 3" xfId="37710" xr:uid="{00000000-0005-0000-0000-00000B920000}"/>
    <cellStyle name="Normal 2 3 3 4 7" xfId="37711" xr:uid="{00000000-0005-0000-0000-00000C920000}"/>
    <cellStyle name="Normal 2 3 3 4 8" xfId="37712" xr:uid="{00000000-0005-0000-0000-00000D920000}"/>
    <cellStyle name="Normal 2 3 3 4 9" xfId="37713" xr:uid="{00000000-0005-0000-0000-00000E920000}"/>
    <cellStyle name="Normal 2 3 3 5" xfId="37714" xr:uid="{00000000-0005-0000-0000-00000F920000}"/>
    <cellStyle name="Normal 2 3 3 5 2" xfId="37715" xr:uid="{00000000-0005-0000-0000-000010920000}"/>
    <cellStyle name="Normal 2 3 3 5 2 2" xfId="37716" xr:uid="{00000000-0005-0000-0000-000011920000}"/>
    <cellStyle name="Normal 2 3 3 5 2 2 2" xfId="37717" xr:uid="{00000000-0005-0000-0000-000012920000}"/>
    <cellStyle name="Normal 2 3 3 5 2 2 2 2" xfId="37718" xr:uid="{00000000-0005-0000-0000-000013920000}"/>
    <cellStyle name="Normal 2 3 3 5 2 2 2 3" xfId="37719" xr:uid="{00000000-0005-0000-0000-000014920000}"/>
    <cellStyle name="Normal 2 3 3 5 2 2 3" xfId="37720" xr:uid="{00000000-0005-0000-0000-000015920000}"/>
    <cellStyle name="Normal 2 3 3 5 2 2 4" xfId="37721" xr:uid="{00000000-0005-0000-0000-000016920000}"/>
    <cellStyle name="Normal 2 3 3 5 2 2 5" xfId="37722" xr:uid="{00000000-0005-0000-0000-000017920000}"/>
    <cellStyle name="Normal 2 3 3 5 2 2 6" xfId="37723" xr:uid="{00000000-0005-0000-0000-000018920000}"/>
    <cellStyle name="Normal 2 3 3 5 2 3" xfId="37724" xr:uid="{00000000-0005-0000-0000-000019920000}"/>
    <cellStyle name="Normal 2 3 3 5 2 3 2" xfId="37725" xr:uid="{00000000-0005-0000-0000-00001A920000}"/>
    <cellStyle name="Normal 2 3 3 5 2 3 3" xfId="37726" xr:uid="{00000000-0005-0000-0000-00001B920000}"/>
    <cellStyle name="Normal 2 3 3 5 2 4" xfId="37727" xr:uid="{00000000-0005-0000-0000-00001C920000}"/>
    <cellStyle name="Normal 2 3 3 5 2 5" xfId="37728" xr:uid="{00000000-0005-0000-0000-00001D920000}"/>
    <cellStyle name="Normal 2 3 3 5 2 6" xfId="37729" xr:uid="{00000000-0005-0000-0000-00001E920000}"/>
    <cellStyle name="Normal 2 3 3 5 2 7" xfId="37730" xr:uid="{00000000-0005-0000-0000-00001F920000}"/>
    <cellStyle name="Normal 2 3 3 5 3" xfId="37731" xr:uid="{00000000-0005-0000-0000-000020920000}"/>
    <cellStyle name="Normal 2 3 3 5 3 2" xfId="37732" xr:uid="{00000000-0005-0000-0000-000021920000}"/>
    <cellStyle name="Normal 2 3 3 5 3 2 2" xfId="37733" xr:uid="{00000000-0005-0000-0000-000022920000}"/>
    <cellStyle name="Normal 2 3 3 5 3 2 3" xfId="37734" xr:uid="{00000000-0005-0000-0000-000023920000}"/>
    <cellStyle name="Normal 2 3 3 5 3 3" xfId="37735" xr:uid="{00000000-0005-0000-0000-000024920000}"/>
    <cellStyle name="Normal 2 3 3 5 3 4" xfId="37736" xr:uid="{00000000-0005-0000-0000-000025920000}"/>
    <cellStyle name="Normal 2 3 3 5 3 5" xfId="37737" xr:uid="{00000000-0005-0000-0000-000026920000}"/>
    <cellStyle name="Normal 2 3 3 5 3 6" xfId="37738" xr:uid="{00000000-0005-0000-0000-000027920000}"/>
    <cellStyle name="Normal 2 3 3 5 4" xfId="37739" xr:uid="{00000000-0005-0000-0000-000028920000}"/>
    <cellStyle name="Normal 2 3 3 5 4 2" xfId="37740" xr:uid="{00000000-0005-0000-0000-000029920000}"/>
    <cellStyle name="Normal 2 3 3 5 4 2 2" xfId="37741" xr:uid="{00000000-0005-0000-0000-00002A920000}"/>
    <cellStyle name="Normal 2 3 3 5 4 2 3" xfId="37742" xr:uid="{00000000-0005-0000-0000-00002B920000}"/>
    <cellStyle name="Normal 2 3 3 5 4 3" xfId="37743" xr:uid="{00000000-0005-0000-0000-00002C920000}"/>
    <cellStyle name="Normal 2 3 3 5 4 4" xfId="37744" xr:uid="{00000000-0005-0000-0000-00002D920000}"/>
    <cellStyle name="Normal 2 3 3 5 4 5" xfId="37745" xr:uid="{00000000-0005-0000-0000-00002E920000}"/>
    <cellStyle name="Normal 2 3 3 5 4 6" xfId="37746" xr:uid="{00000000-0005-0000-0000-00002F920000}"/>
    <cellStyle name="Normal 2 3 3 5 5" xfId="37747" xr:uid="{00000000-0005-0000-0000-000030920000}"/>
    <cellStyle name="Normal 2 3 3 5 5 2" xfId="37748" xr:uid="{00000000-0005-0000-0000-000031920000}"/>
    <cellStyle name="Normal 2 3 3 5 5 3" xfId="37749" xr:uid="{00000000-0005-0000-0000-000032920000}"/>
    <cellStyle name="Normal 2 3 3 5 6" xfId="37750" xr:uid="{00000000-0005-0000-0000-000033920000}"/>
    <cellStyle name="Normal 2 3 3 5 7" xfId="37751" xr:uid="{00000000-0005-0000-0000-000034920000}"/>
    <cellStyle name="Normal 2 3 3 5 8" xfId="37752" xr:uid="{00000000-0005-0000-0000-000035920000}"/>
    <cellStyle name="Normal 2 3 3 5 9" xfId="37753" xr:uid="{00000000-0005-0000-0000-000036920000}"/>
    <cellStyle name="Normal 2 3 3 6" xfId="37754" xr:uid="{00000000-0005-0000-0000-000037920000}"/>
    <cellStyle name="Normal 2 3 3 6 2" xfId="37755" xr:uid="{00000000-0005-0000-0000-000038920000}"/>
    <cellStyle name="Normal 2 3 3 6 2 2" xfId="37756" xr:uid="{00000000-0005-0000-0000-000039920000}"/>
    <cellStyle name="Normal 2 3 3 6 2 2 2" xfId="37757" xr:uid="{00000000-0005-0000-0000-00003A920000}"/>
    <cellStyle name="Normal 2 3 3 6 2 2 3" xfId="37758" xr:uid="{00000000-0005-0000-0000-00003B920000}"/>
    <cellStyle name="Normal 2 3 3 6 2 3" xfId="37759" xr:uid="{00000000-0005-0000-0000-00003C920000}"/>
    <cellStyle name="Normal 2 3 3 6 2 4" xfId="37760" xr:uid="{00000000-0005-0000-0000-00003D920000}"/>
    <cellStyle name="Normal 2 3 3 6 2 5" xfId="37761" xr:uid="{00000000-0005-0000-0000-00003E920000}"/>
    <cellStyle name="Normal 2 3 3 6 2 6" xfId="37762" xr:uid="{00000000-0005-0000-0000-00003F920000}"/>
    <cellStyle name="Normal 2 3 3 6 3" xfId="37763" xr:uid="{00000000-0005-0000-0000-000040920000}"/>
    <cellStyle name="Normal 2 3 3 6 3 2" xfId="37764" xr:uid="{00000000-0005-0000-0000-000041920000}"/>
    <cellStyle name="Normal 2 3 3 6 3 3" xfId="37765" xr:uid="{00000000-0005-0000-0000-000042920000}"/>
    <cellStyle name="Normal 2 3 3 6 4" xfId="37766" xr:uid="{00000000-0005-0000-0000-000043920000}"/>
    <cellStyle name="Normal 2 3 3 6 5" xfId="37767" xr:uid="{00000000-0005-0000-0000-000044920000}"/>
    <cellStyle name="Normal 2 3 3 6 6" xfId="37768" xr:uid="{00000000-0005-0000-0000-000045920000}"/>
    <cellStyle name="Normal 2 3 3 6 7" xfId="37769" xr:uid="{00000000-0005-0000-0000-000046920000}"/>
    <cellStyle name="Normal 2 3 3 7" xfId="37770" xr:uid="{00000000-0005-0000-0000-000047920000}"/>
    <cellStyle name="Normal 2 3 3 7 2" xfId="37771" xr:uid="{00000000-0005-0000-0000-000048920000}"/>
    <cellStyle name="Normal 2 3 3 7 2 2" xfId="37772" xr:uid="{00000000-0005-0000-0000-000049920000}"/>
    <cellStyle name="Normal 2 3 3 7 2 3" xfId="37773" xr:uid="{00000000-0005-0000-0000-00004A920000}"/>
    <cellStyle name="Normal 2 3 3 7 3" xfId="37774" xr:uid="{00000000-0005-0000-0000-00004B920000}"/>
    <cellStyle name="Normal 2 3 3 7 4" xfId="37775" xr:uid="{00000000-0005-0000-0000-00004C920000}"/>
    <cellStyle name="Normal 2 3 3 7 5" xfId="37776" xr:uid="{00000000-0005-0000-0000-00004D920000}"/>
    <cellStyle name="Normal 2 3 3 7 6" xfId="37777" xr:uid="{00000000-0005-0000-0000-00004E920000}"/>
    <cellStyle name="Normal 2 3 3 8" xfId="37778" xr:uid="{00000000-0005-0000-0000-00004F920000}"/>
    <cellStyle name="Normal 2 3 3 8 2" xfId="37779" xr:uid="{00000000-0005-0000-0000-000050920000}"/>
    <cellStyle name="Normal 2 3 3 8 2 2" xfId="37780" xr:uid="{00000000-0005-0000-0000-000051920000}"/>
    <cellStyle name="Normal 2 3 3 8 2 3" xfId="37781" xr:uid="{00000000-0005-0000-0000-000052920000}"/>
    <cellStyle name="Normal 2 3 3 8 3" xfId="37782" xr:uid="{00000000-0005-0000-0000-000053920000}"/>
    <cellStyle name="Normal 2 3 3 8 4" xfId="37783" xr:uid="{00000000-0005-0000-0000-000054920000}"/>
    <cellStyle name="Normal 2 3 3 8 5" xfId="37784" xr:uid="{00000000-0005-0000-0000-000055920000}"/>
    <cellStyle name="Normal 2 3 3 8 6" xfId="37785" xr:uid="{00000000-0005-0000-0000-000056920000}"/>
    <cellStyle name="Normal 2 3 3 9" xfId="37786" xr:uid="{00000000-0005-0000-0000-000057920000}"/>
    <cellStyle name="Normal 2 3 3 9 2" xfId="37787" xr:uid="{00000000-0005-0000-0000-000058920000}"/>
    <cellStyle name="Normal 2 3 3 9 2 2" xfId="37788" xr:uid="{00000000-0005-0000-0000-000059920000}"/>
    <cellStyle name="Normal 2 3 3 9 2 3" xfId="37789" xr:uid="{00000000-0005-0000-0000-00005A920000}"/>
    <cellStyle name="Normal 2 3 3 9 3" xfId="37790" xr:uid="{00000000-0005-0000-0000-00005B920000}"/>
    <cellStyle name="Normal 2 3 3 9 4" xfId="37791" xr:uid="{00000000-0005-0000-0000-00005C920000}"/>
    <cellStyle name="Normal 2 3 3 9 5" xfId="37792" xr:uid="{00000000-0005-0000-0000-00005D920000}"/>
    <cellStyle name="Normal 2 3 3 9 6" xfId="37793" xr:uid="{00000000-0005-0000-0000-00005E920000}"/>
    <cellStyle name="Normal 2 3 4" xfId="37794" xr:uid="{00000000-0005-0000-0000-00005F920000}"/>
    <cellStyle name="Normal 2 3 4 2" xfId="37795" xr:uid="{00000000-0005-0000-0000-000060920000}"/>
    <cellStyle name="Normal 2 3 4 2 2" xfId="37796" xr:uid="{00000000-0005-0000-0000-000061920000}"/>
    <cellStyle name="Normal 2 3 4 2 2 2" xfId="37797" xr:uid="{00000000-0005-0000-0000-000062920000}"/>
    <cellStyle name="Normal 2 3 4 2 2 2 2" xfId="37798" xr:uid="{00000000-0005-0000-0000-000063920000}"/>
    <cellStyle name="Normal 2 3 4 2 2 2 3" xfId="37799" xr:uid="{00000000-0005-0000-0000-000064920000}"/>
    <cellStyle name="Normal 2 3 4 2 2 3" xfId="37800" xr:uid="{00000000-0005-0000-0000-000065920000}"/>
    <cellStyle name="Normal 2 3 4 2 2 4" xfId="37801" xr:uid="{00000000-0005-0000-0000-000066920000}"/>
    <cellStyle name="Normal 2 3 4 2 2 5" xfId="37802" xr:uid="{00000000-0005-0000-0000-000067920000}"/>
    <cellStyle name="Normal 2 3 4 2 2 6" xfId="37803" xr:uid="{00000000-0005-0000-0000-000068920000}"/>
    <cellStyle name="Normal 2 3 4 2 3" xfId="37804" xr:uid="{00000000-0005-0000-0000-000069920000}"/>
    <cellStyle name="Normal 2 3 4 2 3 2" xfId="37805" xr:uid="{00000000-0005-0000-0000-00006A920000}"/>
    <cellStyle name="Normal 2 3 4 2 3 3" xfId="37806" xr:uid="{00000000-0005-0000-0000-00006B920000}"/>
    <cellStyle name="Normal 2 3 4 2 4" xfId="37807" xr:uid="{00000000-0005-0000-0000-00006C920000}"/>
    <cellStyle name="Normal 2 3 4 2 5" xfId="37808" xr:uid="{00000000-0005-0000-0000-00006D920000}"/>
    <cellStyle name="Normal 2 3 4 2 6" xfId="37809" xr:uid="{00000000-0005-0000-0000-00006E920000}"/>
    <cellStyle name="Normal 2 3 4 2 7" xfId="37810" xr:uid="{00000000-0005-0000-0000-00006F920000}"/>
    <cellStyle name="Normal 2 3 4 3" xfId="37811" xr:uid="{00000000-0005-0000-0000-000070920000}"/>
    <cellStyle name="Normal 2 3 4 3 2" xfId="37812" xr:uid="{00000000-0005-0000-0000-000071920000}"/>
    <cellStyle name="Normal 2 3 4 3 2 2" xfId="37813" xr:uid="{00000000-0005-0000-0000-000072920000}"/>
    <cellStyle name="Normal 2 3 4 3 2 3" xfId="37814" xr:uid="{00000000-0005-0000-0000-000073920000}"/>
    <cellStyle name="Normal 2 3 4 3 3" xfId="37815" xr:uid="{00000000-0005-0000-0000-000074920000}"/>
    <cellStyle name="Normal 2 3 4 3 4" xfId="37816" xr:uid="{00000000-0005-0000-0000-000075920000}"/>
    <cellStyle name="Normal 2 3 4 3 5" xfId="37817" xr:uid="{00000000-0005-0000-0000-000076920000}"/>
    <cellStyle name="Normal 2 3 4 3 6" xfId="37818" xr:uid="{00000000-0005-0000-0000-000077920000}"/>
    <cellStyle name="Normal 2 3 5" xfId="246" xr:uid="{00000000-0005-0000-0000-000078920000}"/>
    <cellStyle name="Normal 2 3 5 2" xfId="37819" xr:uid="{00000000-0005-0000-0000-000079920000}"/>
    <cellStyle name="Normal 2 3 5 2 2" xfId="37820" xr:uid="{00000000-0005-0000-0000-00007A920000}"/>
    <cellStyle name="Normal 2 3 5 2 3" xfId="37821" xr:uid="{00000000-0005-0000-0000-00007B920000}"/>
    <cellStyle name="Normal 2 3 5 3" xfId="37822" xr:uid="{00000000-0005-0000-0000-00007C920000}"/>
    <cellStyle name="Normal 2 3 5 4" xfId="37823" xr:uid="{00000000-0005-0000-0000-00007D920000}"/>
    <cellStyle name="Normal 2 3 5 5" xfId="37824" xr:uid="{00000000-0005-0000-0000-00007E920000}"/>
    <cellStyle name="Normal 2 3 5 6" xfId="37825" xr:uid="{00000000-0005-0000-0000-00007F920000}"/>
    <cellStyle name="Normal 2 4" xfId="405" xr:uid="{00000000-0005-0000-0000-000080920000}"/>
    <cellStyle name="Normal 2 4 2" xfId="37826" xr:uid="{00000000-0005-0000-0000-000081920000}"/>
    <cellStyle name="Normal 2 4 3" xfId="37827" xr:uid="{00000000-0005-0000-0000-000082920000}"/>
    <cellStyle name="Normal 2 4 3 2" xfId="37828" xr:uid="{00000000-0005-0000-0000-000083920000}"/>
    <cellStyle name="Normal 2 4 3 2 2" xfId="37829" xr:uid="{00000000-0005-0000-0000-000084920000}"/>
    <cellStyle name="Normal 2 4 3 2 3" xfId="37830" xr:uid="{00000000-0005-0000-0000-000085920000}"/>
    <cellStyle name="Normal 2 4 3 3" xfId="37831" xr:uid="{00000000-0005-0000-0000-000086920000}"/>
    <cellStyle name="Normal 2 4 3 4" xfId="37832" xr:uid="{00000000-0005-0000-0000-000087920000}"/>
    <cellStyle name="Normal 2 4 3 5" xfId="37833" xr:uid="{00000000-0005-0000-0000-000088920000}"/>
    <cellStyle name="Normal 2 4 3 6" xfId="37834" xr:uid="{00000000-0005-0000-0000-000089920000}"/>
    <cellStyle name="Normal 2 4 4" xfId="37835" xr:uid="{00000000-0005-0000-0000-00008A920000}"/>
    <cellStyle name="Normal 2 4 4 2" xfId="37836" xr:uid="{00000000-0005-0000-0000-00008B920000}"/>
    <cellStyle name="Normal 2 4 4 2 2" xfId="37837" xr:uid="{00000000-0005-0000-0000-00008C920000}"/>
    <cellStyle name="Normal 2 4 4 2 3" xfId="37838" xr:uid="{00000000-0005-0000-0000-00008D920000}"/>
    <cellStyle name="Normal 2 4 4 3" xfId="37839" xr:uid="{00000000-0005-0000-0000-00008E920000}"/>
    <cellStyle name="Normal 2 4 4 4" xfId="37840" xr:uid="{00000000-0005-0000-0000-00008F920000}"/>
    <cellStyle name="Normal 2 4 4 5" xfId="37841" xr:uid="{00000000-0005-0000-0000-000090920000}"/>
    <cellStyle name="Normal 2 4 4 6" xfId="37842" xr:uid="{00000000-0005-0000-0000-000091920000}"/>
    <cellStyle name="Normal 2 4 5" xfId="37843" xr:uid="{00000000-0005-0000-0000-000092920000}"/>
    <cellStyle name="Normal 2 5" xfId="406" xr:uid="{00000000-0005-0000-0000-000093920000}"/>
    <cellStyle name="Normal 2 6" xfId="407" xr:uid="{00000000-0005-0000-0000-000094920000}"/>
    <cellStyle name="Normal 2 7" xfId="37844" xr:uid="{00000000-0005-0000-0000-000095920000}"/>
    <cellStyle name="Normal 2 8" xfId="37845" xr:uid="{00000000-0005-0000-0000-000096920000}"/>
    <cellStyle name="Normal 2 8 2" xfId="37846" xr:uid="{00000000-0005-0000-0000-000097920000}"/>
    <cellStyle name="Normal 2 8 3" xfId="37847" xr:uid="{00000000-0005-0000-0000-000098920000}"/>
    <cellStyle name="Normal 2 8 4" xfId="37848" xr:uid="{00000000-0005-0000-0000-000099920000}"/>
    <cellStyle name="Normal 2 9" xfId="37849" xr:uid="{00000000-0005-0000-0000-00009A920000}"/>
    <cellStyle name="Normal 2 9 2" xfId="37850" xr:uid="{00000000-0005-0000-0000-00009B920000}"/>
    <cellStyle name="Normal 2_6. on ramp %" xfId="37851" xr:uid="{00000000-0005-0000-0000-00009C920000}"/>
    <cellStyle name="Normal 20" xfId="37852" xr:uid="{00000000-0005-0000-0000-00009D920000}"/>
    <cellStyle name="Normal 20 10" xfId="37853" xr:uid="{00000000-0005-0000-0000-00009E920000}"/>
    <cellStyle name="Normal 20 2" xfId="37854" xr:uid="{00000000-0005-0000-0000-00009F920000}"/>
    <cellStyle name="Normal 20 2 2" xfId="37855" xr:uid="{00000000-0005-0000-0000-0000A0920000}"/>
    <cellStyle name="Normal 20 2 2 2" xfId="37856" xr:uid="{00000000-0005-0000-0000-0000A1920000}"/>
    <cellStyle name="Normal 20 2 2 2 2" xfId="37857" xr:uid="{00000000-0005-0000-0000-0000A2920000}"/>
    <cellStyle name="Normal 20 2 2 2 3" xfId="37858" xr:uid="{00000000-0005-0000-0000-0000A3920000}"/>
    <cellStyle name="Normal 20 2 2 3" xfId="37859" xr:uid="{00000000-0005-0000-0000-0000A4920000}"/>
    <cellStyle name="Normal 20 2 2 4" xfId="37860" xr:uid="{00000000-0005-0000-0000-0000A5920000}"/>
    <cellStyle name="Normal 20 2 2 5" xfId="37861" xr:uid="{00000000-0005-0000-0000-0000A6920000}"/>
    <cellStyle name="Normal 20 2 2 6" xfId="37862" xr:uid="{00000000-0005-0000-0000-0000A7920000}"/>
    <cellStyle name="Normal 20 2 3" xfId="37863" xr:uid="{00000000-0005-0000-0000-0000A8920000}"/>
    <cellStyle name="Normal 20 2 3 2" xfId="37864" xr:uid="{00000000-0005-0000-0000-0000A9920000}"/>
    <cellStyle name="Normal 20 2 3 2 2" xfId="37865" xr:uid="{00000000-0005-0000-0000-0000AA920000}"/>
    <cellStyle name="Normal 20 2 3 2 3" xfId="37866" xr:uid="{00000000-0005-0000-0000-0000AB920000}"/>
    <cellStyle name="Normal 20 2 3 3" xfId="37867" xr:uid="{00000000-0005-0000-0000-0000AC920000}"/>
    <cellStyle name="Normal 20 2 3 4" xfId="37868" xr:uid="{00000000-0005-0000-0000-0000AD920000}"/>
    <cellStyle name="Normal 20 2 3 5" xfId="37869" xr:uid="{00000000-0005-0000-0000-0000AE920000}"/>
    <cellStyle name="Normal 20 2 3 6" xfId="37870" xr:uid="{00000000-0005-0000-0000-0000AF920000}"/>
    <cellStyle name="Normal 20 2 4" xfId="37871" xr:uid="{00000000-0005-0000-0000-0000B0920000}"/>
    <cellStyle name="Normal 20 2 4 2" xfId="37872" xr:uid="{00000000-0005-0000-0000-0000B1920000}"/>
    <cellStyle name="Normal 20 2 4 3" xfId="37873" xr:uid="{00000000-0005-0000-0000-0000B2920000}"/>
    <cellStyle name="Normal 20 2 5" xfId="37874" xr:uid="{00000000-0005-0000-0000-0000B3920000}"/>
    <cellStyle name="Normal 20 2 6" xfId="37875" xr:uid="{00000000-0005-0000-0000-0000B4920000}"/>
    <cellStyle name="Normal 20 2 7" xfId="37876" xr:uid="{00000000-0005-0000-0000-0000B5920000}"/>
    <cellStyle name="Normal 20 2 8" xfId="37877" xr:uid="{00000000-0005-0000-0000-0000B6920000}"/>
    <cellStyle name="Normal 20 3" xfId="37878" xr:uid="{00000000-0005-0000-0000-0000B7920000}"/>
    <cellStyle name="Normal 20 3 2" xfId="37879" xr:uid="{00000000-0005-0000-0000-0000B8920000}"/>
    <cellStyle name="Normal 20 3 2 2" xfId="37880" xr:uid="{00000000-0005-0000-0000-0000B9920000}"/>
    <cellStyle name="Normal 20 3 2 2 2" xfId="37881" xr:uid="{00000000-0005-0000-0000-0000BA920000}"/>
    <cellStyle name="Normal 20 3 2 2 3" xfId="37882" xr:uid="{00000000-0005-0000-0000-0000BB920000}"/>
    <cellStyle name="Normal 20 3 2 3" xfId="37883" xr:uid="{00000000-0005-0000-0000-0000BC920000}"/>
    <cellStyle name="Normal 20 3 2 4" xfId="37884" xr:uid="{00000000-0005-0000-0000-0000BD920000}"/>
    <cellStyle name="Normal 20 3 2 5" xfId="37885" xr:uid="{00000000-0005-0000-0000-0000BE920000}"/>
    <cellStyle name="Normal 20 3 2 6" xfId="37886" xr:uid="{00000000-0005-0000-0000-0000BF920000}"/>
    <cellStyle name="Normal 20 3 3" xfId="37887" xr:uid="{00000000-0005-0000-0000-0000C0920000}"/>
    <cellStyle name="Normal 20 3 3 2" xfId="37888" xr:uid="{00000000-0005-0000-0000-0000C1920000}"/>
    <cellStyle name="Normal 20 3 3 3" xfId="37889" xr:uid="{00000000-0005-0000-0000-0000C2920000}"/>
    <cellStyle name="Normal 20 3 4" xfId="37890" xr:uid="{00000000-0005-0000-0000-0000C3920000}"/>
    <cellStyle name="Normal 20 3 5" xfId="37891" xr:uid="{00000000-0005-0000-0000-0000C4920000}"/>
    <cellStyle name="Normal 20 3 6" xfId="37892" xr:uid="{00000000-0005-0000-0000-0000C5920000}"/>
    <cellStyle name="Normal 20 3 7" xfId="37893" xr:uid="{00000000-0005-0000-0000-0000C6920000}"/>
    <cellStyle name="Normal 20 4" xfId="37894" xr:uid="{00000000-0005-0000-0000-0000C7920000}"/>
    <cellStyle name="Normal 20 4 2" xfId="37895" xr:uid="{00000000-0005-0000-0000-0000C8920000}"/>
    <cellStyle name="Normal 20 4 2 2" xfId="37896" xr:uid="{00000000-0005-0000-0000-0000C9920000}"/>
    <cellStyle name="Normal 20 4 2 3" xfId="37897" xr:uid="{00000000-0005-0000-0000-0000CA920000}"/>
    <cellStyle name="Normal 20 4 3" xfId="37898" xr:uid="{00000000-0005-0000-0000-0000CB920000}"/>
    <cellStyle name="Normal 20 4 4" xfId="37899" xr:uid="{00000000-0005-0000-0000-0000CC920000}"/>
    <cellStyle name="Normal 20 4 5" xfId="37900" xr:uid="{00000000-0005-0000-0000-0000CD920000}"/>
    <cellStyle name="Normal 20 4 6" xfId="37901" xr:uid="{00000000-0005-0000-0000-0000CE920000}"/>
    <cellStyle name="Normal 20 5" xfId="37902" xr:uid="{00000000-0005-0000-0000-0000CF920000}"/>
    <cellStyle name="Normal 20 5 2" xfId="37903" xr:uid="{00000000-0005-0000-0000-0000D0920000}"/>
    <cellStyle name="Normal 20 5 2 2" xfId="37904" xr:uid="{00000000-0005-0000-0000-0000D1920000}"/>
    <cellStyle name="Normal 20 5 2 3" xfId="37905" xr:uid="{00000000-0005-0000-0000-0000D2920000}"/>
    <cellStyle name="Normal 20 5 3" xfId="37906" xr:uid="{00000000-0005-0000-0000-0000D3920000}"/>
    <cellStyle name="Normal 20 5 4" xfId="37907" xr:uid="{00000000-0005-0000-0000-0000D4920000}"/>
    <cellStyle name="Normal 20 5 5" xfId="37908" xr:uid="{00000000-0005-0000-0000-0000D5920000}"/>
    <cellStyle name="Normal 20 5 6" xfId="37909" xr:uid="{00000000-0005-0000-0000-0000D6920000}"/>
    <cellStyle name="Normal 20 6" xfId="37910" xr:uid="{00000000-0005-0000-0000-0000D7920000}"/>
    <cellStyle name="Normal 20 6 2" xfId="37911" xr:uid="{00000000-0005-0000-0000-0000D8920000}"/>
    <cellStyle name="Normal 20 6 3" xfId="37912" xr:uid="{00000000-0005-0000-0000-0000D9920000}"/>
    <cellStyle name="Normal 20 7" xfId="37913" xr:uid="{00000000-0005-0000-0000-0000DA920000}"/>
    <cellStyle name="Normal 20 8" xfId="37914" xr:uid="{00000000-0005-0000-0000-0000DB920000}"/>
    <cellStyle name="Normal 20 9" xfId="37915" xr:uid="{00000000-0005-0000-0000-0000DC920000}"/>
    <cellStyle name="Normal 21" xfId="37916" xr:uid="{00000000-0005-0000-0000-0000DD920000}"/>
    <cellStyle name="Normal 21 2" xfId="37917" xr:uid="{00000000-0005-0000-0000-0000DE920000}"/>
    <cellStyle name="Normal 21 2 2" xfId="37918" xr:uid="{00000000-0005-0000-0000-0000DF920000}"/>
    <cellStyle name="Normal 21 2 2 2" xfId="37919" xr:uid="{00000000-0005-0000-0000-0000E0920000}"/>
    <cellStyle name="Normal 21 2 2 2 2" xfId="37920" xr:uid="{00000000-0005-0000-0000-0000E1920000}"/>
    <cellStyle name="Normal 21 2 2 2 3" xfId="37921" xr:uid="{00000000-0005-0000-0000-0000E2920000}"/>
    <cellStyle name="Normal 21 2 2 3" xfId="37922" xr:uid="{00000000-0005-0000-0000-0000E3920000}"/>
    <cellStyle name="Normal 21 2 2 4" xfId="37923" xr:uid="{00000000-0005-0000-0000-0000E4920000}"/>
    <cellStyle name="Normal 21 2 2 5" xfId="37924" xr:uid="{00000000-0005-0000-0000-0000E5920000}"/>
    <cellStyle name="Normal 21 2 2 6" xfId="37925" xr:uid="{00000000-0005-0000-0000-0000E6920000}"/>
    <cellStyle name="Normal 21 2 3" xfId="37926" xr:uid="{00000000-0005-0000-0000-0000E7920000}"/>
    <cellStyle name="Normal 21 2 3 2" xfId="37927" xr:uid="{00000000-0005-0000-0000-0000E8920000}"/>
    <cellStyle name="Normal 21 2 3 3" xfId="37928" xr:uid="{00000000-0005-0000-0000-0000E9920000}"/>
    <cellStyle name="Normal 21 2 4" xfId="37929" xr:uid="{00000000-0005-0000-0000-0000EA920000}"/>
    <cellStyle name="Normal 21 2 5" xfId="37930" xr:uid="{00000000-0005-0000-0000-0000EB920000}"/>
    <cellStyle name="Normal 21 2 6" xfId="37931" xr:uid="{00000000-0005-0000-0000-0000EC920000}"/>
    <cellStyle name="Normal 21 2 7" xfId="37932" xr:uid="{00000000-0005-0000-0000-0000ED920000}"/>
    <cellStyle name="Normal 21 3" xfId="37933" xr:uid="{00000000-0005-0000-0000-0000EE920000}"/>
    <cellStyle name="Normal 21 3 2" xfId="37934" xr:uid="{00000000-0005-0000-0000-0000EF920000}"/>
    <cellStyle name="Normal 21 3 2 2" xfId="37935" xr:uid="{00000000-0005-0000-0000-0000F0920000}"/>
    <cellStyle name="Normal 21 3 2 3" xfId="37936" xr:uid="{00000000-0005-0000-0000-0000F1920000}"/>
    <cellStyle name="Normal 21 3 3" xfId="37937" xr:uid="{00000000-0005-0000-0000-0000F2920000}"/>
    <cellStyle name="Normal 21 3 4" xfId="37938" xr:uid="{00000000-0005-0000-0000-0000F3920000}"/>
    <cellStyle name="Normal 21 3 5" xfId="37939" xr:uid="{00000000-0005-0000-0000-0000F4920000}"/>
    <cellStyle name="Normal 21 3 6" xfId="37940" xr:uid="{00000000-0005-0000-0000-0000F5920000}"/>
    <cellStyle name="Normal 21 4" xfId="37941" xr:uid="{00000000-0005-0000-0000-0000F6920000}"/>
    <cellStyle name="Normal 21 4 2" xfId="37942" xr:uid="{00000000-0005-0000-0000-0000F7920000}"/>
    <cellStyle name="Normal 21 4 2 2" xfId="37943" xr:uid="{00000000-0005-0000-0000-0000F8920000}"/>
    <cellStyle name="Normal 21 4 2 3" xfId="37944" xr:uid="{00000000-0005-0000-0000-0000F9920000}"/>
    <cellStyle name="Normal 21 4 3" xfId="37945" xr:uid="{00000000-0005-0000-0000-0000FA920000}"/>
    <cellStyle name="Normal 21 4 4" xfId="37946" xr:uid="{00000000-0005-0000-0000-0000FB920000}"/>
    <cellStyle name="Normal 21 4 5" xfId="37947" xr:uid="{00000000-0005-0000-0000-0000FC920000}"/>
    <cellStyle name="Normal 21 4 6" xfId="37948" xr:uid="{00000000-0005-0000-0000-0000FD920000}"/>
    <cellStyle name="Normal 21 5" xfId="37949" xr:uid="{00000000-0005-0000-0000-0000FE920000}"/>
    <cellStyle name="Normal 21 5 2" xfId="37950" xr:uid="{00000000-0005-0000-0000-0000FF920000}"/>
    <cellStyle name="Normal 21 5 3" xfId="37951" xr:uid="{00000000-0005-0000-0000-000000930000}"/>
    <cellStyle name="Normal 21 6" xfId="37952" xr:uid="{00000000-0005-0000-0000-000001930000}"/>
    <cellStyle name="Normal 21 7" xfId="37953" xr:uid="{00000000-0005-0000-0000-000002930000}"/>
    <cellStyle name="Normal 21 8" xfId="37954" xr:uid="{00000000-0005-0000-0000-000003930000}"/>
    <cellStyle name="Normal 21 9" xfId="37955" xr:uid="{00000000-0005-0000-0000-000004930000}"/>
    <cellStyle name="Normal 22" xfId="37956" xr:uid="{00000000-0005-0000-0000-000005930000}"/>
    <cellStyle name="Normal 22 2" xfId="37957" xr:uid="{00000000-0005-0000-0000-000006930000}"/>
    <cellStyle name="Normal 22 2 2" xfId="37958" xr:uid="{00000000-0005-0000-0000-000007930000}"/>
    <cellStyle name="Normal 22 2 3" xfId="37959" xr:uid="{00000000-0005-0000-0000-000008930000}"/>
    <cellStyle name="Normal 22 3" xfId="37960" xr:uid="{00000000-0005-0000-0000-000009930000}"/>
    <cellStyle name="Normal 22 4" xfId="37961" xr:uid="{00000000-0005-0000-0000-00000A930000}"/>
    <cellStyle name="Normal 22 5" xfId="37962" xr:uid="{00000000-0005-0000-0000-00000B930000}"/>
    <cellStyle name="Normal 22 6" xfId="37963" xr:uid="{00000000-0005-0000-0000-00000C930000}"/>
    <cellStyle name="Normal 23" xfId="37964" xr:uid="{00000000-0005-0000-0000-00000D930000}"/>
    <cellStyle name="Normal 23 2" xfId="37965" xr:uid="{00000000-0005-0000-0000-00000E930000}"/>
    <cellStyle name="Normal 23 2 2" xfId="37966" xr:uid="{00000000-0005-0000-0000-00000F930000}"/>
    <cellStyle name="Normal 23 2 3" xfId="37967" xr:uid="{00000000-0005-0000-0000-000010930000}"/>
    <cellStyle name="Normal 23 3" xfId="37968" xr:uid="{00000000-0005-0000-0000-000011930000}"/>
    <cellStyle name="Normal 23 4" xfId="37969" xr:uid="{00000000-0005-0000-0000-000012930000}"/>
    <cellStyle name="Normal 23 5" xfId="37970" xr:uid="{00000000-0005-0000-0000-000013930000}"/>
    <cellStyle name="Normal 23 6" xfId="37971" xr:uid="{00000000-0005-0000-0000-000014930000}"/>
    <cellStyle name="Normal 24" xfId="37972" xr:uid="{00000000-0005-0000-0000-000015930000}"/>
    <cellStyle name="Normal 24 2" xfId="37973" xr:uid="{00000000-0005-0000-0000-000016930000}"/>
    <cellStyle name="Normal 24 2 2" xfId="37974" xr:uid="{00000000-0005-0000-0000-000017930000}"/>
    <cellStyle name="Normal 24 2 3" xfId="37975" xr:uid="{00000000-0005-0000-0000-000018930000}"/>
    <cellStyle name="Normal 24 3" xfId="37976" xr:uid="{00000000-0005-0000-0000-000019930000}"/>
    <cellStyle name="Normal 24 4" xfId="37977" xr:uid="{00000000-0005-0000-0000-00001A930000}"/>
    <cellStyle name="Normal 24 5" xfId="37978" xr:uid="{00000000-0005-0000-0000-00001B930000}"/>
    <cellStyle name="Normal 24 6" xfId="37979" xr:uid="{00000000-0005-0000-0000-00001C930000}"/>
    <cellStyle name="Normal 25" xfId="37980" xr:uid="{00000000-0005-0000-0000-00001D930000}"/>
    <cellStyle name="Normal 25 2" xfId="37981" xr:uid="{00000000-0005-0000-0000-00001E930000}"/>
    <cellStyle name="Normal 25 2 2" xfId="37982" xr:uid="{00000000-0005-0000-0000-00001F930000}"/>
    <cellStyle name="Normal 25 2 3" xfId="37983" xr:uid="{00000000-0005-0000-0000-000020930000}"/>
    <cellStyle name="Normal 25 3" xfId="37984" xr:uid="{00000000-0005-0000-0000-000021930000}"/>
    <cellStyle name="Normal 25 4" xfId="37985" xr:uid="{00000000-0005-0000-0000-000022930000}"/>
    <cellStyle name="Normal 25 5" xfId="37986" xr:uid="{00000000-0005-0000-0000-000023930000}"/>
    <cellStyle name="Normal 25 6" xfId="37987" xr:uid="{00000000-0005-0000-0000-000024930000}"/>
    <cellStyle name="Normal 26" xfId="37988" xr:uid="{00000000-0005-0000-0000-000025930000}"/>
    <cellStyle name="Normal 26 2" xfId="37989" xr:uid="{00000000-0005-0000-0000-000026930000}"/>
    <cellStyle name="Normal 26 2 2" xfId="37990" xr:uid="{00000000-0005-0000-0000-000027930000}"/>
    <cellStyle name="Normal 26 2 3" xfId="37991" xr:uid="{00000000-0005-0000-0000-000028930000}"/>
    <cellStyle name="Normal 26 3" xfId="37992" xr:uid="{00000000-0005-0000-0000-000029930000}"/>
    <cellStyle name="Normal 26 4" xfId="37993" xr:uid="{00000000-0005-0000-0000-00002A930000}"/>
    <cellStyle name="Normal 26 5" xfId="37994" xr:uid="{00000000-0005-0000-0000-00002B930000}"/>
    <cellStyle name="Normal 26 6" xfId="37995" xr:uid="{00000000-0005-0000-0000-00002C930000}"/>
    <cellStyle name="Normal 27" xfId="37996" xr:uid="{00000000-0005-0000-0000-00002D930000}"/>
    <cellStyle name="Normal 27 2" xfId="37997" xr:uid="{00000000-0005-0000-0000-00002E930000}"/>
    <cellStyle name="Normal 27 2 2" xfId="37998" xr:uid="{00000000-0005-0000-0000-00002F930000}"/>
    <cellStyle name="Normal 27 2 3" xfId="37999" xr:uid="{00000000-0005-0000-0000-000030930000}"/>
    <cellStyle name="Normal 27 3" xfId="38000" xr:uid="{00000000-0005-0000-0000-000031930000}"/>
    <cellStyle name="Normal 27 4" xfId="38001" xr:uid="{00000000-0005-0000-0000-000032930000}"/>
    <cellStyle name="Normal 27 5" xfId="38002" xr:uid="{00000000-0005-0000-0000-000033930000}"/>
    <cellStyle name="Normal 27 6" xfId="38003" xr:uid="{00000000-0005-0000-0000-000034930000}"/>
    <cellStyle name="Normal 28" xfId="135" xr:uid="{00000000-0005-0000-0000-000035930000}"/>
    <cellStyle name="Normal 28 2" xfId="136" xr:uid="{00000000-0005-0000-0000-000036930000}"/>
    <cellStyle name="Normal 28 2 2" xfId="38004" xr:uid="{00000000-0005-0000-0000-000037930000}"/>
    <cellStyle name="Normal 28 2 3" xfId="38005" xr:uid="{00000000-0005-0000-0000-000038930000}"/>
    <cellStyle name="Normal 28 3" xfId="38006" xr:uid="{00000000-0005-0000-0000-000039930000}"/>
    <cellStyle name="Normal 28 4" xfId="38007" xr:uid="{00000000-0005-0000-0000-00003A930000}"/>
    <cellStyle name="Normal 28 5" xfId="38008" xr:uid="{00000000-0005-0000-0000-00003B930000}"/>
    <cellStyle name="Normal 28 6" xfId="38009" xr:uid="{00000000-0005-0000-0000-00003C930000}"/>
    <cellStyle name="Normal 29" xfId="38010" xr:uid="{00000000-0005-0000-0000-00003D930000}"/>
    <cellStyle name="Normal 29 2" xfId="38011" xr:uid="{00000000-0005-0000-0000-00003E930000}"/>
    <cellStyle name="Normal 29 2 2" xfId="38012" xr:uid="{00000000-0005-0000-0000-00003F930000}"/>
    <cellStyle name="Normal 29 2 3" xfId="38013" xr:uid="{00000000-0005-0000-0000-000040930000}"/>
    <cellStyle name="Normal 29 3" xfId="38014" xr:uid="{00000000-0005-0000-0000-000041930000}"/>
    <cellStyle name="Normal 29 4" xfId="38015" xr:uid="{00000000-0005-0000-0000-000042930000}"/>
    <cellStyle name="Normal 29 5" xfId="38016" xr:uid="{00000000-0005-0000-0000-000043930000}"/>
    <cellStyle name="Normal 29 6" xfId="38017" xr:uid="{00000000-0005-0000-0000-000044930000}"/>
    <cellStyle name="Normal 3" xfId="47" xr:uid="{00000000-0005-0000-0000-000045930000}"/>
    <cellStyle name="Normal 3 10" xfId="38018" xr:uid="{00000000-0005-0000-0000-000046930000}"/>
    <cellStyle name="Normal 3 10 2" xfId="38019" xr:uid="{00000000-0005-0000-0000-000047930000}"/>
    <cellStyle name="Normal 3 10 2 2" xfId="38020" xr:uid="{00000000-0005-0000-0000-000048930000}"/>
    <cellStyle name="Normal 3 10 2 3" xfId="38021" xr:uid="{00000000-0005-0000-0000-000049930000}"/>
    <cellStyle name="Normal 3 10 3" xfId="38022" xr:uid="{00000000-0005-0000-0000-00004A930000}"/>
    <cellStyle name="Normal 3 10 4" xfId="38023" xr:uid="{00000000-0005-0000-0000-00004B930000}"/>
    <cellStyle name="Normal 3 10 5" xfId="38024" xr:uid="{00000000-0005-0000-0000-00004C930000}"/>
    <cellStyle name="Normal 3 10 6" xfId="38025" xr:uid="{00000000-0005-0000-0000-00004D930000}"/>
    <cellStyle name="Normal 3 11" xfId="38026" xr:uid="{00000000-0005-0000-0000-00004E930000}"/>
    <cellStyle name="Normal 3 11 2" xfId="38027" xr:uid="{00000000-0005-0000-0000-00004F930000}"/>
    <cellStyle name="Normal 3 11 2 2" xfId="38028" xr:uid="{00000000-0005-0000-0000-000050930000}"/>
    <cellStyle name="Normal 3 11 2 3" xfId="38029" xr:uid="{00000000-0005-0000-0000-000051930000}"/>
    <cellStyle name="Normal 3 11 3" xfId="38030" xr:uid="{00000000-0005-0000-0000-000052930000}"/>
    <cellStyle name="Normal 3 11 4" xfId="38031" xr:uid="{00000000-0005-0000-0000-000053930000}"/>
    <cellStyle name="Normal 3 11 5" xfId="38032" xr:uid="{00000000-0005-0000-0000-000054930000}"/>
    <cellStyle name="Normal 3 11 6" xfId="38033" xr:uid="{00000000-0005-0000-0000-000055930000}"/>
    <cellStyle name="Normal 3 12" xfId="38034" xr:uid="{00000000-0005-0000-0000-000056930000}"/>
    <cellStyle name="Normal 3 12 2" xfId="38035" xr:uid="{00000000-0005-0000-0000-000057930000}"/>
    <cellStyle name="Normal 3 12 2 2" xfId="38036" xr:uid="{00000000-0005-0000-0000-000058930000}"/>
    <cellStyle name="Normal 3 12 2 3" xfId="38037" xr:uid="{00000000-0005-0000-0000-000059930000}"/>
    <cellStyle name="Normal 3 12 3" xfId="38038" xr:uid="{00000000-0005-0000-0000-00005A930000}"/>
    <cellStyle name="Normal 3 12 4" xfId="38039" xr:uid="{00000000-0005-0000-0000-00005B930000}"/>
    <cellStyle name="Normal 3 12 5" xfId="38040" xr:uid="{00000000-0005-0000-0000-00005C930000}"/>
    <cellStyle name="Normal 3 12 6" xfId="38041" xr:uid="{00000000-0005-0000-0000-00005D930000}"/>
    <cellStyle name="Normal 3 13" xfId="38042" xr:uid="{00000000-0005-0000-0000-00005E930000}"/>
    <cellStyle name="Normal 3 13 2" xfId="38043" xr:uid="{00000000-0005-0000-0000-00005F930000}"/>
    <cellStyle name="Normal 3 13 2 2" xfId="38044" xr:uid="{00000000-0005-0000-0000-000060930000}"/>
    <cellStyle name="Normal 3 13 2 3" xfId="38045" xr:uid="{00000000-0005-0000-0000-000061930000}"/>
    <cellStyle name="Normal 3 13 3" xfId="38046" xr:uid="{00000000-0005-0000-0000-000062930000}"/>
    <cellStyle name="Normal 3 13 4" xfId="38047" xr:uid="{00000000-0005-0000-0000-000063930000}"/>
    <cellStyle name="Normal 3 13 5" xfId="38048" xr:uid="{00000000-0005-0000-0000-000064930000}"/>
    <cellStyle name="Normal 3 13 6" xfId="38049" xr:uid="{00000000-0005-0000-0000-000065930000}"/>
    <cellStyle name="Normal 3 14" xfId="38050" xr:uid="{00000000-0005-0000-0000-000066930000}"/>
    <cellStyle name="Normal 3 2" xfId="137" xr:uid="{00000000-0005-0000-0000-000067930000}"/>
    <cellStyle name="Normal 3 2 10" xfId="38051" xr:uid="{00000000-0005-0000-0000-000068930000}"/>
    <cellStyle name="Normal 3 2 10 2" xfId="38052" xr:uid="{00000000-0005-0000-0000-000069930000}"/>
    <cellStyle name="Normal 3 2 10 2 2" xfId="38053" xr:uid="{00000000-0005-0000-0000-00006A930000}"/>
    <cellStyle name="Normal 3 2 10 2 3" xfId="38054" xr:uid="{00000000-0005-0000-0000-00006B930000}"/>
    <cellStyle name="Normal 3 2 10 3" xfId="38055" xr:uid="{00000000-0005-0000-0000-00006C930000}"/>
    <cellStyle name="Normal 3 2 10 4" xfId="38056" xr:uid="{00000000-0005-0000-0000-00006D930000}"/>
    <cellStyle name="Normal 3 2 10 5" xfId="38057" xr:uid="{00000000-0005-0000-0000-00006E930000}"/>
    <cellStyle name="Normal 3 2 10 6" xfId="38058" xr:uid="{00000000-0005-0000-0000-00006F930000}"/>
    <cellStyle name="Normal 3 2 11" xfId="38059" xr:uid="{00000000-0005-0000-0000-000070930000}"/>
    <cellStyle name="Normal 3 2 11 2" xfId="38060" xr:uid="{00000000-0005-0000-0000-000071930000}"/>
    <cellStyle name="Normal 3 2 11 3" xfId="38061" xr:uid="{00000000-0005-0000-0000-000072930000}"/>
    <cellStyle name="Normal 3 2 12" xfId="38062" xr:uid="{00000000-0005-0000-0000-000073930000}"/>
    <cellStyle name="Normal 3 2 13" xfId="38063" xr:uid="{00000000-0005-0000-0000-000074930000}"/>
    <cellStyle name="Normal 3 2 14" xfId="38064" xr:uid="{00000000-0005-0000-0000-000075930000}"/>
    <cellStyle name="Normal 3 2 15" xfId="38065" xr:uid="{00000000-0005-0000-0000-000076930000}"/>
    <cellStyle name="Normal 3 2 2" xfId="408" xr:uid="{00000000-0005-0000-0000-000077930000}"/>
    <cellStyle name="Normal 3 2 2 10" xfId="38066" xr:uid="{00000000-0005-0000-0000-000078930000}"/>
    <cellStyle name="Normal 3 2 2 10 2" xfId="38067" xr:uid="{00000000-0005-0000-0000-000079930000}"/>
    <cellStyle name="Normal 3 2 2 10 2 2" xfId="38068" xr:uid="{00000000-0005-0000-0000-00007A930000}"/>
    <cellStyle name="Normal 3 2 2 10 2 2 2" xfId="38069" xr:uid="{00000000-0005-0000-0000-00007B930000}"/>
    <cellStyle name="Normal 3 2 2 10 2 2 3" xfId="38070" xr:uid="{00000000-0005-0000-0000-00007C930000}"/>
    <cellStyle name="Normal 3 2 2 10 2 3" xfId="38071" xr:uid="{00000000-0005-0000-0000-00007D930000}"/>
    <cellStyle name="Normal 3 2 2 10 2 4" xfId="38072" xr:uid="{00000000-0005-0000-0000-00007E930000}"/>
    <cellStyle name="Normal 3 2 2 10 2 5" xfId="38073" xr:uid="{00000000-0005-0000-0000-00007F930000}"/>
    <cellStyle name="Normal 3 2 2 10 2 6" xfId="38074" xr:uid="{00000000-0005-0000-0000-000080930000}"/>
    <cellStyle name="Normal 3 2 2 10 3" xfId="38075" xr:uid="{00000000-0005-0000-0000-000081930000}"/>
    <cellStyle name="Normal 3 2 2 10 3 2" xfId="38076" xr:uid="{00000000-0005-0000-0000-000082930000}"/>
    <cellStyle name="Normal 3 2 2 10 3 3" xfId="38077" xr:uid="{00000000-0005-0000-0000-000083930000}"/>
    <cellStyle name="Normal 3 2 2 10 4" xfId="38078" xr:uid="{00000000-0005-0000-0000-000084930000}"/>
    <cellStyle name="Normal 3 2 2 10 5" xfId="38079" xr:uid="{00000000-0005-0000-0000-000085930000}"/>
    <cellStyle name="Normal 3 2 2 10 6" xfId="38080" xr:uid="{00000000-0005-0000-0000-000086930000}"/>
    <cellStyle name="Normal 3 2 2 10 7" xfId="38081" xr:uid="{00000000-0005-0000-0000-000087930000}"/>
    <cellStyle name="Normal 3 2 2 11" xfId="38082" xr:uid="{00000000-0005-0000-0000-000088930000}"/>
    <cellStyle name="Normal 3 2 2 11 2" xfId="38083" xr:uid="{00000000-0005-0000-0000-000089930000}"/>
    <cellStyle name="Normal 3 2 2 11 2 2" xfId="38084" xr:uid="{00000000-0005-0000-0000-00008A930000}"/>
    <cellStyle name="Normal 3 2 2 11 2 3" xfId="38085" xr:uid="{00000000-0005-0000-0000-00008B930000}"/>
    <cellStyle name="Normal 3 2 2 11 3" xfId="38086" xr:uid="{00000000-0005-0000-0000-00008C930000}"/>
    <cellStyle name="Normal 3 2 2 11 4" xfId="38087" xr:uid="{00000000-0005-0000-0000-00008D930000}"/>
    <cellStyle name="Normal 3 2 2 11 5" xfId="38088" xr:uid="{00000000-0005-0000-0000-00008E930000}"/>
    <cellStyle name="Normal 3 2 2 11 6" xfId="38089" xr:uid="{00000000-0005-0000-0000-00008F930000}"/>
    <cellStyle name="Normal 3 2 2 12" xfId="38090" xr:uid="{00000000-0005-0000-0000-000090930000}"/>
    <cellStyle name="Normal 3 2 2 12 2" xfId="38091" xr:uid="{00000000-0005-0000-0000-000091930000}"/>
    <cellStyle name="Normal 3 2 2 12 2 2" xfId="38092" xr:uid="{00000000-0005-0000-0000-000092930000}"/>
    <cellStyle name="Normal 3 2 2 12 2 3" xfId="38093" xr:uid="{00000000-0005-0000-0000-000093930000}"/>
    <cellStyle name="Normal 3 2 2 12 3" xfId="38094" xr:uid="{00000000-0005-0000-0000-000094930000}"/>
    <cellStyle name="Normal 3 2 2 12 4" xfId="38095" xr:uid="{00000000-0005-0000-0000-000095930000}"/>
    <cellStyle name="Normal 3 2 2 12 5" xfId="38096" xr:uid="{00000000-0005-0000-0000-000096930000}"/>
    <cellStyle name="Normal 3 2 2 12 6" xfId="38097" xr:uid="{00000000-0005-0000-0000-000097930000}"/>
    <cellStyle name="Normal 3 2 2 13" xfId="38098" xr:uid="{00000000-0005-0000-0000-000098930000}"/>
    <cellStyle name="Normal 3 2 2 13 2" xfId="38099" xr:uid="{00000000-0005-0000-0000-000099930000}"/>
    <cellStyle name="Normal 3 2 2 13 2 2" xfId="38100" xr:uid="{00000000-0005-0000-0000-00009A930000}"/>
    <cellStyle name="Normal 3 2 2 13 2 3" xfId="38101" xr:uid="{00000000-0005-0000-0000-00009B930000}"/>
    <cellStyle name="Normal 3 2 2 13 3" xfId="38102" xr:uid="{00000000-0005-0000-0000-00009C930000}"/>
    <cellStyle name="Normal 3 2 2 13 4" xfId="38103" xr:uid="{00000000-0005-0000-0000-00009D930000}"/>
    <cellStyle name="Normal 3 2 2 13 5" xfId="38104" xr:uid="{00000000-0005-0000-0000-00009E930000}"/>
    <cellStyle name="Normal 3 2 2 13 6" xfId="38105" xr:uid="{00000000-0005-0000-0000-00009F930000}"/>
    <cellStyle name="Normal 3 2 2 14" xfId="38106" xr:uid="{00000000-0005-0000-0000-0000A0930000}"/>
    <cellStyle name="Normal 3 2 2 14 2" xfId="38107" xr:uid="{00000000-0005-0000-0000-0000A1930000}"/>
    <cellStyle name="Normal 3 2 2 14 2 2" xfId="38108" xr:uid="{00000000-0005-0000-0000-0000A2930000}"/>
    <cellStyle name="Normal 3 2 2 14 2 3" xfId="38109" xr:uid="{00000000-0005-0000-0000-0000A3930000}"/>
    <cellStyle name="Normal 3 2 2 14 3" xfId="38110" xr:uid="{00000000-0005-0000-0000-0000A4930000}"/>
    <cellStyle name="Normal 3 2 2 14 4" xfId="38111" xr:uid="{00000000-0005-0000-0000-0000A5930000}"/>
    <cellStyle name="Normal 3 2 2 14 5" xfId="38112" xr:uid="{00000000-0005-0000-0000-0000A6930000}"/>
    <cellStyle name="Normal 3 2 2 14 6" xfId="38113" xr:uid="{00000000-0005-0000-0000-0000A7930000}"/>
    <cellStyle name="Normal 3 2 2 15" xfId="38114" xr:uid="{00000000-0005-0000-0000-0000A8930000}"/>
    <cellStyle name="Normal 3 2 2 15 2" xfId="38115" xr:uid="{00000000-0005-0000-0000-0000A9930000}"/>
    <cellStyle name="Normal 3 2 2 15 3" xfId="38116" xr:uid="{00000000-0005-0000-0000-0000AA930000}"/>
    <cellStyle name="Normal 3 2 2 16" xfId="38117" xr:uid="{00000000-0005-0000-0000-0000AB930000}"/>
    <cellStyle name="Normal 3 2 2 17" xfId="38118" xr:uid="{00000000-0005-0000-0000-0000AC930000}"/>
    <cellStyle name="Normal 3 2 2 18" xfId="38119" xr:uid="{00000000-0005-0000-0000-0000AD930000}"/>
    <cellStyle name="Normal 3 2 2 19" xfId="38120" xr:uid="{00000000-0005-0000-0000-0000AE930000}"/>
    <cellStyle name="Normal 3 2 2 2" xfId="409" xr:uid="{00000000-0005-0000-0000-0000AF930000}"/>
    <cellStyle name="Normal 3 2 2 2 10" xfId="38121" xr:uid="{00000000-0005-0000-0000-0000B0930000}"/>
    <cellStyle name="Normal 3 2 2 2 10 2" xfId="38122" xr:uid="{00000000-0005-0000-0000-0000B1930000}"/>
    <cellStyle name="Normal 3 2 2 2 10 2 2" xfId="38123" xr:uid="{00000000-0005-0000-0000-0000B2930000}"/>
    <cellStyle name="Normal 3 2 2 2 10 2 3" xfId="38124" xr:uid="{00000000-0005-0000-0000-0000B3930000}"/>
    <cellStyle name="Normal 3 2 2 2 10 3" xfId="38125" xr:uid="{00000000-0005-0000-0000-0000B4930000}"/>
    <cellStyle name="Normal 3 2 2 2 10 4" xfId="38126" xr:uid="{00000000-0005-0000-0000-0000B5930000}"/>
    <cellStyle name="Normal 3 2 2 2 10 5" xfId="38127" xr:uid="{00000000-0005-0000-0000-0000B6930000}"/>
    <cellStyle name="Normal 3 2 2 2 10 6" xfId="38128" xr:uid="{00000000-0005-0000-0000-0000B7930000}"/>
    <cellStyle name="Normal 3 2 2 2 11" xfId="38129" xr:uid="{00000000-0005-0000-0000-0000B8930000}"/>
    <cellStyle name="Normal 3 2 2 2 11 2" xfId="38130" xr:uid="{00000000-0005-0000-0000-0000B9930000}"/>
    <cellStyle name="Normal 3 2 2 2 11 3" xfId="38131" xr:uid="{00000000-0005-0000-0000-0000BA930000}"/>
    <cellStyle name="Normal 3 2 2 2 12" xfId="38132" xr:uid="{00000000-0005-0000-0000-0000BB930000}"/>
    <cellStyle name="Normal 3 2 2 2 13" xfId="38133" xr:uid="{00000000-0005-0000-0000-0000BC930000}"/>
    <cellStyle name="Normal 3 2 2 2 14" xfId="38134" xr:uid="{00000000-0005-0000-0000-0000BD930000}"/>
    <cellStyle name="Normal 3 2 2 2 15" xfId="38135" xr:uid="{00000000-0005-0000-0000-0000BE930000}"/>
    <cellStyle name="Normal 3 2 2 2 2" xfId="38136" xr:uid="{00000000-0005-0000-0000-0000BF930000}"/>
    <cellStyle name="Normal 3 2 2 2 2 10" xfId="38137" xr:uid="{00000000-0005-0000-0000-0000C0930000}"/>
    <cellStyle name="Normal 3 2 2 2 2 10 2" xfId="38138" xr:uid="{00000000-0005-0000-0000-0000C1930000}"/>
    <cellStyle name="Normal 3 2 2 2 2 10 3" xfId="38139" xr:uid="{00000000-0005-0000-0000-0000C2930000}"/>
    <cellStyle name="Normal 3 2 2 2 2 11" xfId="38140" xr:uid="{00000000-0005-0000-0000-0000C3930000}"/>
    <cellStyle name="Normal 3 2 2 2 2 12" xfId="38141" xr:uid="{00000000-0005-0000-0000-0000C4930000}"/>
    <cellStyle name="Normal 3 2 2 2 2 13" xfId="38142" xr:uid="{00000000-0005-0000-0000-0000C5930000}"/>
    <cellStyle name="Normal 3 2 2 2 2 14" xfId="38143" xr:uid="{00000000-0005-0000-0000-0000C6930000}"/>
    <cellStyle name="Normal 3 2 2 2 2 2" xfId="38144" xr:uid="{00000000-0005-0000-0000-0000C7930000}"/>
    <cellStyle name="Normal 3 2 2 2 2 2 10" xfId="38145" xr:uid="{00000000-0005-0000-0000-0000C8930000}"/>
    <cellStyle name="Normal 3 2 2 2 2 2 11" xfId="38146" xr:uid="{00000000-0005-0000-0000-0000C9930000}"/>
    <cellStyle name="Normal 3 2 2 2 2 2 12" xfId="38147" xr:uid="{00000000-0005-0000-0000-0000CA930000}"/>
    <cellStyle name="Normal 3 2 2 2 2 2 13" xfId="38148" xr:uid="{00000000-0005-0000-0000-0000CB930000}"/>
    <cellStyle name="Normal 3 2 2 2 2 2 2" xfId="38149" xr:uid="{00000000-0005-0000-0000-0000CC930000}"/>
    <cellStyle name="Normal 3 2 2 2 2 2 2 10" xfId="38150" xr:uid="{00000000-0005-0000-0000-0000CD930000}"/>
    <cellStyle name="Normal 3 2 2 2 2 2 2 2" xfId="38151" xr:uid="{00000000-0005-0000-0000-0000CE930000}"/>
    <cellStyle name="Normal 3 2 2 2 2 2 2 2 2" xfId="38152" xr:uid="{00000000-0005-0000-0000-0000CF930000}"/>
    <cellStyle name="Normal 3 2 2 2 2 2 2 2 2 2" xfId="38153" xr:uid="{00000000-0005-0000-0000-0000D0930000}"/>
    <cellStyle name="Normal 3 2 2 2 2 2 2 2 2 2 2" xfId="38154" xr:uid="{00000000-0005-0000-0000-0000D1930000}"/>
    <cellStyle name="Normal 3 2 2 2 2 2 2 2 2 2 3" xfId="38155" xr:uid="{00000000-0005-0000-0000-0000D2930000}"/>
    <cellStyle name="Normal 3 2 2 2 2 2 2 2 2 3" xfId="38156" xr:uid="{00000000-0005-0000-0000-0000D3930000}"/>
    <cellStyle name="Normal 3 2 2 2 2 2 2 2 2 4" xfId="38157" xr:uid="{00000000-0005-0000-0000-0000D4930000}"/>
    <cellStyle name="Normal 3 2 2 2 2 2 2 2 2 5" xfId="38158" xr:uid="{00000000-0005-0000-0000-0000D5930000}"/>
    <cellStyle name="Normal 3 2 2 2 2 2 2 2 2 6" xfId="38159" xr:uid="{00000000-0005-0000-0000-0000D6930000}"/>
    <cellStyle name="Normal 3 2 2 2 2 2 2 2 3" xfId="38160" xr:uid="{00000000-0005-0000-0000-0000D7930000}"/>
    <cellStyle name="Normal 3 2 2 2 2 2 2 2 3 2" xfId="38161" xr:uid="{00000000-0005-0000-0000-0000D8930000}"/>
    <cellStyle name="Normal 3 2 2 2 2 2 2 2 3 2 2" xfId="38162" xr:uid="{00000000-0005-0000-0000-0000D9930000}"/>
    <cellStyle name="Normal 3 2 2 2 2 2 2 2 3 2 3" xfId="38163" xr:uid="{00000000-0005-0000-0000-0000DA930000}"/>
    <cellStyle name="Normal 3 2 2 2 2 2 2 2 3 3" xfId="38164" xr:uid="{00000000-0005-0000-0000-0000DB930000}"/>
    <cellStyle name="Normal 3 2 2 2 2 2 2 2 3 4" xfId="38165" xr:uid="{00000000-0005-0000-0000-0000DC930000}"/>
    <cellStyle name="Normal 3 2 2 2 2 2 2 2 3 5" xfId="38166" xr:uid="{00000000-0005-0000-0000-0000DD930000}"/>
    <cellStyle name="Normal 3 2 2 2 2 2 2 2 3 6" xfId="38167" xr:uid="{00000000-0005-0000-0000-0000DE930000}"/>
    <cellStyle name="Normal 3 2 2 2 2 2 2 2 4" xfId="38168" xr:uid="{00000000-0005-0000-0000-0000DF930000}"/>
    <cellStyle name="Normal 3 2 2 2 2 2 2 2 4 2" xfId="38169" xr:uid="{00000000-0005-0000-0000-0000E0930000}"/>
    <cellStyle name="Normal 3 2 2 2 2 2 2 2 4 3" xfId="38170" xr:uid="{00000000-0005-0000-0000-0000E1930000}"/>
    <cellStyle name="Normal 3 2 2 2 2 2 2 2 5" xfId="38171" xr:uid="{00000000-0005-0000-0000-0000E2930000}"/>
    <cellStyle name="Normal 3 2 2 2 2 2 2 2 6" xfId="38172" xr:uid="{00000000-0005-0000-0000-0000E3930000}"/>
    <cellStyle name="Normal 3 2 2 2 2 2 2 2 7" xfId="38173" xr:uid="{00000000-0005-0000-0000-0000E4930000}"/>
    <cellStyle name="Normal 3 2 2 2 2 2 2 2 8" xfId="38174" xr:uid="{00000000-0005-0000-0000-0000E5930000}"/>
    <cellStyle name="Normal 3 2 2 2 2 2 2 3" xfId="38175" xr:uid="{00000000-0005-0000-0000-0000E6930000}"/>
    <cellStyle name="Normal 3 2 2 2 2 2 2 3 2" xfId="38176" xr:uid="{00000000-0005-0000-0000-0000E7930000}"/>
    <cellStyle name="Normal 3 2 2 2 2 2 2 3 2 2" xfId="38177" xr:uid="{00000000-0005-0000-0000-0000E8930000}"/>
    <cellStyle name="Normal 3 2 2 2 2 2 2 3 2 2 2" xfId="38178" xr:uid="{00000000-0005-0000-0000-0000E9930000}"/>
    <cellStyle name="Normal 3 2 2 2 2 2 2 3 2 2 3" xfId="38179" xr:uid="{00000000-0005-0000-0000-0000EA930000}"/>
    <cellStyle name="Normal 3 2 2 2 2 2 2 3 2 3" xfId="38180" xr:uid="{00000000-0005-0000-0000-0000EB930000}"/>
    <cellStyle name="Normal 3 2 2 2 2 2 2 3 2 4" xfId="38181" xr:uid="{00000000-0005-0000-0000-0000EC930000}"/>
    <cellStyle name="Normal 3 2 2 2 2 2 2 3 2 5" xfId="38182" xr:uid="{00000000-0005-0000-0000-0000ED930000}"/>
    <cellStyle name="Normal 3 2 2 2 2 2 2 3 2 6" xfId="38183" xr:uid="{00000000-0005-0000-0000-0000EE930000}"/>
    <cellStyle name="Normal 3 2 2 2 2 2 2 3 3" xfId="38184" xr:uid="{00000000-0005-0000-0000-0000EF930000}"/>
    <cellStyle name="Normal 3 2 2 2 2 2 2 3 3 2" xfId="38185" xr:uid="{00000000-0005-0000-0000-0000F0930000}"/>
    <cellStyle name="Normal 3 2 2 2 2 2 2 3 3 3" xfId="38186" xr:uid="{00000000-0005-0000-0000-0000F1930000}"/>
    <cellStyle name="Normal 3 2 2 2 2 2 2 3 4" xfId="38187" xr:uid="{00000000-0005-0000-0000-0000F2930000}"/>
    <cellStyle name="Normal 3 2 2 2 2 2 2 3 5" xfId="38188" xr:uid="{00000000-0005-0000-0000-0000F3930000}"/>
    <cellStyle name="Normal 3 2 2 2 2 2 2 3 6" xfId="38189" xr:uid="{00000000-0005-0000-0000-0000F4930000}"/>
    <cellStyle name="Normal 3 2 2 2 2 2 2 3 7" xfId="38190" xr:uid="{00000000-0005-0000-0000-0000F5930000}"/>
    <cellStyle name="Normal 3 2 2 2 2 2 2 4" xfId="38191" xr:uid="{00000000-0005-0000-0000-0000F6930000}"/>
    <cellStyle name="Normal 3 2 2 2 2 2 2 4 2" xfId="38192" xr:uid="{00000000-0005-0000-0000-0000F7930000}"/>
    <cellStyle name="Normal 3 2 2 2 2 2 2 4 2 2" xfId="38193" xr:uid="{00000000-0005-0000-0000-0000F8930000}"/>
    <cellStyle name="Normal 3 2 2 2 2 2 2 4 2 3" xfId="38194" xr:uid="{00000000-0005-0000-0000-0000F9930000}"/>
    <cellStyle name="Normal 3 2 2 2 2 2 2 4 3" xfId="38195" xr:uid="{00000000-0005-0000-0000-0000FA930000}"/>
    <cellStyle name="Normal 3 2 2 2 2 2 2 4 4" xfId="38196" xr:uid="{00000000-0005-0000-0000-0000FB930000}"/>
    <cellStyle name="Normal 3 2 2 2 2 2 2 4 5" xfId="38197" xr:uid="{00000000-0005-0000-0000-0000FC930000}"/>
    <cellStyle name="Normal 3 2 2 2 2 2 2 4 6" xfId="38198" xr:uid="{00000000-0005-0000-0000-0000FD930000}"/>
    <cellStyle name="Normal 3 2 2 2 2 2 2 5" xfId="38199" xr:uid="{00000000-0005-0000-0000-0000FE930000}"/>
    <cellStyle name="Normal 3 2 2 2 2 2 2 5 2" xfId="38200" xr:uid="{00000000-0005-0000-0000-0000FF930000}"/>
    <cellStyle name="Normal 3 2 2 2 2 2 2 5 2 2" xfId="38201" xr:uid="{00000000-0005-0000-0000-000000940000}"/>
    <cellStyle name="Normal 3 2 2 2 2 2 2 5 2 3" xfId="38202" xr:uid="{00000000-0005-0000-0000-000001940000}"/>
    <cellStyle name="Normal 3 2 2 2 2 2 2 5 3" xfId="38203" xr:uid="{00000000-0005-0000-0000-000002940000}"/>
    <cellStyle name="Normal 3 2 2 2 2 2 2 5 4" xfId="38204" xr:uid="{00000000-0005-0000-0000-000003940000}"/>
    <cellStyle name="Normal 3 2 2 2 2 2 2 5 5" xfId="38205" xr:uid="{00000000-0005-0000-0000-000004940000}"/>
    <cellStyle name="Normal 3 2 2 2 2 2 2 5 6" xfId="38206" xr:uid="{00000000-0005-0000-0000-000005940000}"/>
    <cellStyle name="Normal 3 2 2 2 2 2 2 6" xfId="38207" xr:uid="{00000000-0005-0000-0000-000006940000}"/>
    <cellStyle name="Normal 3 2 2 2 2 2 2 6 2" xfId="38208" xr:uid="{00000000-0005-0000-0000-000007940000}"/>
    <cellStyle name="Normal 3 2 2 2 2 2 2 6 3" xfId="38209" xr:uid="{00000000-0005-0000-0000-000008940000}"/>
    <cellStyle name="Normal 3 2 2 2 2 2 2 7" xfId="38210" xr:uid="{00000000-0005-0000-0000-000009940000}"/>
    <cellStyle name="Normal 3 2 2 2 2 2 2 8" xfId="38211" xr:uid="{00000000-0005-0000-0000-00000A940000}"/>
    <cellStyle name="Normal 3 2 2 2 2 2 2 9" xfId="38212" xr:uid="{00000000-0005-0000-0000-00000B940000}"/>
    <cellStyle name="Normal 3 2 2 2 2 2 3" xfId="38213" xr:uid="{00000000-0005-0000-0000-00000C940000}"/>
    <cellStyle name="Normal 3 2 2 2 2 2 3 2" xfId="38214" xr:uid="{00000000-0005-0000-0000-00000D940000}"/>
    <cellStyle name="Normal 3 2 2 2 2 2 3 2 2" xfId="38215" xr:uid="{00000000-0005-0000-0000-00000E940000}"/>
    <cellStyle name="Normal 3 2 2 2 2 2 3 2 2 2" xfId="38216" xr:uid="{00000000-0005-0000-0000-00000F940000}"/>
    <cellStyle name="Normal 3 2 2 2 2 2 3 2 2 2 2" xfId="38217" xr:uid="{00000000-0005-0000-0000-000010940000}"/>
    <cellStyle name="Normal 3 2 2 2 2 2 3 2 2 2 3" xfId="38218" xr:uid="{00000000-0005-0000-0000-000011940000}"/>
    <cellStyle name="Normal 3 2 2 2 2 2 3 2 2 3" xfId="38219" xr:uid="{00000000-0005-0000-0000-000012940000}"/>
    <cellStyle name="Normal 3 2 2 2 2 2 3 2 2 4" xfId="38220" xr:uid="{00000000-0005-0000-0000-000013940000}"/>
    <cellStyle name="Normal 3 2 2 2 2 2 3 2 2 5" xfId="38221" xr:uid="{00000000-0005-0000-0000-000014940000}"/>
    <cellStyle name="Normal 3 2 2 2 2 2 3 2 2 6" xfId="38222" xr:uid="{00000000-0005-0000-0000-000015940000}"/>
    <cellStyle name="Normal 3 2 2 2 2 2 3 2 3" xfId="38223" xr:uid="{00000000-0005-0000-0000-000016940000}"/>
    <cellStyle name="Normal 3 2 2 2 2 2 3 2 3 2" xfId="38224" xr:uid="{00000000-0005-0000-0000-000017940000}"/>
    <cellStyle name="Normal 3 2 2 2 2 2 3 2 3 3" xfId="38225" xr:uid="{00000000-0005-0000-0000-000018940000}"/>
    <cellStyle name="Normal 3 2 2 2 2 2 3 2 4" xfId="38226" xr:uid="{00000000-0005-0000-0000-000019940000}"/>
    <cellStyle name="Normal 3 2 2 2 2 2 3 2 5" xfId="38227" xr:uid="{00000000-0005-0000-0000-00001A940000}"/>
    <cellStyle name="Normal 3 2 2 2 2 2 3 2 6" xfId="38228" xr:uid="{00000000-0005-0000-0000-00001B940000}"/>
    <cellStyle name="Normal 3 2 2 2 2 2 3 2 7" xfId="38229" xr:uid="{00000000-0005-0000-0000-00001C940000}"/>
    <cellStyle name="Normal 3 2 2 2 2 2 3 3" xfId="38230" xr:uid="{00000000-0005-0000-0000-00001D940000}"/>
    <cellStyle name="Normal 3 2 2 2 2 2 3 3 2" xfId="38231" xr:uid="{00000000-0005-0000-0000-00001E940000}"/>
    <cellStyle name="Normal 3 2 2 2 2 2 3 3 2 2" xfId="38232" xr:uid="{00000000-0005-0000-0000-00001F940000}"/>
    <cellStyle name="Normal 3 2 2 2 2 2 3 3 2 3" xfId="38233" xr:uid="{00000000-0005-0000-0000-000020940000}"/>
    <cellStyle name="Normal 3 2 2 2 2 2 3 3 3" xfId="38234" xr:uid="{00000000-0005-0000-0000-000021940000}"/>
    <cellStyle name="Normal 3 2 2 2 2 2 3 3 4" xfId="38235" xr:uid="{00000000-0005-0000-0000-000022940000}"/>
    <cellStyle name="Normal 3 2 2 2 2 2 3 3 5" xfId="38236" xr:uid="{00000000-0005-0000-0000-000023940000}"/>
    <cellStyle name="Normal 3 2 2 2 2 2 3 3 6" xfId="38237" xr:uid="{00000000-0005-0000-0000-000024940000}"/>
    <cellStyle name="Normal 3 2 2 2 2 2 3 4" xfId="38238" xr:uid="{00000000-0005-0000-0000-000025940000}"/>
    <cellStyle name="Normal 3 2 2 2 2 2 3 4 2" xfId="38239" xr:uid="{00000000-0005-0000-0000-000026940000}"/>
    <cellStyle name="Normal 3 2 2 2 2 2 3 4 2 2" xfId="38240" xr:uid="{00000000-0005-0000-0000-000027940000}"/>
    <cellStyle name="Normal 3 2 2 2 2 2 3 4 2 3" xfId="38241" xr:uid="{00000000-0005-0000-0000-000028940000}"/>
    <cellStyle name="Normal 3 2 2 2 2 2 3 4 3" xfId="38242" xr:uid="{00000000-0005-0000-0000-000029940000}"/>
    <cellStyle name="Normal 3 2 2 2 2 2 3 4 4" xfId="38243" xr:uid="{00000000-0005-0000-0000-00002A940000}"/>
    <cellStyle name="Normal 3 2 2 2 2 2 3 4 5" xfId="38244" xr:uid="{00000000-0005-0000-0000-00002B940000}"/>
    <cellStyle name="Normal 3 2 2 2 2 2 3 4 6" xfId="38245" xr:uid="{00000000-0005-0000-0000-00002C940000}"/>
    <cellStyle name="Normal 3 2 2 2 2 2 3 5" xfId="38246" xr:uid="{00000000-0005-0000-0000-00002D940000}"/>
    <cellStyle name="Normal 3 2 2 2 2 2 3 5 2" xfId="38247" xr:uid="{00000000-0005-0000-0000-00002E940000}"/>
    <cellStyle name="Normal 3 2 2 2 2 2 3 5 3" xfId="38248" xr:uid="{00000000-0005-0000-0000-00002F940000}"/>
    <cellStyle name="Normal 3 2 2 2 2 2 3 6" xfId="38249" xr:uid="{00000000-0005-0000-0000-000030940000}"/>
    <cellStyle name="Normal 3 2 2 2 2 2 3 7" xfId="38250" xr:uid="{00000000-0005-0000-0000-000031940000}"/>
    <cellStyle name="Normal 3 2 2 2 2 2 3 8" xfId="38251" xr:uid="{00000000-0005-0000-0000-000032940000}"/>
    <cellStyle name="Normal 3 2 2 2 2 2 3 9" xfId="38252" xr:uid="{00000000-0005-0000-0000-000033940000}"/>
    <cellStyle name="Normal 3 2 2 2 2 2 4" xfId="38253" xr:uid="{00000000-0005-0000-0000-000034940000}"/>
    <cellStyle name="Normal 3 2 2 2 2 2 4 2" xfId="38254" xr:uid="{00000000-0005-0000-0000-000035940000}"/>
    <cellStyle name="Normal 3 2 2 2 2 2 4 2 2" xfId="38255" xr:uid="{00000000-0005-0000-0000-000036940000}"/>
    <cellStyle name="Normal 3 2 2 2 2 2 4 2 2 2" xfId="38256" xr:uid="{00000000-0005-0000-0000-000037940000}"/>
    <cellStyle name="Normal 3 2 2 2 2 2 4 2 2 3" xfId="38257" xr:uid="{00000000-0005-0000-0000-000038940000}"/>
    <cellStyle name="Normal 3 2 2 2 2 2 4 2 3" xfId="38258" xr:uid="{00000000-0005-0000-0000-000039940000}"/>
    <cellStyle name="Normal 3 2 2 2 2 2 4 2 4" xfId="38259" xr:uid="{00000000-0005-0000-0000-00003A940000}"/>
    <cellStyle name="Normal 3 2 2 2 2 2 4 2 5" xfId="38260" xr:uid="{00000000-0005-0000-0000-00003B940000}"/>
    <cellStyle name="Normal 3 2 2 2 2 2 4 2 6" xfId="38261" xr:uid="{00000000-0005-0000-0000-00003C940000}"/>
    <cellStyle name="Normal 3 2 2 2 2 2 4 3" xfId="38262" xr:uid="{00000000-0005-0000-0000-00003D940000}"/>
    <cellStyle name="Normal 3 2 2 2 2 2 4 3 2" xfId="38263" xr:uid="{00000000-0005-0000-0000-00003E940000}"/>
    <cellStyle name="Normal 3 2 2 2 2 2 4 3 3" xfId="38264" xr:uid="{00000000-0005-0000-0000-00003F940000}"/>
    <cellStyle name="Normal 3 2 2 2 2 2 4 4" xfId="38265" xr:uid="{00000000-0005-0000-0000-000040940000}"/>
    <cellStyle name="Normal 3 2 2 2 2 2 4 5" xfId="38266" xr:uid="{00000000-0005-0000-0000-000041940000}"/>
    <cellStyle name="Normal 3 2 2 2 2 2 4 6" xfId="38267" xr:uid="{00000000-0005-0000-0000-000042940000}"/>
    <cellStyle name="Normal 3 2 2 2 2 2 4 7" xfId="38268" xr:uid="{00000000-0005-0000-0000-000043940000}"/>
    <cellStyle name="Normal 3 2 2 2 2 2 5" xfId="38269" xr:uid="{00000000-0005-0000-0000-000044940000}"/>
    <cellStyle name="Normal 3 2 2 2 2 2 5 2" xfId="38270" xr:uid="{00000000-0005-0000-0000-000045940000}"/>
    <cellStyle name="Normal 3 2 2 2 2 2 5 2 2" xfId="38271" xr:uid="{00000000-0005-0000-0000-000046940000}"/>
    <cellStyle name="Normal 3 2 2 2 2 2 5 2 3" xfId="38272" xr:uid="{00000000-0005-0000-0000-000047940000}"/>
    <cellStyle name="Normal 3 2 2 2 2 2 5 3" xfId="38273" xr:uid="{00000000-0005-0000-0000-000048940000}"/>
    <cellStyle name="Normal 3 2 2 2 2 2 5 4" xfId="38274" xr:uid="{00000000-0005-0000-0000-000049940000}"/>
    <cellStyle name="Normal 3 2 2 2 2 2 5 5" xfId="38275" xr:uid="{00000000-0005-0000-0000-00004A940000}"/>
    <cellStyle name="Normal 3 2 2 2 2 2 5 6" xfId="38276" xr:uid="{00000000-0005-0000-0000-00004B940000}"/>
    <cellStyle name="Normal 3 2 2 2 2 2 6" xfId="38277" xr:uid="{00000000-0005-0000-0000-00004C940000}"/>
    <cellStyle name="Normal 3 2 2 2 2 2 6 2" xfId="38278" xr:uid="{00000000-0005-0000-0000-00004D940000}"/>
    <cellStyle name="Normal 3 2 2 2 2 2 6 2 2" xfId="38279" xr:uid="{00000000-0005-0000-0000-00004E940000}"/>
    <cellStyle name="Normal 3 2 2 2 2 2 6 2 3" xfId="38280" xr:uid="{00000000-0005-0000-0000-00004F940000}"/>
    <cellStyle name="Normal 3 2 2 2 2 2 6 3" xfId="38281" xr:uid="{00000000-0005-0000-0000-000050940000}"/>
    <cellStyle name="Normal 3 2 2 2 2 2 6 4" xfId="38282" xr:uid="{00000000-0005-0000-0000-000051940000}"/>
    <cellStyle name="Normal 3 2 2 2 2 2 6 5" xfId="38283" xr:uid="{00000000-0005-0000-0000-000052940000}"/>
    <cellStyle name="Normal 3 2 2 2 2 2 6 6" xfId="38284" xr:uid="{00000000-0005-0000-0000-000053940000}"/>
    <cellStyle name="Normal 3 2 2 2 2 2 7" xfId="38285" xr:uid="{00000000-0005-0000-0000-000054940000}"/>
    <cellStyle name="Normal 3 2 2 2 2 2 7 2" xfId="38286" xr:uid="{00000000-0005-0000-0000-000055940000}"/>
    <cellStyle name="Normal 3 2 2 2 2 2 7 2 2" xfId="38287" xr:uid="{00000000-0005-0000-0000-000056940000}"/>
    <cellStyle name="Normal 3 2 2 2 2 2 7 2 3" xfId="38288" xr:uid="{00000000-0005-0000-0000-000057940000}"/>
    <cellStyle name="Normal 3 2 2 2 2 2 7 3" xfId="38289" xr:uid="{00000000-0005-0000-0000-000058940000}"/>
    <cellStyle name="Normal 3 2 2 2 2 2 7 4" xfId="38290" xr:uid="{00000000-0005-0000-0000-000059940000}"/>
    <cellStyle name="Normal 3 2 2 2 2 2 7 5" xfId="38291" xr:uid="{00000000-0005-0000-0000-00005A940000}"/>
    <cellStyle name="Normal 3 2 2 2 2 2 7 6" xfId="38292" xr:uid="{00000000-0005-0000-0000-00005B940000}"/>
    <cellStyle name="Normal 3 2 2 2 2 2 8" xfId="38293" xr:uid="{00000000-0005-0000-0000-00005C940000}"/>
    <cellStyle name="Normal 3 2 2 2 2 2 8 2" xfId="38294" xr:uid="{00000000-0005-0000-0000-00005D940000}"/>
    <cellStyle name="Normal 3 2 2 2 2 2 8 2 2" xfId="38295" xr:uid="{00000000-0005-0000-0000-00005E940000}"/>
    <cellStyle name="Normal 3 2 2 2 2 2 8 2 3" xfId="38296" xr:uid="{00000000-0005-0000-0000-00005F940000}"/>
    <cellStyle name="Normal 3 2 2 2 2 2 8 3" xfId="38297" xr:uid="{00000000-0005-0000-0000-000060940000}"/>
    <cellStyle name="Normal 3 2 2 2 2 2 8 4" xfId="38298" xr:uid="{00000000-0005-0000-0000-000061940000}"/>
    <cellStyle name="Normal 3 2 2 2 2 2 8 5" xfId="38299" xr:uid="{00000000-0005-0000-0000-000062940000}"/>
    <cellStyle name="Normal 3 2 2 2 2 2 8 6" xfId="38300" xr:uid="{00000000-0005-0000-0000-000063940000}"/>
    <cellStyle name="Normal 3 2 2 2 2 2 9" xfId="38301" xr:uid="{00000000-0005-0000-0000-000064940000}"/>
    <cellStyle name="Normal 3 2 2 2 2 2 9 2" xfId="38302" xr:uid="{00000000-0005-0000-0000-000065940000}"/>
    <cellStyle name="Normal 3 2 2 2 2 2 9 3" xfId="38303" xr:uid="{00000000-0005-0000-0000-000066940000}"/>
    <cellStyle name="Normal 3 2 2 2 2 3" xfId="38304" xr:uid="{00000000-0005-0000-0000-000067940000}"/>
    <cellStyle name="Normal 3 2 2 2 2 3 10" xfId="38305" xr:uid="{00000000-0005-0000-0000-000068940000}"/>
    <cellStyle name="Normal 3 2 2 2 2 3 2" xfId="38306" xr:uid="{00000000-0005-0000-0000-000069940000}"/>
    <cellStyle name="Normal 3 2 2 2 2 3 2 2" xfId="38307" xr:uid="{00000000-0005-0000-0000-00006A940000}"/>
    <cellStyle name="Normal 3 2 2 2 2 3 2 2 2" xfId="38308" xr:uid="{00000000-0005-0000-0000-00006B940000}"/>
    <cellStyle name="Normal 3 2 2 2 2 3 2 2 2 2" xfId="38309" xr:uid="{00000000-0005-0000-0000-00006C940000}"/>
    <cellStyle name="Normal 3 2 2 2 2 3 2 2 2 3" xfId="38310" xr:uid="{00000000-0005-0000-0000-00006D940000}"/>
    <cellStyle name="Normal 3 2 2 2 2 3 2 2 3" xfId="38311" xr:uid="{00000000-0005-0000-0000-00006E940000}"/>
    <cellStyle name="Normal 3 2 2 2 2 3 2 2 4" xfId="38312" xr:uid="{00000000-0005-0000-0000-00006F940000}"/>
    <cellStyle name="Normal 3 2 2 2 2 3 2 2 5" xfId="38313" xr:uid="{00000000-0005-0000-0000-000070940000}"/>
    <cellStyle name="Normal 3 2 2 2 2 3 2 2 6" xfId="38314" xr:uid="{00000000-0005-0000-0000-000071940000}"/>
    <cellStyle name="Normal 3 2 2 2 2 3 2 3" xfId="38315" xr:uid="{00000000-0005-0000-0000-000072940000}"/>
    <cellStyle name="Normal 3 2 2 2 2 3 2 3 2" xfId="38316" xr:uid="{00000000-0005-0000-0000-000073940000}"/>
    <cellStyle name="Normal 3 2 2 2 2 3 2 3 2 2" xfId="38317" xr:uid="{00000000-0005-0000-0000-000074940000}"/>
    <cellStyle name="Normal 3 2 2 2 2 3 2 3 2 3" xfId="38318" xr:uid="{00000000-0005-0000-0000-000075940000}"/>
    <cellStyle name="Normal 3 2 2 2 2 3 2 3 3" xfId="38319" xr:uid="{00000000-0005-0000-0000-000076940000}"/>
    <cellStyle name="Normal 3 2 2 2 2 3 2 3 4" xfId="38320" xr:uid="{00000000-0005-0000-0000-000077940000}"/>
    <cellStyle name="Normal 3 2 2 2 2 3 2 3 5" xfId="38321" xr:uid="{00000000-0005-0000-0000-000078940000}"/>
    <cellStyle name="Normal 3 2 2 2 2 3 2 3 6" xfId="38322" xr:uid="{00000000-0005-0000-0000-000079940000}"/>
    <cellStyle name="Normal 3 2 2 2 2 3 2 4" xfId="38323" xr:uid="{00000000-0005-0000-0000-00007A940000}"/>
    <cellStyle name="Normal 3 2 2 2 2 3 2 4 2" xfId="38324" xr:uid="{00000000-0005-0000-0000-00007B940000}"/>
    <cellStyle name="Normal 3 2 2 2 2 3 2 4 3" xfId="38325" xr:uid="{00000000-0005-0000-0000-00007C940000}"/>
    <cellStyle name="Normal 3 2 2 2 2 3 2 5" xfId="38326" xr:uid="{00000000-0005-0000-0000-00007D940000}"/>
    <cellStyle name="Normal 3 2 2 2 2 3 2 6" xfId="38327" xr:uid="{00000000-0005-0000-0000-00007E940000}"/>
    <cellStyle name="Normal 3 2 2 2 2 3 2 7" xfId="38328" xr:uid="{00000000-0005-0000-0000-00007F940000}"/>
    <cellStyle name="Normal 3 2 2 2 2 3 2 8" xfId="38329" xr:uid="{00000000-0005-0000-0000-000080940000}"/>
    <cellStyle name="Normal 3 2 2 2 2 3 3" xfId="38330" xr:uid="{00000000-0005-0000-0000-000081940000}"/>
    <cellStyle name="Normal 3 2 2 2 2 3 3 2" xfId="38331" xr:uid="{00000000-0005-0000-0000-000082940000}"/>
    <cellStyle name="Normal 3 2 2 2 2 3 3 2 2" xfId="38332" xr:uid="{00000000-0005-0000-0000-000083940000}"/>
    <cellStyle name="Normal 3 2 2 2 2 3 3 2 2 2" xfId="38333" xr:uid="{00000000-0005-0000-0000-000084940000}"/>
    <cellStyle name="Normal 3 2 2 2 2 3 3 2 2 3" xfId="38334" xr:uid="{00000000-0005-0000-0000-000085940000}"/>
    <cellStyle name="Normal 3 2 2 2 2 3 3 2 3" xfId="38335" xr:uid="{00000000-0005-0000-0000-000086940000}"/>
    <cellStyle name="Normal 3 2 2 2 2 3 3 2 4" xfId="38336" xr:uid="{00000000-0005-0000-0000-000087940000}"/>
    <cellStyle name="Normal 3 2 2 2 2 3 3 2 5" xfId="38337" xr:uid="{00000000-0005-0000-0000-000088940000}"/>
    <cellStyle name="Normal 3 2 2 2 2 3 3 2 6" xfId="38338" xr:uid="{00000000-0005-0000-0000-000089940000}"/>
    <cellStyle name="Normal 3 2 2 2 2 3 3 3" xfId="38339" xr:uid="{00000000-0005-0000-0000-00008A940000}"/>
    <cellStyle name="Normal 3 2 2 2 2 3 3 3 2" xfId="38340" xr:uid="{00000000-0005-0000-0000-00008B940000}"/>
    <cellStyle name="Normal 3 2 2 2 2 3 3 3 3" xfId="38341" xr:uid="{00000000-0005-0000-0000-00008C940000}"/>
    <cellStyle name="Normal 3 2 2 2 2 3 3 4" xfId="38342" xr:uid="{00000000-0005-0000-0000-00008D940000}"/>
    <cellStyle name="Normal 3 2 2 2 2 3 3 5" xfId="38343" xr:uid="{00000000-0005-0000-0000-00008E940000}"/>
    <cellStyle name="Normal 3 2 2 2 2 3 3 6" xfId="38344" xr:uid="{00000000-0005-0000-0000-00008F940000}"/>
    <cellStyle name="Normal 3 2 2 2 2 3 3 7" xfId="38345" xr:uid="{00000000-0005-0000-0000-000090940000}"/>
    <cellStyle name="Normal 3 2 2 2 2 3 4" xfId="38346" xr:uid="{00000000-0005-0000-0000-000091940000}"/>
    <cellStyle name="Normal 3 2 2 2 2 3 4 2" xfId="38347" xr:uid="{00000000-0005-0000-0000-000092940000}"/>
    <cellStyle name="Normal 3 2 2 2 2 3 4 2 2" xfId="38348" xr:uid="{00000000-0005-0000-0000-000093940000}"/>
    <cellStyle name="Normal 3 2 2 2 2 3 4 2 3" xfId="38349" xr:uid="{00000000-0005-0000-0000-000094940000}"/>
    <cellStyle name="Normal 3 2 2 2 2 3 4 3" xfId="38350" xr:uid="{00000000-0005-0000-0000-000095940000}"/>
    <cellStyle name="Normal 3 2 2 2 2 3 4 4" xfId="38351" xr:uid="{00000000-0005-0000-0000-000096940000}"/>
    <cellStyle name="Normal 3 2 2 2 2 3 4 5" xfId="38352" xr:uid="{00000000-0005-0000-0000-000097940000}"/>
    <cellStyle name="Normal 3 2 2 2 2 3 4 6" xfId="38353" xr:uid="{00000000-0005-0000-0000-000098940000}"/>
    <cellStyle name="Normal 3 2 2 2 2 3 5" xfId="38354" xr:uid="{00000000-0005-0000-0000-000099940000}"/>
    <cellStyle name="Normal 3 2 2 2 2 3 5 2" xfId="38355" xr:uid="{00000000-0005-0000-0000-00009A940000}"/>
    <cellStyle name="Normal 3 2 2 2 2 3 5 2 2" xfId="38356" xr:uid="{00000000-0005-0000-0000-00009B940000}"/>
    <cellStyle name="Normal 3 2 2 2 2 3 5 2 3" xfId="38357" xr:uid="{00000000-0005-0000-0000-00009C940000}"/>
    <cellStyle name="Normal 3 2 2 2 2 3 5 3" xfId="38358" xr:uid="{00000000-0005-0000-0000-00009D940000}"/>
    <cellStyle name="Normal 3 2 2 2 2 3 5 4" xfId="38359" xr:uid="{00000000-0005-0000-0000-00009E940000}"/>
    <cellStyle name="Normal 3 2 2 2 2 3 5 5" xfId="38360" xr:uid="{00000000-0005-0000-0000-00009F940000}"/>
    <cellStyle name="Normal 3 2 2 2 2 3 5 6" xfId="38361" xr:uid="{00000000-0005-0000-0000-0000A0940000}"/>
    <cellStyle name="Normal 3 2 2 2 2 3 6" xfId="38362" xr:uid="{00000000-0005-0000-0000-0000A1940000}"/>
    <cellStyle name="Normal 3 2 2 2 2 3 6 2" xfId="38363" xr:uid="{00000000-0005-0000-0000-0000A2940000}"/>
    <cellStyle name="Normal 3 2 2 2 2 3 6 3" xfId="38364" xr:uid="{00000000-0005-0000-0000-0000A3940000}"/>
    <cellStyle name="Normal 3 2 2 2 2 3 7" xfId="38365" xr:uid="{00000000-0005-0000-0000-0000A4940000}"/>
    <cellStyle name="Normal 3 2 2 2 2 3 8" xfId="38366" xr:uid="{00000000-0005-0000-0000-0000A5940000}"/>
    <cellStyle name="Normal 3 2 2 2 2 3 9" xfId="38367" xr:uid="{00000000-0005-0000-0000-0000A6940000}"/>
    <cellStyle name="Normal 3 2 2 2 2 4" xfId="38368" xr:uid="{00000000-0005-0000-0000-0000A7940000}"/>
    <cellStyle name="Normal 3 2 2 2 2 4 2" xfId="38369" xr:uid="{00000000-0005-0000-0000-0000A8940000}"/>
    <cellStyle name="Normal 3 2 2 2 2 4 2 2" xfId="38370" xr:uid="{00000000-0005-0000-0000-0000A9940000}"/>
    <cellStyle name="Normal 3 2 2 2 2 4 2 2 2" xfId="38371" xr:uid="{00000000-0005-0000-0000-0000AA940000}"/>
    <cellStyle name="Normal 3 2 2 2 2 4 2 2 2 2" xfId="38372" xr:uid="{00000000-0005-0000-0000-0000AB940000}"/>
    <cellStyle name="Normal 3 2 2 2 2 4 2 2 2 3" xfId="38373" xr:uid="{00000000-0005-0000-0000-0000AC940000}"/>
    <cellStyle name="Normal 3 2 2 2 2 4 2 2 3" xfId="38374" xr:uid="{00000000-0005-0000-0000-0000AD940000}"/>
    <cellStyle name="Normal 3 2 2 2 2 4 2 2 4" xfId="38375" xr:uid="{00000000-0005-0000-0000-0000AE940000}"/>
    <cellStyle name="Normal 3 2 2 2 2 4 2 2 5" xfId="38376" xr:uid="{00000000-0005-0000-0000-0000AF940000}"/>
    <cellStyle name="Normal 3 2 2 2 2 4 2 2 6" xfId="38377" xr:uid="{00000000-0005-0000-0000-0000B0940000}"/>
    <cellStyle name="Normal 3 2 2 2 2 4 2 3" xfId="38378" xr:uid="{00000000-0005-0000-0000-0000B1940000}"/>
    <cellStyle name="Normal 3 2 2 2 2 4 2 3 2" xfId="38379" xr:uid="{00000000-0005-0000-0000-0000B2940000}"/>
    <cellStyle name="Normal 3 2 2 2 2 4 2 3 3" xfId="38380" xr:uid="{00000000-0005-0000-0000-0000B3940000}"/>
    <cellStyle name="Normal 3 2 2 2 2 4 2 4" xfId="38381" xr:uid="{00000000-0005-0000-0000-0000B4940000}"/>
    <cellStyle name="Normal 3 2 2 2 2 4 2 5" xfId="38382" xr:uid="{00000000-0005-0000-0000-0000B5940000}"/>
    <cellStyle name="Normal 3 2 2 2 2 4 2 6" xfId="38383" xr:uid="{00000000-0005-0000-0000-0000B6940000}"/>
    <cellStyle name="Normal 3 2 2 2 2 4 2 7" xfId="38384" xr:uid="{00000000-0005-0000-0000-0000B7940000}"/>
    <cellStyle name="Normal 3 2 2 2 2 4 3" xfId="38385" xr:uid="{00000000-0005-0000-0000-0000B8940000}"/>
    <cellStyle name="Normal 3 2 2 2 2 4 3 2" xfId="38386" xr:uid="{00000000-0005-0000-0000-0000B9940000}"/>
    <cellStyle name="Normal 3 2 2 2 2 4 3 2 2" xfId="38387" xr:uid="{00000000-0005-0000-0000-0000BA940000}"/>
    <cellStyle name="Normal 3 2 2 2 2 4 3 2 3" xfId="38388" xr:uid="{00000000-0005-0000-0000-0000BB940000}"/>
    <cellStyle name="Normal 3 2 2 2 2 4 3 3" xfId="38389" xr:uid="{00000000-0005-0000-0000-0000BC940000}"/>
    <cellStyle name="Normal 3 2 2 2 2 4 3 4" xfId="38390" xr:uid="{00000000-0005-0000-0000-0000BD940000}"/>
    <cellStyle name="Normal 3 2 2 2 2 4 3 5" xfId="38391" xr:uid="{00000000-0005-0000-0000-0000BE940000}"/>
    <cellStyle name="Normal 3 2 2 2 2 4 3 6" xfId="38392" xr:uid="{00000000-0005-0000-0000-0000BF940000}"/>
    <cellStyle name="Normal 3 2 2 2 2 4 4" xfId="38393" xr:uid="{00000000-0005-0000-0000-0000C0940000}"/>
    <cellStyle name="Normal 3 2 2 2 2 4 4 2" xfId="38394" xr:uid="{00000000-0005-0000-0000-0000C1940000}"/>
    <cellStyle name="Normal 3 2 2 2 2 4 4 2 2" xfId="38395" xr:uid="{00000000-0005-0000-0000-0000C2940000}"/>
    <cellStyle name="Normal 3 2 2 2 2 4 4 2 3" xfId="38396" xr:uid="{00000000-0005-0000-0000-0000C3940000}"/>
    <cellStyle name="Normal 3 2 2 2 2 4 4 3" xfId="38397" xr:uid="{00000000-0005-0000-0000-0000C4940000}"/>
    <cellStyle name="Normal 3 2 2 2 2 4 4 4" xfId="38398" xr:uid="{00000000-0005-0000-0000-0000C5940000}"/>
    <cellStyle name="Normal 3 2 2 2 2 4 4 5" xfId="38399" xr:uid="{00000000-0005-0000-0000-0000C6940000}"/>
    <cellStyle name="Normal 3 2 2 2 2 4 4 6" xfId="38400" xr:uid="{00000000-0005-0000-0000-0000C7940000}"/>
    <cellStyle name="Normal 3 2 2 2 2 4 5" xfId="38401" xr:uid="{00000000-0005-0000-0000-0000C8940000}"/>
    <cellStyle name="Normal 3 2 2 2 2 4 5 2" xfId="38402" xr:uid="{00000000-0005-0000-0000-0000C9940000}"/>
    <cellStyle name="Normal 3 2 2 2 2 4 5 3" xfId="38403" xr:uid="{00000000-0005-0000-0000-0000CA940000}"/>
    <cellStyle name="Normal 3 2 2 2 2 4 6" xfId="38404" xr:uid="{00000000-0005-0000-0000-0000CB940000}"/>
    <cellStyle name="Normal 3 2 2 2 2 4 7" xfId="38405" xr:uid="{00000000-0005-0000-0000-0000CC940000}"/>
    <cellStyle name="Normal 3 2 2 2 2 4 8" xfId="38406" xr:uid="{00000000-0005-0000-0000-0000CD940000}"/>
    <cellStyle name="Normal 3 2 2 2 2 4 9" xfId="38407" xr:uid="{00000000-0005-0000-0000-0000CE940000}"/>
    <cellStyle name="Normal 3 2 2 2 2 5" xfId="38408" xr:uid="{00000000-0005-0000-0000-0000CF940000}"/>
    <cellStyle name="Normal 3 2 2 2 2 5 2" xfId="38409" xr:uid="{00000000-0005-0000-0000-0000D0940000}"/>
    <cellStyle name="Normal 3 2 2 2 2 5 2 2" xfId="38410" xr:uid="{00000000-0005-0000-0000-0000D1940000}"/>
    <cellStyle name="Normal 3 2 2 2 2 5 2 2 2" xfId="38411" xr:uid="{00000000-0005-0000-0000-0000D2940000}"/>
    <cellStyle name="Normal 3 2 2 2 2 5 2 2 3" xfId="38412" xr:uid="{00000000-0005-0000-0000-0000D3940000}"/>
    <cellStyle name="Normal 3 2 2 2 2 5 2 3" xfId="38413" xr:uid="{00000000-0005-0000-0000-0000D4940000}"/>
    <cellStyle name="Normal 3 2 2 2 2 5 2 4" xfId="38414" xr:uid="{00000000-0005-0000-0000-0000D5940000}"/>
    <cellStyle name="Normal 3 2 2 2 2 5 2 5" xfId="38415" xr:uid="{00000000-0005-0000-0000-0000D6940000}"/>
    <cellStyle name="Normal 3 2 2 2 2 5 2 6" xfId="38416" xr:uid="{00000000-0005-0000-0000-0000D7940000}"/>
    <cellStyle name="Normal 3 2 2 2 2 5 3" xfId="38417" xr:uid="{00000000-0005-0000-0000-0000D8940000}"/>
    <cellStyle name="Normal 3 2 2 2 2 5 3 2" xfId="38418" xr:uid="{00000000-0005-0000-0000-0000D9940000}"/>
    <cellStyle name="Normal 3 2 2 2 2 5 3 3" xfId="38419" xr:uid="{00000000-0005-0000-0000-0000DA940000}"/>
    <cellStyle name="Normal 3 2 2 2 2 5 4" xfId="38420" xr:uid="{00000000-0005-0000-0000-0000DB940000}"/>
    <cellStyle name="Normal 3 2 2 2 2 5 5" xfId="38421" xr:uid="{00000000-0005-0000-0000-0000DC940000}"/>
    <cellStyle name="Normal 3 2 2 2 2 5 6" xfId="38422" xr:uid="{00000000-0005-0000-0000-0000DD940000}"/>
    <cellStyle name="Normal 3 2 2 2 2 5 7" xfId="38423" xr:uid="{00000000-0005-0000-0000-0000DE940000}"/>
    <cellStyle name="Normal 3 2 2 2 2 6" xfId="38424" xr:uid="{00000000-0005-0000-0000-0000DF940000}"/>
    <cellStyle name="Normal 3 2 2 2 2 6 2" xfId="38425" xr:uid="{00000000-0005-0000-0000-0000E0940000}"/>
    <cellStyle name="Normal 3 2 2 2 2 6 2 2" xfId="38426" xr:uid="{00000000-0005-0000-0000-0000E1940000}"/>
    <cellStyle name="Normal 3 2 2 2 2 6 2 3" xfId="38427" xr:uid="{00000000-0005-0000-0000-0000E2940000}"/>
    <cellStyle name="Normal 3 2 2 2 2 6 3" xfId="38428" xr:uid="{00000000-0005-0000-0000-0000E3940000}"/>
    <cellStyle name="Normal 3 2 2 2 2 6 4" xfId="38429" xr:uid="{00000000-0005-0000-0000-0000E4940000}"/>
    <cellStyle name="Normal 3 2 2 2 2 6 5" xfId="38430" xr:uid="{00000000-0005-0000-0000-0000E5940000}"/>
    <cellStyle name="Normal 3 2 2 2 2 6 6" xfId="38431" xr:uid="{00000000-0005-0000-0000-0000E6940000}"/>
    <cellStyle name="Normal 3 2 2 2 2 7" xfId="38432" xr:uid="{00000000-0005-0000-0000-0000E7940000}"/>
    <cellStyle name="Normal 3 2 2 2 2 7 2" xfId="38433" xr:uid="{00000000-0005-0000-0000-0000E8940000}"/>
    <cellStyle name="Normal 3 2 2 2 2 7 2 2" xfId="38434" xr:uid="{00000000-0005-0000-0000-0000E9940000}"/>
    <cellStyle name="Normal 3 2 2 2 2 7 2 3" xfId="38435" xr:uid="{00000000-0005-0000-0000-0000EA940000}"/>
    <cellStyle name="Normal 3 2 2 2 2 7 3" xfId="38436" xr:uid="{00000000-0005-0000-0000-0000EB940000}"/>
    <cellStyle name="Normal 3 2 2 2 2 7 4" xfId="38437" xr:uid="{00000000-0005-0000-0000-0000EC940000}"/>
    <cellStyle name="Normal 3 2 2 2 2 7 5" xfId="38438" xr:uid="{00000000-0005-0000-0000-0000ED940000}"/>
    <cellStyle name="Normal 3 2 2 2 2 7 6" xfId="38439" xr:uid="{00000000-0005-0000-0000-0000EE940000}"/>
    <cellStyle name="Normal 3 2 2 2 2 8" xfId="38440" xr:uid="{00000000-0005-0000-0000-0000EF940000}"/>
    <cellStyle name="Normal 3 2 2 2 2 8 2" xfId="38441" xr:uid="{00000000-0005-0000-0000-0000F0940000}"/>
    <cellStyle name="Normal 3 2 2 2 2 8 2 2" xfId="38442" xr:uid="{00000000-0005-0000-0000-0000F1940000}"/>
    <cellStyle name="Normal 3 2 2 2 2 8 2 3" xfId="38443" xr:uid="{00000000-0005-0000-0000-0000F2940000}"/>
    <cellStyle name="Normal 3 2 2 2 2 8 3" xfId="38444" xr:uid="{00000000-0005-0000-0000-0000F3940000}"/>
    <cellStyle name="Normal 3 2 2 2 2 8 4" xfId="38445" xr:uid="{00000000-0005-0000-0000-0000F4940000}"/>
    <cellStyle name="Normal 3 2 2 2 2 8 5" xfId="38446" xr:uid="{00000000-0005-0000-0000-0000F5940000}"/>
    <cellStyle name="Normal 3 2 2 2 2 8 6" xfId="38447" xr:uid="{00000000-0005-0000-0000-0000F6940000}"/>
    <cellStyle name="Normal 3 2 2 2 2 9" xfId="38448" xr:uid="{00000000-0005-0000-0000-0000F7940000}"/>
    <cellStyle name="Normal 3 2 2 2 2 9 2" xfId="38449" xr:uid="{00000000-0005-0000-0000-0000F8940000}"/>
    <cellStyle name="Normal 3 2 2 2 2 9 2 2" xfId="38450" xr:uid="{00000000-0005-0000-0000-0000F9940000}"/>
    <cellStyle name="Normal 3 2 2 2 2 9 2 3" xfId="38451" xr:uid="{00000000-0005-0000-0000-0000FA940000}"/>
    <cellStyle name="Normal 3 2 2 2 2 9 3" xfId="38452" xr:uid="{00000000-0005-0000-0000-0000FB940000}"/>
    <cellStyle name="Normal 3 2 2 2 2 9 4" xfId="38453" xr:uid="{00000000-0005-0000-0000-0000FC940000}"/>
    <cellStyle name="Normal 3 2 2 2 2 9 5" xfId="38454" xr:uid="{00000000-0005-0000-0000-0000FD940000}"/>
    <cellStyle name="Normal 3 2 2 2 2 9 6" xfId="38455" xr:uid="{00000000-0005-0000-0000-0000FE940000}"/>
    <cellStyle name="Normal 3 2 2 2 3" xfId="38456" xr:uid="{00000000-0005-0000-0000-0000FF940000}"/>
    <cellStyle name="Normal 3 2 2 2 3 10" xfId="38457" xr:uid="{00000000-0005-0000-0000-000000950000}"/>
    <cellStyle name="Normal 3 2 2 2 3 11" xfId="38458" xr:uid="{00000000-0005-0000-0000-000001950000}"/>
    <cellStyle name="Normal 3 2 2 2 3 12" xfId="38459" xr:uid="{00000000-0005-0000-0000-000002950000}"/>
    <cellStyle name="Normal 3 2 2 2 3 13" xfId="38460" xr:uid="{00000000-0005-0000-0000-000003950000}"/>
    <cellStyle name="Normal 3 2 2 2 3 2" xfId="38461" xr:uid="{00000000-0005-0000-0000-000004950000}"/>
    <cellStyle name="Normal 3 2 2 2 3 2 10" xfId="38462" xr:uid="{00000000-0005-0000-0000-000005950000}"/>
    <cellStyle name="Normal 3 2 2 2 3 2 2" xfId="38463" xr:uid="{00000000-0005-0000-0000-000006950000}"/>
    <cellStyle name="Normal 3 2 2 2 3 2 2 2" xfId="38464" xr:uid="{00000000-0005-0000-0000-000007950000}"/>
    <cellStyle name="Normal 3 2 2 2 3 2 2 2 2" xfId="38465" xr:uid="{00000000-0005-0000-0000-000008950000}"/>
    <cellStyle name="Normal 3 2 2 2 3 2 2 2 2 2" xfId="38466" xr:uid="{00000000-0005-0000-0000-000009950000}"/>
    <cellStyle name="Normal 3 2 2 2 3 2 2 2 2 3" xfId="38467" xr:uid="{00000000-0005-0000-0000-00000A950000}"/>
    <cellStyle name="Normal 3 2 2 2 3 2 2 2 3" xfId="38468" xr:uid="{00000000-0005-0000-0000-00000B950000}"/>
    <cellStyle name="Normal 3 2 2 2 3 2 2 2 4" xfId="38469" xr:uid="{00000000-0005-0000-0000-00000C950000}"/>
    <cellStyle name="Normal 3 2 2 2 3 2 2 2 5" xfId="38470" xr:uid="{00000000-0005-0000-0000-00000D950000}"/>
    <cellStyle name="Normal 3 2 2 2 3 2 2 2 6" xfId="38471" xr:uid="{00000000-0005-0000-0000-00000E950000}"/>
    <cellStyle name="Normal 3 2 2 2 3 2 2 3" xfId="38472" xr:uid="{00000000-0005-0000-0000-00000F950000}"/>
    <cellStyle name="Normal 3 2 2 2 3 2 2 3 2" xfId="38473" xr:uid="{00000000-0005-0000-0000-000010950000}"/>
    <cellStyle name="Normal 3 2 2 2 3 2 2 3 2 2" xfId="38474" xr:uid="{00000000-0005-0000-0000-000011950000}"/>
    <cellStyle name="Normal 3 2 2 2 3 2 2 3 2 3" xfId="38475" xr:uid="{00000000-0005-0000-0000-000012950000}"/>
    <cellStyle name="Normal 3 2 2 2 3 2 2 3 3" xfId="38476" xr:uid="{00000000-0005-0000-0000-000013950000}"/>
    <cellStyle name="Normal 3 2 2 2 3 2 2 3 4" xfId="38477" xr:uid="{00000000-0005-0000-0000-000014950000}"/>
    <cellStyle name="Normal 3 2 2 2 3 2 2 3 5" xfId="38478" xr:uid="{00000000-0005-0000-0000-000015950000}"/>
    <cellStyle name="Normal 3 2 2 2 3 2 2 3 6" xfId="38479" xr:uid="{00000000-0005-0000-0000-000016950000}"/>
    <cellStyle name="Normal 3 2 2 2 3 2 2 4" xfId="38480" xr:uid="{00000000-0005-0000-0000-000017950000}"/>
    <cellStyle name="Normal 3 2 2 2 3 2 2 4 2" xfId="38481" xr:uid="{00000000-0005-0000-0000-000018950000}"/>
    <cellStyle name="Normal 3 2 2 2 3 2 2 4 3" xfId="38482" xr:uid="{00000000-0005-0000-0000-000019950000}"/>
    <cellStyle name="Normal 3 2 2 2 3 2 2 5" xfId="38483" xr:uid="{00000000-0005-0000-0000-00001A950000}"/>
    <cellStyle name="Normal 3 2 2 2 3 2 2 6" xfId="38484" xr:uid="{00000000-0005-0000-0000-00001B950000}"/>
    <cellStyle name="Normal 3 2 2 2 3 2 2 7" xfId="38485" xr:uid="{00000000-0005-0000-0000-00001C950000}"/>
    <cellStyle name="Normal 3 2 2 2 3 2 2 8" xfId="38486" xr:uid="{00000000-0005-0000-0000-00001D950000}"/>
    <cellStyle name="Normal 3 2 2 2 3 2 3" xfId="38487" xr:uid="{00000000-0005-0000-0000-00001E950000}"/>
    <cellStyle name="Normal 3 2 2 2 3 2 3 2" xfId="38488" xr:uid="{00000000-0005-0000-0000-00001F950000}"/>
    <cellStyle name="Normal 3 2 2 2 3 2 3 2 2" xfId="38489" xr:uid="{00000000-0005-0000-0000-000020950000}"/>
    <cellStyle name="Normal 3 2 2 2 3 2 3 2 2 2" xfId="38490" xr:uid="{00000000-0005-0000-0000-000021950000}"/>
    <cellStyle name="Normal 3 2 2 2 3 2 3 2 2 3" xfId="38491" xr:uid="{00000000-0005-0000-0000-000022950000}"/>
    <cellStyle name="Normal 3 2 2 2 3 2 3 2 3" xfId="38492" xr:uid="{00000000-0005-0000-0000-000023950000}"/>
    <cellStyle name="Normal 3 2 2 2 3 2 3 2 4" xfId="38493" xr:uid="{00000000-0005-0000-0000-000024950000}"/>
    <cellStyle name="Normal 3 2 2 2 3 2 3 2 5" xfId="38494" xr:uid="{00000000-0005-0000-0000-000025950000}"/>
    <cellStyle name="Normal 3 2 2 2 3 2 3 2 6" xfId="38495" xr:uid="{00000000-0005-0000-0000-000026950000}"/>
    <cellStyle name="Normal 3 2 2 2 3 2 3 3" xfId="38496" xr:uid="{00000000-0005-0000-0000-000027950000}"/>
    <cellStyle name="Normal 3 2 2 2 3 2 3 3 2" xfId="38497" xr:uid="{00000000-0005-0000-0000-000028950000}"/>
    <cellStyle name="Normal 3 2 2 2 3 2 3 3 3" xfId="38498" xr:uid="{00000000-0005-0000-0000-000029950000}"/>
    <cellStyle name="Normal 3 2 2 2 3 2 3 4" xfId="38499" xr:uid="{00000000-0005-0000-0000-00002A950000}"/>
    <cellStyle name="Normal 3 2 2 2 3 2 3 5" xfId="38500" xr:uid="{00000000-0005-0000-0000-00002B950000}"/>
    <cellStyle name="Normal 3 2 2 2 3 2 3 6" xfId="38501" xr:uid="{00000000-0005-0000-0000-00002C950000}"/>
    <cellStyle name="Normal 3 2 2 2 3 2 3 7" xfId="38502" xr:uid="{00000000-0005-0000-0000-00002D950000}"/>
    <cellStyle name="Normal 3 2 2 2 3 2 4" xfId="38503" xr:uid="{00000000-0005-0000-0000-00002E950000}"/>
    <cellStyle name="Normal 3 2 2 2 3 2 4 2" xfId="38504" xr:uid="{00000000-0005-0000-0000-00002F950000}"/>
    <cellStyle name="Normal 3 2 2 2 3 2 4 2 2" xfId="38505" xr:uid="{00000000-0005-0000-0000-000030950000}"/>
    <cellStyle name="Normal 3 2 2 2 3 2 4 2 3" xfId="38506" xr:uid="{00000000-0005-0000-0000-000031950000}"/>
    <cellStyle name="Normal 3 2 2 2 3 2 4 3" xfId="38507" xr:uid="{00000000-0005-0000-0000-000032950000}"/>
    <cellStyle name="Normal 3 2 2 2 3 2 4 4" xfId="38508" xr:uid="{00000000-0005-0000-0000-000033950000}"/>
    <cellStyle name="Normal 3 2 2 2 3 2 4 5" xfId="38509" xr:uid="{00000000-0005-0000-0000-000034950000}"/>
    <cellStyle name="Normal 3 2 2 2 3 2 4 6" xfId="38510" xr:uid="{00000000-0005-0000-0000-000035950000}"/>
    <cellStyle name="Normal 3 2 2 2 3 2 5" xfId="38511" xr:uid="{00000000-0005-0000-0000-000036950000}"/>
    <cellStyle name="Normal 3 2 2 2 3 2 5 2" xfId="38512" xr:uid="{00000000-0005-0000-0000-000037950000}"/>
    <cellStyle name="Normal 3 2 2 2 3 2 5 2 2" xfId="38513" xr:uid="{00000000-0005-0000-0000-000038950000}"/>
    <cellStyle name="Normal 3 2 2 2 3 2 5 2 3" xfId="38514" xr:uid="{00000000-0005-0000-0000-000039950000}"/>
    <cellStyle name="Normal 3 2 2 2 3 2 5 3" xfId="38515" xr:uid="{00000000-0005-0000-0000-00003A950000}"/>
    <cellStyle name="Normal 3 2 2 2 3 2 5 4" xfId="38516" xr:uid="{00000000-0005-0000-0000-00003B950000}"/>
    <cellStyle name="Normal 3 2 2 2 3 2 5 5" xfId="38517" xr:uid="{00000000-0005-0000-0000-00003C950000}"/>
    <cellStyle name="Normal 3 2 2 2 3 2 5 6" xfId="38518" xr:uid="{00000000-0005-0000-0000-00003D950000}"/>
    <cellStyle name="Normal 3 2 2 2 3 2 6" xfId="38519" xr:uid="{00000000-0005-0000-0000-00003E950000}"/>
    <cellStyle name="Normal 3 2 2 2 3 2 6 2" xfId="38520" xr:uid="{00000000-0005-0000-0000-00003F950000}"/>
    <cellStyle name="Normal 3 2 2 2 3 2 6 3" xfId="38521" xr:uid="{00000000-0005-0000-0000-000040950000}"/>
    <cellStyle name="Normal 3 2 2 2 3 2 7" xfId="38522" xr:uid="{00000000-0005-0000-0000-000041950000}"/>
    <cellStyle name="Normal 3 2 2 2 3 2 8" xfId="38523" xr:uid="{00000000-0005-0000-0000-000042950000}"/>
    <cellStyle name="Normal 3 2 2 2 3 2 9" xfId="38524" xr:uid="{00000000-0005-0000-0000-000043950000}"/>
    <cellStyle name="Normal 3 2 2 2 3 3" xfId="38525" xr:uid="{00000000-0005-0000-0000-000044950000}"/>
    <cellStyle name="Normal 3 2 2 2 3 3 2" xfId="38526" xr:uid="{00000000-0005-0000-0000-000045950000}"/>
    <cellStyle name="Normal 3 2 2 2 3 3 2 2" xfId="38527" xr:uid="{00000000-0005-0000-0000-000046950000}"/>
    <cellStyle name="Normal 3 2 2 2 3 3 2 2 2" xfId="38528" xr:uid="{00000000-0005-0000-0000-000047950000}"/>
    <cellStyle name="Normal 3 2 2 2 3 3 2 2 2 2" xfId="38529" xr:uid="{00000000-0005-0000-0000-000048950000}"/>
    <cellStyle name="Normal 3 2 2 2 3 3 2 2 2 3" xfId="38530" xr:uid="{00000000-0005-0000-0000-000049950000}"/>
    <cellStyle name="Normal 3 2 2 2 3 3 2 2 3" xfId="38531" xr:uid="{00000000-0005-0000-0000-00004A950000}"/>
    <cellStyle name="Normal 3 2 2 2 3 3 2 2 4" xfId="38532" xr:uid="{00000000-0005-0000-0000-00004B950000}"/>
    <cellStyle name="Normal 3 2 2 2 3 3 2 2 5" xfId="38533" xr:uid="{00000000-0005-0000-0000-00004C950000}"/>
    <cellStyle name="Normal 3 2 2 2 3 3 2 2 6" xfId="38534" xr:uid="{00000000-0005-0000-0000-00004D950000}"/>
    <cellStyle name="Normal 3 2 2 2 3 3 2 3" xfId="38535" xr:uid="{00000000-0005-0000-0000-00004E950000}"/>
    <cellStyle name="Normal 3 2 2 2 3 3 2 3 2" xfId="38536" xr:uid="{00000000-0005-0000-0000-00004F950000}"/>
    <cellStyle name="Normal 3 2 2 2 3 3 2 3 3" xfId="38537" xr:uid="{00000000-0005-0000-0000-000050950000}"/>
    <cellStyle name="Normal 3 2 2 2 3 3 2 4" xfId="38538" xr:uid="{00000000-0005-0000-0000-000051950000}"/>
    <cellStyle name="Normal 3 2 2 2 3 3 2 5" xfId="38539" xr:uid="{00000000-0005-0000-0000-000052950000}"/>
    <cellStyle name="Normal 3 2 2 2 3 3 2 6" xfId="38540" xr:uid="{00000000-0005-0000-0000-000053950000}"/>
    <cellStyle name="Normal 3 2 2 2 3 3 2 7" xfId="38541" xr:uid="{00000000-0005-0000-0000-000054950000}"/>
    <cellStyle name="Normal 3 2 2 2 3 3 3" xfId="38542" xr:uid="{00000000-0005-0000-0000-000055950000}"/>
    <cellStyle name="Normal 3 2 2 2 3 3 3 2" xfId="38543" xr:uid="{00000000-0005-0000-0000-000056950000}"/>
    <cellStyle name="Normal 3 2 2 2 3 3 3 2 2" xfId="38544" xr:uid="{00000000-0005-0000-0000-000057950000}"/>
    <cellStyle name="Normal 3 2 2 2 3 3 3 2 3" xfId="38545" xr:uid="{00000000-0005-0000-0000-000058950000}"/>
    <cellStyle name="Normal 3 2 2 2 3 3 3 3" xfId="38546" xr:uid="{00000000-0005-0000-0000-000059950000}"/>
    <cellStyle name="Normal 3 2 2 2 3 3 3 4" xfId="38547" xr:uid="{00000000-0005-0000-0000-00005A950000}"/>
    <cellStyle name="Normal 3 2 2 2 3 3 3 5" xfId="38548" xr:uid="{00000000-0005-0000-0000-00005B950000}"/>
    <cellStyle name="Normal 3 2 2 2 3 3 3 6" xfId="38549" xr:uid="{00000000-0005-0000-0000-00005C950000}"/>
    <cellStyle name="Normal 3 2 2 2 3 3 4" xfId="38550" xr:uid="{00000000-0005-0000-0000-00005D950000}"/>
    <cellStyle name="Normal 3 2 2 2 3 3 4 2" xfId="38551" xr:uid="{00000000-0005-0000-0000-00005E950000}"/>
    <cellStyle name="Normal 3 2 2 2 3 3 4 2 2" xfId="38552" xr:uid="{00000000-0005-0000-0000-00005F950000}"/>
    <cellStyle name="Normal 3 2 2 2 3 3 4 2 3" xfId="38553" xr:uid="{00000000-0005-0000-0000-000060950000}"/>
    <cellStyle name="Normal 3 2 2 2 3 3 4 3" xfId="38554" xr:uid="{00000000-0005-0000-0000-000061950000}"/>
    <cellStyle name="Normal 3 2 2 2 3 3 4 4" xfId="38555" xr:uid="{00000000-0005-0000-0000-000062950000}"/>
    <cellStyle name="Normal 3 2 2 2 3 3 4 5" xfId="38556" xr:uid="{00000000-0005-0000-0000-000063950000}"/>
    <cellStyle name="Normal 3 2 2 2 3 3 4 6" xfId="38557" xr:uid="{00000000-0005-0000-0000-000064950000}"/>
    <cellStyle name="Normal 3 2 2 2 3 3 5" xfId="38558" xr:uid="{00000000-0005-0000-0000-000065950000}"/>
    <cellStyle name="Normal 3 2 2 2 3 3 5 2" xfId="38559" xr:uid="{00000000-0005-0000-0000-000066950000}"/>
    <cellStyle name="Normal 3 2 2 2 3 3 5 3" xfId="38560" xr:uid="{00000000-0005-0000-0000-000067950000}"/>
    <cellStyle name="Normal 3 2 2 2 3 3 6" xfId="38561" xr:uid="{00000000-0005-0000-0000-000068950000}"/>
    <cellStyle name="Normal 3 2 2 2 3 3 7" xfId="38562" xr:uid="{00000000-0005-0000-0000-000069950000}"/>
    <cellStyle name="Normal 3 2 2 2 3 3 8" xfId="38563" xr:uid="{00000000-0005-0000-0000-00006A950000}"/>
    <cellStyle name="Normal 3 2 2 2 3 3 9" xfId="38564" xr:uid="{00000000-0005-0000-0000-00006B950000}"/>
    <cellStyle name="Normal 3 2 2 2 3 4" xfId="38565" xr:uid="{00000000-0005-0000-0000-00006C950000}"/>
    <cellStyle name="Normal 3 2 2 2 3 4 2" xfId="38566" xr:uid="{00000000-0005-0000-0000-00006D950000}"/>
    <cellStyle name="Normal 3 2 2 2 3 4 2 2" xfId="38567" xr:uid="{00000000-0005-0000-0000-00006E950000}"/>
    <cellStyle name="Normal 3 2 2 2 3 4 2 2 2" xfId="38568" xr:uid="{00000000-0005-0000-0000-00006F950000}"/>
    <cellStyle name="Normal 3 2 2 2 3 4 2 2 3" xfId="38569" xr:uid="{00000000-0005-0000-0000-000070950000}"/>
    <cellStyle name="Normal 3 2 2 2 3 4 2 3" xfId="38570" xr:uid="{00000000-0005-0000-0000-000071950000}"/>
    <cellStyle name="Normal 3 2 2 2 3 4 2 4" xfId="38571" xr:uid="{00000000-0005-0000-0000-000072950000}"/>
    <cellStyle name="Normal 3 2 2 2 3 4 2 5" xfId="38572" xr:uid="{00000000-0005-0000-0000-000073950000}"/>
    <cellStyle name="Normal 3 2 2 2 3 4 2 6" xfId="38573" xr:uid="{00000000-0005-0000-0000-000074950000}"/>
    <cellStyle name="Normal 3 2 2 2 3 4 3" xfId="38574" xr:uid="{00000000-0005-0000-0000-000075950000}"/>
    <cellStyle name="Normal 3 2 2 2 3 4 3 2" xfId="38575" xr:uid="{00000000-0005-0000-0000-000076950000}"/>
    <cellStyle name="Normal 3 2 2 2 3 4 3 3" xfId="38576" xr:uid="{00000000-0005-0000-0000-000077950000}"/>
    <cellStyle name="Normal 3 2 2 2 3 4 4" xfId="38577" xr:uid="{00000000-0005-0000-0000-000078950000}"/>
    <cellStyle name="Normal 3 2 2 2 3 4 5" xfId="38578" xr:uid="{00000000-0005-0000-0000-000079950000}"/>
    <cellStyle name="Normal 3 2 2 2 3 4 6" xfId="38579" xr:uid="{00000000-0005-0000-0000-00007A950000}"/>
    <cellStyle name="Normal 3 2 2 2 3 4 7" xfId="38580" xr:uid="{00000000-0005-0000-0000-00007B950000}"/>
    <cellStyle name="Normal 3 2 2 2 3 5" xfId="38581" xr:uid="{00000000-0005-0000-0000-00007C950000}"/>
    <cellStyle name="Normal 3 2 2 2 3 5 2" xfId="38582" xr:uid="{00000000-0005-0000-0000-00007D950000}"/>
    <cellStyle name="Normal 3 2 2 2 3 5 2 2" xfId="38583" xr:uid="{00000000-0005-0000-0000-00007E950000}"/>
    <cellStyle name="Normal 3 2 2 2 3 5 2 3" xfId="38584" xr:uid="{00000000-0005-0000-0000-00007F950000}"/>
    <cellStyle name="Normal 3 2 2 2 3 5 3" xfId="38585" xr:uid="{00000000-0005-0000-0000-000080950000}"/>
    <cellStyle name="Normal 3 2 2 2 3 5 4" xfId="38586" xr:uid="{00000000-0005-0000-0000-000081950000}"/>
    <cellStyle name="Normal 3 2 2 2 3 5 5" xfId="38587" xr:uid="{00000000-0005-0000-0000-000082950000}"/>
    <cellStyle name="Normal 3 2 2 2 3 5 6" xfId="38588" xr:uid="{00000000-0005-0000-0000-000083950000}"/>
    <cellStyle name="Normal 3 2 2 2 3 6" xfId="38589" xr:uid="{00000000-0005-0000-0000-000084950000}"/>
    <cellStyle name="Normal 3 2 2 2 3 6 2" xfId="38590" xr:uid="{00000000-0005-0000-0000-000085950000}"/>
    <cellStyle name="Normal 3 2 2 2 3 6 2 2" xfId="38591" xr:uid="{00000000-0005-0000-0000-000086950000}"/>
    <cellStyle name="Normal 3 2 2 2 3 6 2 3" xfId="38592" xr:uid="{00000000-0005-0000-0000-000087950000}"/>
    <cellStyle name="Normal 3 2 2 2 3 6 3" xfId="38593" xr:uid="{00000000-0005-0000-0000-000088950000}"/>
    <cellStyle name="Normal 3 2 2 2 3 6 4" xfId="38594" xr:uid="{00000000-0005-0000-0000-000089950000}"/>
    <cellStyle name="Normal 3 2 2 2 3 6 5" xfId="38595" xr:uid="{00000000-0005-0000-0000-00008A950000}"/>
    <cellStyle name="Normal 3 2 2 2 3 6 6" xfId="38596" xr:uid="{00000000-0005-0000-0000-00008B950000}"/>
    <cellStyle name="Normal 3 2 2 2 3 7" xfId="38597" xr:uid="{00000000-0005-0000-0000-00008C950000}"/>
    <cellStyle name="Normal 3 2 2 2 3 7 2" xfId="38598" xr:uid="{00000000-0005-0000-0000-00008D950000}"/>
    <cellStyle name="Normal 3 2 2 2 3 7 2 2" xfId="38599" xr:uid="{00000000-0005-0000-0000-00008E950000}"/>
    <cellStyle name="Normal 3 2 2 2 3 7 2 3" xfId="38600" xr:uid="{00000000-0005-0000-0000-00008F950000}"/>
    <cellStyle name="Normal 3 2 2 2 3 7 3" xfId="38601" xr:uid="{00000000-0005-0000-0000-000090950000}"/>
    <cellStyle name="Normal 3 2 2 2 3 7 4" xfId="38602" xr:uid="{00000000-0005-0000-0000-000091950000}"/>
    <cellStyle name="Normal 3 2 2 2 3 7 5" xfId="38603" xr:uid="{00000000-0005-0000-0000-000092950000}"/>
    <cellStyle name="Normal 3 2 2 2 3 7 6" xfId="38604" xr:uid="{00000000-0005-0000-0000-000093950000}"/>
    <cellStyle name="Normal 3 2 2 2 3 8" xfId="38605" xr:uid="{00000000-0005-0000-0000-000094950000}"/>
    <cellStyle name="Normal 3 2 2 2 3 8 2" xfId="38606" xr:uid="{00000000-0005-0000-0000-000095950000}"/>
    <cellStyle name="Normal 3 2 2 2 3 8 2 2" xfId="38607" xr:uid="{00000000-0005-0000-0000-000096950000}"/>
    <cellStyle name="Normal 3 2 2 2 3 8 2 3" xfId="38608" xr:uid="{00000000-0005-0000-0000-000097950000}"/>
    <cellStyle name="Normal 3 2 2 2 3 8 3" xfId="38609" xr:uid="{00000000-0005-0000-0000-000098950000}"/>
    <cellStyle name="Normal 3 2 2 2 3 8 4" xfId="38610" xr:uid="{00000000-0005-0000-0000-000099950000}"/>
    <cellStyle name="Normal 3 2 2 2 3 8 5" xfId="38611" xr:uid="{00000000-0005-0000-0000-00009A950000}"/>
    <cellStyle name="Normal 3 2 2 2 3 8 6" xfId="38612" xr:uid="{00000000-0005-0000-0000-00009B950000}"/>
    <cellStyle name="Normal 3 2 2 2 3 9" xfId="38613" xr:uid="{00000000-0005-0000-0000-00009C950000}"/>
    <cellStyle name="Normal 3 2 2 2 3 9 2" xfId="38614" xr:uid="{00000000-0005-0000-0000-00009D950000}"/>
    <cellStyle name="Normal 3 2 2 2 3 9 3" xfId="38615" xr:uid="{00000000-0005-0000-0000-00009E950000}"/>
    <cellStyle name="Normal 3 2 2 2 4" xfId="38616" xr:uid="{00000000-0005-0000-0000-00009F950000}"/>
    <cellStyle name="Normal 3 2 2 2 4 10" xfId="38617" xr:uid="{00000000-0005-0000-0000-0000A0950000}"/>
    <cellStyle name="Normal 3 2 2 2 4 2" xfId="38618" xr:uid="{00000000-0005-0000-0000-0000A1950000}"/>
    <cellStyle name="Normal 3 2 2 2 4 2 2" xfId="38619" xr:uid="{00000000-0005-0000-0000-0000A2950000}"/>
    <cellStyle name="Normal 3 2 2 2 4 2 2 2" xfId="38620" xr:uid="{00000000-0005-0000-0000-0000A3950000}"/>
    <cellStyle name="Normal 3 2 2 2 4 2 2 2 2" xfId="38621" xr:uid="{00000000-0005-0000-0000-0000A4950000}"/>
    <cellStyle name="Normal 3 2 2 2 4 2 2 2 3" xfId="38622" xr:uid="{00000000-0005-0000-0000-0000A5950000}"/>
    <cellStyle name="Normal 3 2 2 2 4 2 2 3" xfId="38623" xr:uid="{00000000-0005-0000-0000-0000A6950000}"/>
    <cellStyle name="Normal 3 2 2 2 4 2 2 4" xfId="38624" xr:uid="{00000000-0005-0000-0000-0000A7950000}"/>
    <cellStyle name="Normal 3 2 2 2 4 2 2 5" xfId="38625" xr:uid="{00000000-0005-0000-0000-0000A8950000}"/>
    <cellStyle name="Normal 3 2 2 2 4 2 2 6" xfId="38626" xr:uid="{00000000-0005-0000-0000-0000A9950000}"/>
    <cellStyle name="Normal 3 2 2 2 4 2 3" xfId="38627" xr:uid="{00000000-0005-0000-0000-0000AA950000}"/>
    <cellStyle name="Normal 3 2 2 2 4 2 3 2" xfId="38628" xr:uid="{00000000-0005-0000-0000-0000AB950000}"/>
    <cellStyle name="Normal 3 2 2 2 4 2 3 2 2" xfId="38629" xr:uid="{00000000-0005-0000-0000-0000AC950000}"/>
    <cellStyle name="Normal 3 2 2 2 4 2 3 2 3" xfId="38630" xr:uid="{00000000-0005-0000-0000-0000AD950000}"/>
    <cellStyle name="Normal 3 2 2 2 4 2 3 3" xfId="38631" xr:uid="{00000000-0005-0000-0000-0000AE950000}"/>
    <cellStyle name="Normal 3 2 2 2 4 2 3 4" xfId="38632" xr:uid="{00000000-0005-0000-0000-0000AF950000}"/>
    <cellStyle name="Normal 3 2 2 2 4 2 3 5" xfId="38633" xr:uid="{00000000-0005-0000-0000-0000B0950000}"/>
    <cellStyle name="Normal 3 2 2 2 4 2 3 6" xfId="38634" xr:uid="{00000000-0005-0000-0000-0000B1950000}"/>
    <cellStyle name="Normal 3 2 2 2 4 2 4" xfId="38635" xr:uid="{00000000-0005-0000-0000-0000B2950000}"/>
    <cellStyle name="Normal 3 2 2 2 4 2 4 2" xfId="38636" xr:uid="{00000000-0005-0000-0000-0000B3950000}"/>
    <cellStyle name="Normal 3 2 2 2 4 2 4 3" xfId="38637" xr:uid="{00000000-0005-0000-0000-0000B4950000}"/>
    <cellStyle name="Normal 3 2 2 2 4 2 5" xfId="38638" xr:uid="{00000000-0005-0000-0000-0000B5950000}"/>
    <cellStyle name="Normal 3 2 2 2 4 2 6" xfId="38639" xr:uid="{00000000-0005-0000-0000-0000B6950000}"/>
    <cellStyle name="Normal 3 2 2 2 4 2 7" xfId="38640" xr:uid="{00000000-0005-0000-0000-0000B7950000}"/>
    <cellStyle name="Normal 3 2 2 2 4 2 8" xfId="38641" xr:uid="{00000000-0005-0000-0000-0000B8950000}"/>
    <cellStyle name="Normal 3 2 2 2 4 3" xfId="38642" xr:uid="{00000000-0005-0000-0000-0000B9950000}"/>
    <cellStyle name="Normal 3 2 2 2 4 3 2" xfId="38643" xr:uid="{00000000-0005-0000-0000-0000BA950000}"/>
    <cellStyle name="Normal 3 2 2 2 4 3 2 2" xfId="38644" xr:uid="{00000000-0005-0000-0000-0000BB950000}"/>
    <cellStyle name="Normal 3 2 2 2 4 3 2 2 2" xfId="38645" xr:uid="{00000000-0005-0000-0000-0000BC950000}"/>
    <cellStyle name="Normal 3 2 2 2 4 3 2 2 3" xfId="38646" xr:uid="{00000000-0005-0000-0000-0000BD950000}"/>
    <cellStyle name="Normal 3 2 2 2 4 3 2 3" xfId="38647" xr:uid="{00000000-0005-0000-0000-0000BE950000}"/>
    <cellStyle name="Normal 3 2 2 2 4 3 2 4" xfId="38648" xr:uid="{00000000-0005-0000-0000-0000BF950000}"/>
    <cellStyle name="Normal 3 2 2 2 4 3 2 5" xfId="38649" xr:uid="{00000000-0005-0000-0000-0000C0950000}"/>
    <cellStyle name="Normal 3 2 2 2 4 3 2 6" xfId="38650" xr:uid="{00000000-0005-0000-0000-0000C1950000}"/>
    <cellStyle name="Normal 3 2 2 2 4 3 3" xfId="38651" xr:uid="{00000000-0005-0000-0000-0000C2950000}"/>
    <cellStyle name="Normal 3 2 2 2 4 3 3 2" xfId="38652" xr:uid="{00000000-0005-0000-0000-0000C3950000}"/>
    <cellStyle name="Normal 3 2 2 2 4 3 3 3" xfId="38653" xr:uid="{00000000-0005-0000-0000-0000C4950000}"/>
    <cellStyle name="Normal 3 2 2 2 4 3 4" xfId="38654" xr:uid="{00000000-0005-0000-0000-0000C5950000}"/>
    <cellStyle name="Normal 3 2 2 2 4 3 5" xfId="38655" xr:uid="{00000000-0005-0000-0000-0000C6950000}"/>
    <cellStyle name="Normal 3 2 2 2 4 3 6" xfId="38656" xr:uid="{00000000-0005-0000-0000-0000C7950000}"/>
    <cellStyle name="Normal 3 2 2 2 4 3 7" xfId="38657" xr:uid="{00000000-0005-0000-0000-0000C8950000}"/>
    <cellStyle name="Normal 3 2 2 2 4 4" xfId="38658" xr:uid="{00000000-0005-0000-0000-0000C9950000}"/>
    <cellStyle name="Normal 3 2 2 2 4 4 2" xfId="38659" xr:uid="{00000000-0005-0000-0000-0000CA950000}"/>
    <cellStyle name="Normal 3 2 2 2 4 4 2 2" xfId="38660" xr:uid="{00000000-0005-0000-0000-0000CB950000}"/>
    <cellStyle name="Normal 3 2 2 2 4 4 2 3" xfId="38661" xr:uid="{00000000-0005-0000-0000-0000CC950000}"/>
    <cellStyle name="Normal 3 2 2 2 4 4 3" xfId="38662" xr:uid="{00000000-0005-0000-0000-0000CD950000}"/>
    <cellStyle name="Normal 3 2 2 2 4 4 4" xfId="38663" xr:uid="{00000000-0005-0000-0000-0000CE950000}"/>
    <cellStyle name="Normal 3 2 2 2 4 4 5" xfId="38664" xr:uid="{00000000-0005-0000-0000-0000CF950000}"/>
    <cellStyle name="Normal 3 2 2 2 4 4 6" xfId="38665" xr:uid="{00000000-0005-0000-0000-0000D0950000}"/>
    <cellStyle name="Normal 3 2 2 2 4 5" xfId="38666" xr:uid="{00000000-0005-0000-0000-0000D1950000}"/>
    <cellStyle name="Normal 3 2 2 2 4 5 2" xfId="38667" xr:uid="{00000000-0005-0000-0000-0000D2950000}"/>
    <cellStyle name="Normal 3 2 2 2 4 5 2 2" xfId="38668" xr:uid="{00000000-0005-0000-0000-0000D3950000}"/>
    <cellStyle name="Normal 3 2 2 2 4 5 2 3" xfId="38669" xr:uid="{00000000-0005-0000-0000-0000D4950000}"/>
    <cellStyle name="Normal 3 2 2 2 4 5 3" xfId="38670" xr:uid="{00000000-0005-0000-0000-0000D5950000}"/>
    <cellStyle name="Normal 3 2 2 2 4 5 4" xfId="38671" xr:uid="{00000000-0005-0000-0000-0000D6950000}"/>
    <cellStyle name="Normal 3 2 2 2 4 5 5" xfId="38672" xr:uid="{00000000-0005-0000-0000-0000D7950000}"/>
    <cellStyle name="Normal 3 2 2 2 4 5 6" xfId="38673" xr:uid="{00000000-0005-0000-0000-0000D8950000}"/>
    <cellStyle name="Normal 3 2 2 2 4 6" xfId="38674" xr:uid="{00000000-0005-0000-0000-0000D9950000}"/>
    <cellStyle name="Normal 3 2 2 2 4 6 2" xfId="38675" xr:uid="{00000000-0005-0000-0000-0000DA950000}"/>
    <cellStyle name="Normal 3 2 2 2 4 6 3" xfId="38676" xr:uid="{00000000-0005-0000-0000-0000DB950000}"/>
    <cellStyle name="Normal 3 2 2 2 4 7" xfId="38677" xr:uid="{00000000-0005-0000-0000-0000DC950000}"/>
    <cellStyle name="Normal 3 2 2 2 4 8" xfId="38678" xr:uid="{00000000-0005-0000-0000-0000DD950000}"/>
    <cellStyle name="Normal 3 2 2 2 4 9" xfId="38679" xr:uid="{00000000-0005-0000-0000-0000DE950000}"/>
    <cellStyle name="Normal 3 2 2 2 5" xfId="38680" xr:uid="{00000000-0005-0000-0000-0000DF950000}"/>
    <cellStyle name="Normal 3 2 2 2 5 2" xfId="38681" xr:uid="{00000000-0005-0000-0000-0000E0950000}"/>
    <cellStyle name="Normal 3 2 2 2 5 2 2" xfId="38682" xr:uid="{00000000-0005-0000-0000-0000E1950000}"/>
    <cellStyle name="Normal 3 2 2 2 5 2 2 2" xfId="38683" xr:uid="{00000000-0005-0000-0000-0000E2950000}"/>
    <cellStyle name="Normal 3 2 2 2 5 2 2 2 2" xfId="38684" xr:uid="{00000000-0005-0000-0000-0000E3950000}"/>
    <cellStyle name="Normal 3 2 2 2 5 2 2 2 3" xfId="38685" xr:uid="{00000000-0005-0000-0000-0000E4950000}"/>
    <cellStyle name="Normal 3 2 2 2 5 2 2 3" xfId="38686" xr:uid="{00000000-0005-0000-0000-0000E5950000}"/>
    <cellStyle name="Normal 3 2 2 2 5 2 2 4" xfId="38687" xr:uid="{00000000-0005-0000-0000-0000E6950000}"/>
    <cellStyle name="Normal 3 2 2 2 5 2 2 5" xfId="38688" xr:uid="{00000000-0005-0000-0000-0000E7950000}"/>
    <cellStyle name="Normal 3 2 2 2 5 2 2 6" xfId="38689" xr:uid="{00000000-0005-0000-0000-0000E8950000}"/>
    <cellStyle name="Normal 3 2 2 2 5 2 3" xfId="38690" xr:uid="{00000000-0005-0000-0000-0000E9950000}"/>
    <cellStyle name="Normal 3 2 2 2 5 2 3 2" xfId="38691" xr:uid="{00000000-0005-0000-0000-0000EA950000}"/>
    <cellStyle name="Normal 3 2 2 2 5 2 3 3" xfId="38692" xr:uid="{00000000-0005-0000-0000-0000EB950000}"/>
    <cellStyle name="Normal 3 2 2 2 5 2 4" xfId="38693" xr:uid="{00000000-0005-0000-0000-0000EC950000}"/>
    <cellStyle name="Normal 3 2 2 2 5 2 5" xfId="38694" xr:uid="{00000000-0005-0000-0000-0000ED950000}"/>
    <cellStyle name="Normal 3 2 2 2 5 2 6" xfId="38695" xr:uid="{00000000-0005-0000-0000-0000EE950000}"/>
    <cellStyle name="Normal 3 2 2 2 5 2 7" xfId="38696" xr:uid="{00000000-0005-0000-0000-0000EF950000}"/>
    <cellStyle name="Normal 3 2 2 2 5 3" xfId="38697" xr:uid="{00000000-0005-0000-0000-0000F0950000}"/>
    <cellStyle name="Normal 3 2 2 2 5 3 2" xfId="38698" xr:uid="{00000000-0005-0000-0000-0000F1950000}"/>
    <cellStyle name="Normal 3 2 2 2 5 3 2 2" xfId="38699" xr:uid="{00000000-0005-0000-0000-0000F2950000}"/>
    <cellStyle name="Normal 3 2 2 2 5 3 2 3" xfId="38700" xr:uid="{00000000-0005-0000-0000-0000F3950000}"/>
    <cellStyle name="Normal 3 2 2 2 5 3 3" xfId="38701" xr:uid="{00000000-0005-0000-0000-0000F4950000}"/>
    <cellStyle name="Normal 3 2 2 2 5 3 4" xfId="38702" xr:uid="{00000000-0005-0000-0000-0000F5950000}"/>
    <cellStyle name="Normal 3 2 2 2 5 3 5" xfId="38703" xr:uid="{00000000-0005-0000-0000-0000F6950000}"/>
    <cellStyle name="Normal 3 2 2 2 5 3 6" xfId="38704" xr:uid="{00000000-0005-0000-0000-0000F7950000}"/>
    <cellStyle name="Normal 3 2 2 2 5 4" xfId="38705" xr:uid="{00000000-0005-0000-0000-0000F8950000}"/>
    <cellStyle name="Normal 3 2 2 2 5 4 2" xfId="38706" xr:uid="{00000000-0005-0000-0000-0000F9950000}"/>
    <cellStyle name="Normal 3 2 2 2 5 4 2 2" xfId="38707" xr:uid="{00000000-0005-0000-0000-0000FA950000}"/>
    <cellStyle name="Normal 3 2 2 2 5 4 2 3" xfId="38708" xr:uid="{00000000-0005-0000-0000-0000FB950000}"/>
    <cellStyle name="Normal 3 2 2 2 5 4 3" xfId="38709" xr:uid="{00000000-0005-0000-0000-0000FC950000}"/>
    <cellStyle name="Normal 3 2 2 2 5 4 4" xfId="38710" xr:uid="{00000000-0005-0000-0000-0000FD950000}"/>
    <cellStyle name="Normal 3 2 2 2 5 4 5" xfId="38711" xr:uid="{00000000-0005-0000-0000-0000FE950000}"/>
    <cellStyle name="Normal 3 2 2 2 5 4 6" xfId="38712" xr:uid="{00000000-0005-0000-0000-0000FF950000}"/>
    <cellStyle name="Normal 3 2 2 2 5 5" xfId="38713" xr:uid="{00000000-0005-0000-0000-000000960000}"/>
    <cellStyle name="Normal 3 2 2 2 5 5 2" xfId="38714" xr:uid="{00000000-0005-0000-0000-000001960000}"/>
    <cellStyle name="Normal 3 2 2 2 5 5 3" xfId="38715" xr:uid="{00000000-0005-0000-0000-000002960000}"/>
    <cellStyle name="Normal 3 2 2 2 5 6" xfId="38716" xr:uid="{00000000-0005-0000-0000-000003960000}"/>
    <cellStyle name="Normal 3 2 2 2 5 7" xfId="38717" xr:uid="{00000000-0005-0000-0000-000004960000}"/>
    <cellStyle name="Normal 3 2 2 2 5 8" xfId="38718" xr:uid="{00000000-0005-0000-0000-000005960000}"/>
    <cellStyle name="Normal 3 2 2 2 5 9" xfId="38719" xr:uid="{00000000-0005-0000-0000-000006960000}"/>
    <cellStyle name="Normal 3 2 2 2 6" xfId="38720" xr:uid="{00000000-0005-0000-0000-000007960000}"/>
    <cellStyle name="Normal 3 2 2 2 6 2" xfId="38721" xr:uid="{00000000-0005-0000-0000-000008960000}"/>
    <cellStyle name="Normal 3 2 2 2 6 2 2" xfId="38722" xr:uid="{00000000-0005-0000-0000-000009960000}"/>
    <cellStyle name="Normal 3 2 2 2 6 2 2 2" xfId="38723" xr:uid="{00000000-0005-0000-0000-00000A960000}"/>
    <cellStyle name="Normal 3 2 2 2 6 2 2 3" xfId="38724" xr:uid="{00000000-0005-0000-0000-00000B960000}"/>
    <cellStyle name="Normal 3 2 2 2 6 2 3" xfId="38725" xr:uid="{00000000-0005-0000-0000-00000C960000}"/>
    <cellStyle name="Normal 3 2 2 2 6 2 4" xfId="38726" xr:uid="{00000000-0005-0000-0000-00000D960000}"/>
    <cellStyle name="Normal 3 2 2 2 6 2 5" xfId="38727" xr:uid="{00000000-0005-0000-0000-00000E960000}"/>
    <cellStyle name="Normal 3 2 2 2 6 2 6" xfId="38728" xr:uid="{00000000-0005-0000-0000-00000F960000}"/>
    <cellStyle name="Normal 3 2 2 2 6 3" xfId="38729" xr:uid="{00000000-0005-0000-0000-000010960000}"/>
    <cellStyle name="Normal 3 2 2 2 6 3 2" xfId="38730" xr:uid="{00000000-0005-0000-0000-000011960000}"/>
    <cellStyle name="Normal 3 2 2 2 6 3 3" xfId="38731" xr:uid="{00000000-0005-0000-0000-000012960000}"/>
    <cellStyle name="Normal 3 2 2 2 6 4" xfId="38732" xr:uid="{00000000-0005-0000-0000-000013960000}"/>
    <cellStyle name="Normal 3 2 2 2 6 5" xfId="38733" xr:uid="{00000000-0005-0000-0000-000014960000}"/>
    <cellStyle name="Normal 3 2 2 2 6 6" xfId="38734" xr:uid="{00000000-0005-0000-0000-000015960000}"/>
    <cellStyle name="Normal 3 2 2 2 6 7" xfId="38735" xr:uid="{00000000-0005-0000-0000-000016960000}"/>
    <cellStyle name="Normal 3 2 2 2 7" xfId="38736" xr:uid="{00000000-0005-0000-0000-000017960000}"/>
    <cellStyle name="Normal 3 2 2 2 7 2" xfId="38737" xr:uid="{00000000-0005-0000-0000-000018960000}"/>
    <cellStyle name="Normal 3 2 2 2 7 2 2" xfId="38738" xr:uid="{00000000-0005-0000-0000-000019960000}"/>
    <cellStyle name="Normal 3 2 2 2 7 2 3" xfId="38739" xr:uid="{00000000-0005-0000-0000-00001A960000}"/>
    <cellStyle name="Normal 3 2 2 2 7 3" xfId="38740" xr:uid="{00000000-0005-0000-0000-00001B960000}"/>
    <cellStyle name="Normal 3 2 2 2 7 4" xfId="38741" xr:uid="{00000000-0005-0000-0000-00001C960000}"/>
    <cellStyle name="Normal 3 2 2 2 7 5" xfId="38742" xr:uid="{00000000-0005-0000-0000-00001D960000}"/>
    <cellStyle name="Normal 3 2 2 2 7 6" xfId="38743" xr:uid="{00000000-0005-0000-0000-00001E960000}"/>
    <cellStyle name="Normal 3 2 2 2 8" xfId="38744" xr:uid="{00000000-0005-0000-0000-00001F960000}"/>
    <cellStyle name="Normal 3 2 2 2 8 2" xfId="38745" xr:uid="{00000000-0005-0000-0000-000020960000}"/>
    <cellStyle name="Normal 3 2 2 2 8 2 2" xfId="38746" xr:uid="{00000000-0005-0000-0000-000021960000}"/>
    <cellStyle name="Normal 3 2 2 2 8 2 3" xfId="38747" xr:uid="{00000000-0005-0000-0000-000022960000}"/>
    <cellStyle name="Normal 3 2 2 2 8 3" xfId="38748" xr:uid="{00000000-0005-0000-0000-000023960000}"/>
    <cellStyle name="Normal 3 2 2 2 8 4" xfId="38749" xr:uid="{00000000-0005-0000-0000-000024960000}"/>
    <cellStyle name="Normal 3 2 2 2 8 5" xfId="38750" xr:uid="{00000000-0005-0000-0000-000025960000}"/>
    <cellStyle name="Normal 3 2 2 2 8 6" xfId="38751" xr:uid="{00000000-0005-0000-0000-000026960000}"/>
    <cellStyle name="Normal 3 2 2 2 9" xfId="38752" xr:uid="{00000000-0005-0000-0000-000027960000}"/>
    <cellStyle name="Normal 3 2 2 2 9 2" xfId="38753" xr:uid="{00000000-0005-0000-0000-000028960000}"/>
    <cellStyle name="Normal 3 2 2 2 9 2 2" xfId="38754" xr:uid="{00000000-0005-0000-0000-000029960000}"/>
    <cellStyle name="Normal 3 2 2 2 9 2 3" xfId="38755" xr:uid="{00000000-0005-0000-0000-00002A960000}"/>
    <cellStyle name="Normal 3 2 2 2 9 3" xfId="38756" xr:uid="{00000000-0005-0000-0000-00002B960000}"/>
    <cellStyle name="Normal 3 2 2 2 9 4" xfId="38757" xr:uid="{00000000-0005-0000-0000-00002C960000}"/>
    <cellStyle name="Normal 3 2 2 2 9 5" xfId="38758" xr:uid="{00000000-0005-0000-0000-00002D960000}"/>
    <cellStyle name="Normal 3 2 2 2 9 6" xfId="38759" xr:uid="{00000000-0005-0000-0000-00002E960000}"/>
    <cellStyle name="Normal 3 2 2 3" xfId="410" xr:uid="{00000000-0005-0000-0000-00002F960000}"/>
    <cellStyle name="Normal 3 2 2 4" xfId="38760" xr:uid="{00000000-0005-0000-0000-000030960000}"/>
    <cellStyle name="Normal 3 2 2 4 10" xfId="38761" xr:uid="{00000000-0005-0000-0000-000031960000}"/>
    <cellStyle name="Normal 3 2 2 4 10 2" xfId="38762" xr:uid="{00000000-0005-0000-0000-000032960000}"/>
    <cellStyle name="Normal 3 2 2 4 10 3" xfId="38763" xr:uid="{00000000-0005-0000-0000-000033960000}"/>
    <cellStyle name="Normal 3 2 2 4 11" xfId="38764" xr:uid="{00000000-0005-0000-0000-000034960000}"/>
    <cellStyle name="Normal 3 2 2 4 12" xfId="38765" xr:uid="{00000000-0005-0000-0000-000035960000}"/>
    <cellStyle name="Normal 3 2 2 4 13" xfId="38766" xr:uid="{00000000-0005-0000-0000-000036960000}"/>
    <cellStyle name="Normal 3 2 2 4 14" xfId="38767" xr:uid="{00000000-0005-0000-0000-000037960000}"/>
    <cellStyle name="Normal 3 2 2 4 2" xfId="38768" xr:uid="{00000000-0005-0000-0000-000038960000}"/>
    <cellStyle name="Normal 3 2 2 4 2 10" xfId="38769" xr:uid="{00000000-0005-0000-0000-000039960000}"/>
    <cellStyle name="Normal 3 2 2 4 2 11" xfId="38770" xr:uid="{00000000-0005-0000-0000-00003A960000}"/>
    <cellStyle name="Normal 3 2 2 4 2 12" xfId="38771" xr:uid="{00000000-0005-0000-0000-00003B960000}"/>
    <cellStyle name="Normal 3 2 2 4 2 13" xfId="38772" xr:uid="{00000000-0005-0000-0000-00003C960000}"/>
    <cellStyle name="Normal 3 2 2 4 2 2" xfId="38773" xr:uid="{00000000-0005-0000-0000-00003D960000}"/>
    <cellStyle name="Normal 3 2 2 4 2 2 10" xfId="38774" xr:uid="{00000000-0005-0000-0000-00003E960000}"/>
    <cellStyle name="Normal 3 2 2 4 2 2 2" xfId="38775" xr:uid="{00000000-0005-0000-0000-00003F960000}"/>
    <cellStyle name="Normal 3 2 2 4 2 2 2 2" xfId="38776" xr:uid="{00000000-0005-0000-0000-000040960000}"/>
    <cellStyle name="Normal 3 2 2 4 2 2 2 2 2" xfId="38777" xr:uid="{00000000-0005-0000-0000-000041960000}"/>
    <cellStyle name="Normal 3 2 2 4 2 2 2 2 2 2" xfId="38778" xr:uid="{00000000-0005-0000-0000-000042960000}"/>
    <cellStyle name="Normal 3 2 2 4 2 2 2 2 2 3" xfId="38779" xr:uid="{00000000-0005-0000-0000-000043960000}"/>
    <cellStyle name="Normal 3 2 2 4 2 2 2 2 3" xfId="38780" xr:uid="{00000000-0005-0000-0000-000044960000}"/>
    <cellStyle name="Normal 3 2 2 4 2 2 2 2 4" xfId="38781" xr:uid="{00000000-0005-0000-0000-000045960000}"/>
    <cellStyle name="Normal 3 2 2 4 2 2 2 2 5" xfId="38782" xr:uid="{00000000-0005-0000-0000-000046960000}"/>
    <cellStyle name="Normal 3 2 2 4 2 2 2 2 6" xfId="38783" xr:uid="{00000000-0005-0000-0000-000047960000}"/>
    <cellStyle name="Normal 3 2 2 4 2 2 2 3" xfId="38784" xr:uid="{00000000-0005-0000-0000-000048960000}"/>
    <cellStyle name="Normal 3 2 2 4 2 2 2 3 2" xfId="38785" xr:uid="{00000000-0005-0000-0000-000049960000}"/>
    <cellStyle name="Normal 3 2 2 4 2 2 2 3 2 2" xfId="38786" xr:uid="{00000000-0005-0000-0000-00004A960000}"/>
    <cellStyle name="Normal 3 2 2 4 2 2 2 3 2 3" xfId="38787" xr:uid="{00000000-0005-0000-0000-00004B960000}"/>
    <cellStyle name="Normal 3 2 2 4 2 2 2 3 3" xfId="38788" xr:uid="{00000000-0005-0000-0000-00004C960000}"/>
    <cellStyle name="Normal 3 2 2 4 2 2 2 3 4" xfId="38789" xr:uid="{00000000-0005-0000-0000-00004D960000}"/>
    <cellStyle name="Normal 3 2 2 4 2 2 2 3 5" xfId="38790" xr:uid="{00000000-0005-0000-0000-00004E960000}"/>
    <cellStyle name="Normal 3 2 2 4 2 2 2 3 6" xfId="38791" xr:uid="{00000000-0005-0000-0000-00004F960000}"/>
    <cellStyle name="Normal 3 2 2 4 2 2 2 4" xfId="38792" xr:uid="{00000000-0005-0000-0000-000050960000}"/>
    <cellStyle name="Normal 3 2 2 4 2 2 2 4 2" xfId="38793" xr:uid="{00000000-0005-0000-0000-000051960000}"/>
    <cellStyle name="Normal 3 2 2 4 2 2 2 4 3" xfId="38794" xr:uid="{00000000-0005-0000-0000-000052960000}"/>
    <cellStyle name="Normal 3 2 2 4 2 2 2 5" xfId="38795" xr:uid="{00000000-0005-0000-0000-000053960000}"/>
    <cellStyle name="Normal 3 2 2 4 2 2 2 6" xfId="38796" xr:uid="{00000000-0005-0000-0000-000054960000}"/>
    <cellStyle name="Normal 3 2 2 4 2 2 2 7" xfId="38797" xr:uid="{00000000-0005-0000-0000-000055960000}"/>
    <cellStyle name="Normal 3 2 2 4 2 2 2 8" xfId="38798" xr:uid="{00000000-0005-0000-0000-000056960000}"/>
    <cellStyle name="Normal 3 2 2 4 2 2 3" xfId="38799" xr:uid="{00000000-0005-0000-0000-000057960000}"/>
    <cellStyle name="Normal 3 2 2 4 2 2 3 2" xfId="38800" xr:uid="{00000000-0005-0000-0000-000058960000}"/>
    <cellStyle name="Normal 3 2 2 4 2 2 3 2 2" xfId="38801" xr:uid="{00000000-0005-0000-0000-000059960000}"/>
    <cellStyle name="Normal 3 2 2 4 2 2 3 2 2 2" xfId="38802" xr:uid="{00000000-0005-0000-0000-00005A960000}"/>
    <cellStyle name="Normal 3 2 2 4 2 2 3 2 2 3" xfId="38803" xr:uid="{00000000-0005-0000-0000-00005B960000}"/>
    <cellStyle name="Normal 3 2 2 4 2 2 3 2 3" xfId="38804" xr:uid="{00000000-0005-0000-0000-00005C960000}"/>
    <cellStyle name="Normal 3 2 2 4 2 2 3 2 4" xfId="38805" xr:uid="{00000000-0005-0000-0000-00005D960000}"/>
    <cellStyle name="Normal 3 2 2 4 2 2 3 2 5" xfId="38806" xr:uid="{00000000-0005-0000-0000-00005E960000}"/>
    <cellStyle name="Normal 3 2 2 4 2 2 3 2 6" xfId="38807" xr:uid="{00000000-0005-0000-0000-00005F960000}"/>
    <cellStyle name="Normal 3 2 2 4 2 2 3 3" xfId="38808" xr:uid="{00000000-0005-0000-0000-000060960000}"/>
    <cellStyle name="Normal 3 2 2 4 2 2 3 3 2" xfId="38809" xr:uid="{00000000-0005-0000-0000-000061960000}"/>
    <cellStyle name="Normal 3 2 2 4 2 2 3 3 3" xfId="38810" xr:uid="{00000000-0005-0000-0000-000062960000}"/>
    <cellStyle name="Normal 3 2 2 4 2 2 3 4" xfId="38811" xr:uid="{00000000-0005-0000-0000-000063960000}"/>
    <cellStyle name="Normal 3 2 2 4 2 2 3 5" xfId="38812" xr:uid="{00000000-0005-0000-0000-000064960000}"/>
    <cellStyle name="Normal 3 2 2 4 2 2 3 6" xfId="38813" xr:uid="{00000000-0005-0000-0000-000065960000}"/>
    <cellStyle name="Normal 3 2 2 4 2 2 3 7" xfId="38814" xr:uid="{00000000-0005-0000-0000-000066960000}"/>
    <cellStyle name="Normal 3 2 2 4 2 2 4" xfId="38815" xr:uid="{00000000-0005-0000-0000-000067960000}"/>
    <cellStyle name="Normal 3 2 2 4 2 2 4 2" xfId="38816" xr:uid="{00000000-0005-0000-0000-000068960000}"/>
    <cellStyle name="Normal 3 2 2 4 2 2 4 2 2" xfId="38817" xr:uid="{00000000-0005-0000-0000-000069960000}"/>
    <cellStyle name="Normal 3 2 2 4 2 2 4 2 3" xfId="38818" xr:uid="{00000000-0005-0000-0000-00006A960000}"/>
    <cellStyle name="Normal 3 2 2 4 2 2 4 3" xfId="38819" xr:uid="{00000000-0005-0000-0000-00006B960000}"/>
    <cellStyle name="Normal 3 2 2 4 2 2 4 4" xfId="38820" xr:uid="{00000000-0005-0000-0000-00006C960000}"/>
    <cellStyle name="Normal 3 2 2 4 2 2 4 5" xfId="38821" xr:uid="{00000000-0005-0000-0000-00006D960000}"/>
    <cellStyle name="Normal 3 2 2 4 2 2 4 6" xfId="38822" xr:uid="{00000000-0005-0000-0000-00006E960000}"/>
    <cellStyle name="Normal 3 2 2 4 2 2 5" xfId="38823" xr:uid="{00000000-0005-0000-0000-00006F960000}"/>
    <cellStyle name="Normal 3 2 2 4 2 2 5 2" xfId="38824" xr:uid="{00000000-0005-0000-0000-000070960000}"/>
    <cellStyle name="Normal 3 2 2 4 2 2 5 2 2" xfId="38825" xr:uid="{00000000-0005-0000-0000-000071960000}"/>
    <cellStyle name="Normal 3 2 2 4 2 2 5 2 3" xfId="38826" xr:uid="{00000000-0005-0000-0000-000072960000}"/>
    <cellStyle name="Normal 3 2 2 4 2 2 5 3" xfId="38827" xr:uid="{00000000-0005-0000-0000-000073960000}"/>
    <cellStyle name="Normal 3 2 2 4 2 2 5 4" xfId="38828" xr:uid="{00000000-0005-0000-0000-000074960000}"/>
    <cellStyle name="Normal 3 2 2 4 2 2 5 5" xfId="38829" xr:uid="{00000000-0005-0000-0000-000075960000}"/>
    <cellStyle name="Normal 3 2 2 4 2 2 5 6" xfId="38830" xr:uid="{00000000-0005-0000-0000-000076960000}"/>
    <cellStyle name="Normal 3 2 2 4 2 2 6" xfId="38831" xr:uid="{00000000-0005-0000-0000-000077960000}"/>
    <cellStyle name="Normal 3 2 2 4 2 2 6 2" xfId="38832" xr:uid="{00000000-0005-0000-0000-000078960000}"/>
    <cellStyle name="Normal 3 2 2 4 2 2 6 3" xfId="38833" xr:uid="{00000000-0005-0000-0000-000079960000}"/>
    <cellStyle name="Normal 3 2 2 4 2 2 7" xfId="38834" xr:uid="{00000000-0005-0000-0000-00007A960000}"/>
    <cellStyle name="Normal 3 2 2 4 2 2 8" xfId="38835" xr:uid="{00000000-0005-0000-0000-00007B960000}"/>
    <cellStyle name="Normal 3 2 2 4 2 2 9" xfId="38836" xr:uid="{00000000-0005-0000-0000-00007C960000}"/>
    <cellStyle name="Normal 3 2 2 4 2 3" xfId="38837" xr:uid="{00000000-0005-0000-0000-00007D960000}"/>
    <cellStyle name="Normal 3 2 2 4 2 3 2" xfId="38838" xr:uid="{00000000-0005-0000-0000-00007E960000}"/>
    <cellStyle name="Normal 3 2 2 4 2 3 2 2" xfId="38839" xr:uid="{00000000-0005-0000-0000-00007F960000}"/>
    <cellStyle name="Normal 3 2 2 4 2 3 2 2 2" xfId="38840" xr:uid="{00000000-0005-0000-0000-000080960000}"/>
    <cellStyle name="Normal 3 2 2 4 2 3 2 2 2 2" xfId="38841" xr:uid="{00000000-0005-0000-0000-000081960000}"/>
    <cellStyle name="Normal 3 2 2 4 2 3 2 2 2 3" xfId="38842" xr:uid="{00000000-0005-0000-0000-000082960000}"/>
    <cellStyle name="Normal 3 2 2 4 2 3 2 2 3" xfId="38843" xr:uid="{00000000-0005-0000-0000-000083960000}"/>
    <cellStyle name="Normal 3 2 2 4 2 3 2 2 4" xfId="38844" xr:uid="{00000000-0005-0000-0000-000084960000}"/>
    <cellStyle name="Normal 3 2 2 4 2 3 2 2 5" xfId="38845" xr:uid="{00000000-0005-0000-0000-000085960000}"/>
    <cellStyle name="Normal 3 2 2 4 2 3 2 2 6" xfId="38846" xr:uid="{00000000-0005-0000-0000-000086960000}"/>
    <cellStyle name="Normal 3 2 2 4 2 3 2 3" xfId="38847" xr:uid="{00000000-0005-0000-0000-000087960000}"/>
    <cellStyle name="Normal 3 2 2 4 2 3 2 3 2" xfId="38848" xr:uid="{00000000-0005-0000-0000-000088960000}"/>
    <cellStyle name="Normal 3 2 2 4 2 3 2 3 3" xfId="38849" xr:uid="{00000000-0005-0000-0000-000089960000}"/>
    <cellStyle name="Normal 3 2 2 4 2 3 2 4" xfId="38850" xr:uid="{00000000-0005-0000-0000-00008A960000}"/>
    <cellStyle name="Normal 3 2 2 4 2 3 2 5" xfId="38851" xr:uid="{00000000-0005-0000-0000-00008B960000}"/>
    <cellStyle name="Normal 3 2 2 4 2 3 2 6" xfId="38852" xr:uid="{00000000-0005-0000-0000-00008C960000}"/>
    <cellStyle name="Normal 3 2 2 4 2 3 2 7" xfId="38853" xr:uid="{00000000-0005-0000-0000-00008D960000}"/>
    <cellStyle name="Normal 3 2 2 4 2 3 3" xfId="38854" xr:uid="{00000000-0005-0000-0000-00008E960000}"/>
    <cellStyle name="Normal 3 2 2 4 2 3 3 2" xfId="38855" xr:uid="{00000000-0005-0000-0000-00008F960000}"/>
    <cellStyle name="Normal 3 2 2 4 2 3 3 2 2" xfId="38856" xr:uid="{00000000-0005-0000-0000-000090960000}"/>
    <cellStyle name="Normal 3 2 2 4 2 3 3 2 3" xfId="38857" xr:uid="{00000000-0005-0000-0000-000091960000}"/>
    <cellStyle name="Normal 3 2 2 4 2 3 3 3" xfId="38858" xr:uid="{00000000-0005-0000-0000-000092960000}"/>
    <cellStyle name="Normal 3 2 2 4 2 3 3 4" xfId="38859" xr:uid="{00000000-0005-0000-0000-000093960000}"/>
    <cellStyle name="Normal 3 2 2 4 2 3 3 5" xfId="38860" xr:uid="{00000000-0005-0000-0000-000094960000}"/>
    <cellStyle name="Normal 3 2 2 4 2 3 3 6" xfId="38861" xr:uid="{00000000-0005-0000-0000-000095960000}"/>
    <cellStyle name="Normal 3 2 2 4 2 3 4" xfId="38862" xr:uid="{00000000-0005-0000-0000-000096960000}"/>
    <cellStyle name="Normal 3 2 2 4 2 3 4 2" xfId="38863" xr:uid="{00000000-0005-0000-0000-000097960000}"/>
    <cellStyle name="Normal 3 2 2 4 2 3 4 2 2" xfId="38864" xr:uid="{00000000-0005-0000-0000-000098960000}"/>
    <cellStyle name="Normal 3 2 2 4 2 3 4 2 3" xfId="38865" xr:uid="{00000000-0005-0000-0000-000099960000}"/>
    <cellStyle name="Normal 3 2 2 4 2 3 4 3" xfId="38866" xr:uid="{00000000-0005-0000-0000-00009A960000}"/>
    <cellStyle name="Normal 3 2 2 4 2 3 4 4" xfId="38867" xr:uid="{00000000-0005-0000-0000-00009B960000}"/>
    <cellStyle name="Normal 3 2 2 4 2 3 4 5" xfId="38868" xr:uid="{00000000-0005-0000-0000-00009C960000}"/>
    <cellStyle name="Normal 3 2 2 4 2 3 4 6" xfId="38869" xr:uid="{00000000-0005-0000-0000-00009D960000}"/>
    <cellStyle name="Normal 3 2 2 4 2 3 5" xfId="38870" xr:uid="{00000000-0005-0000-0000-00009E960000}"/>
    <cellStyle name="Normal 3 2 2 4 2 3 5 2" xfId="38871" xr:uid="{00000000-0005-0000-0000-00009F960000}"/>
    <cellStyle name="Normal 3 2 2 4 2 3 5 3" xfId="38872" xr:uid="{00000000-0005-0000-0000-0000A0960000}"/>
    <cellStyle name="Normal 3 2 2 4 2 3 6" xfId="38873" xr:uid="{00000000-0005-0000-0000-0000A1960000}"/>
    <cellStyle name="Normal 3 2 2 4 2 3 7" xfId="38874" xr:uid="{00000000-0005-0000-0000-0000A2960000}"/>
    <cellStyle name="Normal 3 2 2 4 2 3 8" xfId="38875" xr:uid="{00000000-0005-0000-0000-0000A3960000}"/>
    <cellStyle name="Normal 3 2 2 4 2 3 9" xfId="38876" xr:uid="{00000000-0005-0000-0000-0000A4960000}"/>
    <cellStyle name="Normal 3 2 2 4 2 4" xfId="38877" xr:uid="{00000000-0005-0000-0000-0000A5960000}"/>
    <cellStyle name="Normal 3 2 2 4 2 4 2" xfId="38878" xr:uid="{00000000-0005-0000-0000-0000A6960000}"/>
    <cellStyle name="Normal 3 2 2 4 2 4 2 2" xfId="38879" xr:uid="{00000000-0005-0000-0000-0000A7960000}"/>
    <cellStyle name="Normal 3 2 2 4 2 4 2 2 2" xfId="38880" xr:uid="{00000000-0005-0000-0000-0000A8960000}"/>
    <cellStyle name="Normal 3 2 2 4 2 4 2 2 3" xfId="38881" xr:uid="{00000000-0005-0000-0000-0000A9960000}"/>
    <cellStyle name="Normal 3 2 2 4 2 4 2 3" xfId="38882" xr:uid="{00000000-0005-0000-0000-0000AA960000}"/>
    <cellStyle name="Normal 3 2 2 4 2 4 2 4" xfId="38883" xr:uid="{00000000-0005-0000-0000-0000AB960000}"/>
    <cellStyle name="Normal 3 2 2 4 2 4 2 5" xfId="38884" xr:uid="{00000000-0005-0000-0000-0000AC960000}"/>
    <cellStyle name="Normal 3 2 2 4 2 4 2 6" xfId="38885" xr:uid="{00000000-0005-0000-0000-0000AD960000}"/>
    <cellStyle name="Normal 3 2 2 4 2 4 3" xfId="38886" xr:uid="{00000000-0005-0000-0000-0000AE960000}"/>
    <cellStyle name="Normal 3 2 2 4 2 4 3 2" xfId="38887" xr:uid="{00000000-0005-0000-0000-0000AF960000}"/>
    <cellStyle name="Normal 3 2 2 4 2 4 3 3" xfId="38888" xr:uid="{00000000-0005-0000-0000-0000B0960000}"/>
    <cellStyle name="Normal 3 2 2 4 2 4 4" xfId="38889" xr:uid="{00000000-0005-0000-0000-0000B1960000}"/>
    <cellStyle name="Normal 3 2 2 4 2 4 5" xfId="38890" xr:uid="{00000000-0005-0000-0000-0000B2960000}"/>
    <cellStyle name="Normal 3 2 2 4 2 4 6" xfId="38891" xr:uid="{00000000-0005-0000-0000-0000B3960000}"/>
    <cellStyle name="Normal 3 2 2 4 2 4 7" xfId="38892" xr:uid="{00000000-0005-0000-0000-0000B4960000}"/>
    <cellStyle name="Normal 3 2 2 4 2 5" xfId="38893" xr:uid="{00000000-0005-0000-0000-0000B5960000}"/>
    <cellStyle name="Normal 3 2 2 4 2 5 2" xfId="38894" xr:uid="{00000000-0005-0000-0000-0000B6960000}"/>
    <cellStyle name="Normal 3 2 2 4 2 5 2 2" xfId="38895" xr:uid="{00000000-0005-0000-0000-0000B7960000}"/>
    <cellStyle name="Normal 3 2 2 4 2 5 2 3" xfId="38896" xr:uid="{00000000-0005-0000-0000-0000B8960000}"/>
    <cellStyle name="Normal 3 2 2 4 2 5 3" xfId="38897" xr:uid="{00000000-0005-0000-0000-0000B9960000}"/>
    <cellStyle name="Normal 3 2 2 4 2 5 4" xfId="38898" xr:uid="{00000000-0005-0000-0000-0000BA960000}"/>
    <cellStyle name="Normal 3 2 2 4 2 5 5" xfId="38899" xr:uid="{00000000-0005-0000-0000-0000BB960000}"/>
    <cellStyle name="Normal 3 2 2 4 2 5 6" xfId="38900" xr:uid="{00000000-0005-0000-0000-0000BC960000}"/>
    <cellStyle name="Normal 3 2 2 4 2 6" xfId="38901" xr:uid="{00000000-0005-0000-0000-0000BD960000}"/>
    <cellStyle name="Normal 3 2 2 4 2 6 2" xfId="38902" xr:uid="{00000000-0005-0000-0000-0000BE960000}"/>
    <cellStyle name="Normal 3 2 2 4 2 6 2 2" xfId="38903" xr:uid="{00000000-0005-0000-0000-0000BF960000}"/>
    <cellStyle name="Normal 3 2 2 4 2 6 2 3" xfId="38904" xr:uid="{00000000-0005-0000-0000-0000C0960000}"/>
    <cellStyle name="Normal 3 2 2 4 2 6 3" xfId="38905" xr:uid="{00000000-0005-0000-0000-0000C1960000}"/>
    <cellStyle name="Normal 3 2 2 4 2 6 4" xfId="38906" xr:uid="{00000000-0005-0000-0000-0000C2960000}"/>
    <cellStyle name="Normal 3 2 2 4 2 6 5" xfId="38907" xr:uid="{00000000-0005-0000-0000-0000C3960000}"/>
    <cellStyle name="Normal 3 2 2 4 2 6 6" xfId="38908" xr:uid="{00000000-0005-0000-0000-0000C4960000}"/>
    <cellStyle name="Normal 3 2 2 4 2 7" xfId="38909" xr:uid="{00000000-0005-0000-0000-0000C5960000}"/>
    <cellStyle name="Normal 3 2 2 4 2 7 2" xfId="38910" xr:uid="{00000000-0005-0000-0000-0000C6960000}"/>
    <cellStyle name="Normal 3 2 2 4 2 7 2 2" xfId="38911" xr:uid="{00000000-0005-0000-0000-0000C7960000}"/>
    <cellStyle name="Normal 3 2 2 4 2 7 2 3" xfId="38912" xr:uid="{00000000-0005-0000-0000-0000C8960000}"/>
    <cellStyle name="Normal 3 2 2 4 2 7 3" xfId="38913" xr:uid="{00000000-0005-0000-0000-0000C9960000}"/>
    <cellStyle name="Normal 3 2 2 4 2 7 4" xfId="38914" xr:uid="{00000000-0005-0000-0000-0000CA960000}"/>
    <cellStyle name="Normal 3 2 2 4 2 7 5" xfId="38915" xr:uid="{00000000-0005-0000-0000-0000CB960000}"/>
    <cellStyle name="Normal 3 2 2 4 2 7 6" xfId="38916" xr:uid="{00000000-0005-0000-0000-0000CC960000}"/>
    <cellStyle name="Normal 3 2 2 4 2 8" xfId="38917" xr:uid="{00000000-0005-0000-0000-0000CD960000}"/>
    <cellStyle name="Normal 3 2 2 4 2 8 2" xfId="38918" xr:uid="{00000000-0005-0000-0000-0000CE960000}"/>
    <cellStyle name="Normal 3 2 2 4 2 8 2 2" xfId="38919" xr:uid="{00000000-0005-0000-0000-0000CF960000}"/>
    <cellStyle name="Normal 3 2 2 4 2 8 2 3" xfId="38920" xr:uid="{00000000-0005-0000-0000-0000D0960000}"/>
    <cellStyle name="Normal 3 2 2 4 2 8 3" xfId="38921" xr:uid="{00000000-0005-0000-0000-0000D1960000}"/>
    <cellStyle name="Normal 3 2 2 4 2 8 4" xfId="38922" xr:uid="{00000000-0005-0000-0000-0000D2960000}"/>
    <cellStyle name="Normal 3 2 2 4 2 8 5" xfId="38923" xr:uid="{00000000-0005-0000-0000-0000D3960000}"/>
    <cellStyle name="Normal 3 2 2 4 2 8 6" xfId="38924" xr:uid="{00000000-0005-0000-0000-0000D4960000}"/>
    <cellStyle name="Normal 3 2 2 4 2 9" xfId="38925" xr:uid="{00000000-0005-0000-0000-0000D5960000}"/>
    <cellStyle name="Normal 3 2 2 4 2 9 2" xfId="38926" xr:uid="{00000000-0005-0000-0000-0000D6960000}"/>
    <cellStyle name="Normal 3 2 2 4 2 9 3" xfId="38927" xr:uid="{00000000-0005-0000-0000-0000D7960000}"/>
    <cellStyle name="Normal 3 2 2 4 3" xfId="38928" xr:uid="{00000000-0005-0000-0000-0000D8960000}"/>
    <cellStyle name="Normal 3 2 2 4 3 10" xfId="38929" xr:uid="{00000000-0005-0000-0000-0000D9960000}"/>
    <cellStyle name="Normal 3 2 2 4 3 2" xfId="38930" xr:uid="{00000000-0005-0000-0000-0000DA960000}"/>
    <cellStyle name="Normal 3 2 2 4 3 2 2" xfId="38931" xr:uid="{00000000-0005-0000-0000-0000DB960000}"/>
    <cellStyle name="Normal 3 2 2 4 3 2 2 2" xfId="38932" xr:uid="{00000000-0005-0000-0000-0000DC960000}"/>
    <cellStyle name="Normal 3 2 2 4 3 2 2 2 2" xfId="38933" xr:uid="{00000000-0005-0000-0000-0000DD960000}"/>
    <cellStyle name="Normal 3 2 2 4 3 2 2 2 3" xfId="38934" xr:uid="{00000000-0005-0000-0000-0000DE960000}"/>
    <cellStyle name="Normal 3 2 2 4 3 2 2 3" xfId="38935" xr:uid="{00000000-0005-0000-0000-0000DF960000}"/>
    <cellStyle name="Normal 3 2 2 4 3 2 2 4" xfId="38936" xr:uid="{00000000-0005-0000-0000-0000E0960000}"/>
    <cellStyle name="Normal 3 2 2 4 3 2 2 5" xfId="38937" xr:uid="{00000000-0005-0000-0000-0000E1960000}"/>
    <cellStyle name="Normal 3 2 2 4 3 2 2 6" xfId="38938" xr:uid="{00000000-0005-0000-0000-0000E2960000}"/>
    <cellStyle name="Normal 3 2 2 4 3 2 3" xfId="38939" xr:uid="{00000000-0005-0000-0000-0000E3960000}"/>
    <cellStyle name="Normal 3 2 2 4 3 2 3 2" xfId="38940" xr:uid="{00000000-0005-0000-0000-0000E4960000}"/>
    <cellStyle name="Normal 3 2 2 4 3 2 3 2 2" xfId="38941" xr:uid="{00000000-0005-0000-0000-0000E5960000}"/>
    <cellStyle name="Normal 3 2 2 4 3 2 3 2 3" xfId="38942" xr:uid="{00000000-0005-0000-0000-0000E6960000}"/>
    <cellStyle name="Normal 3 2 2 4 3 2 3 3" xfId="38943" xr:uid="{00000000-0005-0000-0000-0000E7960000}"/>
    <cellStyle name="Normal 3 2 2 4 3 2 3 4" xfId="38944" xr:uid="{00000000-0005-0000-0000-0000E8960000}"/>
    <cellStyle name="Normal 3 2 2 4 3 2 3 5" xfId="38945" xr:uid="{00000000-0005-0000-0000-0000E9960000}"/>
    <cellStyle name="Normal 3 2 2 4 3 2 3 6" xfId="38946" xr:uid="{00000000-0005-0000-0000-0000EA960000}"/>
    <cellStyle name="Normal 3 2 2 4 3 2 4" xfId="38947" xr:uid="{00000000-0005-0000-0000-0000EB960000}"/>
    <cellStyle name="Normal 3 2 2 4 3 2 4 2" xfId="38948" xr:uid="{00000000-0005-0000-0000-0000EC960000}"/>
    <cellStyle name="Normal 3 2 2 4 3 2 4 3" xfId="38949" xr:uid="{00000000-0005-0000-0000-0000ED960000}"/>
    <cellStyle name="Normal 3 2 2 4 3 2 5" xfId="38950" xr:uid="{00000000-0005-0000-0000-0000EE960000}"/>
    <cellStyle name="Normal 3 2 2 4 3 2 6" xfId="38951" xr:uid="{00000000-0005-0000-0000-0000EF960000}"/>
    <cellStyle name="Normal 3 2 2 4 3 2 7" xfId="38952" xr:uid="{00000000-0005-0000-0000-0000F0960000}"/>
    <cellStyle name="Normal 3 2 2 4 3 2 8" xfId="38953" xr:uid="{00000000-0005-0000-0000-0000F1960000}"/>
    <cellStyle name="Normal 3 2 2 4 3 3" xfId="38954" xr:uid="{00000000-0005-0000-0000-0000F2960000}"/>
    <cellStyle name="Normal 3 2 2 4 3 3 2" xfId="38955" xr:uid="{00000000-0005-0000-0000-0000F3960000}"/>
    <cellStyle name="Normal 3 2 2 4 3 3 2 2" xfId="38956" xr:uid="{00000000-0005-0000-0000-0000F4960000}"/>
    <cellStyle name="Normal 3 2 2 4 3 3 2 2 2" xfId="38957" xr:uid="{00000000-0005-0000-0000-0000F5960000}"/>
    <cellStyle name="Normal 3 2 2 4 3 3 2 2 3" xfId="38958" xr:uid="{00000000-0005-0000-0000-0000F6960000}"/>
    <cellStyle name="Normal 3 2 2 4 3 3 2 3" xfId="38959" xr:uid="{00000000-0005-0000-0000-0000F7960000}"/>
    <cellStyle name="Normal 3 2 2 4 3 3 2 4" xfId="38960" xr:uid="{00000000-0005-0000-0000-0000F8960000}"/>
    <cellStyle name="Normal 3 2 2 4 3 3 2 5" xfId="38961" xr:uid="{00000000-0005-0000-0000-0000F9960000}"/>
    <cellStyle name="Normal 3 2 2 4 3 3 2 6" xfId="38962" xr:uid="{00000000-0005-0000-0000-0000FA960000}"/>
    <cellStyle name="Normal 3 2 2 4 3 3 3" xfId="38963" xr:uid="{00000000-0005-0000-0000-0000FB960000}"/>
    <cellStyle name="Normal 3 2 2 4 3 3 3 2" xfId="38964" xr:uid="{00000000-0005-0000-0000-0000FC960000}"/>
    <cellStyle name="Normal 3 2 2 4 3 3 3 3" xfId="38965" xr:uid="{00000000-0005-0000-0000-0000FD960000}"/>
    <cellStyle name="Normal 3 2 2 4 3 3 4" xfId="38966" xr:uid="{00000000-0005-0000-0000-0000FE960000}"/>
    <cellStyle name="Normal 3 2 2 4 3 3 5" xfId="38967" xr:uid="{00000000-0005-0000-0000-0000FF960000}"/>
    <cellStyle name="Normal 3 2 2 4 3 3 6" xfId="38968" xr:uid="{00000000-0005-0000-0000-000000970000}"/>
    <cellStyle name="Normal 3 2 2 4 3 3 7" xfId="38969" xr:uid="{00000000-0005-0000-0000-000001970000}"/>
    <cellStyle name="Normal 3 2 2 4 3 4" xfId="38970" xr:uid="{00000000-0005-0000-0000-000002970000}"/>
    <cellStyle name="Normal 3 2 2 4 3 4 2" xfId="38971" xr:uid="{00000000-0005-0000-0000-000003970000}"/>
    <cellStyle name="Normal 3 2 2 4 3 4 2 2" xfId="38972" xr:uid="{00000000-0005-0000-0000-000004970000}"/>
    <cellStyle name="Normal 3 2 2 4 3 4 2 3" xfId="38973" xr:uid="{00000000-0005-0000-0000-000005970000}"/>
    <cellStyle name="Normal 3 2 2 4 3 4 3" xfId="38974" xr:uid="{00000000-0005-0000-0000-000006970000}"/>
    <cellStyle name="Normal 3 2 2 4 3 4 4" xfId="38975" xr:uid="{00000000-0005-0000-0000-000007970000}"/>
    <cellStyle name="Normal 3 2 2 4 3 4 5" xfId="38976" xr:uid="{00000000-0005-0000-0000-000008970000}"/>
    <cellStyle name="Normal 3 2 2 4 3 4 6" xfId="38977" xr:uid="{00000000-0005-0000-0000-000009970000}"/>
    <cellStyle name="Normal 3 2 2 4 3 5" xfId="38978" xr:uid="{00000000-0005-0000-0000-00000A970000}"/>
    <cellStyle name="Normal 3 2 2 4 3 5 2" xfId="38979" xr:uid="{00000000-0005-0000-0000-00000B970000}"/>
    <cellStyle name="Normal 3 2 2 4 3 5 2 2" xfId="38980" xr:uid="{00000000-0005-0000-0000-00000C970000}"/>
    <cellStyle name="Normal 3 2 2 4 3 5 2 3" xfId="38981" xr:uid="{00000000-0005-0000-0000-00000D970000}"/>
    <cellStyle name="Normal 3 2 2 4 3 5 3" xfId="38982" xr:uid="{00000000-0005-0000-0000-00000E970000}"/>
    <cellStyle name="Normal 3 2 2 4 3 5 4" xfId="38983" xr:uid="{00000000-0005-0000-0000-00000F970000}"/>
    <cellStyle name="Normal 3 2 2 4 3 5 5" xfId="38984" xr:uid="{00000000-0005-0000-0000-000010970000}"/>
    <cellStyle name="Normal 3 2 2 4 3 5 6" xfId="38985" xr:uid="{00000000-0005-0000-0000-000011970000}"/>
    <cellStyle name="Normal 3 2 2 4 3 6" xfId="38986" xr:uid="{00000000-0005-0000-0000-000012970000}"/>
    <cellStyle name="Normal 3 2 2 4 3 6 2" xfId="38987" xr:uid="{00000000-0005-0000-0000-000013970000}"/>
    <cellStyle name="Normal 3 2 2 4 3 6 3" xfId="38988" xr:uid="{00000000-0005-0000-0000-000014970000}"/>
    <cellStyle name="Normal 3 2 2 4 3 7" xfId="38989" xr:uid="{00000000-0005-0000-0000-000015970000}"/>
    <cellStyle name="Normal 3 2 2 4 3 8" xfId="38990" xr:uid="{00000000-0005-0000-0000-000016970000}"/>
    <cellStyle name="Normal 3 2 2 4 3 9" xfId="38991" xr:uid="{00000000-0005-0000-0000-000017970000}"/>
    <cellStyle name="Normal 3 2 2 4 4" xfId="38992" xr:uid="{00000000-0005-0000-0000-000018970000}"/>
    <cellStyle name="Normal 3 2 2 4 4 2" xfId="38993" xr:uid="{00000000-0005-0000-0000-000019970000}"/>
    <cellStyle name="Normal 3 2 2 4 4 2 2" xfId="38994" xr:uid="{00000000-0005-0000-0000-00001A970000}"/>
    <cellStyle name="Normal 3 2 2 4 4 2 2 2" xfId="38995" xr:uid="{00000000-0005-0000-0000-00001B970000}"/>
    <cellStyle name="Normal 3 2 2 4 4 2 2 2 2" xfId="38996" xr:uid="{00000000-0005-0000-0000-00001C970000}"/>
    <cellStyle name="Normal 3 2 2 4 4 2 2 2 3" xfId="38997" xr:uid="{00000000-0005-0000-0000-00001D970000}"/>
    <cellStyle name="Normal 3 2 2 4 4 2 2 3" xfId="38998" xr:uid="{00000000-0005-0000-0000-00001E970000}"/>
    <cellStyle name="Normal 3 2 2 4 4 2 2 4" xfId="38999" xr:uid="{00000000-0005-0000-0000-00001F970000}"/>
    <cellStyle name="Normal 3 2 2 4 4 2 2 5" xfId="39000" xr:uid="{00000000-0005-0000-0000-000020970000}"/>
    <cellStyle name="Normal 3 2 2 4 4 2 2 6" xfId="39001" xr:uid="{00000000-0005-0000-0000-000021970000}"/>
    <cellStyle name="Normal 3 2 2 4 4 2 3" xfId="39002" xr:uid="{00000000-0005-0000-0000-000022970000}"/>
    <cellStyle name="Normal 3 2 2 4 4 2 3 2" xfId="39003" xr:uid="{00000000-0005-0000-0000-000023970000}"/>
    <cellStyle name="Normal 3 2 2 4 4 2 3 3" xfId="39004" xr:uid="{00000000-0005-0000-0000-000024970000}"/>
    <cellStyle name="Normal 3 2 2 4 4 2 4" xfId="39005" xr:uid="{00000000-0005-0000-0000-000025970000}"/>
    <cellStyle name="Normal 3 2 2 4 4 2 5" xfId="39006" xr:uid="{00000000-0005-0000-0000-000026970000}"/>
    <cellStyle name="Normal 3 2 2 4 4 2 6" xfId="39007" xr:uid="{00000000-0005-0000-0000-000027970000}"/>
    <cellStyle name="Normal 3 2 2 4 4 2 7" xfId="39008" xr:uid="{00000000-0005-0000-0000-000028970000}"/>
    <cellStyle name="Normal 3 2 2 4 4 3" xfId="39009" xr:uid="{00000000-0005-0000-0000-000029970000}"/>
    <cellStyle name="Normal 3 2 2 4 4 3 2" xfId="39010" xr:uid="{00000000-0005-0000-0000-00002A970000}"/>
    <cellStyle name="Normal 3 2 2 4 4 3 2 2" xfId="39011" xr:uid="{00000000-0005-0000-0000-00002B970000}"/>
    <cellStyle name="Normal 3 2 2 4 4 3 2 3" xfId="39012" xr:uid="{00000000-0005-0000-0000-00002C970000}"/>
    <cellStyle name="Normal 3 2 2 4 4 3 3" xfId="39013" xr:uid="{00000000-0005-0000-0000-00002D970000}"/>
    <cellStyle name="Normal 3 2 2 4 4 3 4" xfId="39014" xr:uid="{00000000-0005-0000-0000-00002E970000}"/>
    <cellStyle name="Normal 3 2 2 4 4 3 5" xfId="39015" xr:uid="{00000000-0005-0000-0000-00002F970000}"/>
    <cellStyle name="Normal 3 2 2 4 4 3 6" xfId="39016" xr:uid="{00000000-0005-0000-0000-000030970000}"/>
    <cellStyle name="Normal 3 2 2 4 4 4" xfId="39017" xr:uid="{00000000-0005-0000-0000-000031970000}"/>
    <cellStyle name="Normal 3 2 2 4 4 4 2" xfId="39018" xr:uid="{00000000-0005-0000-0000-000032970000}"/>
    <cellStyle name="Normal 3 2 2 4 4 4 2 2" xfId="39019" xr:uid="{00000000-0005-0000-0000-000033970000}"/>
    <cellStyle name="Normal 3 2 2 4 4 4 2 3" xfId="39020" xr:uid="{00000000-0005-0000-0000-000034970000}"/>
    <cellStyle name="Normal 3 2 2 4 4 4 3" xfId="39021" xr:uid="{00000000-0005-0000-0000-000035970000}"/>
    <cellStyle name="Normal 3 2 2 4 4 4 4" xfId="39022" xr:uid="{00000000-0005-0000-0000-000036970000}"/>
    <cellStyle name="Normal 3 2 2 4 4 4 5" xfId="39023" xr:uid="{00000000-0005-0000-0000-000037970000}"/>
    <cellStyle name="Normal 3 2 2 4 4 4 6" xfId="39024" xr:uid="{00000000-0005-0000-0000-000038970000}"/>
    <cellStyle name="Normal 3 2 2 4 4 5" xfId="39025" xr:uid="{00000000-0005-0000-0000-000039970000}"/>
    <cellStyle name="Normal 3 2 2 4 4 5 2" xfId="39026" xr:uid="{00000000-0005-0000-0000-00003A970000}"/>
    <cellStyle name="Normal 3 2 2 4 4 5 3" xfId="39027" xr:uid="{00000000-0005-0000-0000-00003B970000}"/>
    <cellStyle name="Normal 3 2 2 4 4 6" xfId="39028" xr:uid="{00000000-0005-0000-0000-00003C970000}"/>
    <cellStyle name="Normal 3 2 2 4 4 7" xfId="39029" xr:uid="{00000000-0005-0000-0000-00003D970000}"/>
    <cellStyle name="Normal 3 2 2 4 4 8" xfId="39030" xr:uid="{00000000-0005-0000-0000-00003E970000}"/>
    <cellStyle name="Normal 3 2 2 4 4 9" xfId="39031" xr:uid="{00000000-0005-0000-0000-00003F970000}"/>
    <cellStyle name="Normal 3 2 2 4 5" xfId="39032" xr:uid="{00000000-0005-0000-0000-000040970000}"/>
    <cellStyle name="Normal 3 2 2 4 5 2" xfId="39033" xr:uid="{00000000-0005-0000-0000-000041970000}"/>
    <cellStyle name="Normal 3 2 2 4 5 2 2" xfId="39034" xr:uid="{00000000-0005-0000-0000-000042970000}"/>
    <cellStyle name="Normal 3 2 2 4 5 2 2 2" xfId="39035" xr:uid="{00000000-0005-0000-0000-000043970000}"/>
    <cellStyle name="Normal 3 2 2 4 5 2 2 3" xfId="39036" xr:uid="{00000000-0005-0000-0000-000044970000}"/>
    <cellStyle name="Normal 3 2 2 4 5 2 3" xfId="39037" xr:uid="{00000000-0005-0000-0000-000045970000}"/>
    <cellStyle name="Normal 3 2 2 4 5 2 4" xfId="39038" xr:uid="{00000000-0005-0000-0000-000046970000}"/>
    <cellStyle name="Normal 3 2 2 4 5 2 5" xfId="39039" xr:uid="{00000000-0005-0000-0000-000047970000}"/>
    <cellStyle name="Normal 3 2 2 4 5 2 6" xfId="39040" xr:uid="{00000000-0005-0000-0000-000048970000}"/>
    <cellStyle name="Normal 3 2 2 4 5 3" xfId="39041" xr:uid="{00000000-0005-0000-0000-000049970000}"/>
    <cellStyle name="Normal 3 2 2 4 5 3 2" xfId="39042" xr:uid="{00000000-0005-0000-0000-00004A970000}"/>
    <cellStyle name="Normal 3 2 2 4 5 3 3" xfId="39043" xr:uid="{00000000-0005-0000-0000-00004B970000}"/>
    <cellStyle name="Normal 3 2 2 4 5 4" xfId="39044" xr:uid="{00000000-0005-0000-0000-00004C970000}"/>
    <cellStyle name="Normal 3 2 2 4 5 5" xfId="39045" xr:uid="{00000000-0005-0000-0000-00004D970000}"/>
    <cellStyle name="Normal 3 2 2 4 5 6" xfId="39046" xr:uid="{00000000-0005-0000-0000-00004E970000}"/>
    <cellStyle name="Normal 3 2 2 4 5 7" xfId="39047" xr:uid="{00000000-0005-0000-0000-00004F970000}"/>
    <cellStyle name="Normal 3 2 2 4 6" xfId="39048" xr:uid="{00000000-0005-0000-0000-000050970000}"/>
    <cellStyle name="Normal 3 2 2 4 6 2" xfId="39049" xr:uid="{00000000-0005-0000-0000-000051970000}"/>
    <cellStyle name="Normal 3 2 2 4 6 2 2" xfId="39050" xr:uid="{00000000-0005-0000-0000-000052970000}"/>
    <cellStyle name="Normal 3 2 2 4 6 2 3" xfId="39051" xr:uid="{00000000-0005-0000-0000-000053970000}"/>
    <cellStyle name="Normal 3 2 2 4 6 3" xfId="39052" xr:uid="{00000000-0005-0000-0000-000054970000}"/>
    <cellStyle name="Normal 3 2 2 4 6 4" xfId="39053" xr:uid="{00000000-0005-0000-0000-000055970000}"/>
    <cellStyle name="Normal 3 2 2 4 6 5" xfId="39054" xr:uid="{00000000-0005-0000-0000-000056970000}"/>
    <cellStyle name="Normal 3 2 2 4 6 6" xfId="39055" xr:uid="{00000000-0005-0000-0000-000057970000}"/>
    <cellStyle name="Normal 3 2 2 4 7" xfId="39056" xr:uid="{00000000-0005-0000-0000-000058970000}"/>
    <cellStyle name="Normal 3 2 2 4 7 2" xfId="39057" xr:uid="{00000000-0005-0000-0000-000059970000}"/>
    <cellStyle name="Normal 3 2 2 4 7 2 2" xfId="39058" xr:uid="{00000000-0005-0000-0000-00005A970000}"/>
    <cellStyle name="Normal 3 2 2 4 7 2 3" xfId="39059" xr:uid="{00000000-0005-0000-0000-00005B970000}"/>
    <cellStyle name="Normal 3 2 2 4 7 3" xfId="39060" xr:uid="{00000000-0005-0000-0000-00005C970000}"/>
    <cellStyle name="Normal 3 2 2 4 7 4" xfId="39061" xr:uid="{00000000-0005-0000-0000-00005D970000}"/>
    <cellStyle name="Normal 3 2 2 4 7 5" xfId="39062" xr:uid="{00000000-0005-0000-0000-00005E970000}"/>
    <cellStyle name="Normal 3 2 2 4 7 6" xfId="39063" xr:uid="{00000000-0005-0000-0000-00005F970000}"/>
    <cellStyle name="Normal 3 2 2 4 8" xfId="39064" xr:uid="{00000000-0005-0000-0000-000060970000}"/>
    <cellStyle name="Normal 3 2 2 4 8 2" xfId="39065" xr:uid="{00000000-0005-0000-0000-000061970000}"/>
    <cellStyle name="Normal 3 2 2 4 8 2 2" xfId="39066" xr:uid="{00000000-0005-0000-0000-000062970000}"/>
    <cellStyle name="Normal 3 2 2 4 8 2 3" xfId="39067" xr:uid="{00000000-0005-0000-0000-000063970000}"/>
    <cellStyle name="Normal 3 2 2 4 8 3" xfId="39068" xr:uid="{00000000-0005-0000-0000-000064970000}"/>
    <cellStyle name="Normal 3 2 2 4 8 4" xfId="39069" xr:uid="{00000000-0005-0000-0000-000065970000}"/>
    <cellStyle name="Normal 3 2 2 4 8 5" xfId="39070" xr:uid="{00000000-0005-0000-0000-000066970000}"/>
    <cellStyle name="Normal 3 2 2 4 8 6" xfId="39071" xr:uid="{00000000-0005-0000-0000-000067970000}"/>
    <cellStyle name="Normal 3 2 2 4 9" xfId="39072" xr:uid="{00000000-0005-0000-0000-000068970000}"/>
    <cellStyle name="Normal 3 2 2 4 9 2" xfId="39073" xr:uid="{00000000-0005-0000-0000-000069970000}"/>
    <cellStyle name="Normal 3 2 2 4 9 2 2" xfId="39074" xr:uid="{00000000-0005-0000-0000-00006A970000}"/>
    <cellStyle name="Normal 3 2 2 4 9 2 3" xfId="39075" xr:uid="{00000000-0005-0000-0000-00006B970000}"/>
    <cellStyle name="Normal 3 2 2 4 9 3" xfId="39076" xr:uid="{00000000-0005-0000-0000-00006C970000}"/>
    <cellStyle name="Normal 3 2 2 4 9 4" xfId="39077" xr:uid="{00000000-0005-0000-0000-00006D970000}"/>
    <cellStyle name="Normal 3 2 2 4 9 5" xfId="39078" xr:uid="{00000000-0005-0000-0000-00006E970000}"/>
    <cellStyle name="Normal 3 2 2 4 9 6" xfId="39079" xr:uid="{00000000-0005-0000-0000-00006F970000}"/>
    <cellStyle name="Normal 3 2 2 5" xfId="39080" xr:uid="{00000000-0005-0000-0000-000070970000}"/>
    <cellStyle name="Normal 3 2 2 5 10" xfId="39081" xr:uid="{00000000-0005-0000-0000-000071970000}"/>
    <cellStyle name="Normal 3 2 2 5 10 2" xfId="39082" xr:uid="{00000000-0005-0000-0000-000072970000}"/>
    <cellStyle name="Normal 3 2 2 5 10 3" xfId="39083" xr:uid="{00000000-0005-0000-0000-000073970000}"/>
    <cellStyle name="Normal 3 2 2 5 11" xfId="39084" xr:uid="{00000000-0005-0000-0000-000074970000}"/>
    <cellStyle name="Normal 3 2 2 5 12" xfId="39085" xr:uid="{00000000-0005-0000-0000-000075970000}"/>
    <cellStyle name="Normal 3 2 2 5 13" xfId="39086" xr:uid="{00000000-0005-0000-0000-000076970000}"/>
    <cellStyle name="Normal 3 2 2 5 14" xfId="39087" xr:uid="{00000000-0005-0000-0000-000077970000}"/>
    <cellStyle name="Normal 3 2 2 5 2" xfId="39088" xr:uid="{00000000-0005-0000-0000-000078970000}"/>
    <cellStyle name="Normal 3 2 2 5 2 10" xfId="39089" xr:uid="{00000000-0005-0000-0000-000079970000}"/>
    <cellStyle name="Normal 3 2 2 5 2 11" xfId="39090" xr:uid="{00000000-0005-0000-0000-00007A970000}"/>
    <cellStyle name="Normal 3 2 2 5 2 12" xfId="39091" xr:uid="{00000000-0005-0000-0000-00007B970000}"/>
    <cellStyle name="Normal 3 2 2 5 2 13" xfId="39092" xr:uid="{00000000-0005-0000-0000-00007C970000}"/>
    <cellStyle name="Normal 3 2 2 5 2 2" xfId="39093" xr:uid="{00000000-0005-0000-0000-00007D970000}"/>
    <cellStyle name="Normal 3 2 2 5 2 2 10" xfId="39094" xr:uid="{00000000-0005-0000-0000-00007E970000}"/>
    <cellStyle name="Normal 3 2 2 5 2 2 2" xfId="39095" xr:uid="{00000000-0005-0000-0000-00007F970000}"/>
    <cellStyle name="Normal 3 2 2 5 2 2 2 2" xfId="39096" xr:uid="{00000000-0005-0000-0000-000080970000}"/>
    <cellStyle name="Normal 3 2 2 5 2 2 2 2 2" xfId="39097" xr:uid="{00000000-0005-0000-0000-000081970000}"/>
    <cellStyle name="Normal 3 2 2 5 2 2 2 2 2 2" xfId="39098" xr:uid="{00000000-0005-0000-0000-000082970000}"/>
    <cellStyle name="Normal 3 2 2 5 2 2 2 2 2 3" xfId="39099" xr:uid="{00000000-0005-0000-0000-000083970000}"/>
    <cellStyle name="Normal 3 2 2 5 2 2 2 2 3" xfId="39100" xr:uid="{00000000-0005-0000-0000-000084970000}"/>
    <cellStyle name="Normal 3 2 2 5 2 2 2 2 4" xfId="39101" xr:uid="{00000000-0005-0000-0000-000085970000}"/>
    <cellStyle name="Normal 3 2 2 5 2 2 2 2 5" xfId="39102" xr:uid="{00000000-0005-0000-0000-000086970000}"/>
    <cellStyle name="Normal 3 2 2 5 2 2 2 2 6" xfId="39103" xr:uid="{00000000-0005-0000-0000-000087970000}"/>
    <cellStyle name="Normal 3 2 2 5 2 2 2 3" xfId="39104" xr:uid="{00000000-0005-0000-0000-000088970000}"/>
    <cellStyle name="Normal 3 2 2 5 2 2 2 3 2" xfId="39105" xr:uid="{00000000-0005-0000-0000-000089970000}"/>
    <cellStyle name="Normal 3 2 2 5 2 2 2 3 2 2" xfId="39106" xr:uid="{00000000-0005-0000-0000-00008A970000}"/>
    <cellStyle name="Normal 3 2 2 5 2 2 2 3 2 3" xfId="39107" xr:uid="{00000000-0005-0000-0000-00008B970000}"/>
    <cellStyle name="Normal 3 2 2 5 2 2 2 3 3" xfId="39108" xr:uid="{00000000-0005-0000-0000-00008C970000}"/>
    <cellStyle name="Normal 3 2 2 5 2 2 2 3 4" xfId="39109" xr:uid="{00000000-0005-0000-0000-00008D970000}"/>
    <cellStyle name="Normal 3 2 2 5 2 2 2 3 5" xfId="39110" xr:uid="{00000000-0005-0000-0000-00008E970000}"/>
    <cellStyle name="Normal 3 2 2 5 2 2 2 3 6" xfId="39111" xr:uid="{00000000-0005-0000-0000-00008F970000}"/>
    <cellStyle name="Normal 3 2 2 5 2 2 2 4" xfId="39112" xr:uid="{00000000-0005-0000-0000-000090970000}"/>
    <cellStyle name="Normal 3 2 2 5 2 2 2 4 2" xfId="39113" xr:uid="{00000000-0005-0000-0000-000091970000}"/>
    <cellStyle name="Normal 3 2 2 5 2 2 2 4 3" xfId="39114" xr:uid="{00000000-0005-0000-0000-000092970000}"/>
    <cellStyle name="Normal 3 2 2 5 2 2 2 5" xfId="39115" xr:uid="{00000000-0005-0000-0000-000093970000}"/>
    <cellStyle name="Normal 3 2 2 5 2 2 2 6" xfId="39116" xr:uid="{00000000-0005-0000-0000-000094970000}"/>
    <cellStyle name="Normal 3 2 2 5 2 2 2 7" xfId="39117" xr:uid="{00000000-0005-0000-0000-000095970000}"/>
    <cellStyle name="Normal 3 2 2 5 2 2 2 8" xfId="39118" xr:uid="{00000000-0005-0000-0000-000096970000}"/>
    <cellStyle name="Normal 3 2 2 5 2 2 3" xfId="39119" xr:uid="{00000000-0005-0000-0000-000097970000}"/>
    <cellStyle name="Normal 3 2 2 5 2 2 3 2" xfId="39120" xr:uid="{00000000-0005-0000-0000-000098970000}"/>
    <cellStyle name="Normal 3 2 2 5 2 2 3 2 2" xfId="39121" xr:uid="{00000000-0005-0000-0000-000099970000}"/>
    <cellStyle name="Normal 3 2 2 5 2 2 3 2 2 2" xfId="39122" xr:uid="{00000000-0005-0000-0000-00009A970000}"/>
    <cellStyle name="Normal 3 2 2 5 2 2 3 2 2 3" xfId="39123" xr:uid="{00000000-0005-0000-0000-00009B970000}"/>
    <cellStyle name="Normal 3 2 2 5 2 2 3 2 3" xfId="39124" xr:uid="{00000000-0005-0000-0000-00009C970000}"/>
    <cellStyle name="Normal 3 2 2 5 2 2 3 2 4" xfId="39125" xr:uid="{00000000-0005-0000-0000-00009D970000}"/>
    <cellStyle name="Normal 3 2 2 5 2 2 3 2 5" xfId="39126" xr:uid="{00000000-0005-0000-0000-00009E970000}"/>
    <cellStyle name="Normal 3 2 2 5 2 2 3 2 6" xfId="39127" xr:uid="{00000000-0005-0000-0000-00009F970000}"/>
    <cellStyle name="Normal 3 2 2 5 2 2 3 3" xfId="39128" xr:uid="{00000000-0005-0000-0000-0000A0970000}"/>
    <cellStyle name="Normal 3 2 2 5 2 2 3 3 2" xfId="39129" xr:uid="{00000000-0005-0000-0000-0000A1970000}"/>
    <cellStyle name="Normal 3 2 2 5 2 2 3 3 3" xfId="39130" xr:uid="{00000000-0005-0000-0000-0000A2970000}"/>
    <cellStyle name="Normal 3 2 2 5 2 2 3 4" xfId="39131" xr:uid="{00000000-0005-0000-0000-0000A3970000}"/>
    <cellStyle name="Normal 3 2 2 5 2 2 3 5" xfId="39132" xr:uid="{00000000-0005-0000-0000-0000A4970000}"/>
    <cellStyle name="Normal 3 2 2 5 2 2 3 6" xfId="39133" xr:uid="{00000000-0005-0000-0000-0000A5970000}"/>
    <cellStyle name="Normal 3 2 2 5 2 2 3 7" xfId="39134" xr:uid="{00000000-0005-0000-0000-0000A6970000}"/>
    <cellStyle name="Normal 3 2 2 5 2 2 4" xfId="39135" xr:uid="{00000000-0005-0000-0000-0000A7970000}"/>
    <cellStyle name="Normal 3 2 2 5 2 2 4 2" xfId="39136" xr:uid="{00000000-0005-0000-0000-0000A8970000}"/>
    <cellStyle name="Normal 3 2 2 5 2 2 4 2 2" xfId="39137" xr:uid="{00000000-0005-0000-0000-0000A9970000}"/>
    <cellStyle name="Normal 3 2 2 5 2 2 4 2 3" xfId="39138" xr:uid="{00000000-0005-0000-0000-0000AA970000}"/>
    <cellStyle name="Normal 3 2 2 5 2 2 4 3" xfId="39139" xr:uid="{00000000-0005-0000-0000-0000AB970000}"/>
    <cellStyle name="Normal 3 2 2 5 2 2 4 4" xfId="39140" xr:uid="{00000000-0005-0000-0000-0000AC970000}"/>
    <cellStyle name="Normal 3 2 2 5 2 2 4 5" xfId="39141" xr:uid="{00000000-0005-0000-0000-0000AD970000}"/>
    <cellStyle name="Normal 3 2 2 5 2 2 4 6" xfId="39142" xr:uid="{00000000-0005-0000-0000-0000AE970000}"/>
    <cellStyle name="Normal 3 2 2 5 2 2 5" xfId="39143" xr:uid="{00000000-0005-0000-0000-0000AF970000}"/>
    <cellStyle name="Normal 3 2 2 5 2 2 5 2" xfId="39144" xr:uid="{00000000-0005-0000-0000-0000B0970000}"/>
    <cellStyle name="Normal 3 2 2 5 2 2 5 2 2" xfId="39145" xr:uid="{00000000-0005-0000-0000-0000B1970000}"/>
    <cellStyle name="Normal 3 2 2 5 2 2 5 2 3" xfId="39146" xr:uid="{00000000-0005-0000-0000-0000B2970000}"/>
    <cellStyle name="Normal 3 2 2 5 2 2 5 3" xfId="39147" xr:uid="{00000000-0005-0000-0000-0000B3970000}"/>
    <cellStyle name="Normal 3 2 2 5 2 2 5 4" xfId="39148" xr:uid="{00000000-0005-0000-0000-0000B4970000}"/>
    <cellStyle name="Normal 3 2 2 5 2 2 5 5" xfId="39149" xr:uid="{00000000-0005-0000-0000-0000B5970000}"/>
    <cellStyle name="Normal 3 2 2 5 2 2 5 6" xfId="39150" xr:uid="{00000000-0005-0000-0000-0000B6970000}"/>
    <cellStyle name="Normal 3 2 2 5 2 2 6" xfId="39151" xr:uid="{00000000-0005-0000-0000-0000B7970000}"/>
    <cellStyle name="Normal 3 2 2 5 2 2 6 2" xfId="39152" xr:uid="{00000000-0005-0000-0000-0000B8970000}"/>
    <cellStyle name="Normal 3 2 2 5 2 2 6 3" xfId="39153" xr:uid="{00000000-0005-0000-0000-0000B9970000}"/>
    <cellStyle name="Normal 3 2 2 5 2 2 7" xfId="39154" xr:uid="{00000000-0005-0000-0000-0000BA970000}"/>
    <cellStyle name="Normal 3 2 2 5 2 2 8" xfId="39155" xr:uid="{00000000-0005-0000-0000-0000BB970000}"/>
    <cellStyle name="Normal 3 2 2 5 2 2 9" xfId="39156" xr:uid="{00000000-0005-0000-0000-0000BC970000}"/>
    <cellStyle name="Normal 3 2 2 5 2 3" xfId="39157" xr:uid="{00000000-0005-0000-0000-0000BD970000}"/>
    <cellStyle name="Normal 3 2 2 5 2 3 2" xfId="39158" xr:uid="{00000000-0005-0000-0000-0000BE970000}"/>
    <cellStyle name="Normal 3 2 2 5 2 3 2 2" xfId="39159" xr:uid="{00000000-0005-0000-0000-0000BF970000}"/>
    <cellStyle name="Normal 3 2 2 5 2 3 2 2 2" xfId="39160" xr:uid="{00000000-0005-0000-0000-0000C0970000}"/>
    <cellStyle name="Normal 3 2 2 5 2 3 2 2 2 2" xfId="39161" xr:uid="{00000000-0005-0000-0000-0000C1970000}"/>
    <cellStyle name="Normal 3 2 2 5 2 3 2 2 2 3" xfId="39162" xr:uid="{00000000-0005-0000-0000-0000C2970000}"/>
    <cellStyle name="Normal 3 2 2 5 2 3 2 2 3" xfId="39163" xr:uid="{00000000-0005-0000-0000-0000C3970000}"/>
    <cellStyle name="Normal 3 2 2 5 2 3 2 2 4" xfId="39164" xr:uid="{00000000-0005-0000-0000-0000C4970000}"/>
    <cellStyle name="Normal 3 2 2 5 2 3 2 2 5" xfId="39165" xr:uid="{00000000-0005-0000-0000-0000C5970000}"/>
    <cellStyle name="Normal 3 2 2 5 2 3 2 2 6" xfId="39166" xr:uid="{00000000-0005-0000-0000-0000C6970000}"/>
    <cellStyle name="Normal 3 2 2 5 2 3 2 3" xfId="39167" xr:uid="{00000000-0005-0000-0000-0000C7970000}"/>
    <cellStyle name="Normal 3 2 2 5 2 3 2 3 2" xfId="39168" xr:uid="{00000000-0005-0000-0000-0000C8970000}"/>
    <cellStyle name="Normal 3 2 2 5 2 3 2 3 3" xfId="39169" xr:uid="{00000000-0005-0000-0000-0000C9970000}"/>
    <cellStyle name="Normal 3 2 2 5 2 3 2 4" xfId="39170" xr:uid="{00000000-0005-0000-0000-0000CA970000}"/>
    <cellStyle name="Normal 3 2 2 5 2 3 2 5" xfId="39171" xr:uid="{00000000-0005-0000-0000-0000CB970000}"/>
    <cellStyle name="Normal 3 2 2 5 2 3 2 6" xfId="39172" xr:uid="{00000000-0005-0000-0000-0000CC970000}"/>
    <cellStyle name="Normal 3 2 2 5 2 3 2 7" xfId="39173" xr:uid="{00000000-0005-0000-0000-0000CD970000}"/>
    <cellStyle name="Normal 3 2 2 5 2 3 3" xfId="39174" xr:uid="{00000000-0005-0000-0000-0000CE970000}"/>
    <cellStyle name="Normal 3 2 2 5 2 3 3 2" xfId="39175" xr:uid="{00000000-0005-0000-0000-0000CF970000}"/>
    <cellStyle name="Normal 3 2 2 5 2 3 3 2 2" xfId="39176" xr:uid="{00000000-0005-0000-0000-0000D0970000}"/>
    <cellStyle name="Normal 3 2 2 5 2 3 3 2 3" xfId="39177" xr:uid="{00000000-0005-0000-0000-0000D1970000}"/>
    <cellStyle name="Normal 3 2 2 5 2 3 3 3" xfId="39178" xr:uid="{00000000-0005-0000-0000-0000D2970000}"/>
    <cellStyle name="Normal 3 2 2 5 2 3 3 4" xfId="39179" xr:uid="{00000000-0005-0000-0000-0000D3970000}"/>
    <cellStyle name="Normal 3 2 2 5 2 3 3 5" xfId="39180" xr:uid="{00000000-0005-0000-0000-0000D4970000}"/>
    <cellStyle name="Normal 3 2 2 5 2 3 3 6" xfId="39181" xr:uid="{00000000-0005-0000-0000-0000D5970000}"/>
    <cellStyle name="Normal 3 2 2 5 2 3 4" xfId="39182" xr:uid="{00000000-0005-0000-0000-0000D6970000}"/>
    <cellStyle name="Normal 3 2 2 5 2 3 4 2" xfId="39183" xr:uid="{00000000-0005-0000-0000-0000D7970000}"/>
    <cellStyle name="Normal 3 2 2 5 2 3 4 2 2" xfId="39184" xr:uid="{00000000-0005-0000-0000-0000D8970000}"/>
    <cellStyle name="Normal 3 2 2 5 2 3 4 2 3" xfId="39185" xr:uid="{00000000-0005-0000-0000-0000D9970000}"/>
    <cellStyle name="Normal 3 2 2 5 2 3 4 3" xfId="39186" xr:uid="{00000000-0005-0000-0000-0000DA970000}"/>
    <cellStyle name="Normal 3 2 2 5 2 3 4 4" xfId="39187" xr:uid="{00000000-0005-0000-0000-0000DB970000}"/>
    <cellStyle name="Normal 3 2 2 5 2 3 4 5" xfId="39188" xr:uid="{00000000-0005-0000-0000-0000DC970000}"/>
    <cellStyle name="Normal 3 2 2 5 2 3 4 6" xfId="39189" xr:uid="{00000000-0005-0000-0000-0000DD970000}"/>
    <cellStyle name="Normal 3 2 2 5 2 3 5" xfId="39190" xr:uid="{00000000-0005-0000-0000-0000DE970000}"/>
    <cellStyle name="Normal 3 2 2 5 2 3 5 2" xfId="39191" xr:uid="{00000000-0005-0000-0000-0000DF970000}"/>
    <cellStyle name="Normal 3 2 2 5 2 3 5 3" xfId="39192" xr:uid="{00000000-0005-0000-0000-0000E0970000}"/>
    <cellStyle name="Normal 3 2 2 5 2 3 6" xfId="39193" xr:uid="{00000000-0005-0000-0000-0000E1970000}"/>
    <cellStyle name="Normal 3 2 2 5 2 3 7" xfId="39194" xr:uid="{00000000-0005-0000-0000-0000E2970000}"/>
    <cellStyle name="Normal 3 2 2 5 2 3 8" xfId="39195" xr:uid="{00000000-0005-0000-0000-0000E3970000}"/>
    <cellStyle name="Normal 3 2 2 5 2 3 9" xfId="39196" xr:uid="{00000000-0005-0000-0000-0000E4970000}"/>
    <cellStyle name="Normal 3 2 2 5 2 4" xfId="39197" xr:uid="{00000000-0005-0000-0000-0000E5970000}"/>
    <cellStyle name="Normal 3 2 2 5 2 4 2" xfId="39198" xr:uid="{00000000-0005-0000-0000-0000E6970000}"/>
    <cellStyle name="Normal 3 2 2 5 2 4 2 2" xfId="39199" xr:uid="{00000000-0005-0000-0000-0000E7970000}"/>
    <cellStyle name="Normal 3 2 2 5 2 4 2 2 2" xfId="39200" xr:uid="{00000000-0005-0000-0000-0000E8970000}"/>
    <cellStyle name="Normal 3 2 2 5 2 4 2 2 3" xfId="39201" xr:uid="{00000000-0005-0000-0000-0000E9970000}"/>
    <cellStyle name="Normal 3 2 2 5 2 4 2 3" xfId="39202" xr:uid="{00000000-0005-0000-0000-0000EA970000}"/>
    <cellStyle name="Normal 3 2 2 5 2 4 2 4" xfId="39203" xr:uid="{00000000-0005-0000-0000-0000EB970000}"/>
    <cellStyle name="Normal 3 2 2 5 2 4 2 5" xfId="39204" xr:uid="{00000000-0005-0000-0000-0000EC970000}"/>
    <cellStyle name="Normal 3 2 2 5 2 4 2 6" xfId="39205" xr:uid="{00000000-0005-0000-0000-0000ED970000}"/>
    <cellStyle name="Normal 3 2 2 5 2 4 3" xfId="39206" xr:uid="{00000000-0005-0000-0000-0000EE970000}"/>
    <cellStyle name="Normal 3 2 2 5 2 4 3 2" xfId="39207" xr:uid="{00000000-0005-0000-0000-0000EF970000}"/>
    <cellStyle name="Normal 3 2 2 5 2 4 3 3" xfId="39208" xr:uid="{00000000-0005-0000-0000-0000F0970000}"/>
    <cellStyle name="Normal 3 2 2 5 2 4 4" xfId="39209" xr:uid="{00000000-0005-0000-0000-0000F1970000}"/>
    <cellStyle name="Normal 3 2 2 5 2 4 5" xfId="39210" xr:uid="{00000000-0005-0000-0000-0000F2970000}"/>
    <cellStyle name="Normal 3 2 2 5 2 4 6" xfId="39211" xr:uid="{00000000-0005-0000-0000-0000F3970000}"/>
    <cellStyle name="Normal 3 2 2 5 2 4 7" xfId="39212" xr:uid="{00000000-0005-0000-0000-0000F4970000}"/>
    <cellStyle name="Normal 3 2 2 5 2 5" xfId="39213" xr:uid="{00000000-0005-0000-0000-0000F5970000}"/>
    <cellStyle name="Normal 3 2 2 5 2 5 2" xfId="39214" xr:uid="{00000000-0005-0000-0000-0000F6970000}"/>
    <cellStyle name="Normal 3 2 2 5 2 5 2 2" xfId="39215" xr:uid="{00000000-0005-0000-0000-0000F7970000}"/>
    <cellStyle name="Normal 3 2 2 5 2 5 2 3" xfId="39216" xr:uid="{00000000-0005-0000-0000-0000F8970000}"/>
    <cellStyle name="Normal 3 2 2 5 2 5 3" xfId="39217" xr:uid="{00000000-0005-0000-0000-0000F9970000}"/>
    <cellStyle name="Normal 3 2 2 5 2 5 4" xfId="39218" xr:uid="{00000000-0005-0000-0000-0000FA970000}"/>
    <cellStyle name="Normal 3 2 2 5 2 5 5" xfId="39219" xr:uid="{00000000-0005-0000-0000-0000FB970000}"/>
    <cellStyle name="Normal 3 2 2 5 2 5 6" xfId="39220" xr:uid="{00000000-0005-0000-0000-0000FC970000}"/>
    <cellStyle name="Normal 3 2 2 5 2 6" xfId="39221" xr:uid="{00000000-0005-0000-0000-0000FD970000}"/>
    <cellStyle name="Normal 3 2 2 5 2 6 2" xfId="39222" xr:uid="{00000000-0005-0000-0000-0000FE970000}"/>
    <cellStyle name="Normal 3 2 2 5 2 6 2 2" xfId="39223" xr:uid="{00000000-0005-0000-0000-0000FF970000}"/>
    <cellStyle name="Normal 3 2 2 5 2 6 2 3" xfId="39224" xr:uid="{00000000-0005-0000-0000-000000980000}"/>
    <cellStyle name="Normal 3 2 2 5 2 6 3" xfId="39225" xr:uid="{00000000-0005-0000-0000-000001980000}"/>
    <cellStyle name="Normal 3 2 2 5 2 6 4" xfId="39226" xr:uid="{00000000-0005-0000-0000-000002980000}"/>
    <cellStyle name="Normal 3 2 2 5 2 6 5" xfId="39227" xr:uid="{00000000-0005-0000-0000-000003980000}"/>
    <cellStyle name="Normal 3 2 2 5 2 6 6" xfId="39228" xr:uid="{00000000-0005-0000-0000-000004980000}"/>
    <cellStyle name="Normal 3 2 2 5 2 7" xfId="39229" xr:uid="{00000000-0005-0000-0000-000005980000}"/>
    <cellStyle name="Normal 3 2 2 5 2 7 2" xfId="39230" xr:uid="{00000000-0005-0000-0000-000006980000}"/>
    <cellStyle name="Normal 3 2 2 5 2 7 2 2" xfId="39231" xr:uid="{00000000-0005-0000-0000-000007980000}"/>
    <cellStyle name="Normal 3 2 2 5 2 7 2 3" xfId="39232" xr:uid="{00000000-0005-0000-0000-000008980000}"/>
    <cellStyle name="Normal 3 2 2 5 2 7 3" xfId="39233" xr:uid="{00000000-0005-0000-0000-000009980000}"/>
    <cellStyle name="Normal 3 2 2 5 2 7 4" xfId="39234" xr:uid="{00000000-0005-0000-0000-00000A980000}"/>
    <cellStyle name="Normal 3 2 2 5 2 7 5" xfId="39235" xr:uid="{00000000-0005-0000-0000-00000B980000}"/>
    <cellStyle name="Normal 3 2 2 5 2 7 6" xfId="39236" xr:uid="{00000000-0005-0000-0000-00000C980000}"/>
    <cellStyle name="Normal 3 2 2 5 2 8" xfId="39237" xr:uid="{00000000-0005-0000-0000-00000D980000}"/>
    <cellStyle name="Normal 3 2 2 5 2 8 2" xfId="39238" xr:uid="{00000000-0005-0000-0000-00000E980000}"/>
    <cellStyle name="Normal 3 2 2 5 2 8 2 2" xfId="39239" xr:uid="{00000000-0005-0000-0000-00000F980000}"/>
    <cellStyle name="Normal 3 2 2 5 2 8 2 3" xfId="39240" xr:uid="{00000000-0005-0000-0000-000010980000}"/>
    <cellStyle name="Normal 3 2 2 5 2 8 3" xfId="39241" xr:uid="{00000000-0005-0000-0000-000011980000}"/>
    <cellStyle name="Normal 3 2 2 5 2 8 4" xfId="39242" xr:uid="{00000000-0005-0000-0000-000012980000}"/>
    <cellStyle name="Normal 3 2 2 5 2 8 5" xfId="39243" xr:uid="{00000000-0005-0000-0000-000013980000}"/>
    <cellStyle name="Normal 3 2 2 5 2 8 6" xfId="39244" xr:uid="{00000000-0005-0000-0000-000014980000}"/>
    <cellStyle name="Normal 3 2 2 5 2 9" xfId="39245" xr:uid="{00000000-0005-0000-0000-000015980000}"/>
    <cellStyle name="Normal 3 2 2 5 2 9 2" xfId="39246" xr:uid="{00000000-0005-0000-0000-000016980000}"/>
    <cellStyle name="Normal 3 2 2 5 2 9 3" xfId="39247" xr:uid="{00000000-0005-0000-0000-000017980000}"/>
    <cellStyle name="Normal 3 2 2 5 3" xfId="39248" xr:uid="{00000000-0005-0000-0000-000018980000}"/>
    <cellStyle name="Normal 3 2 2 5 3 10" xfId="39249" xr:uid="{00000000-0005-0000-0000-000019980000}"/>
    <cellStyle name="Normal 3 2 2 5 3 2" xfId="39250" xr:uid="{00000000-0005-0000-0000-00001A980000}"/>
    <cellStyle name="Normal 3 2 2 5 3 2 2" xfId="39251" xr:uid="{00000000-0005-0000-0000-00001B980000}"/>
    <cellStyle name="Normal 3 2 2 5 3 2 2 2" xfId="39252" xr:uid="{00000000-0005-0000-0000-00001C980000}"/>
    <cellStyle name="Normal 3 2 2 5 3 2 2 2 2" xfId="39253" xr:uid="{00000000-0005-0000-0000-00001D980000}"/>
    <cellStyle name="Normal 3 2 2 5 3 2 2 2 3" xfId="39254" xr:uid="{00000000-0005-0000-0000-00001E980000}"/>
    <cellStyle name="Normal 3 2 2 5 3 2 2 3" xfId="39255" xr:uid="{00000000-0005-0000-0000-00001F980000}"/>
    <cellStyle name="Normal 3 2 2 5 3 2 2 4" xfId="39256" xr:uid="{00000000-0005-0000-0000-000020980000}"/>
    <cellStyle name="Normal 3 2 2 5 3 2 2 5" xfId="39257" xr:uid="{00000000-0005-0000-0000-000021980000}"/>
    <cellStyle name="Normal 3 2 2 5 3 2 2 6" xfId="39258" xr:uid="{00000000-0005-0000-0000-000022980000}"/>
    <cellStyle name="Normal 3 2 2 5 3 2 3" xfId="39259" xr:uid="{00000000-0005-0000-0000-000023980000}"/>
    <cellStyle name="Normal 3 2 2 5 3 2 3 2" xfId="39260" xr:uid="{00000000-0005-0000-0000-000024980000}"/>
    <cellStyle name="Normal 3 2 2 5 3 2 3 2 2" xfId="39261" xr:uid="{00000000-0005-0000-0000-000025980000}"/>
    <cellStyle name="Normal 3 2 2 5 3 2 3 2 3" xfId="39262" xr:uid="{00000000-0005-0000-0000-000026980000}"/>
    <cellStyle name="Normal 3 2 2 5 3 2 3 3" xfId="39263" xr:uid="{00000000-0005-0000-0000-000027980000}"/>
    <cellStyle name="Normal 3 2 2 5 3 2 3 4" xfId="39264" xr:uid="{00000000-0005-0000-0000-000028980000}"/>
    <cellStyle name="Normal 3 2 2 5 3 2 3 5" xfId="39265" xr:uid="{00000000-0005-0000-0000-000029980000}"/>
    <cellStyle name="Normal 3 2 2 5 3 2 3 6" xfId="39266" xr:uid="{00000000-0005-0000-0000-00002A980000}"/>
    <cellStyle name="Normal 3 2 2 5 3 2 4" xfId="39267" xr:uid="{00000000-0005-0000-0000-00002B980000}"/>
    <cellStyle name="Normal 3 2 2 5 3 2 4 2" xfId="39268" xr:uid="{00000000-0005-0000-0000-00002C980000}"/>
    <cellStyle name="Normal 3 2 2 5 3 2 4 3" xfId="39269" xr:uid="{00000000-0005-0000-0000-00002D980000}"/>
    <cellStyle name="Normal 3 2 2 5 3 2 5" xfId="39270" xr:uid="{00000000-0005-0000-0000-00002E980000}"/>
    <cellStyle name="Normal 3 2 2 5 3 2 6" xfId="39271" xr:uid="{00000000-0005-0000-0000-00002F980000}"/>
    <cellStyle name="Normal 3 2 2 5 3 2 7" xfId="39272" xr:uid="{00000000-0005-0000-0000-000030980000}"/>
    <cellStyle name="Normal 3 2 2 5 3 2 8" xfId="39273" xr:uid="{00000000-0005-0000-0000-000031980000}"/>
    <cellStyle name="Normal 3 2 2 5 3 3" xfId="39274" xr:uid="{00000000-0005-0000-0000-000032980000}"/>
    <cellStyle name="Normal 3 2 2 5 3 3 2" xfId="39275" xr:uid="{00000000-0005-0000-0000-000033980000}"/>
    <cellStyle name="Normal 3 2 2 5 3 3 2 2" xfId="39276" xr:uid="{00000000-0005-0000-0000-000034980000}"/>
    <cellStyle name="Normal 3 2 2 5 3 3 2 2 2" xfId="39277" xr:uid="{00000000-0005-0000-0000-000035980000}"/>
    <cellStyle name="Normal 3 2 2 5 3 3 2 2 3" xfId="39278" xr:uid="{00000000-0005-0000-0000-000036980000}"/>
    <cellStyle name="Normal 3 2 2 5 3 3 2 3" xfId="39279" xr:uid="{00000000-0005-0000-0000-000037980000}"/>
    <cellStyle name="Normal 3 2 2 5 3 3 2 4" xfId="39280" xr:uid="{00000000-0005-0000-0000-000038980000}"/>
    <cellStyle name="Normal 3 2 2 5 3 3 2 5" xfId="39281" xr:uid="{00000000-0005-0000-0000-000039980000}"/>
    <cellStyle name="Normal 3 2 2 5 3 3 2 6" xfId="39282" xr:uid="{00000000-0005-0000-0000-00003A980000}"/>
    <cellStyle name="Normal 3 2 2 5 3 3 3" xfId="39283" xr:uid="{00000000-0005-0000-0000-00003B980000}"/>
    <cellStyle name="Normal 3 2 2 5 3 3 3 2" xfId="39284" xr:uid="{00000000-0005-0000-0000-00003C980000}"/>
    <cellStyle name="Normal 3 2 2 5 3 3 3 3" xfId="39285" xr:uid="{00000000-0005-0000-0000-00003D980000}"/>
    <cellStyle name="Normal 3 2 2 5 3 3 4" xfId="39286" xr:uid="{00000000-0005-0000-0000-00003E980000}"/>
    <cellStyle name="Normal 3 2 2 5 3 3 5" xfId="39287" xr:uid="{00000000-0005-0000-0000-00003F980000}"/>
    <cellStyle name="Normal 3 2 2 5 3 3 6" xfId="39288" xr:uid="{00000000-0005-0000-0000-000040980000}"/>
    <cellStyle name="Normal 3 2 2 5 3 3 7" xfId="39289" xr:uid="{00000000-0005-0000-0000-000041980000}"/>
    <cellStyle name="Normal 3 2 2 5 3 4" xfId="39290" xr:uid="{00000000-0005-0000-0000-000042980000}"/>
    <cellStyle name="Normal 3 2 2 5 3 4 2" xfId="39291" xr:uid="{00000000-0005-0000-0000-000043980000}"/>
    <cellStyle name="Normal 3 2 2 5 3 4 2 2" xfId="39292" xr:uid="{00000000-0005-0000-0000-000044980000}"/>
    <cellStyle name="Normal 3 2 2 5 3 4 2 3" xfId="39293" xr:uid="{00000000-0005-0000-0000-000045980000}"/>
    <cellStyle name="Normal 3 2 2 5 3 4 3" xfId="39294" xr:uid="{00000000-0005-0000-0000-000046980000}"/>
    <cellStyle name="Normal 3 2 2 5 3 4 4" xfId="39295" xr:uid="{00000000-0005-0000-0000-000047980000}"/>
    <cellStyle name="Normal 3 2 2 5 3 4 5" xfId="39296" xr:uid="{00000000-0005-0000-0000-000048980000}"/>
    <cellStyle name="Normal 3 2 2 5 3 4 6" xfId="39297" xr:uid="{00000000-0005-0000-0000-000049980000}"/>
    <cellStyle name="Normal 3 2 2 5 3 5" xfId="39298" xr:uid="{00000000-0005-0000-0000-00004A980000}"/>
    <cellStyle name="Normal 3 2 2 5 3 5 2" xfId="39299" xr:uid="{00000000-0005-0000-0000-00004B980000}"/>
    <cellStyle name="Normal 3 2 2 5 3 5 2 2" xfId="39300" xr:uid="{00000000-0005-0000-0000-00004C980000}"/>
    <cellStyle name="Normal 3 2 2 5 3 5 2 3" xfId="39301" xr:uid="{00000000-0005-0000-0000-00004D980000}"/>
    <cellStyle name="Normal 3 2 2 5 3 5 3" xfId="39302" xr:uid="{00000000-0005-0000-0000-00004E980000}"/>
    <cellStyle name="Normal 3 2 2 5 3 5 4" xfId="39303" xr:uid="{00000000-0005-0000-0000-00004F980000}"/>
    <cellStyle name="Normal 3 2 2 5 3 5 5" xfId="39304" xr:uid="{00000000-0005-0000-0000-000050980000}"/>
    <cellStyle name="Normal 3 2 2 5 3 5 6" xfId="39305" xr:uid="{00000000-0005-0000-0000-000051980000}"/>
    <cellStyle name="Normal 3 2 2 5 3 6" xfId="39306" xr:uid="{00000000-0005-0000-0000-000052980000}"/>
    <cellStyle name="Normal 3 2 2 5 3 6 2" xfId="39307" xr:uid="{00000000-0005-0000-0000-000053980000}"/>
    <cellStyle name="Normal 3 2 2 5 3 6 3" xfId="39308" xr:uid="{00000000-0005-0000-0000-000054980000}"/>
    <cellStyle name="Normal 3 2 2 5 3 7" xfId="39309" xr:uid="{00000000-0005-0000-0000-000055980000}"/>
    <cellStyle name="Normal 3 2 2 5 3 8" xfId="39310" xr:uid="{00000000-0005-0000-0000-000056980000}"/>
    <cellStyle name="Normal 3 2 2 5 3 9" xfId="39311" xr:uid="{00000000-0005-0000-0000-000057980000}"/>
    <cellStyle name="Normal 3 2 2 5 4" xfId="39312" xr:uid="{00000000-0005-0000-0000-000058980000}"/>
    <cellStyle name="Normal 3 2 2 5 4 2" xfId="39313" xr:uid="{00000000-0005-0000-0000-000059980000}"/>
    <cellStyle name="Normal 3 2 2 5 4 2 2" xfId="39314" xr:uid="{00000000-0005-0000-0000-00005A980000}"/>
    <cellStyle name="Normal 3 2 2 5 4 2 2 2" xfId="39315" xr:uid="{00000000-0005-0000-0000-00005B980000}"/>
    <cellStyle name="Normal 3 2 2 5 4 2 2 2 2" xfId="39316" xr:uid="{00000000-0005-0000-0000-00005C980000}"/>
    <cellStyle name="Normal 3 2 2 5 4 2 2 2 3" xfId="39317" xr:uid="{00000000-0005-0000-0000-00005D980000}"/>
    <cellStyle name="Normal 3 2 2 5 4 2 2 3" xfId="39318" xr:uid="{00000000-0005-0000-0000-00005E980000}"/>
    <cellStyle name="Normal 3 2 2 5 4 2 2 4" xfId="39319" xr:uid="{00000000-0005-0000-0000-00005F980000}"/>
    <cellStyle name="Normal 3 2 2 5 4 2 2 5" xfId="39320" xr:uid="{00000000-0005-0000-0000-000060980000}"/>
    <cellStyle name="Normal 3 2 2 5 4 2 2 6" xfId="39321" xr:uid="{00000000-0005-0000-0000-000061980000}"/>
    <cellStyle name="Normal 3 2 2 5 4 2 3" xfId="39322" xr:uid="{00000000-0005-0000-0000-000062980000}"/>
    <cellStyle name="Normal 3 2 2 5 4 2 3 2" xfId="39323" xr:uid="{00000000-0005-0000-0000-000063980000}"/>
    <cellStyle name="Normal 3 2 2 5 4 2 3 3" xfId="39324" xr:uid="{00000000-0005-0000-0000-000064980000}"/>
    <cellStyle name="Normal 3 2 2 5 4 2 4" xfId="39325" xr:uid="{00000000-0005-0000-0000-000065980000}"/>
    <cellStyle name="Normal 3 2 2 5 4 2 5" xfId="39326" xr:uid="{00000000-0005-0000-0000-000066980000}"/>
    <cellStyle name="Normal 3 2 2 5 4 2 6" xfId="39327" xr:uid="{00000000-0005-0000-0000-000067980000}"/>
    <cellStyle name="Normal 3 2 2 5 4 2 7" xfId="39328" xr:uid="{00000000-0005-0000-0000-000068980000}"/>
    <cellStyle name="Normal 3 2 2 5 4 3" xfId="39329" xr:uid="{00000000-0005-0000-0000-000069980000}"/>
    <cellStyle name="Normal 3 2 2 5 4 3 2" xfId="39330" xr:uid="{00000000-0005-0000-0000-00006A980000}"/>
    <cellStyle name="Normal 3 2 2 5 4 3 2 2" xfId="39331" xr:uid="{00000000-0005-0000-0000-00006B980000}"/>
    <cellStyle name="Normal 3 2 2 5 4 3 2 3" xfId="39332" xr:uid="{00000000-0005-0000-0000-00006C980000}"/>
    <cellStyle name="Normal 3 2 2 5 4 3 3" xfId="39333" xr:uid="{00000000-0005-0000-0000-00006D980000}"/>
    <cellStyle name="Normal 3 2 2 5 4 3 4" xfId="39334" xr:uid="{00000000-0005-0000-0000-00006E980000}"/>
    <cellStyle name="Normal 3 2 2 5 4 3 5" xfId="39335" xr:uid="{00000000-0005-0000-0000-00006F980000}"/>
    <cellStyle name="Normal 3 2 2 5 4 3 6" xfId="39336" xr:uid="{00000000-0005-0000-0000-000070980000}"/>
    <cellStyle name="Normal 3 2 2 5 4 4" xfId="39337" xr:uid="{00000000-0005-0000-0000-000071980000}"/>
    <cellStyle name="Normal 3 2 2 5 4 4 2" xfId="39338" xr:uid="{00000000-0005-0000-0000-000072980000}"/>
    <cellStyle name="Normal 3 2 2 5 4 4 2 2" xfId="39339" xr:uid="{00000000-0005-0000-0000-000073980000}"/>
    <cellStyle name="Normal 3 2 2 5 4 4 2 3" xfId="39340" xr:uid="{00000000-0005-0000-0000-000074980000}"/>
    <cellStyle name="Normal 3 2 2 5 4 4 3" xfId="39341" xr:uid="{00000000-0005-0000-0000-000075980000}"/>
    <cellStyle name="Normal 3 2 2 5 4 4 4" xfId="39342" xr:uid="{00000000-0005-0000-0000-000076980000}"/>
    <cellStyle name="Normal 3 2 2 5 4 4 5" xfId="39343" xr:uid="{00000000-0005-0000-0000-000077980000}"/>
    <cellStyle name="Normal 3 2 2 5 4 4 6" xfId="39344" xr:uid="{00000000-0005-0000-0000-000078980000}"/>
    <cellStyle name="Normal 3 2 2 5 4 5" xfId="39345" xr:uid="{00000000-0005-0000-0000-000079980000}"/>
    <cellStyle name="Normal 3 2 2 5 4 5 2" xfId="39346" xr:uid="{00000000-0005-0000-0000-00007A980000}"/>
    <cellStyle name="Normal 3 2 2 5 4 5 3" xfId="39347" xr:uid="{00000000-0005-0000-0000-00007B980000}"/>
    <cellStyle name="Normal 3 2 2 5 4 6" xfId="39348" xr:uid="{00000000-0005-0000-0000-00007C980000}"/>
    <cellStyle name="Normal 3 2 2 5 4 7" xfId="39349" xr:uid="{00000000-0005-0000-0000-00007D980000}"/>
    <cellStyle name="Normal 3 2 2 5 4 8" xfId="39350" xr:uid="{00000000-0005-0000-0000-00007E980000}"/>
    <cellStyle name="Normal 3 2 2 5 4 9" xfId="39351" xr:uid="{00000000-0005-0000-0000-00007F980000}"/>
    <cellStyle name="Normal 3 2 2 5 5" xfId="39352" xr:uid="{00000000-0005-0000-0000-000080980000}"/>
    <cellStyle name="Normal 3 2 2 5 5 2" xfId="39353" xr:uid="{00000000-0005-0000-0000-000081980000}"/>
    <cellStyle name="Normal 3 2 2 5 5 2 2" xfId="39354" xr:uid="{00000000-0005-0000-0000-000082980000}"/>
    <cellStyle name="Normal 3 2 2 5 5 2 2 2" xfId="39355" xr:uid="{00000000-0005-0000-0000-000083980000}"/>
    <cellStyle name="Normal 3 2 2 5 5 2 2 3" xfId="39356" xr:uid="{00000000-0005-0000-0000-000084980000}"/>
    <cellStyle name="Normal 3 2 2 5 5 2 3" xfId="39357" xr:uid="{00000000-0005-0000-0000-000085980000}"/>
    <cellStyle name="Normal 3 2 2 5 5 2 4" xfId="39358" xr:uid="{00000000-0005-0000-0000-000086980000}"/>
    <cellStyle name="Normal 3 2 2 5 5 2 5" xfId="39359" xr:uid="{00000000-0005-0000-0000-000087980000}"/>
    <cellStyle name="Normal 3 2 2 5 5 2 6" xfId="39360" xr:uid="{00000000-0005-0000-0000-000088980000}"/>
    <cellStyle name="Normal 3 2 2 5 5 3" xfId="39361" xr:uid="{00000000-0005-0000-0000-000089980000}"/>
    <cellStyle name="Normal 3 2 2 5 5 3 2" xfId="39362" xr:uid="{00000000-0005-0000-0000-00008A980000}"/>
    <cellStyle name="Normal 3 2 2 5 5 3 3" xfId="39363" xr:uid="{00000000-0005-0000-0000-00008B980000}"/>
    <cellStyle name="Normal 3 2 2 5 5 4" xfId="39364" xr:uid="{00000000-0005-0000-0000-00008C980000}"/>
    <cellStyle name="Normal 3 2 2 5 5 5" xfId="39365" xr:uid="{00000000-0005-0000-0000-00008D980000}"/>
    <cellStyle name="Normal 3 2 2 5 5 6" xfId="39366" xr:uid="{00000000-0005-0000-0000-00008E980000}"/>
    <cellStyle name="Normal 3 2 2 5 5 7" xfId="39367" xr:uid="{00000000-0005-0000-0000-00008F980000}"/>
    <cellStyle name="Normal 3 2 2 5 6" xfId="39368" xr:uid="{00000000-0005-0000-0000-000090980000}"/>
    <cellStyle name="Normal 3 2 2 5 6 2" xfId="39369" xr:uid="{00000000-0005-0000-0000-000091980000}"/>
    <cellStyle name="Normal 3 2 2 5 6 2 2" xfId="39370" xr:uid="{00000000-0005-0000-0000-000092980000}"/>
    <cellStyle name="Normal 3 2 2 5 6 2 3" xfId="39371" xr:uid="{00000000-0005-0000-0000-000093980000}"/>
    <cellStyle name="Normal 3 2 2 5 6 3" xfId="39372" xr:uid="{00000000-0005-0000-0000-000094980000}"/>
    <cellStyle name="Normal 3 2 2 5 6 4" xfId="39373" xr:uid="{00000000-0005-0000-0000-000095980000}"/>
    <cellStyle name="Normal 3 2 2 5 6 5" xfId="39374" xr:uid="{00000000-0005-0000-0000-000096980000}"/>
    <cellStyle name="Normal 3 2 2 5 6 6" xfId="39375" xr:uid="{00000000-0005-0000-0000-000097980000}"/>
    <cellStyle name="Normal 3 2 2 5 7" xfId="39376" xr:uid="{00000000-0005-0000-0000-000098980000}"/>
    <cellStyle name="Normal 3 2 2 5 7 2" xfId="39377" xr:uid="{00000000-0005-0000-0000-000099980000}"/>
    <cellStyle name="Normal 3 2 2 5 7 2 2" xfId="39378" xr:uid="{00000000-0005-0000-0000-00009A980000}"/>
    <cellStyle name="Normal 3 2 2 5 7 2 3" xfId="39379" xr:uid="{00000000-0005-0000-0000-00009B980000}"/>
    <cellStyle name="Normal 3 2 2 5 7 3" xfId="39380" xr:uid="{00000000-0005-0000-0000-00009C980000}"/>
    <cellStyle name="Normal 3 2 2 5 7 4" xfId="39381" xr:uid="{00000000-0005-0000-0000-00009D980000}"/>
    <cellStyle name="Normal 3 2 2 5 7 5" xfId="39382" xr:uid="{00000000-0005-0000-0000-00009E980000}"/>
    <cellStyle name="Normal 3 2 2 5 7 6" xfId="39383" xr:uid="{00000000-0005-0000-0000-00009F980000}"/>
    <cellStyle name="Normal 3 2 2 5 8" xfId="39384" xr:uid="{00000000-0005-0000-0000-0000A0980000}"/>
    <cellStyle name="Normal 3 2 2 5 8 2" xfId="39385" xr:uid="{00000000-0005-0000-0000-0000A1980000}"/>
    <cellStyle name="Normal 3 2 2 5 8 2 2" xfId="39386" xr:uid="{00000000-0005-0000-0000-0000A2980000}"/>
    <cellStyle name="Normal 3 2 2 5 8 2 3" xfId="39387" xr:uid="{00000000-0005-0000-0000-0000A3980000}"/>
    <cellStyle name="Normal 3 2 2 5 8 3" xfId="39388" xr:uid="{00000000-0005-0000-0000-0000A4980000}"/>
    <cellStyle name="Normal 3 2 2 5 8 4" xfId="39389" xr:uid="{00000000-0005-0000-0000-0000A5980000}"/>
    <cellStyle name="Normal 3 2 2 5 8 5" xfId="39390" xr:uid="{00000000-0005-0000-0000-0000A6980000}"/>
    <cellStyle name="Normal 3 2 2 5 8 6" xfId="39391" xr:uid="{00000000-0005-0000-0000-0000A7980000}"/>
    <cellStyle name="Normal 3 2 2 5 9" xfId="39392" xr:uid="{00000000-0005-0000-0000-0000A8980000}"/>
    <cellStyle name="Normal 3 2 2 5 9 2" xfId="39393" xr:uid="{00000000-0005-0000-0000-0000A9980000}"/>
    <cellStyle name="Normal 3 2 2 5 9 2 2" xfId="39394" xr:uid="{00000000-0005-0000-0000-0000AA980000}"/>
    <cellStyle name="Normal 3 2 2 5 9 2 3" xfId="39395" xr:uid="{00000000-0005-0000-0000-0000AB980000}"/>
    <cellStyle name="Normal 3 2 2 5 9 3" xfId="39396" xr:uid="{00000000-0005-0000-0000-0000AC980000}"/>
    <cellStyle name="Normal 3 2 2 5 9 4" xfId="39397" xr:uid="{00000000-0005-0000-0000-0000AD980000}"/>
    <cellStyle name="Normal 3 2 2 5 9 5" xfId="39398" xr:uid="{00000000-0005-0000-0000-0000AE980000}"/>
    <cellStyle name="Normal 3 2 2 5 9 6" xfId="39399" xr:uid="{00000000-0005-0000-0000-0000AF980000}"/>
    <cellStyle name="Normal 3 2 2 6" xfId="39400" xr:uid="{00000000-0005-0000-0000-0000B0980000}"/>
    <cellStyle name="Normal 3 2 2 6 10" xfId="39401" xr:uid="{00000000-0005-0000-0000-0000B1980000}"/>
    <cellStyle name="Normal 3 2 2 6 11" xfId="39402" xr:uid="{00000000-0005-0000-0000-0000B2980000}"/>
    <cellStyle name="Normal 3 2 2 6 12" xfId="39403" xr:uid="{00000000-0005-0000-0000-0000B3980000}"/>
    <cellStyle name="Normal 3 2 2 6 13" xfId="39404" xr:uid="{00000000-0005-0000-0000-0000B4980000}"/>
    <cellStyle name="Normal 3 2 2 6 2" xfId="39405" xr:uid="{00000000-0005-0000-0000-0000B5980000}"/>
    <cellStyle name="Normal 3 2 2 6 2 10" xfId="39406" xr:uid="{00000000-0005-0000-0000-0000B6980000}"/>
    <cellStyle name="Normal 3 2 2 6 2 2" xfId="39407" xr:uid="{00000000-0005-0000-0000-0000B7980000}"/>
    <cellStyle name="Normal 3 2 2 6 2 2 2" xfId="39408" xr:uid="{00000000-0005-0000-0000-0000B8980000}"/>
    <cellStyle name="Normal 3 2 2 6 2 2 2 2" xfId="39409" xr:uid="{00000000-0005-0000-0000-0000B9980000}"/>
    <cellStyle name="Normal 3 2 2 6 2 2 2 2 2" xfId="39410" xr:uid="{00000000-0005-0000-0000-0000BA980000}"/>
    <cellStyle name="Normal 3 2 2 6 2 2 2 2 3" xfId="39411" xr:uid="{00000000-0005-0000-0000-0000BB980000}"/>
    <cellStyle name="Normal 3 2 2 6 2 2 2 3" xfId="39412" xr:uid="{00000000-0005-0000-0000-0000BC980000}"/>
    <cellStyle name="Normal 3 2 2 6 2 2 2 4" xfId="39413" xr:uid="{00000000-0005-0000-0000-0000BD980000}"/>
    <cellStyle name="Normal 3 2 2 6 2 2 2 5" xfId="39414" xr:uid="{00000000-0005-0000-0000-0000BE980000}"/>
    <cellStyle name="Normal 3 2 2 6 2 2 2 6" xfId="39415" xr:uid="{00000000-0005-0000-0000-0000BF980000}"/>
    <cellStyle name="Normal 3 2 2 6 2 2 3" xfId="39416" xr:uid="{00000000-0005-0000-0000-0000C0980000}"/>
    <cellStyle name="Normal 3 2 2 6 2 2 3 2" xfId="39417" xr:uid="{00000000-0005-0000-0000-0000C1980000}"/>
    <cellStyle name="Normal 3 2 2 6 2 2 3 2 2" xfId="39418" xr:uid="{00000000-0005-0000-0000-0000C2980000}"/>
    <cellStyle name="Normal 3 2 2 6 2 2 3 2 3" xfId="39419" xr:uid="{00000000-0005-0000-0000-0000C3980000}"/>
    <cellStyle name="Normal 3 2 2 6 2 2 3 3" xfId="39420" xr:uid="{00000000-0005-0000-0000-0000C4980000}"/>
    <cellStyle name="Normal 3 2 2 6 2 2 3 4" xfId="39421" xr:uid="{00000000-0005-0000-0000-0000C5980000}"/>
    <cellStyle name="Normal 3 2 2 6 2 2 3 5" xfId="39422" xr:uid="{00000000-0005-0000-0000-0000C6980000}"/>
    <cellStyle name="Normal 3 2 2 6 2 2 3 6" xfId="39423" xr:uid="{00000000-0005-0000-0000-0000C7980000}"/>
    <cellStyle name="Normal 3 2 2 6 2 2 4" xfId="39424" xr:uid="{00000000-0005-0000-0000-0000C8980000}"/>
    <cellStyle name="Normal 3 2 2 6 2 2 4 2" xfId="39425" xr:uid="{00000000-0005-0000-0000-0000C9980000}"/>
    <cellStyle name="Normal 3 2 2 6 2 2 4 3" xfId="39426" xr:uid="{00000000-0005-0000-0000-0000CA980000}"/>
    <cellStyle name="Normal 3 2 2 6 2 2 5" xfId="39427" xr:uid="{00000000-0005-0000-0000-0000CB980000}"/>
    <cellStyle name="Normal 3 2 2 6 2 2 6" xfId="39428" xr:uid="{00000000-0005-0000-0000-0000CC980000}"/>
    <cellStyle name="Normal 3 2 2 6 2 2 7" xfId="39429" xr:uid="{00000000-0005-0000-0000-0000CD980000}"/>
    <cellStyle name="Normal 3 2 2 6 2 2 8" xfId="39430" xr:uid="{00000000-0005-0000-0000-0000CE980000}"/>
    <cellStyle name="Normal 3 2 2 6 2 3" xfId="39431" xr:uid="{00000000-0005-0000-0000-0000CF980000}"/>
    <cellStyle name="Normal 3 2 2 6 2 3 2" xfId="39432" xr:uid="{00000000-0005-0000-0000-0000D0980000}"/>
    <cellStyle name="Normal 3 2 2 6 2 3 2 2" xfId="39433" xr:uid="{00000000-0005-0000-0000-0000D1980000}"/>
    <cellStyle name="Normal 3 2 2 6 2 3 2 2 2" xfId="39434" xr:uid="{00000000-0005-0000-0000-0000D2980000}"/>
    <cellStyle name="Normal 3 2 2 6 2 3 2 2 3" xfId="39435" xr:uid="{00000000-0005-0000-0000-0000D3980000}"/>
    <cellStyle name="Normal 3 2 2 6 2 3 2 3" xfId="39436" xr:uid="{00000000-0005-0000-0000-0000D4980000}"/>
    <cellStyle name="Normal 3 2 2 6 2 3 2 4" xfId="39437" xr:uid="{00000000-0005-0000-0000-0000D5980000}"/>
    <cellStyle name="Normal 3 2 2 6 2 3 2 5" xfId="39438" xr:uid="{00000000-0005-0000-0000-0000D6980000}"/>
    <cellStyle name="Normal 3 2 2 6 2 3 2 6" xfId="39439" xr:uid="{00000000-0005-0000-0000-0000D7980000}"/>
    <cellStyle name="Normal 3 2 2 6 2 3 3" xfId="39440" xr:uid="{00000000-0005-0000-0000-0000D8980000}"/>
    <cellStyle name="Normal 3 2 2 6 2 3 3 2" xfId="39441" xr:uid="{00000000-0005-0000-0000-0000D9980000}"/>
    <cellStyle name="Normal 3 2 2 6 2 3 3 3" xfId="39442" xr:uid="{00000000-0005-0000-0000-0000DA980000}"/>
    <cellStyle name="Normal 3 2 2 6 2 3 4" xfId="39443" xr:uid="{00000000-0005-0000-0000-0000DB980000}"/>
    <cellStyle name="Normal 3 2 2 6 2 3 5" xfId="39444" xr:uid="{00000000-0005-0000-0000-0000DC980000}"/>
    <cellStyle name="Normal 3 2 2 6 2 3 6" xfId="39445" xr:uid="{00000000-0005-0000-0000-0000DD980000}"/>
    <cellStyle name="Normal 3 2 2 6 2 3 7" xfId="39446" xr:uid="{00000000-0005-0000-0000-0000DE980000}"/>
    <cellStyle name="Normal 3 2 2 6 2 4" xfId="39447" xr:uid="{00000000-0005-0000-0000-0000DF980000}"/>
    <cellStyle name="Normal 3 2 2 6 2 4 2" xfId="39448" xr:uid="{00000000-0005-0000-0000-0000E0980000}"/>
    <cellStyle name="Normal 3 2 2 6 2 4 2 2" xfId="39449" xr:uid="{00000000-0005-0000-0000-0000E1980000}"/>
    <cellStyle name="Normal 3 2 2 6 2 4 2 3" xfId="39450" xr:uid="{00000000-0005-0000-0000-0000E2980000}"/>
    <cellStyle name="Normal 3 2 2 6 2 4 3" xfId="39451" xr:uid="{00000000-0005-0000-0000-0000E3980000}"/>
    <cellStyle name="Normal 3 2 2 6 2 4 4" xfId="39452" xr:uid="{00000000-0005-0000-0000-0000E4980000}"/>
    <cellStyle name="Normal 3 2 2 6 2 4 5" xfId="39453" xr:uid="{00000000-0005-0000-0000-0000E5980000}"/>
    <cellStyle name="Normal 3 2 2 6 2 4 6" xfId="39454" xr:uid="{00000000-0005-0000-0000-0000E6980000}"/>
    <cellStyle name="Normal 3 2 2 6 2 5" xfId="39455" xr:uid="{00000000-0005-0000-0000-0000E7980000}"/>
    <cellStyle name="Normal 3 2 2 6 2 5 2" xfId="39456" xr:uid="{00000000-0005-0000-0000-0000E8980000}"/>
    <cellStyle name="Normal 3 2 2 6 2 5 2 2" xfId="39457" xr:uid="{00000000-0005-0000-0000-0000E9980000}"/>
    <cellStyle name="Normal 3 2 2 6 2 5 2 3" xfId="39458" xr:uid="{00000000-0005-0000-0000-0000EA980000}"/>
    <cellStyle name="Normal 3 2 2 6 2 5 3" xfId="39459" xr:uid="{00000000-0005-0000-0000-0000EB980000}"/>
    <cellStyle name="Normal 3 2 2 6 2 5 4" xfId="39460" xr:uid="{00000000-0005-0000-0000-0000EC980000}"/>
    <cellStyle name="Normal 3 2 2 6 2 5 5" xfId="39461" xr:uid="{00000000-0005-0000-0000-0000ED980000}"/>
    <cellStyle name="Normal 3 2 2 6 2 5 6" xfId="39462" xr:uid="{00000000-0005-0000-0000-0000EE980000}"/>
    <cellStyle name="Normal 3 2 2 6 2 6" xfId="39463" xr:uid="{00000000-0005-0000-0000-0000EF980000}"/>
    <cellStyle name="Normal 3 2 2 6 2 6 2" xfId="39464" xr:uid="{00000000-0005-0000-0000-0000F0980000}"/>
    <cellStyle name="Normal 3 2 2 6 2 6 3" xfId="39465" xr:uid="{00000000-0005-0000-0000-0000F1980000}"/>
    <cellStyle name="Normal 3 2 2 6 2 7" xfId="39466" xr:uid="{00000000-0005-0000-0000-0000F2980000}"/>
    <cellStyle name="Normal 3 2 2 6 2 8" xfId="39467" xr:uid="{00000000-0005-0000-0000-0000F3980000}"/>
    <cellStyle name="Normal 3 2 2 6 2 9" xfId="39468" xr:uid="{00000000-0005-0000-0000-0000F4980000}"/>
    <cellStyle name="Normal 3 2 2 6 3" xfId="39469" xr:uid="{00000000-0005-0000-0000-0000F5980000}"/>
    <cellStyle name="Normal 3 2 2 6 3 2" xfId="39470" xr:uid="{00000000-0005-0000-0000-0000F6980000}"/>
    <cellStyle name="Normal 3 2 2 6 3 2 2" xfId="39471" xr:uid="{00000000-0005-0000-0000-0000F7980000}"/>
    <cellStyle name="Normal 3 2 2 6 3 2 2 2" xfId="39472" xr:uid="{00000000-0005-0000-0000-0000F8980000}"/>
    <cellStyle name="Normal 3 2 2 6 3 2 2 2 2" xfId="39473" xr:uid="{00000000-0005-0000-0000-0000F9980000}"/>
    <cellStyle name="Normal 3 2 2 6 3 2 2 2 3" xfId="39474" xr:uid="{00000000-0005-0000-0000-0000FA980000}"/>
    <cellStyle name="Normal 3 2 2 6 3 2 2 3" xfId="39475" xr:uid="{00000000-0005-0000-0000-0000FB980000}"/>
    <cellStyle name="Normal 3 2 2 6 3 2 2 4" xfId="39476" xr:uid="{00000000-0005-0000-0000-0000FC980000}"/>
    <cellStyle name="Normal 3 2 2 6 3 2 2 5" xfId="39477" xr:uid="{00000000-0005-0000-0000-0000FD980000}"/>
    <cellStyle name="Normal 3 2 2 6 3 2 2 6" xfId="39478" xr:uid="{00000000-0005-0000-0000-0000FE980000}"/>
    <cellStyle name="Normal 3 2 2 6 3 2 3" xfId="39479" xr:uid="{00000000-0005-0000-0000-0000FF980000}"/>
    <cellStyle name="Normal 3 2 2 6 3 2 3 2" xfId="39480" xr:uid="{00000000-0005-0000-0000-000000990000}"/>
    <cellStyle name="Normal 3 2 2 6 3 2 3 3" xfId="39481" xr:uid="{00000000-0005-0000-0000-000001990000}"/>
    <cellStyle name="Normal 3 2 2 6 3 2 4" xfId="39482" xr:uid="{00000000-0005-0000-0000-000002990000}"/>
    <cellStyle name="Normal 3 2 2 6 3 2 5" xfId="39483" xr:uid="{00000000-0005-0000-0000-000003990000}"/>
    <cellStyle name="Normal 3 2 2 6 3 2 6" xfId="39484" xr:uid="{00000000-0005-0000-0000-000004990000}"/>
    <cellStyle name="Normal 3 2 2 6 3 2 7" xfId="39485" xr:uid="{00000000-0005-0000-0000-000005990000}"/>
    <cellStyle name="Normal 3 2 2 6 3 3" xfId="39486" xr:uid="{00000000-0005-0000-0000-000006990000}"/>
    <cellStyle name="Normal 3 2 2 6 3 3 2" xfId="39487" xr:uid="{00000000-0005-0000-0000-000007990000}"/>
    <cellStyle name="Normal 3 2 2 6 3 3 2 2" xfId="39488" xr:uid="{00000000-0005-0000-0000-000008990000}"/>
    <cellStyle name="Normal 3 2 2 6 3 3 2 3" xfId="39489" xr:uid="{00000000-0005-0000-0000-000009990000}"/>
    <cellStyle name="Normal 3 2 2 6 3 3 3" xfId="39490" xr:uid="{00000000-0005-0000-0000-00000A990000}"/>
    <cellStyle name="Normal 3 2 2 6 3 3 4" xfId="39491" xr:uid="{00000000-0005-0000-0000-00000B990000}"/>
    <cellStyle name="Normal 3 2 2 6 3 3 5" xfId="39492" xr:uid="{00000000-0005-0000-0000-00000C990000}"/>
    <cellStyle name="Normal 3 2 2 6 3 3 6" xfId="39493" xr:uid="{00000000-0005-0000-0000-00000D990000}"/>
    <cellStyle name="Normal 3 2 2 6 3 4" xfId="39494" xr:uid="{00000000-0005-0000-0000-00000E990000}"/>
    <cellStyle name="Normal 3 2 2 6 3 4 2" xfId="39495" xr:uid="{00000000-0005-0000-0000-00000F990000}"/>
    <cellStyle name="Normal 3 2 2 6 3 4 2 2" xfId="39496" xr:uid="{00000000-0005-0000-0000-000010990000}"/>
    <cellStyle name="Normal 3 2 2 6 3 4 2 3" xfId="39497" xr:uid="{00000000-0005-0000-0000-000011990000}"/>
    <cellStyle name="Normal 3 2 2 6 3 4 3" xfId="39498" xr:uid="{00000000-0005-0000-0000-000012990000}"/>
    <cellStyle name="Normal 3 2 2 6 3 4 4" xfId="39499" xr:uid="{00000000-0005-0000-0000-000013990000}"/>
    <cellStyle name="Normal 3 2 2 6 3 4 5" xfId="39500" xr:uid="{00000000-0005-0000-0000-000014990000}"/>
    <cellStyle name="Normal 3 2 2 6 3 4 6" xfId="39501" xr:uid="{00000000-0005-0000-0000-000015990000}"/>
    <cellStyle name="Normal 3 2 2 6 3 5" xfId="39502" xr:uid="{00000000-0005-0000-0000-000016990000}"/>
    <cellStyle name="Normal 3 2 2 6 3 5 2" xfId="39503" xr:uid="{00000000-0005-0000-0000-000017990000}"/>
    <cellStyle name="Normal 3 2 2 6 3 5 3" xfId="39504" xr:uid="{00000000-0005-0000-0000-000018990000}"/>
    <cellStyle name="Normal 3 2 2 6 3 6" xfId="39505" xr:uid="{00000000-0005-0000-0000-000019990000}"/>
    <cellStyle name="Normal 3 2 2 6 3 7" xfId="39506" xr:uid="{00000000-0005-0000-0000-00001A990000}"/>
    <cellStyle name="Normal 3 2 2 6 3 8" xfId="39507" xr:uid="{00000000-0005-0000-0000-00001B990000}"/>
    <cellStyle name="Normal 3 2 2 6 3 9" xfId="39508" xr:uid="{00000000-0005-0000-0000-00001C990000}"/>
    <cellStyle name="Normal 3 2 2 6 4" xfId="39509" xr:uid="{00000000-0005-0000-0000-00001D990000}"/>
    <cellStyle name="Normal 3 2 2 6 4 2" xfId="39510" xr:uid="{00000000-0005-0000-0000-00001E990000}"/>
    <cellStyle name="Normal 3 2 2 6 4 2 2" xfId="39511" xr:uid="{00000000-0005-0000-0000-00001F990000}"/>
    <cellStyle name="Normal 3 2 2 6 4 2 2 2" xfId="39512" xr:uid="{00000000-0005-0000-0000-000020990000}"/>
    <cellStyle name="Normal 3 2 2 6 4 2 2 3" xfId="39513" xr:uid="{00000000-0005-0000-0000-000021990000}"/>
    <cellStyle name="Normal 3 2 2 6 4 2 3" xfId="39514" xr:uid="{00000000-0005-0000-0000-000022990000}"/>
    <cellStyle name="Normal 3 2 2 6 4 2 4" xfId="39515" xr:uid="{00000000-0005-0000-0000-000023990000}"/>
    <cellStyle name="Normal 3 2 2 6 4 2 5" xfId="39516" xr:uid="{00000000-0005-0000-0000-000024990000}"/>
    <cellStyle name="Normal 3 2 2 6 4 2 6" xfId="39517" xr:uid="{00000000-0005-0000-0000-000025990000}"/>
    <cellStyle name="Normal 3 2 2 6 4 3" xfId="39518" xr:uid="{00000000-0005-0000-0000-000026990000}"/>
    <cellStyle name="Normal 3 2 2 6 4 3 2" xfId="39519" xr:uid="{00000000-0005-0000-0000-000027990000}"/>
    <cellStyle name="Normal 3 2 2 6 4 3 3" xfId="39520" xr:uid="{00000000-0005-0000-0000-000028990000}"/>
    <cellStyle name="Normal 3 2 2 6 4 4" xfId="39521" xr:uid="{00000000-0005-0000-0000-000029990000}"/>
    <cellStyle name="Normal 3 2 2 6 4 5" xfId="39522" xr:uid="{00000000-0005-0000-0000-00002A990000}"/>
    <cellStyle name="Normal 3 2 2 6 4 6" xfId="39523" xr:uid="{00000000-0005-0000-0000-00002B990000}"/>
    <cellStyle name="Normal 3 2 2 6 4 7" xfId="39524" xr:uid="{00000000-0005-0000-0000-00002C990000}"/>
    <cellStyle name="Normal 3 2 2 6 5" xfId="39525" xr:uid="{00000000-0005-0000-0000-00002D990000}"/>
    <cellStyle name="Normal 3 2 2 6 5 2" xfId="39526" xr:uid="{00000000-0005-0000-0000-00002E990000}"/>
    <cellStyle name="Normal 3 2 2 6 5 2 2" xfId="39527" xr:uid="{00000000-0005-0000-0000-00002F990000}"/>
    <cellStyle name="Normal 3 2 2 6 5 2 3" xfId="39528" xr:uid="{00000000-0005-0000-0000-000030990000}"/>
    <cellStyle name="Normal 3 2 2 6 5 3" xfId="39529" xr:uid="{00000000-0005-0000-0000-000031990000}"/>
    <cellStyle name="Normal 3 2 2 6 5 4" xfId="39530" xr:uid="{00000000-0005-0000-0000-000032990000}"/>
    <cellStyle name="Normal 3 2 2 6 5 5" xfId="39531" xr:uid="{00000000-0005-0000-0000-000033990000}"/>
    <cellStyle name="Normal 3 2 2 6 5 6" xfId="39532" xr:uid="{00000000-0005-0000-0000-000034990000}"/>
    <cellStyle name="Normal 3 2 2 6 6" xfId="39533" xr:uid="{00000000-0005-0000-0000-000035990000}"/>
    <cellStyle name="Normal 3 2 2 6 6 2" xfId="39534" xr:uid="{00000000-0005-0000-0000-000036990000}"/>
    <cellStyle name="Normal 3 2 2 6 6 2 2" xfId="39535" xr:uid="{00000000-0005-0000-0000-000037990000}"/>
    <cellStyle name="Normal 3 2 2 6 6 2 3" xfId="39536" xr:uid="{00000000-0005-0000-0000-000038990000}"/>
    <cellStyle name="Normal 3 2 2 6 6 3" xfId="39537" xr:uid="{00000000-0005-0000-0000-000039990000}"/>
    <cellStyle name="Normal 3 2 2 6 6 4" xfId="39538" xr:uid="{00000000-0005-0000-0000-00003A990000}"/>
    <cellStyle name="Normal 3 2 2 6 6 5" xfId="39539" xr:uid="{00000000-0005-0000-0000-00003B990000}"/>
    <cellStyle name="Normal 3 2 2 6 6 6" xfId="39540" xr:uid="{00000000-0005-0000-0000-00003C990000}"/>
    <cellStyle name="Normal 3 2 2 6 7" xfId="39541" xr:uid="{00000000-0005-0000-0000-00003D990000}"/>
    <cellStyle name="Normal 3 2 2 6 7 2" xfId="39542" xr:uid="{00000000-0005-0000-0000-00003E990000}"/>
    <cellStyle name="Normal 3 2 2 6 7 2 2" xfId="39543" xr:uid="{00000000-0005-0000-0000-00003F990000}"/>
    <cellStyle name="Normal 3 2 2 6 7 2 3" xfId="39544" xr:uid="{00000000-0005-0000-0000-000040990000}"/>
    <cellStyle name="Normal 3 2 2 6 7 3" xfId="39545" xr:uid="{00000000-0005-0000-0000-000041990000}"/>
    <cellStyle name="Normal 3 2 2 6 7 4" xfId="39546" xr:uid="{00000000-0005-0000-0000-000042990000}"/>
    <cellStyle name="Normal 3 2 2 6 7 5" xfId="39547" xr:uid="{00000000-0005-0000-0000-000043990000}"/>
    <cellStyle name="Normal 3 2 2 6 7 6" xfId="39548" xr:uid="{00000000-0005-0000-0000-000044990000}"/>
    <cellStyle name="Normal 3 2 2 6 8" xfId="39549" xr:uid="{00000000-0005-0000-0000-000045990000}"/>
    <cellStyle name="Normal 3 2 2 6 8 2" xfId="39550" xr:uid="{00000000-0005-0000-0000-000046990000}"/>
    <cellStyle name="Normal 3 2 2 6 8 2 2" xfId="39551" xr:uid="{00000000-0005-0000-0000-000047990000}"/>
    <cellStyle name="Normal 3 2 2 6 8 2 3" xfId="39552" xr:uid="{00000000-0005-0000-0000-000048990000}"/>
    <cellStyle name="Normal 3 2 2 6 8 3" xfId="39553" xr:uid="{00000000-0005-0000-0000-000049990000}"/>
    <cellStyle name="Normal 3 2 2 6 8 4" xfId="39554" xr:uid="{00000000-0005-0000-0000-00004A990000}"/>
    <cellStyle name="Normal 3 2 2 6 8 5" xfId="39555" xr:uid="{00000000-0005-0000-0000-00004B990000}"/>
    <cellStyle name="Normal 3 2 2 6 8 6" xfId="39556" xr:uid="{00000000-0005-0000-0000-00004C990000}"/>
    <cellStyle name="Normal 3 2 2 6 9" xfId="39557" xr:uid="{00000000-0005-0000-0000-00004D990000}"/>
    <cellStyle name="Normal 3 2 2 6 9 2" xfId="39558" xr:uid="{00000000-0005-0000-0000-00004E990000}"/>
    <cellStyle name="Normal 3 2 2 6 9 3" xfId="39559" xr:uid="{00000000-0005-0000-0000-00004F990000}"/>
    <cellStyle name="Normal 3 2 2 7" xfId="39560" xr:uid="{00000000-0005-0000-0000-000050990000}"/>
    <cellStyle name="Normal 3 2 2 7 10" xfId="39561" xr:uid="{00000000-0005-0000-0000-000051990000}"/>
    <cellStyle name="Normal 3 2 2 7 11" xfId="39562" xr:uid="{00000000-0005-0000-0000-000052990000}"/>
    <cellStyle name="Normal 3 2 2 7 12" xfId="39563" xr:uid="{00000000-0005-0000-0000-000053990000}"/>
    <cellStyle name="Normal 3 2 2 7 13" xfId="39564" xr:uid="{00000000-0005-0000-0000-000054990000}"/>
    <cellStyle name="Normal 3 2 2 7 2" xfId="39565" xr:uid="{00000000-0005-0000-0000-000055990000}"/>
    <cellStyle name="Normal 3 2 2 7 2 10" xfId="39566" xr:uid="{00000000-0005-0000-0000-000056990000}"/>
    <cellStyle name="Normal 3 2 2 7 2 2" xfId="39567" xr:uid="{00000000-0005-0000-0000-000057990000}"/>
    <cellStyle name="Normal 3 2 2 7 2 2 2" xfId="39568" xr:uid="{00000000-0005-0000-0000-000058990000}"/>
    <cellStyle name="Normal 3 2 2 7 2 2 2 2" xfId="39569" xr:uid="{00000000-0005-0000-0000-000059990000}"/>
    <cellStyle name="Normal 3 2 2 7 2 2 2 2 2" xfId="39570" xr:uid="{00000000-0005-0000-0000-00005A990000}"/>
    <cellStyle name="Normal 3 2 2 7 2 2 2 2 3" xfId="39571" xr:uid="{00000000-0005-0000-0000-00005B990000}"/>
    <cellStyle name="Normal 3 2 2 7 2 2 2 3" xfId="39572" xr:uid="{00000000-0005-0000-0000-00005C990000}"/>
    <cellStyle name="Normal 3 2 2 7 2 2 2 4" xfId="39573" xr:uid="{00000000-0005-0000-0000-00005D990000}"/>
    <cellStyle name="Normal 3 2 2 7 2 2 2 5" xfId="39574" xr:uid="{00000000-0005-0000-0000-00005E990000}"/>
    <cellStyle name="Normal 3 2 2 7 2 2 2 6" xfId="39575" xr:uid="{00000000-0005-0000-0000-00005F990000}"/>
    <cellStyle name="Normal 3 2 2 7 2 2 3" xfId="39576" xr:uid="{00000000-0005-0000-0000-000060990000}"/>
    <cellStyle name="Normal 3 2 2 7 2 2 3 2" xfId="39577" xr:uid="{00000000-0005-0000-0000-000061990000}"/>
    <cellStyle name="Normal 3 2 2 7 2 2 3 2 2" xfId="39578" xr:uid="{00000000-0005-0000-0000-000062990000}"/>
    <cellStyle name="Normal 3 2 2 7 2 2 3 2 3" xfId="39579" xr:uid="{00000000-0005-0000-0000-000063990000}"/>
    <cellStyle name="Normal 3 2 2 7 2 2 3 3" xfId="39580" xr:uid="{00000000-0005-0000-0000-000064990000}"/>
    <cellStyle name="Normal 3 2 2 7 2 2 3 4" xfId="39581" xr:uid="{00000000-0005-0000-0000-000065990000}"/>
    <cellStyle name="Normal 3 2 2 7 2 2 3 5" xfId="39582" xr:uid="{00000000-0005-0000-0000-000066990000}"/>
    <cellStyle name="Normal 3 2 2 7 2 2 3 6" xfId="39583" xr:uid="{00000000-0005-0000-0000-000067990000}"/>
    <cellStyle name="Normal 3 2 2 7 2 2 4" xfId="39584" xr:uid="{00000000-0005-0000-0000-000068990000}"/>
    <cellStyle name="Normal 3 2 2 7 2 2 4 2" xfId="39585" xr:uid="{00000000-0005-0000-0000-000069990000}"/>
    <cellStyle name="Normal 3 2 2 7 2 2 4 3" xfId="39586" xr:uid="{00000000-0005-0000-0000-00006A990000}"/>
    <cellStyle name="Normal 3 2 2 7 2 2 5" xfId="39587" xr:uid="{00000000-0005-0000-0000-00006B990000}"/>
    <cellStyle name="Normal 3 2 2 7 2 2 6" xfId="39588" xr:uid="{00000000-0005-0000-0000-00006C990000}"/>
    <cellStyle name="Normal 3 2 2 7 2 2 7" xfId="39589" xr:uid="{00000000-0005-0000-0000-00006D990000}"/>
    <cellStyle name="Normal 3 2 2 7 2 2 8" xfId="39590" xr:uid="{00000000-0005-0000-0000-00006E990000}"/>
    <cellStyle name="Normal 3 2 2 7 2 3" xfId="39591" xr:uid="{00000000-0005-0000-0000-00006F990000}"/>
    <cellStyle name="Normal 3 2 2 7 2 3 2" xfId="39592" xr:uid="{00000000-0005-0000-0000-000070990000}"/>
    <cellStyle name="Normal 3 2 2 7 2 3 2 2" xfId="39593" xr:uid="{00000000-0005-0000-0000-000071990000}"/>
    <cellStyle name="Normal 3 2 2 7 2 3 2 2 2" xfId="39594" xr:uid="{00000000-0005-0000-0000-000072990000}"/>
    <cellStyle name="Normal 3 2 2 7 2 3 2 2 3" xfId="39595" xr:uid="{00000000-0005-0000-0000-000073990000}"/>
    <cellStyle name="Normal 3 2 2 7 2 3 2 3" xfId="39596" xr:uid="{00000000-0005-0000-0000-000074990000}"/>
    <cellStyle name="Normal 3 2 2 7 2 3 2 4" xfId="39597" xr:uid="{00000000-0005-0000-0000-000075990000}"/>
    <cellStyle name="Normal 3 2 2 7 2 3 2 5" xfId="39598" xr:uid="{00000000-0005-0000-0000-000076990000}"/>
    <cellStyle name="Normal 3 2 2 7 2 3 2 6" xfId="39599" xr:uid="{00000000-0005-0000-0000-000077990000}"/>
    <cellStyle name="Normal 3 2 2 7 2 3 3" xfId="39600" xr:uid="{00000000-0005-0000-0000-000078990000}"/>
    <cellStyle name="Normal 3 2 2 7 2 3 3 2" xfId="39601" xr:uid="{00000000-0005-0000-0000-000079990000}"/>
    <cellStyle name="Normal 3 2 2 7 2 3 3 3" xfId="39602" xr:uid="{00000000-0005-0000-0000-00007A990000}"/>
    <cellStyle name="Normal 3 2 2 7 2 3 4" xfId="39603" xr:uid="{00000000-0005-0000-0000-00007B990000}"/>
    <cellStyle name="Normal 3 2 2 7 2 3 5" xfId="39604" xr:uid="{00000000-0005-0000-0000-00007C990000}"/>
    <cellStyle name="Normal 3 2 2 7 2 3 6" xfId="39605" xr:uid="{00000000-0005-0000-0000-00007D990000}"/>
    <cellStyle name="Normal 3 2 2 7 2 3 7" xfId="39606" xr:uid="{00000000-0005-0000-0000-00007E990000}"/>
    <cellStyle name="Normal 3 2 2 7 2 4" xfId="39607" xr:uid="{00000000-0005-0000-0000-00007F990000}"/>
    <cellStyle name="Normal 3 2 2 7 2 4 2" xfId="39608" xr:uid="{00000000-0005-0000-0000-000080990000}"/>
    <cellStyle name="Normal 3 2 2 7 2 4 2 2" xfId="39609" xr:uid="{00000000-0005-0000-0000-000081990000}"/>
    <cellStyle name="Normal 3 2 2 7 2 4 2 3" xfId="39610" xr:uid="{00000000-0005-0000-0000-000082990000}"/>
    <cellStyle name="Normal 3 2 2 7 2 4 3" xfId="39611" xr:uid="{00000000-0005-0000-0000-000083990000}"/>
    <cellStyle name="Normal 3 2 2 7 2 4 4" xfId="39612" xr:uid="{00000000-0005-0000-0000-000084990000}"/>
    <cellStyle name="Normal 3 2 2 7 2 4 5" xfId="39613" xr:uid="{00000000-0005-0000-0000-000085990000}"/>
    <cellStyle name="Normal 3 2 2 7 2 4 6" xfId="39614" xr:uid="{00000000-0005-0000-0000-000086990000}"/>
    <cellStyle name="Normal 3 2 2 7 2 5" xfId="39615" xr:uid="{00000000-0005-0000-0000-000087990000}"/>
    <cellStyle name="Normal 3 2 2 7 2 5 2" xfId="39616" xr:uid="{00000000-0005-0000-0000-000088990000}"/>
    <cellStyle name="Normal 3 2 2 7 2 5 2 2" xfId="39617" xr:uid="{00000000-0005-0000-0000-000089990000}"/>
    <cellStyle name="Normal 3 2 2 7 2 5 2 3" xfId="39618" xr:uid="{00000000-0005-0000-0000-00008A990000}"/>
    <cellStyle name="Normal 3 2 2 7 2 5 3" xfId="39619" xr:uid="{00000000-0005-0000-0000-00008B990000}"/>
    <cellStyle name="Normal 3 2 2 7 2 5 4" xfId="39620" xr:uid="{00000000-0005-0000-0000-00008C990000}"/>
    <cellStyle name="Normal 3 2 2 7 2 5 5" xfId="39621" xr:uid="{00000000-0005-0000-0000-00008D990000}"/>
    <cellStyle name="Normal 3 2 2 7 2 5 6" xfId="39622" xr:uid="{00000000-0005-0000-0000-00008E990000}"/>
    <cellStyle name="Normal 3 2 2 7 2 6" xfId="39623" xr:uid="{00000000-0005-0000-0000-00008F990000}"/>
    <cellStyle name="Normal 3 2 2 7 2 6 2" xfId="39624" xr:uid="{00000000-0005-0000-0000-000090990000}"/>
    <cellStyle name="Normal 3 2 2 7 2 6 3" xfId="39625" xr:uid="{00000000-0005-0000-0000-000091990000}"/>
    <cellStyle name="Normal 3 2 2 7 2 7" xfId="39626" xr:uid="{00000000-0005-0000-0000-000092990000}"/>
    <cellStyle name="Normal 3 2 2 7 2 8" xfId="39627" xr:uid="{00000000-0005-0000-0000-000093990000}"/>
    <cellStyle name="Normal 3 2 2 7 2 9" xfId="39628" xr:uid="{00000000-0005-0000-0000-000094990000}"/>
    <cellStyle name="Normal 3 2 2 7 3" xfId="39629" xr:uid="{00000000-0005-0000-0000-000095990000}"/>
    <cellStyle name="Normal 3 2 2 7 3 2" xfId="39630" xr:uid="{00000000-0005-0000-0000-000096990000}"/>
    <cellStyle name="Normal 3 2 2 7 3 2 2" xfId="39631" xr:uid="{00000000-0005-0000-0000-000097990000}"/>
    <cellStyle name="Normal 3 2 2 7 3 2 2 2" xfId="39632" xr:uid="{00000000-0005-0000-0000-000098990000}"/>
    <cellStyle name="Normal 3 2 2 7 3 2 2 2 2" xfId="39633" xr:uid="{00000000-0005-0000-0000-000099990000}"/>
    <cellStyle name="Normal 3 2 2 7 3 2 2 2 3" xfId="39634" xr:uid="{00000000-0005-0000-0000-00009A990000}"/>
    <cellStyle name="Normal 3 2 2 7 3 2 2 3" xfId="39635" xr:uid="{00000000-0005-0000-0000-00009B990000}"/>
    <cellStyle name="Normal 3 2 2 7 3 2 2 4" xfId="39636" xr:uid="{00000000-0005-0000-0000-00009C990000}"/>
    <cellStyle name="Normal 3 2 2 7 3 2 2 5" xfId="39637" xr:uid="{00000000-0005-0000-0000-00009D990000}"/>
    <cellStyle name="Normal 3 2 2 7 3 2 2 6" xfId="39638" xr:uid="{00000000-0005-0000-0000-00009E990000}"/>
    <cellStyle name="Normal 3 2 2 7 3 2 3" xfId="39639" xr:uid="{00000000-0005-0000-0000-00009F990000}"/>
    <cellStyle name="Normal 3 2 2 7 3 2 3 2" xfId="39640" xr:uid="{00000000-0005-0000-0000-0000A0990000}"/>
    <cellStyle name="Normal 3 2 2 7 3 2 3 3" xfId="39641" xr:uid="{00000000-0005-0000-0000-0000A1990000}"/>
    <cellStyle name="Normal 3 2 2 7 3 2 4" xfId="39642" xr:uid="{00000000-0005-0000-0000-0000A2990000}"/>
    <cellStyle name="Normal 3 2 2 7 3 2 5" xfId="39643" xr:uid="{00000000-0005-0000-0000-0000A3990000}"/>
    <cellStyle name="Normal 3 2 2 7 3 2 6" xfId="39644" xr:uid="{00000000-0005-0000-0000-0000A4990000}"/>
    <cellStyle name="Normal 3 2 2 7 3 2 7" xfId="39645" xr:uid="{00000000-0005-0000-0000-0000A5990000}"/>
    <cellStyle name="Normal 3 2 2 7 3 3" xfId="39646" xr:uid="{00000000-0005-0000-0000-0000A6990000}"/>
    <cellStyle name="Normal 3 2 2 7 3 3 2" xfId="39647" xr:uid="{00000000-0005-0000-0000-0000A7990000}"/>
    <cellStyle name="Normal 3 2 2 7 3 3 2 2" xfId="39648" xr:uid="{00000000-0005-0000-0000-0000A8990000}"/>
    <cellStyle name="Normal 3 2 2 7 3 3 2 3" xfId="39649" xr:uid="{00000000-0005-0000-0000-0000A9990000}"/>
    <cellStyle name="Normal 3 2 2 7 3 3 3" xfId="39650" xr:uid="{00000000-0005-0000-0000-0000AA990000}"/>
    <cellStyle name="Normal 3 2 2 7 3 3 4" xfId="39651" xr:uid="{00000000-0005-0000-0000-0000AB990000}"/>
    <cellStyle name="Normal 3 2 2 7 3 3 5" xfId="39652" xr:uid="{00000000-0005-0000-0000-0000AC990000}"/>
    <cellStyle name="Normal 3 2 2 7 3 3 6" xfId="39653" xr:uid="{00000000-0005-0000-0000-0000AD990000}"/>
    <cellStyle name="Normal 3 2 2 7 3 4" xfId="39654" xr:uid="{00000000-0005-0000-0000-0000AE990000}"/>
    <cellStyle name="Normal 3 2 2 7 3 4 2" xfId="39655" xr:uid="{00000000-0005-0000-0000-0000AF990000}"/>
    <cellStyle name="Normal 3 2 2 7 3 4 2 2" xfId="39656" xr:uid="{00000000-0005-0000-0000-0000B0990000}"/>
    <cellStyle name="Normal 3 2 2 7 3 4 2 3" xfId="39657" xr:uid="{00000000-0005-0000-0000-0000B1990000}"/>
    <cellStyle name="Normal 3 2 2 7 3 4 3" xfId="39658" xr:uid="{00000000-0005-0000-0000-0000B2990000}"/>
    <cellStyle name="Normal 3 2 2 7 3 4 4" xfId="39659" xr:uid="{00000000-0005-0000-0000-0000B3990000}"/>
    <cellStyle name="Normal 3 2 2 7 3 4 5" xfId="39660" xr:uid="{00000000-0005-0000-0000-0000B4990000}"/>
    <cellStyle name="Normal 3 2 2 7 3 4 6" xfId="39661" xr:uid="{00000000-0005-0000-0000-0000B5990000}"/>
    <cellStyle name="Normal 3 2 2 7 3 5" xfId="39662" xr:uid="{00000000-0005-0000-0000-0000B6990000}"/>
    <cellStyle name="Normal 3 2 2 7 3 5 2" xfId="39663" xr:uid="{00000000-0005-0000-0000-0000B7990000}"/>
    <cellStyle name="Normal 3 2 2 7 3 5 3" xfId="39664" xr:uid="{00000000-0005-0000-0000-0000B8990000}"/>
    <cellStyle name="Normal 3 2 2 7 3 6" xfId="39665" xr:uid="{00000000-0005-0000-0000-0000B9990000}"/>
    <cellStyle name="Normal 3 2 2 7 3 7" xfId="39666" xr:uid="{00000000-0005-0000-0000-0000BA990000}"/>
    <cellStyle name="Normal 3 2 2 7 3 8" xfId="39667" xr:uid="{00000000-0005-0000-0000-0000BB990000}"/>
    <cellStyle name="Normal 3 2 2 7 3 9" xfId="39668" xr:uid="{00000000-0005-0000-0000-0000BC990000}"/>
    <cellStyle name="Normal 3 2 2 7 4" xfId="39669" xr:uid="{00000000-0005-0000-0000-0000BD990000}"/>
    <cellStyle name="Normal 3 2 2 7 4 2" xfId="39670" xr:uid="{00000000-0005-0000-0000-0000BE990000}"/>
    <cellStyle name="Normal 3 2 2 7 4 2 2" xfId="39671" xr:uid="{00000000-0005-0000-0000-0000BF990000}"/>
    <cellStyle name="Normal 3 2 2 7 4 2 2 2" xfId="39672" xr:uid="{00000000-0005-0000-0000-0000C0990000}"/>
    <cellStyle name="Normal 3 2 2 7 4 2 2 3" xfId="39673" xr:uid="{00000000-0005-0000-0000-0000C1990000}"/>
    <cellStyle name="Normal 3 2 2 7 4 2 3" xfId="39674" xr:uid="{00000000-0005-0000-0000-0000C2990000}"/>
    <cellStyle name="Normal 3 2 2 7 4 2 4" xfId="39675" xr:uid="{00000000-0005-0000-0000-0000C3990000}"/>
    <cellStyle name="Normal 3 2 2 7 4 2 5" xfId="39676" xr:uid="{00000000-0005-0000-0000-0000C4990000}"/>
    <cellStyle name="Normal 3 2 2 7 4 2 6" xfId="39677" xr:uid="{00000000-0005-0000-0000-0000C5990000}"/>
    <cellStyle name="Normal 3 2 2 7 4 3" xfId="39678" xr:uid="{00000000-0005-0000-0000-0000C6990000}"/>
    <cellStyle name="Normal 3 2 2 7 4 3 2" xfId="39679" xr:uid="{00000000-0005-0000-0000-0000C7990000}"/>
    <cellStyle name="Normal 3 2 2 7 4 3 3" xfId="39680" xr:uid="{00000000-0005-0000-0000-0000C8990000}"/>
    <cellStyle name="Normal 3 2 2 7 4 4" xfId="39681" xr:uid="{00000000-0005-0000-0000-0000C9990000}"/>
    <cellStyle name="Normal 3 2 2 7 4 5" xfId="39682" xr:uid="{00000000-0005-0000-0000-0000CA990000}"/>
    <cellStyle name="Normal 3 2 2 7 4 6" xfId="39683" xr:uid="{00000000-0005-0000-0000-0000CB990000}"/>
    <cellStyle name="Normal 3 2 2 7 4 7" xfId="39684" xr:uid="{00000000-0005-0000-0000-0000CC990000}"/>
    <cellStyle name="Normal 3 2 2 7 5" xfId="39685" xr:uid="{00000000-0005-0000-0000-0000CD990000}"/>
    <cellStyle name="Normal 3 2 2 7 5 2" xfId="39686" xr:uid="{00000000-0005-0000-0000-0000CE990000}"/>
    <cellStyle name="Normal 3 2 2 7 5 2 2" xfId="39687" xr:uid="{00000000-0005-0000-0000-0000CF990000}"/>
    <cellStyle name="Normal 3 2 2 7 5 2 3" xfId="39688" xr:uid="{00000000-0005-0000-0000-0000D0990000}"/>
    <cellStyle name="Normal 3 2 2 7 5 3" xfId="39689" xr:uid="{00000000-0005-0000-0000-0000D1990000}"/>
    <cellStyle name="Normal 3 2 2 7 5 4" xfId="39690" xr:uid="{00000000-0005-0000-0000-0000D2990000}"/>
    <cellStyle name="Normal 3 2 2 7 5 5" xfId="39691" xr:uid="{00000000-0005-0000-0000-0000D3990000}"/>
    <cellStyle name="Normal 3 2 2 7 5 6" xfId="39692" xr:uid="{00000000-0005-0000-0000-0000D4990000}"/>
    <cellStyle name="Normal 3 2 2 7 6" xfId="39693" xr:uid="{00000000-0005-0000-0000-0000D5990000}"/>
    <cellStyle name="Normal 3 2 2 7 6 2" xfId="39694" xr:uid="{00000000-0005-0000-0000-0000D6990000}"/>
    <cellStyle name="Normal 3 2 2 7 6 2 2" xfId="39695" xr:uid="{00000000-0005-0000-0000-0000D7990000}"/>
    <cellStyle name="Normal 3 2 2 7 6 2 3" xfId="39696" xr:uid="{00000000-0005-0000-0000-0000D8990000}"/>
    <cellStyle name="Normal 3 2 2 7 6 3" xfId="39697" xr:uid="{00000000-0005-0000-0000-0000D9990000}"/>
    <cellStyle name="Normal 3 2 2 7 6 4" xfId="39698" xr:uid="{00000000-0005-0000-0000-0000DA990000}"/>
    <cellStyle name="Normal 3 2 2 7 6 5" xfId="39699" xr:uid="{00000000-0005-0000-0000-0000DB990000}"/>
    <cellStyle name="Normal 3 2 2 7 6 6" xfId="39700" xr:uid="{00000000-0005-0000-0000-0000DC990000}"/>
    <cellStyle name="Normal 3 2 2 7 7" xfId="39701" xr:uid="{00000000-0005-0000-0000-0000DD990000}"/>
    <cellStyle name="Normal 3 2 2 7 7 2" xfId="39702" xr:uid="{00000000-0005-0000-0000-0000DE990000}"/>
    <cellStyle name="Normal 3 2 2 7 7 2 2" xfId="39703" xr:uid="{00000000-0005-0000-0000-0000DF990000}"/>
    <cellStyle name="Normal 3 2 2 7 7 2 3" xfId="39704" xr:uid="{00000000-0005-0000-0000-0000E0990000}"/>
    <cellStyle name="Normal 3 2 2 7 7 3" xfId="39705" xr:uid="{00000000-0005-0000-0000-0000E1990000}"/>
    <cellStyle name="Normal 3 2 2 7 7 4" xfId="39706" xr:uid="{00000000-0005-0000-0000-0000E2990000}"/>
    <cellStyle name="Normal 3 2 2 7 7 5" xfId="39707" xr:uid="{00000000-0005-0000-0000-0000E3990000}"/>
    <cellStyle name="Normal 3 2 2 7 7 6" xfId="39708" xr:uid="{00000000-0005-0000-0000-0000E4990000}"/>
    <cellStyle name="Normal 3 2 2 7 8" xfId="39709" xr:uid="{00000000-0005-0000-0000-0000E5990000}"/>
    <cellStyle name="Normal 3 2 2 7 8 2" xfId="39710" xr:uid="{00000000-0005-0000-0000-0000E6990000}"/>
    <cellStyle name="Normal 3 2 2 7 8 2 2" xfId="39711" xr:uid="{00000000-0005-0000-0000-0000E7990000}"/>
    <cellStyle name="Normal 3 2 2 7 8 2 3" xfId="39712" xr:uid="{00000000-0005-0000-0000-0000E8990000}"/>
    <cellStyle name="Normal 3 2 2 7 8 3" xfId="39713" xr:uid="{00000000-0005-0000-0000-0000E9990000}"/>
    <cellStyle name="Normal 3 2 2 7 8 4" xfId="39714" xr:uid="{00000000-0005-0000-0000-0000EA990000}"/>
    <cellStyle name="Normal 3 2 2 7 8 5" xfId="39715" xr:uid="{00000000-0005-0000-0000-0000EB990000}"/>
    <cellStyle name="Normal 3 2 2 7 8 6" xfId="39716" xr:uid="{00000000-0005-0000-0000-0000EC990000}"/>
    <cellStyle name="Normal 3 2 2 7 9" xfId="39717" xr:uid="{00000000-0005-0000-0000-0000ED990000}"/>
    <cellStyle name="Normal 3 2 2 7 9 2" xfId="39718" xr:uid="{00000000-0005-0000-0000-0000EE990000}"/>
    <cellStyle name="Normal 3 2 2 7 9 3" xfId="39719" xr:uid="{00000000-0005-0000-0000-0000EF990000}"/>
    <cellStyle name="Normal 3 2 2 8" xfId="39720" xr:uid="{00000000-0005-0000-0000-0000F0990000}"/>
    <cellStyle name="Normal 3 2 2 8 10" xfId="39721" xr:uid="{00000000-0005-0000-0000-0000F1990000}"/>
    <cellStyle name="Normal 3 2 2 8 2" xfId="39722" xr:uid="{00000000-0005-0000-0000-0000F2990000}"/>
    <cellStyle name="Normal 3 2 2 8 2 2" xfId="39723" xr:uid="{00000000-0005-0000-0000-0000F3990000}"/>
    <cellStyle name="Normal 3 2 2 8 2 2 2" xfId="39724" xr:uid="{00000000-0005-0000-0000-0000F4990000}"/>
    <cellStyle name="Normal 3 2 2 8 2 2 2 2" xfId="39725" xr:uid="{00000000-0005-0000-0000-0000F5990000}"/>
    <cellStyle name="Normal 3 2 2 8 2 2 2 3" xfId="39726" xr:uid="{00000000-0005-0000-0000-0000F6990000}"/>
    <cellStyle name="Normal 3 2 2 8 2 2 3" xfId="39727" xr:uid="{00000000-0005-0000-0000-0000F7990000}"/>
    <cellStyle name="Normal 3 2 2 8 2 2 4" xfId="39728" xr:uid="{00000000-0005-0000-0000-0000F8990000}"/>
    <cellStyle name="Normal 3 2 2 8 2 2 5" xfId="39729" xr:uid="{00000000-0005-0000-0000-0000F9990000}"/>
    <cellStyle name="Normal 3 2 2 8 2 2 6" xfId="39730" xr:uid="{00000000-0005-0000-0000-0000FA990000}"/>
    <cellStyle name="Normal 3 2 2 8 2 3" xfId="39731" xr:uid="{00000000-0005-0000-0000-0000FB990000}"/>
    <cellStyle name="Normal 3 2 2 8 2 3 2" xfId="39732" xr:uid="{00000000-0005-0000-0000-0000FC990000}"/>
    <cellStyle name="Normal 3 2 2 8 2 3 2 2" xfId="39733" xr:uid="{00000000-0005-0000-0000-0000FD990000}"/>
    <cellStyle name="Normal 3 2 2 8 2 3 2 3" xfId="39734" xr:uid="{00000000-0005-0000-0000-0000FE990000}"/>
    <cellStyle name="Normal 3 2 2 8 2 3 3" xfId="39735" xr:uid="{00000000-0005-0000-0000-0000FF990000}"/>
    <cellStyle name="Normal 3 2 2 8 2 3 4" xfId="39736" xr:uid="{00000000-0005-0000-0000-0000009A0000}"/>
    <cellStyle name="Normal 3 2 2 8 2 3 5" xfId="39737" xr:uid="{00000000-0005-0000-0000-0000019A0000}"/>
    <cellStyle name="Normal 3 2 2 8 2 3 6" xfId="39738" xr:uid="{00000000-0005-0000-0000-0000029A0000}"/>
    <cellStyle name="Normal 3 2 2 8 2 4" xfId="39739" xr:uid="{00000000-0005-0000-0000-0000039A0000}"/>
    <cellStyle name="Normal 3 2 2 8 2 4 2" xfId="39740" xr:uid="{00000000-0005-0000-0000-0000049A0000}"/>
    <cellStyle name="Normal 3 2 2 8 2 4 3" xfId="39741" xr:uid="{00000000-0005-0000-0000-0000059A0000}"/>
    <cellStyle name="Normal 3 2 2 8 2 5" xfId="39742" xr:uid="{00000000-0005-0000-0000-0000069A0000}"/>
    <cellStyle name="Normal 3 2 2 8 2 6" xfId="39743" xr:uid="{00000000-0005-0000-0000-0000079A0000}"/>
    <cellStyle name="Normal 3 2 2 8 2 7" xfId="39744" xr:uid="{00000000-0005-0000-0000-0000089A0000}"/>
    <cellStyle name="Normal 3 2 2 8 2 8" xfId="39745" xr:uid="{00000000-0005-0000-0000-0000099A0000}"/>
    <cellStyle name="Normal 3 2 2 8 3" xfId="39746" xr:uid="{00000000-0005-0000-0000-00000A9A0000}"/>
    <cellStyle name="Normal 3 2 2 8 3 2" xfId="39747" xr:uid="{00000000-0005-0000-0000-00000B9A0000}"/>
    <cellStyle name="Normal 3 2 2 8 3 2 2" xfId="39748" xr:uid="{00000000-0005-0000-0000-00000C9A0000}"/>
    <cellStyle name="Normal 3 2 2 8 3 2 2 2" xfId="39749" xr:uid="{00000000-0005-0000-0000-00000D9A0000}"/>
    <cellStyle name="Normal 3 2 2 8 3 2 2 3" xfId="39750" xr:uid="{00000000-0005-0000-0000-00000E9A0000}"/>
    <cellStyle name="Normal 3 2 2 8 3 2 3" xfId="39751" xr:uid="{00000000-0005-0000-0000-00000F9A0000}"/>
    <cellStyle name="Normal 3 2 2 8 3 2 4" xfId="39752" xr:uid="{00000000-0005-0000-0000-0000109A0000}"/>
    <cellStyle name="Normal 3 2 2 8 3 2 5" xfId="39753" xr:uid="{00000000-0005-0000-0000-0000119A0000}"/>
    <cellStyle name="Normal 3 2 2 8 3 2 6" xfId="39754" xr:uid="{00000000-0005-0000-0000-0000129A0000}"/>
    <cellStyle name="Normal 3 2 2 8 3 3" xfId="39755" xr:uid="{00000000-0005-0000-0000-0000139A0000}"/>
    <cellStyle name="Normal 3 2 2 8 3 3 2" xfId="39756" xr:uid="{00000000-0005-0000-0000-0000149A0000}"/>
    <cellStyle name="Normal 3 2 2 8 3 3 3" xfId="39757" xr:uid="{00000000-0005-0000-0000-0000159A0000}"/>
    <cellStyle name="Normal 3 2 2 8 3 4" xfId="39758" xr:uid="{00000000-0005-0000-0000-0000169A0000}"/>
    <cellStyle name="Normal 3 2 2 8 3 5" xfId="39759" xr:uid="{00000000-0005-0000-0000-0000179A0000}"/>
    <cellStyle name="Normal 3 2 2 8 3 6" xfId="39760" xr:uid="{00000000-0005-0000-0000-0000189A0000}"/>
    <cellStyle name="Normal 3 2 2 8 3 7" xfId="39761" xr:uid="{00000000-0005-0000-0000-0000199A0000}"/>
    <cellStyle name="Normal 3 2 2 8 4" xfId="39762" xr:uid="{00000000-0005-0000-0000-00001A9A0000}"/>
    <cellStyle name="Normal 3 2 2 8 4 2" xfId="39763" xr:uid="{00000000-0005-0000-0000-00001B9A0000}"/>
    <cellStyle name="Normal 3 2 2 8 4 2 2" xfId="39764" xr:uid="{00000000-0005-0000-0000-00001C9A0000}"/>
    <cellStyle name="Normal 3 2 2 8 4 2 3" xfId="39765" xr:uid="{00000000-0005-0000-0000-00001D9A0000}"/>
    <cellStyle name="Normal 3 2 2 8 4 3" xfId="39766" xr:uid="{00000000-0005-0000-0000-00001E9A0000}"/>
    <cellStyle name="Normal 3 2 2 8 4 4" xfId="39767" xr:uid="{00000000-0005-0000-0000-00001F9A0000}"/>
    <cellStyle name="Normal 3 2 2 8 4 5" xfId="39768" xr:uid="{00000000-0005-0000-0000-0000209A0000}"/>
    <cellStyle name="Normal 3 2 2 8 4 6" xfId="39769" xr:uid="{00000000-0005-0000-0000-0000219A0000}"/>
    <cellStyle name="Normal 3 2 2 8 5" xfId="39770" xr:uid="{00000000-0005-0000-0000-0000229A0000}"/>
    <cellStyle name="Normal 3 2 2 8 5 2" xfId="39771" xr:uid="{00000000-0005-0000-0000-0000239A0000}"/>
    <cellStyle name="Normal 3 2 2 8 5 2 2" xfId="39772" xr:uid="{00000000-0005-0000-0000-0000249A0000}"/>
    <cellStyle name="Normal 3 2 2 8 5 2 3" xfId="39773" xr:uid="{00000000-0005-0000-0000-0000259A0000}"/>
    <cellStyle name="Normal 3 2 2 8 5 3" xfId="39774" xr:uid="{00000000-0005-0000-0000-0000269A0000}"/>
    <cellStyle name="Normal 3 2 2 8 5 4" xfId="39775" xr:uid="{00000000-0005-0000-0000-0000279A0000}"/>
    <cellStyle name="Normal 3 2 2 8 5 5" xfId="39776" xr:uid="{00000000-0005-0000-0000-0000289A0000}"/>
    <cellStyle name="Normal 3 2 2 8 5 6" xfId="39777" xr:uid="{00000000-0005-0000-0000-0000299A0000}"/>
    <cellStyle name="Normal 3 2 2 8 6" xfId="39778" xr:uid="{00000000-0005-0000-0000-00002A9A0000}"/>
    <cellStyle name="Normal 3 2 2 8 6 2" xfId="39779" xr:uid="{00000000-0005-0000-0000-00002B9A0000}"/>
    <cellStyle name="Normal 3 2 2 8 6 3" xfId="39780" xr:uid="{00000000-0005-0000-0000-00002C9A0000}"/>
    <cellStyle name="Normal 3 2 2 8 7" xfId="39781" xr:uid="{00000000-0005-0000-0000-00002D9A0000}"/>
    <cellStyle name="Normal 3 2 2 8 8" xfId="39782" xr:uid="{00000000-0005-0000-0000-00002E9A0000}"/>
    <cellStyle name="Normal 3 2 2 8 9" xfId="39783" xr:uid="{00000000-0005-0000-0000-00002F9A0000}"/>
    <cellStyle name="Normal 3 2 2 9" xfId="39784" xr:uid="{00000000-0005-0000-0000-0000309A0000}"/>
    <cellStyle name="Normal 3 2 2 9 2" xfId="39785" xr:uid="{00000000-0005-0000-0000-0000319A0000}"/>
    <cellStyle name="Normal 3 2 2 9 2 2" xfId="39786" xr:uid="{00000000-0005-0000-0000-0000329A0000}"/>
    <cellStyle name="Normal 3 2 2 9 2 2 2" xfId="39787" xr:uid="{00000000-0005-0000-0000-0000339A0000}"/>
    <cellStyle name="Normal 3 2 2 9 2 2 2 2" xfId="39788" xr:uid="{00000000-0005-0000-0000-0000349A0000}"/>
    <cellStyle name="Normal 3 2 2 9 2 2 2 3" xfId="39789" xr:uid="{00000000-0005-0000-0000-0000359A0000}"/>
    <cellStyle name="Normal 3 2 2 9 2 2 3" xfId="39790" xr:uid="{00000000-0005-0000-0000-0000369A0000}"/>
    <cellStyle name="Normal 3 2 2 9 2 2 4" xfId="39791" xr:uid="{00000000-0005-0000-0000-0000379A0000}"/>
    <cellStyle name="Normal 3 2 2 9 2 2 5" xfId="39792" xr:uid="{00000000-0005-0000-0000-0000389A0000}"/>
    <cellStyle name="Normal 3 2 2 9 2 2 6" xfId="39793" xr:uid="{00000000-0005-0000-0000-0000399A0000}"/>
    <cellStyle name="Normal 3 2 2 9 2 3" xfId="39794" xr:uid="{00000000-0005-0000-0000-00003A9A0000}"/>
    <cellStyle name="Normal 3 2 2 9 2 3 2" xfId="39795" xr:uid="{00000000-0005-0000-0000-00003B9A0000}"/>
    <cellStyle name="Normal 3 2 2 9 2 3 3" xfId="39796" xr:uid="{00000000-0005-0000-0000-00003C9A0000}"/>
    <cellStyle name="Normal 3 2 2 9 2 4" xfId="39797" xr:uid="{00000000-0005-0000-0000-00003D9A0000}"/>
    <cellStyle name="Normal 3 2 2 9 2 5" xfId="39798" xr:uid="{00000000-0005-0000-0000-00003E9A0000}"/>
    <cellStyle name="Normal 3 2 2 9 2 6" xfId="39799" xr:uid="{00000000-0005-0000-0000-00003F9A0000}"/>
    <cellStyle name="Normal 3 2 2 9 2 7" xfId="39800" xr:uid="{00000000-0005-0000-0000-0000409A0000}"/>
    <cellStyle name="Normal 3 2 2 9 3" xfId="39801" xr:uid="{00000000-0005-0000-0000-0000419A0000}"/>
    <cellStyle name="Normal 3 2 2 9 3 2" xfId="39802" xr:uid="{00000000-0005-0000-0000-0000429A0000}"/>
    <cellStyle name="Normal 3 2 2 9 3 2 2" xfId="39803" xr:uid="{00000000-0005-0000-0000-0000439A0000}"/>
    <cellStyle name="Normal 3 2 2 9 3 2 3" xfId="39804" xr:uid="{00000000-0005-0000-0000-0000449A0000}"/>
    <cellStyle name="Normal 3 2 2 9 3 3" xfId="39805" xr:uid="{00000000-0005-0000-0000-0000459A0000}"/>
    <cellStyle name="Normal 3 2 2 9 3 4" xfId="39806" xr:uid="{00000000-0005-0000-0000-0000469A0000}"/>
    <cellStyle name="Normal 3 2 2 9 3 5" xfId="39807" xr:uid="{00000000-0005-0000-0000-0000479A0000}"/>
    <cellStyle name="Normal 3 2 2 9 3 6" xfId="39808" xr:uid="{00000000-0005-0000-0000-0000489A0000}"/>
    <cellStyle name="Normal 3 2 2 9 4" xfId="39809" xr:uid="{00000000-0005-0000-0000-0000499A0000}"/>
    <cellStyle name="Normal 3 2 2 9 4 2" xfId="39810" xr:uid="{00000000-0005-0000-0000-00004A9A0000}"/>
    <cellStyle name="Normal 3 2 2 9 4 2 2" xfId="39811" xr:uid="{00000000-0005-0000-0000-00004B9A0000}"/>
    <cellStyle name="Normal 3 2 2 9 4 2 3" xfId="39812" xr:uid="{00000000-0005-0000-0000-00004C9A0000}"/>
    <cellStyle name="Normal 3 2 2 9 4 3" xfId="39813" xr:uid="{00000000-0005-0000-0000-00004D9A0000}"/>
    <cellStyle name="Normal 3 2 2 9 4 4" xfId="39814" xr:uid="{00000000-0005-0000-0000-00004E9A0000}"/>
    <cellStyle name="Normal 3 2 2 9 4 5" xfId="39815" xr:uid="{00000000-0005-0000-0000-00004F9A0000}"/>
    <cellStyle name="Normal 3 2 2 9 4 6" xfId="39816" xr:uid="{00000000-0005-0000-0000-0000509A0000}"/>
    <cellStyle name="Normal 3 2 2 9 5" xfId="39817" xr:uid="{00000000-0005-0000-0000-0000519A0000}"/>
    <cellStyle name="Normal 3 2 2 9 5 2" xfId="39818" xr:uid="{00000000-0005-0000-0000-0000529A0000}"/>
    <cellStyle name="Normal 3 2 2 9 5 3" xfId="39819" xr:uid="{00000000-0005-0000-0000-0000539A0000}"/>
    <cellStyle name="Normal 3 2 2 9 6" xfId="39820" xr:uid="{00000000-0005-0000-0000-0000549A0000}"/>
    <cellStyle name="Normal 3 2 2 9 7" xfId="39821" xr:uid="{00000000-0005-0000-0000-0000559A0000}"/>
    <cellStyle name="Normal 3 2 2 9 8" xfId="39822" xr:uid="{00000000-0005-0000-0000-0000569A0000}"/>
    <cellStyle name="Normal 3 2 2 9 9" xfId="39823" xr:uid="{00000000-0005-0000-0000-0000579A0000}"/>
    <cellStyle name="Normal 3 2 3" xfId="411" xr:uid="{00000000-0005-0000-0000-0000589A0000}"/>
    <cellStyle name="Normal 3 2 4" xfId="39824" xr:uid="{00000000-0005-0000-0000-0000599A0000}"/>
    <cellStyle name="Normal 3 2 4 10" xfId="39825" xr:uid="{00000000-0005-0000-0000-00005A9A0000}"/>
    <cellStyle name="Normal 3 2 4 10 2" xfId="39826" xr:uid="{00000000-0005-0000-0000-00005B9A0000}"/>
    <cellStyle name="Normal 3 2 4 10 2 2" xfId="39827" xr:uid="{00000000-0005-0000-0000-00005C9A0000}"/>
    <cellStyle name="Normal 3 2 4 10 2 3" xfId="39828" xr:uid="{00000000-0005-0000-0000-00005D9A0000}"/>
    <cellStyle name="Normal 3 2 4 10 3" xfId="39829" xr:uid="{00000000-0005-0000-0000-00005E9A0000}"/>
    <cellStyle name="Normal 3 2 4 10 4" xfId="39830" xr:uid="{00000000-0005-0000-0000-00005F9A0000}"/>
    <cellStyle name="Normal 3 2 4 10 5" xfId="39831" xr:uid="{00000000-0005-0000-0000-0000609A0000}"/>
    <cellStyle name="Normal 3 2 4 10 6" xfId="39832" xr:uid="{00000000-0005-0000-0000-0000619A0000}"/>
    <cellStyle name="Normal 3 2 4 11" xfId="39833" xr:uid="{00000000-0005-0000-0000-0000629A0000}"/>
    <cellStyle name="Normal 3 2 4 11 2" xfId="39834" xr:uid="{00000000-0005-0000-0000-0000639A0000}"/>
    <cellStyle name="Normal 3 2 4 11 3" xfId="39835" xr:uid="{00000000-0005-0000-0000-0000649A0000}"/>
    <cellStyle name="Normal 3 2 4 12" xfId="39836" xr:uid="{00000000-0005-0000-0000-0000659A0000}"/>
    <cellStyle name="Normal 3 2 4 13" xfId="39837" xr:uid="{00000000-0005-0000-0000-0000669A0000}"/>
    <cellStyle name="Normal 3 2 4 14" xfId="39838" xr:uid="{00000000-0005-0000-0000-0000679A0000}"/>
    <cellStyle name="Normal 3 2 4 15" xfId="39839" xr:uid="{00000000-0005-0000-0000-0000689A0000}"/>
    <cellStyle name="Normal 3 2 4 2" xfId="39840" xr:uid="{00000000-0005-0000-0000-0000699A0000}"/>
    <cellStyle name="Normal 3 2 4 2 10" xfId="39841" xr:uid="{00000000-0005-0000-0000-00006A9A0000}"/>
    <cellStyle name="Normal 3 2 4 2 10 2" xfId="39842" xr:uid="{00000000-0005-0000-0000-00006B9A0000}"/>
    <cellStyle name="Normal 3 2 4 2 10 3" xfId="39843" xr:uid="{00000000-0005-0000-0000-00006C9A0000}"/>
    <cellStyle name="Normal 3 2 4 2 11" xfId="39844" xr:uid="{00000000-0005-0000-0000-00006D9A0000}"/>
    <cellStyle name="Normal 3 2 4 2 12" xfId="39845" xr:uid="{00000000-0005-0000-0000-00006E9A0000}"/>
    <cellStyle name="Normal 3 2 4 2 13" xfId="39846" xr:uid="{00000000-0005-0000-0000-00006F9A0000}"/>
    <cellStyle name="Normal 3 2 4 2 14" xfId="39847" xr:uid="{00000000-0005-0000-0000-0000709A0000}"/>
    <cellStyle name="Normal 3 2 4 2 2" xfId="39848" xr:uid="{00000000-0005-0000-0000-0000719A0000}"/>
    <cellStyle name="Normal 3 2 4 2 2 10" xfId="39849" xr:uid="{00000000-0005-0000-0000-0000729A0000}"/>
    <cellStyle name="Normal 3 2 4 2 2 11" xfId="39850" xr:uid="{00000000-0005-0000-0000-0000739A0000}"/>
    <cellStyle name="Normal 3 2 4 2 2 12" xfId="39851" xr:uid="{00000000-0005-0000-0000-0000749A0000}"/>
    <cellStyle name="Normal 3 2 4 2 2 13" xfId="39852" xr:uid="{00000000-0005-0000-0000-0000759A0000}"/>
    <cellStyle name="Normal 3 2 4 2 2 2" xfId="39853" xr:uid="{00000000-0005-0000-0000-0000769A0000}"/>
    <cellStyle name="Normal 3 2 4 2 2 2 10" xfId="39854" xr:uid="{00000000-0005-0000-0000-0000779A0000}"/>
    <cellStyle name="Normal 3 2 4 2 2 2 2" xfId="39855" xr:uid="{00000000-0005-0000-0000-0000789A0000}"/>
    <cellStyle name="Normal 3 2 4 2 2 2 2 2" xfId="39856" xr:uid="{00000000-0005-0000-0000-0000799A0000}"/>
    <cellStyle name="Normal 3 2 4 2 2 2 2 2 2" xfId="39857" xr:uid="{00000000-0005-0000-0000-00007A9A0000}"/>
    <cellStyle name="Normal 3 2 4 2 2 2 2 2 2 2" xfId="39858" xr:uid="{00000000-0005-0000-0000-00007B9A0000}"/>
    <cellStyle name="Normal 3 2 4 2 2 2 2 2 2 3" xfId="39859" xr:uid="{00000000-0005-0000-0000-00007C9A0000}"/>
    <cellStyle name="Normal 3 2 4 2 2 2 2 2 3" xfId="39860" xr:uid="{00000000-0005-0000-0000-00007D9A0000}"/>
    <cellStyle name="Normal 3 2 4 2 2 2 2 2 4" xfId="39861" xr:uid="{00000000-0005-0000-0000-00007E9A0000}"/>
    <cellStyle name="Normal 3 2 4 2 2 2 2 2 5" xfId="39862" xr:uid="{00000000-0005-0000-0000-00007F9A0000}"/>
    <cellStyle name="Normal 3 2 4 2 2 2 2 2 6" xfId="39863" xr:uid="{00000000-0005-0000-0000-0000809A0000}"/>
    <cellStyle name="Normal 3 2 4 2 2 2 2 3" xfId="39864" xr:uid="{00000000-0005-0000-0000-0000819A0000}"/>
    <cellStyle name="Normal 3 2 4 2 2 2 2 3 2" xfId="39865" xr:uid="{00000000-0005-0000-0000-0000829A0000}"/>
    <cellStyle name="Normal 3 2 4 2 2 2 2 3 2 2" xfId="39866" xr:uid="{00000000-0005-0000-0000-0000839A0000}"/>
    <cellStyle name="Normal 3 2 4 2 2 2 2 3 2 3" xfId="39867" xr:uid="{00000000-0005-0000-0000-0000849A0000}"/>
    <cellStyle name="Normal 3 2 4 2 2 2 2 3 3" xfId="39868" xr:uid="{00000000-0005-0000-0000-0000859A0000}"/>
    <cellStyle name="Normal 3 2 4 2 2 2 2 3 4" xfId="39869" xr:uid="{00000000-0005-0000-0000-0000869A0000}"/>
    <cellStyle name="Normal 3 2 4 2 2 2 2 3 5" xfId="39870" xr:uid="{00000000-0005-0000-0000-0000879A0000}"/>
    <cellStyle name="Normal 3 2 4 2 2 2 2 3 6" xfId="39871" xr:uid="{00000000-0005-0000-0000-0000889A0000}"/>
    <cellStyle name="Normal 3 2 4 2 2 2 2 4" xfId="39872" xr:uid="{00000000-0005-0000-0000-0000899A0000}"/>
    <cellStyle name="Normal 3 2 4 2 2 2 2 4 2" xfId="39873" xr:uid="{00000000-0005-0000-0000-00008A9A0000}"/>
    <cellStyle name="Normal 3 2 4 2 2 2 2 4 3" xfId="39874" xr:uid="{00000000-0005-0000-0000-00008B9A0000}"/>
    <cellStyle name="Normal 3 2 4 2 2 2 2 5" xfId="39875" xr:uid="{00000000-0005-0000-0000-00008C9A0000}"/>
    <cellStyle name="Normal 3 2 4 2 2 2 2 6" xfId="39876" xr:uid="{00000000-0005-0000-0000-00008D9A0000}"/>
    <cellStyle name="Normal 3 2 4 2 2 2 2 7" xfId="39877" xr:uid="{00000000-0005-0000-0000-00008E9A0000}"/>
    <cellStyle name="Normal 3 2 4 2 2 2 2 8" xfId="39878" xr:uid="{00000000-0005-0000-0000-00008F9A0000}"/>
    <cellStyle name="Normal 3 2 4 2 2 2 3" xfId="39879" xr:uid="{00000000-0005-0000-0000-0000909A0000}"/>
    <cellStyle name="Normal 3 2 4 2 2 2 3 2" xfId="39880" xr:uid="{00000000-0005-0000-0000-0000919A0000}"/>
    <cellStyle name="Normal 3 2 4 2 2 2 3 2 2" xfId="39881" xr:uid="{00000000-0005-0000-0000-0000929A0000}"/>
    <cellStyle name="Normal 3 2 4 2 2 2 3 2 2 2" xfId="39882" xr:uid="{00000000-0005-0000-0000-0000939A0000}"/>
    <cellStyle name="Normal 3 2 4 2 2 2 3 2 2 3" xfId="39883" xr:uid="{00000000-0005-0000-0000-0000949A0000}"/>
    <cellStyle name="Normal 3 2 4 2 2 2 3 2 3" xfId="39884" xr:uid="{00000000-0005-0000-0000-0000959A0000}"/>
    <cellStyle name="Normal 3 2 4 2 2 2 3 2 4" xfId="39885" xr:uid="{00000000-0005-0000-0000-0000969A0000}"/>
    <cellStyle name="Normal 3 2 4 2 2 2 3 2 5" xfId="39886" xr:uid="{00000000-0005-0000-0000-0000979A0000}"/>
    <cellStyle name="Normal 3 2 4 2 2 2 3 2 6" xfId="39887" xr:uid="{00000000-0005-0000-0000-0000989A0000}"/>
    <cellStyle name="Normal 3 2 4 2 2 2 3 3" xfId="39888" xr:uid="{00000000-0005-0000-0000-0000999A0000}"/>
    <cellStyle name="Normal 3 2 4 2 2 2 3 3 2" xfId="39889" xr:uid="{00000000-0005-0000-0000-00009A9A0000}"/>
    <cellStyle name="Normal 3 2 4 2 2 2 3 3 3" xfId="39890" xr:uid="{00000000-0005-0000-0000-00009B9A0000}"/>
    <cellStyle name="Normal 3 2 4 2 2 2 3 4" xfId="39891" xr:uid="{00000000-0005-0000-0000-00009C9A0000}"/>
    <cellStyle name="Normal 3 2 4 2 2 2 3 5" xfId="39892" xr:uid="{00000000-0005-0000-0000-00009D9A0000}"/>
    <cellStyle name="Normal 3 2 4 2 2 2 3 6" xfId="39893" xr:uid="{00000000-0005-0000-0000-00009E9A0000}"/>
    <cellStyle name="Normal 3 2 4 2 2 2 3 7" xfId="39894" xr:uid="{00000000-0005-0000-0000-00009F9A0000}"/>
    <cellStyle name="Normal 3 2 4 2 2 2 4" xfId="39895" xr:uid="{00000000-0005-0000-0000-0000A09A0000}"/>
    <cellStyle name="Normal 3 2 4 2 2 2 4 2" xfId="39896" xr:uid="{00000000-0005-0000-0000-0000A19A0000}"/>
    <cellStyle name="Normal 3 2 4 2 2 2 4 2 2" xfId="39897" xr:uid="{00000000-0005-0000-0000-0000A29A0000}"/>
    <cellStyle name="Normal 3 2 4 2 2 2 4 2 3" xfId="39898" xr:uid="{00000000-0005-0000-0000-0000A39A0000}"/>
    <cellStyle name="Normal 3 2 4 2 2 2 4 3" xfId="39899" xr:uid="{00000000-0005-0000-0000-0000A49A0000}"/>
    <cellStyle name="Normal 3 2 4 2 2 2 4 4" xfId="39900" xr:uid="{00000000-0005-0000-0000-0000A59A0000}"/>
    <cellStyle name="Normal 3 2 4 2 2 2 4 5" xfId="39901" xr:uid="{00000000-0005-0000-0000-0000A69A0000}"/>
    <cellStyle name="Normal 3 2 4 2 2 2 4 6" xfId="39902" xr:uid="{00000000-0005-0000-0000-0000A79A0000}"/>
    <cellStyle name="Normal 3 2 4 2 2 2 5" xfId="39903" xr:uid="{00000000-0005-0000-0000-0000A89A0000}"/>
    <cellStyle name="Normal 3 2 4 2 2 2 5 2" xfId="39904" xr:uid="{00000000-0005-0000-0000-0000A99A0000}"/>
    <cellStyle name="Normal 3 2 4 2 2 2 5 2 2" xfId="39905" xr:uid="{00000000-0005-0000-0000-0000AA9A0000}"/>
    <cellStyle name="Normal 3 2 4 2 2 2 5 2 3" xfId="39906" xr:uid="{00000000-0005-0000-0000-0000AB9A0000}"/>
    <cellStyle name="Normal 3 2 4 2 2 2 5 3" xfId="39907" xr:uid="{00000000-0005-0000-0000-0000AC9A0000}"/>
    <cellStyle name="Normal 3 2 4 2 2 2 5 4" xfId="39908" xr:uid="{00000000-0005-0000-0000-0000AD9A0000}"/>
    <cellStyle name="Normal 3 2 4 2 2 2 5 5" xfId="39909" xr:uid="{00000000-0005-0000-0000-0000AE9A0000}"/>
    <cellStyle name="Normal 3 2 4 2 2 2 5 6" xfId="39910" xr:uid="{00000000-0005-0000-0000-0000AF9A0000}"/>
    <cellStyle name="Normal 3 2 4 2 2 2 6" xfId="39911" xr:uid="{00000000-0005-0000-0000-0000B09A0000}"/>
    <cellStyle name="Normal 3 2 4 2 2 2 6 2" xfId="39912" xr:uid="{00000000-0005-0000-0000-0000B19A0000}"/>
    <cellStyle name="Normal 3 2 4 2 2 2 6 3" xfId="39913" xr:uid="{00000000-0005-0000-0000-0000B29A0000}"/>
    <cellStyle name="Normal 3 2 4 2 2 2 7" xfId="39914" xr:uid="{00000000-0005-0000-0000-0000B39A0000}"/>
    <cellStyle name="Normal 3 2 4 2 2 2 8" xfId="39915" xr:uid="{00000000-0005-0000-0000-0000B49A0000}"/>
    <cellStyle name="Normal 3 2 4 2 2 2 9" xfId="39916" xr:uid="{00000000-0005-0000-0000-0000B59A0000}"/>
    <cellStyle name="Normal 3 2 4 2 2 3" xfId="39917" xr:uid="{00000000-0005-0000-0000-0000B69A0000}"/>
    <cellStyle name="Normal 3 2 4 2 2 3 2" xfId="39918" xr:uid="{00000000-0005-0000-0000-0000B79A0000}"/>
    <cellStyle name="Normal 3 2 4 2 2 3 2 2" xfId="39919" xr:uid="{00000000-0005-0000-0000-0000B89A0000}"/>
    <cellStyle name="Normal 3 2 4 2 2 3 2 2 2" xfId="39920" xr:uid="{00000000-0005-0000-0000-0000B99A0000}"/>
    <cellStyle name="Normal 3 2 4 2 2 3 2 2 2 2" xfId="39921" xr:uid="{00000000-0005-0000-0000-0000BA9A0000}"/>
    <cellStyle name="Normal 3 2 4 2 2 3 2 2 2 3" xfId="39922" xr:uid="{00000000-0005-0000-0000-0000BB9A0000}"/>
    <cellStyle name="Normal 3 2 4 2 2 3 2 2 3" xfId="39923" xr:uid="{00000000-0005-0000-0000-0000BC9A0000}"/>
    <cellStyle name="Normal 3 2 4 2 2 3 2 2 4" xfId="39924" xr:uid="{00000000-0005-0000-0000-0000BD9A0000}"/>
    <cellStyle name="Normal 3 2 4 2 2 3 2 2 5" xfId="39925" xr:uid="{00000000-0005-0000-0000-0000BE9A0000}"/>
    <cellStyle name="Normal 3 2 4 2 2 3 2 2 6" xfId="39926" xr:uid="{00000000-0005-0000-0000-0000BF9A0000}"/>
    <cellStyle name="Normal 3 2 4 2 2 3 2 3" xfId="39927" xr:uid="{00000000-0005-0000-0000-0000C09A0000}"/>
    <cellStyle name="Normal 3 2 4 2 2 3 2 3 2" xfId="39928" xr:uid="{00000000-0005-0000-0000-0000C19A0000}"/>
    <cellStyle name="Normal 3 2 4 2 2 3 2 3 3" xfId="39929" xr:uid="{00000000-0005-0000-0000-0000C29A0000}"/>
    <cellStyle name="Normal 3 2 4 2 2 3 2 4" xfId="39930" xr:uid="{00000000-0005-0000-0000-0000C39A0000}"/>
    <cellStyle name="Normal 3 2 4 2 2 3 2 5" xfId="39931" xr:uid="{00000000-0005-0000-0000-0000C49A0000}"/>
    <cellStyle name="Normal 3 2 4 2 2 3 2 6" xfId="39932" xr:uid="{00000000-0005-0000-0000-0000C59A0000}"/>
    <cellStyle name="Normal 3 2 4 2 2 3 2 7" xfId="39933" xr:uid="{00000000-0005-0000-0000-0000C69A0000}"/>
    <cellStyle name="Normal 3 2 4 2 2 3 3" xfId="39934" xr:uid="{00000000-0005-0000-0000-0000C79A0000}"/>
    <cellStyle name="Normal 3 2 4 2 2 3 3 2" xfId="39935" xr:uid="{00000000-0005-0000-0000-0000C89A0000}"/>
    <cellStyle name="Normal 3 2 4 2 2 3 3 2 2" xfId="39936" xr:uid="{00000000-0005-0000-0000-0000C99A0000}"/>
    <cellStyle name="Normal 3 2 4 2 2 3 3 2 3" xfId="39937" xr:uid="{00000000-0005-0000-0000-0000CA9A0000}"/>
    <cellStyle name="Normal 3 2 4 2 2 3 3 3" xfId="39938" xr:uid="{00000000-0005-0000-0000-0000CB9A0000}"/>
    <cellStyle name="Normal 3 2 4 2 2 3 3 4" xfId="39939" xr:uid="{00000000-0005-0000-0000-0000CC9A0000}"/>
    <cellStyle name="Normal 3 2 4 2 2 3 3 5" xfId="39940" xr:uid="{00000000-0005-0000-0000-0000CD9A0000}"/>
    <cellStyle name="Normal 3 2 4 2 2 3 3 6" xfId="39941" xr:uid="{00000000-0005-0000-0000-0000CE9A0000}"/>
    <cellStyle name="Normal 3 2 4 2 2 3 4" xfId="39942" xr:uid="{00000000-0005-0000-0000-0000CF9A0000}"/>
    <cellStyle name="Normal 3 2 4 2 2 3 4 2" xfId="39943" xr:uid="{00000000-0005-0000-0000-0000D09A0000}"/>
    <cellStyle name="Normal 3 2 4 2 2 3 4 2 2" xfId="39944" xr:uid="{00000000-0005-0000-0000-0000D19A0000}"/>
    <cellStyle name="Normal 3 2 4 2 2 3 4 2 3" xfId="39945" xr:uid="{00000000-0005-0000-0000-0000D29A0000}"/>
    <cellStyle name="Normal 3 2 4 2 2 3 4 3" xfId="39946" xr:uid="{00000000-0005-0000-0000-0000D39A0000}"/>
    <cellStyle name="Normal 3 2 4 2 2 3 4 4" xfId="39947" xr:uid="{00000000-0005-0000-0000-0000D49A0000}"/>
    <cellStyle name="Normal 3 2 4 2 2 3 4 5" xfId="39948" xr:uid="{00000000-0005-0000-0000-0000D59A0000}"/>
    <cellStyle name="Normal 3 2 4 2 2 3 4 6" xfId="39949" xr:uid="{00000000-0005-0000-0000-0000D69A0000}"/>
    <cellStyle name="Normal 3 2 4 2 2 3 5" xfId="39950" xr:uid="{00000000-0005-0000-0000-0000D79A0000}"/>
    <cellStyle name="Normal 3 2 4 2 2 3 5 2" xfId="39951" xr:uid="{00000000-0005-0000-0000-0000D89A0000}"/>
    <cellStyle name="Normal 3 2 4 2 2 3 5 3" xfId="39952" xr:uid="{00000000-0005-0000-0000-0000D99A0000}"/>
    <cellStyle name="Normal 3 2 4 2 2 3 6" xfId="39953" xr:uid="{00000000-0005-0000-0000-0000DA9A0000}"/>
    <cellStyle name="Normal 3 2 4 2 2 3 7" xfId="39954" xr:uid="{00000000-0005-0000-0000-0000DB9A0000}"/>
    <cellStyle name="Normal 3 2 4 2 2 3 8" xfId="39955" xr:uid="{00000000-0005-0000-0000-0000DC9A0000}"/>
    <cellStyle name="Normal 3 2 4 2 2 3 9" xfId="39956" xr:uid="{00000000-0005-0000-0000-0000DD9A0000}"/>
    <cellStyle name="Normal 3 2 4 2 2 4" xfId="39957" xr:uid="{00000000-0005-0000-0000-0000DE9A0000}"/>
    <cellStyle name="Normal 3 2 4 2 2 4 2" xfId="39958" xr:uid="{00000000-0005-0000-0000-0000DF9A0000}"/>
    <cellStyle name="Normal 3 2 4 2 2 4 2 2" xfId="39959" xr:uid="{00000000-0005-0000-0000-0000E09A0000}"/>
    <cellStyle name="Normal 3 2 4 2 2 4 2 2 2" xfId="39960" xr:uid="{00000000-0005-0000-0000-0000E19A0000}"/>
    <cellStyle name="Normal 3 2 4 2 2 4 2 2 3" xfId="39961" xr:uid="{00000000-0005-0000-0000-0000E29A0000}"/>
    <cellStyle name="Normal 3 2 4 2 2 4 2 3" xfId="39962" xr:uid="{00000000-0005-0000-0000-0000E39A0000}"/>
    <cellStyle name="Normal 3 2 4 2 2 4 2 4" xfId="39963" xr:uid="{00000000-0005-0000-0000-0000E49A0000}"/>
    <cellStyle name="Normal 3 2 4 2 2 4 2 5" xfId="39964" xr:uid="{00000000-0005-0000-0000-0000E59A0000}"/>
    <cellStyle name="Normal 3 2 4 2 2 4 2 6" xfId="39965" xr:uid="{00000000-0005-0000-0000-0000E69A0000}"/>
    <cellStyle name="Normal 3 2 4 2 2 4 3" xfId="39966" xr:uid="{00000000-0005-0000-0000-0000E79A0000}"/>
    <cellStyle name="Normal 3 2 4 2 2 4 3 2" xfId="39967" xr:uid="{00000000-0005-0000-0000-0000E89A0000}"/>
    <cellStyle name="Normal 3 2 4 2 2 4 3 3" xfId="39968" xr:uid="{00000000-0005-0000-0000-0000E99A0000}"/>
    <cellStyle name="Normal 3 2 4 2 2 4 4" xfId="39969" xr:uid="{00000000-0005-0000-0000-0000EA9A0000}"/>
    <cellStyle name="Normal 3 2 4 2 2 4 5" xfId="39970" xr:uid="{00000000-0005-0000-0000-0000EB9A0000}"/>
    <cellStyle name="Normal 3 2 4 2 2 4 6" xfId="39971" xr:uid="{00000000-0005-0000-0000-0000EC9A0000}"/>
    <cellStyle name="Normal 3 2 4 2 2 4 7" xfId="39972" xr:uid="{00000000-0005-0000-0000-0000ED9A0000}"/>
    <cellStyle name="Normal 3 2 4 2 2 5" xfId="39973" xr:uid="{00000000-0005-0000-0000-0000EE9A0000}"/>
    <cellStyle name="Normal 3 2 4 2 2 5 2" xfId="39974" xr:uid="{00000000-0005-0000-0000-0000EF9A0000}"/>
    <cellStyle name="Normal 3 2 4 2 2 5 2 2" xfId="39975" xr:uid="{00000000-0005-0000-0000-0000F09A0000}"/>
    <cellStyle name="Normal 3 2 4 2 2 5 2 3" xfId="39976" xr:uid="{00000000-0005-0000-0000-0000F19A0000}"/>
    <cellStyle name="Normal 3 2 4 2 2 5 3" xfId="39977" xr:uid="{00000000-0005-0000-0000-0000F29A0000}"/>
    <cellStyle name="Normal 3 2 4 2 2 5 4" xfId="39978" xr:uid="{00000000-0005-0000-0000-0000F39A0000}"/>
    <cellStyle name="Normal 3 2 4 2 2 5 5" xfId="39979" xr:uid="{00000000-0005-0000-0000-0000F49A0000}"/>
    <cellStyle name="Normal 3 2 4 2 2 5 6" xfId="39980" xr:uid="{00000000-0005-0000-0000-0000F59A0000}"/>
    <cellStyle name="Normal 3 2 4 2 2 6" xfId="39981" xr:uid="{00000000-0005-0000-0000-0000F69A0000}"/>
    <cellStyle name="Normal 3 2 4 2 2 6 2" xfId="39982" xr:uid="{00000000-0005-0000-0000-0000F79A0000}"/>
    <cellStyle name="Normal 3 2 4 2 2 6 2 2" xfId="39983" xr:uid="{00000000-0005-0000-0000-0000F89A0000}"/>
    <cellStyle name="Normal 3 2 4 2 2 6 2 3" xfId="39984" xr:uid="{00000000-0005-0000-0000-0000F99A0000}"/>
    <cellStyle name="Normal 3 2 4 2 2 6 3" xfId="39985" xr:uid="{00000000-0005-0000-0000-0000FA9A0000}"/>
    <cellStyle name="Normal 3 2 4 2 2 6 4" xfId="39986" xr:uid="{00000000-0005-0000-0000-0000FB9A0000}"/>
    <cellStyle name="Normal 3 2 4 2 2 6 5" xfId="39987" xr:uid="{00000000-0005-0000-0000-0000FC9A0000}"/>
    <cellStyle name="Normal 3 2 4 2 2 6 6" xfId="39988" xr:uid="{00000000-0005-0000-0000-0000FD9A0000}"/>
    <cellStyle name="Normal 3 2 4 2 2 7" xfId="39989" xr:uid="{00000000-0005-0000-0000-0000FE9A0000}"/>
    <cellStyle name="Normal 3 2 4 2 2 7 2" xfId="39990" xr:uid="{00000000-0005-0000-0000-0000FF9A0000}"/>
    <cellStyle name="Normal 3 2 4 2 2 7 2 2" xfId="39991" xr:uid="{00000000-0005-0000-0000-0000009B0000}"/>
    <cellStyle name="Normal 3 2 4 2 2 7 2 3" xfId="39992" xr:uid="{00000000-0005-0000-0000-0000019B0000}"/>
    <cellStyle name="Normal 3 2 4 2 2 7 3" xfId="39993" xr:uid="{00000000-0005-0000-0000-0000029B0000}"/>
    <cellStyle name="Normal 3 2 4 2 2 7 4" xfId="39994" xr:uid="{00000000-0005-0000-0000-0000039B0000}"/>
    <cellStyle name="Normal 3 2 4 2 2 7 5" xfId="39995" xr:uid="{00000000-0005-0000-0000-0000049B0000}"/>
    <cellStyle name="Normal 3 2 4 2 2 7 6" xfId="39996" xr:uid="{00000000-0005-0000-0000-0000059B0000}"/>
    <cellStyle name="Normal 3 2 4 2 2 8" xfId="39997" xr:uid="{00000000-0005-0000-0000-0000069B0000}"/>
    <cellStyle name="Normal 3 2 4 2 2 8 2" xfId="39998" xr:uid="{00000000-0005-0000-0000-0000079B0000}"/>
    <cellStyle name="Normal 3 2 4 2 2 8 2 2" xfId="39999" xr:uid="{00000000-0005-0000-0000-0000089B0000}"/>
    <cellStyle name="Normal 3 2 4 2 2 8 2 3" xfId="40000" xr:uid="{00000000-0005-0000-0000-0000099B0000}"/>
    <cellStyle name="Normal 3 2 4 2 2 8 3" xfId="40001" xr:uid="{00000000-0005-0000-0000-00000A9B0000}"/>
    <cellStyle name="Normal 3 2 4 2 2 8 4" xfId="40002" xr:uid="{00000000-0005-0000-0000-00000B9B0000}"/>
    <cellStyle name="Normal 3 2 4 2 2 8 5" xfId="40003" xr:uid="{00000000-0005-0000-0000-00000C9B0000}"/>
    <cellStyle name="Normal 3 2 4 2 2 8 6" xfId="40004" xr:uid="{00000000-0005-0000-0000-00000D9B0000}"/>
    <cellStyle name="Normal 3 2 4 2 2 9" xfId="40005" xr:uid="{00000000-0005-0000-0000-00000E9B0000}"/>
    <cellStyle name="Normal 3 2 4 2 2 9 2" xfId="40006" xr:uid="{00000000-0005-0000-0000-00000F9B0000}"/>
    <cellStyle name="Normal 3 2 4 2 2 9 3" xfId="40007" xr:uid="{00000000-0005-0000-0000-0000109B0000}"/>
    <cellStyle name="Normal 3 2 4 2 3" xfId="40008" xr:uid="{00000000-0005-0000-0000-0000119B0000}"/>
    <cellStyle name="Normal 3 2 4 2 3 10" xfId="40009" xr:uid="{00000000-0005-0000-0000-0000129B0000}"/>
    <cellStyle name="Normal 3 2 4 2 3 2" xfId="40010" xr:uid="{00000000-0005-0000-0000-0000139B0000}"/>
    <cellStyle name="Normal 3 2 4 2 3 2 2" xfId="40011" xr:uid="{00000000-0005-0000-0000-0000149B0000}"/>
    <cellStyle name="Normal 3 2 4 2 3 2 2 2" xfId="40012" xr:uid="{00000000-0005-0000-0000-0000159B0000}"/>
    <cellStyle name="Normal 3 2 4 2 3 2 2 2 2" xfId="40013" xr:uid="{00000000-0005-0000-0000-0000169B0000}"/>
    <cellStyle name="Normal 3 2 4 2 3 2 2 2 3" xfId="40014" xr:uid="{00000000-0005-0000-0000-0000179B0000}"/>
    <cellStyle name="Normal 3 2 4 2 3 2 2 3" xfId="40015" xr:uid="{00000000-0005-0000-0000-0000189B0000}"/>
    <cellStyle name="Normal 3 2 4 2 3 2 2 4" xfId="40016" xr:uid="{00000000-0005-0000-0000-0000199B0000}"/>
    <cellStyle name="Normal 3 2 4 2 3 2 2 5" xfId="40017" xr:uid="{00000000-0005-0000-0000-00001A9B0000}"/>
    <cellStyle name="Normal 3 2 4 2 3 2 2 6" xfId="40018" xr:uid="{00000000-0005-0000-0000-00001B9B0000}"/>
    <cellStyle name="Normal 3 2 4 2 3 2 3" xfId="40019" xr:uid="{00000000-0005-0000-0000-00001C9B0000}"/>
    <cellStyle name="Normal 3 2 4 2 3 2 3 2" xfId="40020" xr:uid="{00000000-0005-0000-0000-00001D9B0000}"/>
    <cellStyle name="Normal 3 2 4 2 3 2 3 2 2" xfId="40021" xr:uid="{00000000-0005-0000-0000-00001E9B0000}"/>
    <cellStyle name="Normal 3 2 4 2 3 2 3 2 3" xfId="40022" xr:uid="{00000000-0005-0000-0000-00001F9B0000}"/>
    <cellStyle name="Normal 3 2 4 2 3 2 3 3" xfId="40023" xr:uid="{00000000-0005-0000-0000-0000209B0000}"/>
    <cellStyle name="Normal 3 2 4 2 3 2 3 4" xfId="40024" xr:uid="{00000000-0005-0000-0000-0000219B0000}"/>
    <cellStyle name="Normal 3 2 4 2 3 2 3 5" xfId="40025" xr:uid="{00000000-0005-0000-0000-0000229B0000}"/>
    <cellStyle name="Normal 3 2 4 2 3 2 3 6" xfId="40026" xr:uid="{00000000-0005-0000-0000-0000239B0000}"/>
    <cellStyle name="Normal 3 2 4 2 3 2 4" xfId="40027" xr:uid="{00000000-0005-0000-0000-0000249B0000}"/>
    <cellStyle name="Normal 3 2 4 2 3 2 4 2" xfId="40028" xr:uid="{00000000-0005-0000-0000-0000259B0000}"/>
    <cellStyle name="Normal 3 2 4 2 3 2 4 3" xfId="40029" xr:uid="{00000000-0005-0000-0000-0000269B0000}"/>
    <cellStyle name="Normal 3 2 4 2 3 2 5" xfId="40030" xr:uid="{00000000-0005-0000-0000-0000279B0000}"/>
    <cellStyle name="Normal 3 2 4 2 3 2 6" xfId="40031" xr:uid="{00000000-0005-0000-0000-0000289B0000}"/>
    <cellStyle name="Normal 3 2 4 2 3 2 7" xfId="40032" xr:uid="{00000000-0005-0000-0000-0000299B0000}"/>
    <cellStyle name="Normal 3 2 4 2 3 2 8" xfId="40033" xr:uid="{00000000-0005-0000-0000-00002A9B0000}"/>
    <cellStyle name="Normal 3 2 4 2 3 3" xfId="40034" xr:uid="{00000000-0005-0000-0000-00002B9B0000}"/>
    <cellStyle name="Normal 3 2 4 2 3 3 2" xfId="40035" xr:uid="{00000000-0005-0000-0000-00002C9B0000}"/>
    <cellStyle name="Normal 3 2 4 2 3 3 2 2" xfId="40036" xr:uid="{00000000-0005-0000-0000-00002D9B0000}"/>
    <cellStyle name="Normal 3 2 4 2 3 3 2 2 2" xfId="40037" xr:uid="{00000000-0005-0000-0000-00002E9B0000}"/>
    <cellStyle name="Normal 3 2 4 2 3 3 2 2 3" xfId="40038" xr:uid="{00000000-0005-0000-0000-00002F9B0000}"/>
    <cellStyle name="Normal 3 2 4 2 3 3 2 3" xfId="40039" xr:uid="{00000000-0005-0000-0000-0000309B0000}"/>
    <cellStyle name="Normal 3 2 4 2 3 3 2 4" xfId="40040" xr:uid="{00000000-0005-0000-0000-0000319B0000}"/>
    <cellStyle name="Normal 3 2 4 2 3 3 2 5" xfId="40041" xr:uid="{00000000-0005-0000-0000-0000329B0000}"/>
    <cellStyle name="Normal 3 2 4 2 3 3 2 6" xfId="40042" xr:uid="{00000000-0005-0000-0000-0000339B0000}"/>
    <cellStyle name="Normal 3 2 4 2 3 3 3" xfId="40043" xr:uid="{00000000-0005-0000-0000-0000349B0000}"/>
    <cellStyle name="Normal 3 2 4 2 3 3 3 2" xfId="40044" xr:uid="{00000000-0005-0000-0000-0000359B0000}"/>
    <cellStyle name="Normal 3 2 4 2 3 3 3 3" xfId="40045" xr:uid="{00000000-0005-0000-0000-0000369B0000}"/>
    <cellStyle name="Normal 3 2 4 2 3 3 4" xfId="40046" xr:uid="{00000000-0005-0000-0000-0000379B0000}"/>
    <cellStyle name="Normal 3 2 4 2 3 3 5" xfId="40047" xr:uid="{00000000-0005-0000-0000-0000389B0000}"/>
    <cellStyle name="Normal 3 2 4 2 3 3 6" xfId="40048" xr:uid="{00000000-0005-0000-0000-0000399B0000}"/>
    <cellStyle name="Normal 3 2 4 2 3 3 7" xfId="40049" xr:uid="{00000000-0005-0000-0000-00003A9B0000}"/>
    <cellStyle name="Normal 3 2 4 2 3 4" xfId="40050" xr:uid="{00000000-0005-0000-0000-00003B9B0000}"/>
    <cellStyle name="Normal 3 2 4 2 3 4 2" xfId="40051" xr:uid="{00000000-0005-0000-0000-00003C9B0000}"/>
    <cellStyle name="Normal 3 2 4 2 3 4 2 2" xfId="40052" xr:uid="{00000000-0005-0000-0000-00003D9B0000}"/>
    <cellStyle name="Normal 3 2 4 2 3 4 2 3" xfId="40053" xr:uid="{00000000-0005-0000-0000-00003E9B0000}"/>
    <cellStyle name="Normal 3 2 4 2 3 4 3" xfId="40054" xr:uid="{00000000-0005-0000-0000-00003F9B0000}"/>
    <cellStyle name="Normal 3 2 4 2 3 4 4" xfId="40055" xr:uid="{00000000-0005-0000-0000-0000409B0000}"/>
    <cellStyle name="Normal 3 2 4 2 3 4 5" xfId="40056" xr:uid="{00000000-0005-0000-0000-0000419B0000}"/>
    <cellStyle name="Normal 3 2 4 2 3 4 6" xfId="40057" xr:uid="{00000000-0005-0000-0000-0000429B0000}"/>
    <cellStyle name="Normal 3 2 4 2 3 5" xfId="40058" xr:uid="{00000000-0005-0000-0000-0000439B0000}"/>
    <cellStyle name="Normal 3 2 4 2 3 5 2" xfId="40059" xr:uid="{00000000-0005-0000-0000-0000449B0000}"/>
    <cellStyle name="Normal 3 2 4 2 3 5 2 2" xfId="40060" xr:uid="{00000000-0005-0000-0000-0000459B0000}"/>
    <cellStyle name="Normal 3 2 4 2 3 5 2 3" xfId="40061" xr:uid="{00000000-0005-0000-0000-0000469B0000}"/>
    <cellStyle name="Normal 3 2 4 2 3 5 3" xfId="40062" xr:uid="{00000000-0005-0000-0000-0000479B0000}"/>
    <cellStyle name="Normal 3 2 4 2 3 5 4" xfId="40063" xr:uid="{00000000-0005-0000-0000-0000489B0000}"/>
    <cellStyle name="Normal 3 2 4 2 3 5 5" xfId="40064" xr:uid="{00000000-0005-0000-0000-0000499B0000}"/>
    <cellStyle name="Normal 3 2 4 2 3 5 6" xfId="40065" xr:uid="{00000000-0005-0000-0000-00004A9B0000}"/>
    <cellStyle name="Normal 3 2 4 2 3 6" xfId="40066" xr:uid="{00000000-0005-0000-0000-00004B9B0000}"/>
    <cellStyle name="Normal 3 2 4 2 3 6 2" xfId="40067" xr:uid="{00000000-0005-0000-0000-00004C9B0000}"/>
    <cellStyle name="Normal 3 2 4 2 3 6 3" xfId="40068" xr:uid="{00000000-0005-0000-0000-00004D9B0000}"/>
    <cellStyle name="Normal 3 2 4 2 3 7" xfId="40069" xr:uid="{00000000-0005-0000-0000-00004E9B0000}"/>
    <cellStyle name="Normal 3 2 4 2 3 8" xfId="40070" xr:uid="{00000000-0005-0000-0000-00004F9B0000}"/>
    <cellStyle name="Normal 3 2 4 2 3 9" xfId="40071" xr:uid="{00000000-0005-0000-0000-0000509B0000}"/>
    <cellStyle name="Normal 3 2 4 2 4" xfId="40072" xr:uid="{00000000-0005-0000-0000-0000519B0000}"/>
    <cellStyle name="Normal 3 2 4 2 4 2" xfId="40073" xr:uid="{00000000-0005-0000-0000-0000529B0000}"/>
    <cellStyle name="Normal 3 2 4 2 4 2 2" xfId="40074" xr:uid="{00000000-0005-0000-0000-0000539B0000}"/>
    <cellStyle name="Normal 3 2 4 2 4 2 2 2" xfId="40075" xr:uid="{00000000-0005-0000-0000-0000549B0000}"/>
    <cellStyle name="Normal 3 2 4 2 4 2 2 2 2" xfId="40076" xr:uid="{00000000-0005-0000-0000-0000559B0000}"/>
    <cellStyle name="Normal 3 2 4 2 4 2 2 2 3" xfId="40077" xr:uid="{00000000-0005-0000-0000-0000569B0000}"/>
    <cellStyle name="Normal 3 2 4 2 4 2 2 3" xfId="40078" xr:uid="{00000000-0005-0000-0000-0000579B0000}"/>
    <cellStyle name="Normal 3 2 4 2 4 2 2 4" xfId="40079" xr:uid="{00000000-0005-0000-0000-0000589B0000}"/>
    <cellStyle name="Normal 3 2 4 2 4 2 2 5" xfId="40080" xr:uid="{00000000-0005-0000-0000-0000599B0000}"/>
    <cellStyle name="Normal 3 2 4 2 4 2 2 6" xfId="40081" xr:uid="{00000000-0005-0000-0000-00005A9B0000}"/>
    <cellStyle name="Normal 3 2 4 2 4 2 3" xfId="40082" xr:uid="{00000000-0005-0000-0000-00005B9B0000}"/>
    <cellStyle name="Normal 3 2 4 2 4 2 3 2" xfId="40083" xr:uid="{00000000-0005-0000-0000-00005C9B0000}"/>
    <cellStyle name="Normal 3 2 4 2 4 2 3 3" xfId="40084" xr:uid="{00000000-0005-0000-0000-00005D9B0000}"/>
    <cellStyle name="Normal 3 2 4 2 4 2 4" xfId="40085" xr:uid="{00000000-0005-0000-0000-00005E9B0000}"/>
    <cellStyle name="Normal 3 2 4 2 4 2 5" xfId="40086" xr:uid="{00000000-0005-0000-0000-00005F9B0000}"/>
    <cellStyle name="Normal 3 2 4 2 4 2 6" xfId="40087" xr:uid="{00000000-0005-0000-0000-0000609B0000}"/>
    <cellStyle name="Normal 3 2 4 2 4 2 7" xfId="40088" xr:uid="{00000000-0005-0000-0000-0000619B0000}"/>
    <cellStyle name="Normal 3 2 4 2 4 3" xfId="40089" xr:uid="{00000000-0005-0000-0000-0000629B0000}"/>
    <cellStyle name="Normal 3 2 4 2 4 3 2" xfId="40090" xr:uid="{00000000-0005-0000-0000-0000639B0000}"/>
    <cellStyle name="Normal 3 2 4 2 4 3 2 2" xfId="40091" xr:uid="{00000000-0005-0000-0000-0000649B0000}"/>
    <cellStyle name="Normal 3 2 4 2 4 3 2 3" xfId="40092" xr:uid="{00000000-0005-0000-0000-0000659B0000}"/>
    <cellStyle name="Normal 3 2 4 2 4 3 3" xfId="40093" xr:uid="{00000000-0005-0000-0000-0000669B0000}"/>
    <cellStyle name="Normal 3 2 4 2 4 3 4" xfId="40094" xr:uid="{00000000-0005-0000-0000-0000679B0000}"/>
    <cellStyle name="Normal 3 2 4 2 4 3 5" xfId="40095" xr:uid="{00000000-0005-0000-0000-0000689B0000}"/>
    <cellStyle name="Normal 3 2 4 2 4 3 6" xfId="40096" xr:uid="{00000000-0005-0000-0000-0000699B0000}"/>
    <cellStyle name="Normal 3 2 4 2 4 4" xfId="40097" xr:uid="{00000000-0005-0000-0000-00006A9B0000}"/>
    <cellStyle name="Normal 3 2 4 2 4 4 2" xfId="40098" xr:uid="{00000000-0005-0000-0000-00006B9B0000}"/>
    <cellStyle name="Normal 3 2 4 2 4 4 2 2" xfId="40099" xr:uid="{00000000-0005-0000-0000-00006C9B0000}"/>
    <cellStyle name="Normal 3 2 4 2 4 4 2 3" xfId="40100" xr:uid="{00000000-0005-0000-0000-00006D9B0000}"/>
    <cellStyle name="Normal 3 2 4 2 4 4 3" xfId="40101" xr:uid="{00000000-0005-0000-0000-00006E9B0000}"/>
    <cellStyle name="Normal 3 2 4 2 4 4 4" xfId="40102" xr:uid="{00000000-0005-0000-0000-00006F9B0000}"/>
    <cellStyle name="Normal 3 2 4 2 4 4 5" xfId="40103" xr:uid="{00000000-0005-0000-0000-0000709B0000}"/>
    <cellStyle name="Normal 3 2 4 2 4 4 6" xfId="40104" xr:uid="{00000000-0005-0000-0000-0000719B0000}"/>
    <cellStyle name="Normal 3 2 4 2 4 5" xfId="40105" xr:uid="{00000000-0005-0000-0000-0000729B0000}"/>
    <cellStyle name="Normal 3 2 4 2 4 5 2" xfId="40106" xr:uid="{00000000-0005-0000-0000-0000739B0000}"/>
    <cellStyle name="Normal 3 2 4 2 4 5 3" xfId="40107" xr:uid="{00000000-0005-0000-0000-0000749B0000}"/>
    <cellStyle name="Normal 3 2 4 2 4 6" xfId="40108" xr:uid="{00000000-0005-0000-0000-0000759B0000}"/>
    <cellStyle name="Normal 3 2 4 2 4 7" xfId="40109" xr:uid="{00000000-0005-0000-0000-0000769B0000}"/>
    <cellStyle name="Normal 3 2 4 2 4 8" xfId="40110" xr:uid="{00000000-0005-0000-0000-0000779B0000}"/>
    <cellStyle name="Normal 3 2 4 2 4 9" xfId="40111" xr:uid="{00000000-0005-0000-0000-0000789B0000}"/>
    <cellStyle name="Normal 3 2 4 2 5" xfId="40112" xr:uid="{00000000-0005-0000-0000-0000799B0000}"/>
    <cellStyle name="Normal 3 2 4 2 5 2" xfId="40113" xr:uid="{00000000-0005-0000-0000-00007A9B0000}"/>
    <cellStyle name="Normal 3 2 4 2 5 2 2" xfId="40114" xr:uid="{00000000-0005-0000-0000-00007B9B0000}"/>
    <cellStyle name="Normal 3 2 4 2 5 2 2 2" xfId="40115" xr:uid="{00000000-0005-0000-0000-00007C9B0000}"/>
    <cellStyle name="Normal 3 2 4 2 5 2 2 3" xfId="40116" xr:uid="{00000000-0005-0000-0000-00007D9B0000}"/>
    <cellStyle name="Normal 3 2 4 2 5 2 3" xfId="40117" xr:uid="{00000000-0005-0000-0000-00007E9B0000}"/>
    <cellStyle name="Normal 3 2 4 2 5 2 4" xfId="40118" xr:uid="{00000000-0005-0000-0000-00007F9B0000}"/>
    <cellStyle name="Normal 3 2 4 2 5 2 5" xfId="40119" xr:uid="{00000000-0005-0000-0000-0000809B0000}"/>
    <cellStyle name="Normal 3 2 4 2 5 2 6" xfId="40120" xr:uid="{00000000-0005-0000-0000-0000819B0000}"/>
    <cellStyle name="Normal 3 2 4 2 5 3" xfId="40121" xr:uid="{00000000-0005-0000-0000-0000829B0000}"/>
    <cellStyle name="Normal 3 2 4 2 5 3 2" xfId="40122" xr:uid="{00000000-0005-0000-0000-0000839B0000}"/>
    <cellStyle name="Normal 3 2 4 2 5 3 3" xfId="40123" xr:uid="{00000000-0005-0000-0000-0000849B0000}"/>
    <cellStyle name="Normal 3 2 4 2 5 4" xfId="40124" xr:uid="{00000000-0005-0000-0000-0000859B0000}"/>
    <cellStyle name="Normal 3 2 4 2 5 5" xfId="40125" xr:uid="{00000000-0005-0000-0000-0000869B0000}"/>
    <cellStyle name="Normal 3 2 4 2 5 6" xfId="40126" xr:uid="{00000000-0005-0000-0000-0000879B0000}"/>
    <cellStyle name="Normal 3 2 4 2 5 7" xfId="40127" xr:uid="{00000000-0005-0000-0000-0000889B0000}"/>
    <cellStyle name="Normal 3 2 4 2 6" xfId="40128" xr:uid="{00000000-0005-0000-0000-0000899B0000}"/>
    <cellStyle name="Normal 3 2 4 2 6 2" xfId="40129" xr:uid="{00000000-0005-0000-0000-00008A9B0000}"/>
    <cellStyle name="Normal 3 2 4 2 6 2 2" xfId="40130" xr:uid="{00000000-0005-0000-0000-00008B9B0000}"/>
    <cellStyle name="Normal 3 2 4 2 6 2 3" xfId="40131" xr:uid="{00000000-0005-0000-0000-00008C9B0000}"/>
    <cellStyle name="Normal 3 2 4 2 6 3" xfId="40132" xr:uid="{00000000-0005-0000-0000-00008D9B0000}"/>
    <cellStyle name="Normal 3 2 4 2 6 4" xfId="40133" xr:uid="{00000000-0005-0000-0000-00008E9B0000}"/>
    <cellStyle name="Normal 3 2 4 2 6 5" xfId="40134" xr:uid="{00000000-0005-0000-0000-00008F9B0000}"/>
    <cellStyle name="Normal 3 2 4 2 6 6" xfId="40135" xr:uid="{00000000-0005-0000-0000-0000909B0000}"/>
    <cellStyle name="Normal 3 2 4 2 7" xfId="40136" xr:uid="{00000000-0005-0000-0000-0000919B0000}"/>
    <cellStyle name="Normal 3 2 4 2 7 2" xfId="40137" xr:uid="{00000000-0005-0000-0000-0000929B0000}"/>
    <cellStyle name="Normal 3 2 4 2 7 2 2" xfId="40138" xr:uid="{00000000-0005-0000-0000-0000939B0000}"/>
    <cellStyle name="Normal 3 2 4 2 7 2 3" xfId="40139" xr:uid="{00000000-0005-0000-0000-0000949B0000}"/>
    <cellStyle name="Normal 3 2 4 2 7 3" xfId="40140" xr:uid="{00000000-0005-0000-0000-0000959B0000}"/>
    <cellStyle name="Normal 3 2 4 2 7 4" xfId="40141" xr:uid="{00000000-0005-0000-0000-0000969B0000}"/>
    <cellStyle name="Normal 3 2 4 2 7 5" xfId="40142" xr:uid="{00000000-0005-0000-0000-0000979B0000}"/>
    <cellStyle name="Normal 3 2 4 2 7 6" xfId="40143" xr:uid="{00000000-0005-0000-0000-0000989B0000}"/>
    <cellStyle name="Normal 3 2 4 2 8" xfId="40144" xr:uid="{00000000-0005-0000-0000-0000999B0000}"/>
    <cellStyle name="Normal 3 2 4 2 8 2" xfId="40145" xr:uid="{00000000-0005-0000-0000-00009A9B0000}"/>
    <cellStyle name="Normal 3 2 4 2 8 2 2" xfId="40146" xr:uid="{00000000-0005-0000-0000-00009B9B0000}"/>
    <cellStyle name="Normal 3 2 4 2 8 2 3" xfId="40147" xr:uid="{00000000-0005-0000-0000-00009C9B0000}"/>
    <cellStyle name="Normal 3 2 4 2 8 3" xfId="40148" xr:uid="{00000000-0005-0000-0000-00009D9B0000}"/>
    <cellStyle name="Normal 3 2 4 2 8 4" xfId="40149" xr:uid="{00000000-0005-0000-0000-00009E9B0000}"/>
    <cellStyle name="Normal 3 2 4 2 8 5" xfId="40150" xr:uid="{00000000-0005-0000-0000-00009F9B0000}"/>
    <cellStyle name="Normal 3 2 4 2 8 6" xfId="40151" xr:uid="{00000000-0005-0000-0000-0000A09B0000}"/>
    <cellStyle name="Normal 3 2 4 2 9" xfId="40152" xr:uid="{00000000-0005-0000-0000-0000A19B0000}"/>
    <cellStyle name="Normal 3 2 4 2 9 2" xfId="40153" xr:uid="{00000000-0005-0000-0000-0000A29B0000}"/>
    <cellStyle name="Normal 3 2 4 2 9 2 2" xfId="40154" xr:uid="{00000000-0005-0000-0000-0000A39B0000}"/>
    <cellStyle name="Normal 3 2 4 2 9 2 3" xfId="40155" xr:uid="{00000000-0005-0000-0000-0000A49B0000}"/>
    <cellStyle name="Normal 3 2 4 2 9 3" xfId="40156" xr:uid="{00000000-0005-0000-0000-0000A59B0000}"/>
    <cellStyle name="Normal 3 2 4 2 9 4" xfId="40157" xr:uid="{00000000-0005-0000-0000-0000A69B0000}"/>
    <cellStyle name="Normal 3 2 4 2 9 5" xfId="40158" xr:uid="{00000000-0005-0000-0000-0000A79B0000}"/>
    <cellStyle name="Normal 3 2 4 2 9 6" xfId="40159" xr:uid="{00000000-0005-0000-0000-0000A89B0000}"/>
    <cellStyle name="Normal 3 2 4 3" xfId="40160" xr:uid="{00000000-0005-0000-0000-0000A99B0000}"/>
    <cellStyle name="Normal 3 2 4 3 10" xfId="40161" xr:uid="{00000000-0005-0000-0000-0000AA9B0000}"/>
    <cellStyle name="Normal 3 2 4 3 11" xfId="40162" xr:uid="{00000000-0005-0000-0000-0000AB9B0000}"/>
    <cellStyle name="Normal 3 2 4 3 12" xfId="40163" xr:uid="{00000000-0005-0000-0000-0000AC9B0000}"/>
    <cellStyle name="Normal 3 2 4 3 13" xfId="40164" xr:uid="{00000000-0005-0000-0000-0000AD9B0000}"/>
    <cellStyle name="Normal 3 2 4 3 2" xfId="40165" xr:uid="{00000000-0005-0000-0000-0000AE9B0000}"/>
    <cellStyle name="Normal 3 2 4 3 2 10" xfId="40166" xr:uid="{00000000-0005-0000-0000-0000AF9B0000}"/>
    <cellStyle name="Normal 3 2 4 3 2 2" xfId="40167" xr:uid="{00000000-0005-0000-0000-0000B09B0000}"/>
    <cellStyle name="Normal 3 2 4 3 2 2 2" xfId="40168" xr:uid="{00000000-0005-0000-0000-0000B19B0000}"/>
    <cellStyle name="Normal 3 2 4 3 2 2 2 2" xfId="40169" xr:uid="{00000000-0005-0000-0000-0000B29B0000}"/>
    <cellStyle name="Normal 3 2 4 3 2 2 2 2 2" xfId="40170" xr:uid="{00000000-0005-0000-0000-0000B39B0000}"/>
    <cellStyle name="Normal 3 2 4 3 2 2 2 2 3" xfId="40171" xr:uid="{00000000-0005-0000-0000-0000B49B0000}"/>
    <cellStyle name="Normal 3 2 4 3 2 2 2 3" xfId="40172" xr:uid="{00000000-0005-0000-0000-0000B59B0000}"/>
    <cellStyle name="Normal 3 2 4 3 2 2 2 4" xfId="40173" xr:uid="{00000000-0005-0000-0000-0000B69B0000}"/>
    <cellStyle name="Normal 3 2 4 3 2 2 2 5" xfId="40174" xr:uid="{00000000-0005-0000-0000-0000B79B0000}"/>
    <cellStyle name="Normal 3 2 4 3 2 2 2 6" xfId="40175" xr:uid="{00000000-0005-0000-0000-0000B89B0000}"/>
    <cellStyle name="Normal 3 2 4 3 2 2 3" xfId="40176" xr:uid="{00000000-0005-0000-0000-0000B99B0000}"/>
    <cellStyle name="Normal 3 2 4 3 2 2 3 2" xfId="40177" xr:uid="{00000000-0005-0000-0000-0000BA9B0000}"/>
    <cellStyle name="Normal 3 2 4 3 2 2 3 2 2" xfId="40178" xr:uid="{00000000-0005-0000-0000-0000BB9B0000}"/>
    <cellStyle name="Normal 3 2 4 3 2 2 3 2 3" xfId="40179" xr:uid="{00000000-0005-0000-0000-0000BC9B0000}"/>
    <cellStyle name="Normal 3 2 4 3 2 2 3 3" xfId="40180" xr:uid="{00000000-0005-0000-0000-0000BD9B0000}"/>
    <cellStyle name="Normal 3 2 4 3 2 2 3 4" xfId="40181" xr:uid="{00000000-0005-0000-0000-0000BE9B0000}"/>
    <cellStyle name="Normal 3 2 4 3 2 2 3 5" xfId="40182" xr:uid="{00000000-0005-0000-0000-0000BF9B0000}"/>
    <cellStyle name="Normal 3 2 4 3 2 2 3 6" xfId="40183" xr:uid="{00000000-0005-0000-0000-0000C09B0000}"/>
    <cellStyle name="Normal 3 2 4 3 2 2 4" xfId="40184" xr:uid="{00000000-0005-0000-0000-0000C19B0000}"/>
    <cellStyle name="Normal 3 2 4 3 2 2 4 2" xfId="40185" xr:uid="{00000000-0005-0000-0000-0000C29B0000}"/>
    <cellStyle name="Normal 3 2 4 3 2 2 4 3" xfId="40186" xr:uid="{00000000-0005-0000-0000-0000C39B0000}"/>
    <cellStyle name="Normal 3 2 4 3 2 2 5" xfId="40187" xr:uid="{00000000-0005-0000-0000-0000C49B0000}"/>
    <cellStyle name="Normal 3 2 4 3 2 2 6" xfId="40188" xr:uid="{00000000-0005-0000-0000-0000C59B0000}"/>
    <cellStyle name="Normal 3 2 4 3 2 2 7" xfId="40189" xr:uid="{00000000-0005-0000-0000-0000C69B0000}"/>
    <cellStyle name="Normal 3 2 4 3 2 2 8" xfId="40190" xr:uid="{00000000-0005-0000-0000-0000C79B0000}"/>
    <cellStyle name="Normal 3 2 4 3 2 3" xfId="40191" xr:uid="{00000000-0005-0000-0000-0000C89B0000}"/>
    <cellStyle name="Normal 3 2 4 3 2 3 2" xfId="40192" xr:uid="{00000000-0005-0000-0000-0000C99B0000}"/>
    <cellStyle name="Normal 3 2 4 3 2 3 2 2" xfId="40193" xr:uid="{00000000-0005-0000-0000-0000CA9B0000}"/>
    <cellStyle name="Normal 3 2 4 3 2 3 2 2 2" xfId="40194" xr:uid="{00000000-0005-0000-0000-0000CB9B0000}"/>
    <cellStyle name="Normal 3 2 4 3 2 3 2 2 3" xfId="40195" xr:uid="{00000000-0005-0000-0000-0000CC9B0000}"/>
    <cellStyle name="Normal 3 2 4 3 2 3 2 3" xfId="40196" xr:uid="{00000000-0005-0000-0000-0000CD9B0000}"/>
    <cellStyle name="Normal 3 2 4 3 2 3 2 4" xfId="40197" xr:uid="{00000000-0005-0000-0000-0000CE9B0000}"/>
    <cellStyle name="Normal 3 2 4 3 2 3 2 5" xfId="40198" xr:uid="{00000000-0005-0000-0000-0000CF9B0000}"/>
    <cellStyle name="Normal 3 2 4 3 2 3 2 6" xfId="40199" xr:uid="{00000000-0005-0000-0000-0000D09B0000}"/>
    <cellStyle name="Normal 3 2 4 3 2 3 3" xfId="40200" xr:uid="{00000000-0005-0000-0000-0000D19B0000}"/>
    <cellStyle name="Normal 3 2 4 3 2 3 3 2" xfId="40201" xr:uid="{00000000-0005-0000-0000-0000D29B0000}"/>
    <cellStyle name="Normal 3 2 4 3 2 3 3 3" xfId="40202" xr:uid="{00000000-0005-0000-0000-0000D39B0000}"/>
    <cellStyle name="Normal 3 2 4 3 2 3 4" xfId="40203" xr:uid="{00000000-0005-0000-0000-0000D49B0000}"/>
    <cellStyle name="Normal 3 2 4 3 2 3 5" xfId="40204" xr:uid="{00000000-0005-0000-0000-0000D59B0000}"/>
    <cellStyle name="Normal 3 2 4 3 2 3 6" xfId="40205" xr:uid="{00000000-0005-0000-0000-0000D69B0000}"/>
    <cellStyle name="Normal 3 2 4 3 2 3 7" xfId="40206" xr:uid="{00000000-0005-0000-0000-0000D79B0000}"/>
    <cellStyle name="Normal 3 2 4 3 2 4" xfId="40207" xr:uid="{00000000-0005-0000-0000-0000D89B0000}"/>
    <cellStyle name="Normal 3 2 4 3 2 4 2" xfId="40208" xr:uid="{00000000-0005-0000-0000-0000D99B0000}"/>
    <cellStyle name="Normal 3 2 4 3 2 4 2 2" xfId="40209" xr:uid="{00000000-0005-0000-0000-0000DA9B0000}"/>
    <cellStyle name="Normal 3 2 4 3 2 4 2 3" xfId="40210" xr:uid="{00000000-0005-0000-0000-0000DB9B0000}"/>
    <cellStyle name="Normal 3 2 4 3 2 4 3" xfId="40211" xr:uid="{00000000-0005-0000-0000-0000DC9B0000}"/>
    <cellStyle name="Normal 3 2 4 3 2 4 4" xfId="40212" xr:uid="{00000000-0005-0000-0000-0000DD9B0000}"/>
    <cellStyle name="Normal 3 2 4 3 2 4 5" xfId="40213" xr:uid="{00000000-0005-0000-0000-0000DE9B0000}"/>
    <cellStyle name="Normal 3 2 4 3 2 4 6" xfId="40214" xr:uid="{00000000-0005-0000-0000-0000DF9B0000}"/>
    <cellStyle name="Normal 3 2 4 3 2 5" xfId="40215" xr:uid="{00000000-0005-0000-0000-0000E09B0000}"/>
    <cellStyle name="Normal 3 2 4 3 2 5 2" xfId="40216" xr:uid="{00000000-0005-0000-0000-0000E19B0000}"/>
    <cellStyle name="Normal 3 2 4 3 2 5 2 2" xfId="40217" xr:uid="{00000000-0005-0000-0000-0000E29B0000}"/>
    <cellStyle name="Normal 3 2 4 3 2 5 2 3" xfId="40218" xr:uid="{00000000-0005-0000-0000-0000E39B0000}"/>
    <cellStyle name="Normal 3 2 4 3 2 5 3" xfId="40219" xr:uid="{00000000-0005-0000-0000-0000E49B0000}"/>
    <cellStyle name="Normal 3 2 4 3 2 5 4" xfId="40220" xr:uid="{00000000-0005-0000-0000-0000E59B0000}"/>
    <cellStyle name="Normal 3 2 4 3 2 5 5" xfId="40221" xr:uid="{00000000-0005-0000-0000-0000E69B0000}"/>
    <cellStyle name="Normal 3 2 4 3 2 5 6" xfId="40222" xr:uid="{00000000-0005-0000-0000-0000E79B0000}"/>
    <cellStyle name="Normal 3 2 4 3 2 6" xfId="40223" xr:uid="{00000000-0005-0000-0000-0000E89B0000}"/>
    <cellStyle name="Normal 3 2 4 3 2 6 2" xfId="40224" xr:uid="{00000000-0005-0000-0000-0000E99B0000}"/>
    <cellStyle name="Normal 3 2 4 3 2 6 3" xfId="40225" xr:uid="{00000000-0005-0000-0000-0000EA9B0000}"/>
    <cellStyle name="Normal 3 2 4 3 2 7" xfId="40226" xr:uid="{00000000-0005-0000-0000-0000EB9B0000}"/>
    <cellStyle name="Normal 3 2 4 3 2 8" xfId="40227" xr:uid="{00000000-0005-0000-0000-0000EC9B0000}"/>
    <cellStyle name="Normal 3 2 4 3 2 9" xfId="40228" xr:uid="{00000000-0005-0000-0000-0000ED9B0000}"/>
    <cellStyle name="Normal 3 2 4 3 3" xfId="40229" xr:uid="{00000000-0005-0000-0000-0000EE9B0000}"/>
    <cellStyle name="Normal 3 2 4 3 3 2" xfId="40230" xr:uid="{00000000-0005-0000-0000-0000EF9B0000}"/>
    <cellStyle name="Normal 3 2 4 3 3 2 2" xfId="40231" xr:uid="{00000000-0005-0000-0000-0000F09B0000}"/>
    <cellStyle name="Normal 3 2 4 3 3 2 2 2" xfId="40232" xr:uid="{00000000-0005-0000-0000-0000F19B0000}"/>
    <cellStyle name="Normal 3 2 4 3 3 2 2 2 2" xfId="40233" xr:uid="{00000000-0005-0000-0000-0000F29B0000}"/>
    <cellStyle name="Normal 3 2 4 3 3 2 2 2 3" xfId="40234" xr:uid="{00000000-0005-0000-0000-0000F39B0000}"/>
    <cellStyle name="Normal 3 2 4 3 3 2 2 3" xfId="40235" xr:uid="{00000000-0005-0000-0000-0000F49B0000}"/>
    <cellStyle name="Normal 3 2 4 3 3 2 2 4" xfId="40236" xr:uid="{00000000-0005-0000-0000-0000F59B0000}"/>
    <cellStyle name="Normal 3 2 4 3 3 2 2 5" xfId="40237" xr:uid="{00000000-0005-0000-0000-0000F69B0000}"/>
    <cellStyle name="Normal 3 2 4 3 3 2 2 6" xfId="40238" xr:uid="{00000000-0005-0000-0000-0000F79B0000}"/>
    <cellStyle name="Normal 3 2 4 3 3 2 3" xfId="40239" xr:uid="{00000000-0005-0000-0000-0000F89B0000}"/>
    <cellStyle name="Normal 3 2 4 3 3 2 3 2" xfId="40240" xr:uid="{00000000-0005-0000-0000-0000F99B0000}"/>
    <cellStyle name="Normal 3 2 4 3 3 2 3 3" xfId="40241" xr:uid="{00000000-0005-0000-0000-0000FA9B0000}"/>
    <cellStyle name="Normal 3 2 4 3 3 2 4" xfId="40242" xr:uid="{00000000-0005-0000-0000-0000FB9B0000}"/>
    <cellStyle name="Normal 3 2 4 3 3 2 5" xfId="40243" xr:uid="{00000000-0005-0000-0000-0000FC9B0000}"/>
    <cellStyle name="Normal 3 2 4 3 3 2 6" xfId="40244" xr:uid="{00000000-0005-0000-0000-0000FD9B0000}"/>
    <cellStyle name="Normal 3 2 4 3 3 2 7" xfId="40245" xr:uid="{00000000-0005-0000-0000-0000FE9B0000}"/>
    <cellStyle name="Normal 3 2 4 3 3 3" xfId="40246" xr:uid="{00000000-0005-0000-0000-0000FF9B0000}"/>
    <cellStyle name="Normal 3 2 4 3 3 3 2" xfId="40247" xr:uid="{00000000-0005-0000-0000-0000009C0000}"/>
    <cellStyle name="Normal 3 2 4 3 3 3 2 2" xfId="40248" xr:uid="{00000000-0005-0000-0000-0000019C0000}"/>
    <cellStyle name="Normal 3 2 4 3 3 3 2 3" xfId="40249" xr:uid="{00000000-0005-0000-0000-0000029C0000}"/>
    <cellStyle name="Normal 3 2 4 3 3 3 3" xfId="40250" xr:uid="{00000000-0005-0000-0000-0000039C0000}"/>
    <cellStyle name="Normal 3 2 4 3 3 3 4" xfId="40251" xr:uid="{00000000-0005-0000-0000-0000049C0000}"/>
    <cellStyle name="Normal 3 2 4 3 3 3 5" xfId="40252" xr:uid="{00000000-0005-0000-0000-0000059C0000}"/>
    <cellStyle name="Normal 3 2 4 3 3 3 6" xfId="40253" xr:uid="{00000000-0005-0000-0000-0000069C0000}"/>
    <cellStyle name="Normal 3 2 4 3 3 4" xfId="40254" xr:uid="{00000000-0005-0000-0000-0000079C0000}"/>
    <cellStyle name="Normal 3 2 4 3 3 4 2" xfId="40255" xr:uid="{00000000-0005-0000-0000-0000089C0000}"/>
    <cellStyle name="Normal 3 2 4 3 3 4 2 2" xfId="40256" xr:uid="{00000000-0005-0000-0000-0000099C0000}"/>
    <cellStyle name="Normal 3 2 4 3 3 4 2 3" xfId="40257" xr:uid="{00000000-0005-0000-0000-00000A9C0000}"/>
    <cellStyle name="Normal 3 2 4 3 3 4 3" xfId="40258" xr:uid="{00000000-0005-0000-0000-00000B9C0000}"/>
    <cellStyle name="Normal 3 2 4 3 3 4 4" xfId="40259" xr:uid="{00000000-0005-0000-0000-00000C9C0000}"/>
    <cellStyle name="Normal 3 2 4 3 3 4 5" xfId="40260" xr:uid="{00000000-0005-0000-0000-00000D9C0000}"/>
    <cellStyle name="Normal 3 2 4 3 3 4 6" xfId="40261" xr:uid="{00000000-0005-0000-0000-00000E9C0000}"/>
    <cellStyle name="Normal 3 2 4 3 3 5" xfId="40262" xr:uid="{00000000-0005-0000-0000-00000F9C0000}"/>
    <cellStyle name="Normal 3 2 4 3 3 5 2" xfId="40263" xr:uid="{00000000-0005-0000-0000-0000109C0000}"/>
    <cellStyle name="Normal 3 2 4 3 3 5 3" xfId="40264" xr:uid="{00000000-0005-0000-0000-0000119C0000}"/>
    <cellStyle name="Normal 3 2 4 3 3 6" xfId="40265" xr:uid="{00000000-0005-0000-0000-0000129C0000}"/>
    <cellStyle name="Normal 3 2 4 3 3 7" xfId="40266" xr:uid="{00000000-0005-0000-0000-0000139C0000}"/>
    <cellStyle name="Normal 3 2 4 3 3 8" xfId="40267" xr:uid="{00000000-0005-0000-0000-0000149C0000}"/>
    <cellStyle name="Normal 3 2 4 3 3 9" xfId="40268" xr:uid="{00000000-0005-0000-0000-0000159C0000}"/>
    <cellStyle name="Normal 3 2 4 3 4" xfId="40269" xr:uid="{00000000-0005-0000-0000-0000169C0000}"/>
    <cellStyle name="Normal 3 2 4 3 4 2" xfId="40270" xr:uid="{00000000-0005-0000-0000-0000179C0000}"/>
    <cellStyle name="Normal 3 2 4 3 4 2 2" xfId="40271" xr:uid="{00000000-0005-0000-0000-0000189C0000}"/>
    <cellStyle name="Normal 3 2 4 3 4 2 2 2" xfId="40272" xr:uid="{00000000-0005-0000-0000-0000199C0000}"/>
    <cellStyle name="Normal 3 2 4 3 4 2 2 3" xfId="40273" xr:uid="{00000000-0005-0000-0000-00001A9C0000}"/>
    <cellStyle name="Normal 3 2 4 3 4 2 3" xfId="40274" xr:uid="{00000000-0005-0000-0000-00001B9C0000}"/>
    <cellStyle name="Normal 3 2 4 3 4 2 4" xfId="40275" xr:uid="{00000000-0005-0000-0000-00001C9C0000}"/>
    <cellStyle name="Normal 3 2 4 3 4 2 5" xfId="40276" xr:uid="{00000000-0005-0000-0000-00001D9C0000}"/>
    <cellStyle name="Normal 3 2 4 3 4 2 6" xfId="40277" xr:uid="{00000000-0005-0000-0000-00001E9C0000}"/>
    <cellStyle name="Normal 3 2 4 3 4 3" xfId="40278" xr:uid="{00000000-0005-0000-0000-00001F9C0000}"/>
    <cellStyle name="Normal 3 2 4 3 4 3 2" xfId="40279" xr:uid="{00000000-0005-0000-0000-0000209C0000}"/>
    <cellStyle name="Normal 3 2 4 3 4 3 3" xfId="40280" xr:uid="{00000000-0005-0000-0000-0000219C0000}"/>
    <cellStyle name="Normal 3 2 4 3 4 4" xfId="40281" xr:uid="{00000000-0005-0000-0000-0000229C0000}"/>
    <cellStyle name="Normal 3 2 4 3 4 5" xfId="40282" xr:uid="{00000000-0005-0000-0000-0000239C0000}"/>
    <cellStyle name="Normal 3 2 4 3 4 6" xfId="40283" xr:uid="{00000000-0005-0000-0000-0000249C0000}"/>
    <cellStyle name="Normal 3 2 4 3 4 7" xfId="40284" xr:uid="{00000000-0005-0000-0000-0000259C0000}"/>
    <cellStyle name="Normal 3 2 4 3 5" xfId="40285" xr:uid="{00000000-0005-0000-0000-0000269C0000}"/>
    <cellStyle name="Normal 3 2 4 3 5 2" xfId="40286" xr:uid="{00000000-0005-0000-0000-0000279C0000}"/>
    <cellStyle name="Normal 3 2 4 3 5 2 2" xfId="40287" xr:uid="{00000000-0005-0000-0000-0000289C0000}"/>
    <cellStyle name="Normal 3 2 4 3 5 2 3" xfId="40288" xr:uid="{00000000-0005-0000-0000-0000299C0000}"/>
    <cellStyle name="Normal 3 2 4 3 5 3" xfId="40289" xr:uid="{00000000-0005-0000-0000-00002A9C0000}"/>
    <cellStyle name="Normal 3 2 4 3 5 4" xfId="40290" xr:uid="{00000000-0005-0000-0000-00002B9C0000}"/>
    <cellStyle name="Normal 3 2 4 3 5 5" xfId="40291" xr:uid="{00000000-0005-0000-0000-00002C9C0000}"/>
    <cellStyle name="Normal 3 2 4 3 5 6" xfId="40292" xr:uid="{00000000-0005-0000-0000-00002D9C0000}"/>
    <cellStyle name="Normal 3 2 4 3 6" xfId="40293" xr:uid="{00000000-0005-0000-0000-00002E9C0000}"/>
    <cellStyle name="Normal 3 2 4 3 6 2" xfId="40294" xr:uid="{00000000-0005-0000-0000-00002F9C0000}"/>
    <cellStyle name="Normal 3 2 4 3 6 2 2" xfId="40295" xr:uid="{00000000-0005-0000-0000-0000309C0000}"/>
    <cellStyle name="Normal 3 2 4 3 6 2 3" xfId="40296" xr:uid="{00000000-0005-0000-0000-0000319C0000}"/>
    <cellStyle name="Normal 3 2 4 3 6 3" xfId="40297" xr:uid="{00000000-0005-0000-0000-0000329C0000}"/>
    <cellStyle name="Normal 3 2 4 3 6 4" xfId="40298" xr:uid="{00000000-0005-0000-0000-0000339C0000}"/>
    <cellStyle name="Normal 3 2 4 3 6 5" xfId="40299" xr:uid="{00000000-0005-0000-0000-0000349C0000}"/>
    <cellStyle name="Normal 3 2 4 3 6 6" xfId="40300" xr:uid="{00000000-0005-0000-0000-0000359C0000}"/>
    <cellStyle name="Normal 3 2 4 3 7" xfId="40301" xr:uid="{00000000-0005-0000-0000-0000369C0000}"/>
    <cellStyle name="Normal 3 2 4 3 7 2" xfId="40302" xr:uid="{00000000-0005-0000-0000-0000379C0000}"/>
    <cellStyle name="Normal 3 2 4 3 7 2 2" xfId="40303" xr:uid="{00000000-0005-0000-0000-0000389C0000}"/>
    <cellStyle name="Normal 3 2 4 3 7 2 3" xfId="40304" xr:uid="{00000000-0005-0000-0000-0000399C0000}"/>
    <cellStyle name="Normal 3 2 4 3 7 3" xfId="40305" xr:uid="{00000000-0005-0000-0000-00003A9C0000}"/>
    <cellStyle name="Normal 3 2 4 3 7 4" xfId="40306" xr:uid="{00000000-0005-0000-0000-00003B9C0000}"/>
    <cellStyle name="Normal 3 2 4 3 7 5" xfId="40307" xr:uid="{00000000-0005-0000-0000-00003C9C0000}"/>
    <cellStyle name="Normal 3 2 4 3 7 6" xfId="40308" xr:uid="{00000000-0005-0000-0000-00003D9C0000}"/>
    <cellStyle name="Normal 3 2 4 3 8" xfId="40309" xr:uid="{00000000-0005-0000-0000-00003E9C0000}"/>
    <cellStyle name="Normal 3 2 4 3 8 2" xfId="40310" xr:uid="{00000000-0005-0000-0000-00003F9C0000}"/>
    <cellStyle name="Normal 3 2 4 3 8 2 2" xfId="40311" xr:uid="{00000000-0005-0000-0000-0000409C0000}"/>
    <cellStyle name="Normal 3 2 4 3 8 2 3" xfId="40312" xr:uid="{00000000-0005-0000-0000-0000419C0000}"/>
    <cellStyle name="Normal 3 2 4 3 8 3" xfId="40313" xr:uid="{00000000-0005-0000-0000-0000429C0000}"/>
    <cellStyle name="Normal 3 2 4 3 8 4" xfId="40314" xr:uid="{00000000-0005-0000-0000-0000439C0000}"/>
    <cellStyle name="Normal 3 2 4 3 8 5" xfId="40315" xr:uid="{00000000-0005-0000-0000-0000449C0000}"/>
    <cellStyle name="Normal 3 2 4 3 8 6" xfId="40316" xr:uid="{00000000-0005-0000-0000-0000459C0000}"/>
    <cellStyle name="Normal 3 2 4 3 9" xfId="40317" xr:uid="{00000000-0005-0000-0000-0000469C0000}"/>
    <cellStyle name="Normal 3 2 4 3 9 2" xfId="40318" xr:uid="{00000000-0005-0000-0000-0000479C0000}"/>
    <cellStyle name="Normal 3 2 4 3 9 3" xfId="40319" xr:uid="{00000000-0005-0000-0000-0000489C0000}"/>
    <cellStyle name="Normal 3 2 4 4" xfId="40320" xr:uid="{00000000-0005-0000-0000-0000499C0000}"/>
    <cellStyle name="Normal 3 2 4 4 10" xfId="40321" xr:uid="{00000000-0005-0000-0000-00004A9C0000}"/>
    <cellStyle name="Normal 3 2 4 4 2" xfId="40322" xr:uid="{00000000-0005-0000-0000-00004B9C0000}"/>
    <cellStyle name="Normal 3 2 4 4 2 2" xfId="40323" xr:uid="{00000000-0005-0000-0000-00004C9C0000}"/>
    <cellStyle name="Normal 3 2 4 4 2 2 2" xfId="40324" xr:uid="{00000000-0005-0000-0000-00004D9C0000}"/>
    <cellStyle name="Normal 3 2 4 4 2 2 2 2" xfId="40325" xr:uid="{00000000-0005-0000-0000-00004E9C0000}"/>
    <cellStyle name="Normal 3 2 4 4 2 2 2 3" xfId="40326" xr:uid="{00000000-0005-0000-0000-00004F9C0000}"/>
    <cellStyle name="Normal 3 2 4 4 2 2 3" xfId="40327" xr:uid="{00000000-0005-0000-0000-0000509C0000}"/>
    <cellStyle name="Normal 3 2 4 4 2 2 4" xfId="40328" xr:uid="{00000000-0005-0000-0000-0000519C0000}"/>
    <cellStyle name="Normal 3 2 4 4 2 2 5" xfId="40329" xr:uid="{00000000-0005-0000-0000-0000529C0000}"/>
    <cellStyle name="Normal 3 2 4 4 2 2 6" xfId="40330" xr:uid="{00000000-0005-0000-0000-0000539C0000}"/>
    <cellStyle name="Normal 3 2 4 4 2 3" xfId="40331" xr:uid="{00000000-0005-0000-0000-0000549C0000}"/>
    <cellStyle name="Normal 3 2 4 4 2 3 2" xfId="40332" xr:uid="{00000000-0005-0000-0000-0000559C0000}"/>
    <cellStyle name="Normal 3 2 4 4 2 3 2 2" xfId="40333" xr:uid="{00000000-0005-0000-0000-0000569C0000}"/>
    <cellStyle name="Normal 3 2 4 4 2 3 2 3" xfId="40334" xr:uid="{00000000-0005-0000-0000-0000579C0000}"/>
    <cellStyle name="Normal 3 2 4 4 2 3 3" xfId="40335" xr:uid="{00000000-0005-0000-0000-0000589C0000}"/>
    <cellStyle name="Normal 3 2 4 4 2 3 4" xfId="40336" xr:uid="{00000000-0005-0000-0000-0000599C0000}"/>
    <cellStyle name="Normal 3 2 4 4 2 3 5" xfId="40337" xr:uid="{00000000-0005-0000-0000-00005A9C0000}"/>
    <cellStyle name="Normal 3 2 4 4 2 3 6" xfId="40338" xr:uid="{00000000-0005-0000-0000-00005B9C0000}"/>
    <cellStyle name="Normal 3 2 4 4 2 4" xfId="40339" xr:uid="{00000000-0005-0000-0000-00005C9C0000}"/>
    <cellStyle name="Normal 3 2 4 4 2 4 2" xfId="40340" xr:uid="{00000000-0005-0000-0000-00005D9C0000}"/>
    <cellStyle name="Normal 3 2 4 4 2 4 3" xfId="40341" xr:uid="{00000000-0005-0000-0000-00005E9C0000}"/>
    <cellStyle name="Normal 3 2 4 4 2 5" xfId="40342" xr:uid="{00000000-0005-0000-0000-00005F9C0000}"/>
    <cellStyle name="Normal 3 2 4 4 2 6" xfId="40343" xr:uid="{00000000-0005-0000-0000-0000609C0000}"/>
    <cellStyle name="Normal 3 2 4 4 2 7" xfId="40344" xr:uid="{00000000-0005-0000-0000-0000619C0000}"/>
    <cellStyle name="Normal 3 2 4 4 2 8" xfId="40345" xr:uid="{00000000-0005-0000-0000-0000629C0000}"/>
    <cellStyle name="Normal 3 2 4 4 3" xfId="40346" xr:uid="{00000000-0005-0000-0000-0000639C0000}"/>
    <cellStyle name="Normal 3 2 4 4 3 2" xfId="40347" xr:uid="{00000000-0005-0000-0000-0000649C0000}"/>
    <cellStyle name="Normal 3 2 4 4 3 2 2" xfId="40348" xr:uid="{00000000-0005-0000-0000-0000659C0000}"/>
    <cellStyle name="Normal 3 2 4 4 3 2 2 2" xfId="40349" xr:uid="{00000000-0005-0000-0000-0000669C0000}"/>
    <cellStyle name="Normal 3 2 4 4 3 2 2 3" xfId="40350" xr:uid="{00000000-0005-0000-0000-0000679C0000}"/>
    <cellStyle name="Normal 3 2 4 4 3 2 3" xfId="40351" xr:uid="{00000000-0005-0000-0000-0000689C0000}"/>
    <cellStyle name="Normal 3 2 4 4 3 2 4" xfId="40352" xr:uid="{00000000-0005-0000-0000-0000699C0000}"/>
    <cellStyle name="Normal 3 2 4 4 3 2 5" xfId="40353" xr:uid="{00000000-0005-0000-0000-00006A9C0000}"/>
    <cellStyle name="Normal 3 2 4 4 3 2 6" xfId="40354" xr:uid="{00000000-0005-0000-0000-00006B9C0000}"/>
    <cellStyle name="Normal 3 2 4 4 3 3" xfId="40355" xr:uid="{00000000-0005-0000-0000-00006C9C0000}"/>
    <cellStyle name="Normal 3 2 4 4 3 3 2" xfId="40356" xr:uid="{00000000-0005-0000-0000-00006D9C0000}"/>
    <cellStyle name="Normal 3 2 4 4 3 3 3" xfId="40357" xr:uid="{00000000-0005-0000-0000-00006E9C0000}"/>
    <cellStyle name="Normal 3 2 4 4 3 4" xfId="40358" xr:uid="{00000000-0005-0000-0000-00006F9C0000}"/>
    <cellStyle name="Normal 3 2 4 4 3 5" xfId="40359" xr:uid="{00000000-0005-0000-0000-0000709C0000}"/>
    <cellStyle name="Normal 3 2 4 4 3 6" xfId="40360" xr:uid="{00000000-0005-0000-0000-0000719C0000}"/>
    <cellStyle name="Normal 3 2 4 4 3 7" xfId="40361" xr:uid="{00000000-0005-0000-0000-0000729C0000}"/>
    <cellStyle name="Normal 3 2 4 4 4" xfId="40362" xr:uid="{00000000-0005-0000-0000-0000739C0000}"/>
    <cellStyle name="Normal 3 2 4 4 4 2" xfId="40363" xr:uid="{00000000-0005-0000-0000-0000749C0000}"/>
    <cellStyle name="Normal 3 2 4 4 4 2 2" xfId="40364" xr:uid="{00000000-0005-0000-0000-0000759C0000}"/>
    <cellStyle name="Normal 3 2 4 4 4 2 3" xfId="40365" xr:uid="{00000000-0005-0000-0000-0000769C0000}"/>
    <cellStyle name="Normal 3 2 4 4 4 3" xfId="40366" xr:uid="{00000000-0005-0000-0000-0000779C0000}"/>
    <cellStyle name="Normal 3 2 4 4 4 4" xfId="40367" xr:uid="{00000000-0005-0000-0000-0000789C0000}"/>
    <cellStyle name="Normal 3 2 4 4 4 5" xfId="40368" xr:uid="{00000000-0005-0000-0000-0000799C0000}"/>
    <cellStyle name="Normal 3 2 4 4 4 6" xfId="40369" xr:uid="{00000000-0005-0000-0000-00007A9C0000}"/>
    <cellStyle name="Normal 3 2 4 4 5" xfId="40370" xr:uid="{00000000-0005-0000-0000-00007B9C0000}"/>
    <cellStyle name="Normal 3 2 4 4 5 2" xfId="40371" xr:uid="{00000000-0005-0000-0000-00007C9C0000}"/>
    <cellStyle name="Normal 3 2 4 4 5 2 2" xfId="40372" xr:uid="{00000000-0005-0000-0000-00007D9C0000}"/>
    <cellStyle name="Normal 3 2 4 4 5 2 3" xfId="40373" xr:uid="{00000000-0005-0000-0000-00007E9C0000}"/>
    <cellStyle name="Normal 3 2 4 4 5 3" xfId="40374" xr:uid="{00000000-0005-0000-0000-00007F9C0000}"/>
    <cellStyle name="Normal 3 2 4 4 5 4" xfId="40375" xr:uid="{00000000-0005-0000-0000-0000809C0000}"/>
    <cellStyle name="Normal 3 2 4 4 5 5" xfId="40376" xr:uid="{00000000-0005-0000-0000-0000819C0000}"/>
    <cellStyle name="Normal 3 2 4 4 5 6" xfId="40377" xr:uid="{00000000-0005-0000-0000-0000829C0000}"/>
    <cellStyle name="Normal 3 2 4 4 6" xfId="40378" xr:uid="{00000000-0005-0000-0000-0000839C0000}"/>
    <cellStyle name="Normal 3 2 4 4 6 2" xfId="40379" xr:uid="{00000000-0005-0000-0000-0000849C0000}"/>
    <cellStyle name="Normal 3 2 4 4 6 3" xfId="40380" xr:uid="{00000000-0005-0000-0000-0000859C0000}"/>
    <cellStyle name="Normal 3 2 4 4 7" xfId="40381" xr:uid="{00000000-0005-0000-0000-0000869C0000}"/>
    <cellStyle name="Normal 3 2 4 4 8" xfId="40382" xr:uid="{00000000-0005-0000-0000-0000879C0000}"/>
    <cellStyle name="Normal 3 2 4 4 9" xfId="40383" xr:uid="{00000000-0005-0000-0000-0000889C0000}"/>
    <cellStyle name="Normal 3 2 4 5" xfId="40384" xr:uid="{00000000-0005-0000-0000-0000899C0000}"/>
    <cellStyle name="Normal 3 2 4 5 2" xfId="40385" xr:uid="{00000000-0005-0000-0000-00008A9C0000}"/>
    <cellStyle name="Normal 3 2 4 5 2 2" xfId="40386" xr:uid="{00000000-0005-0000-0000-00008B9C0000}"/>
    <cellStyle name="Normal 3 2 4 5 2 2 2" xfId="40387" xr:uid="{00000000-0005-0000-0000-00008C9C0000}"/>
    <cellStyle name="Normal 3 2 4 5 2 2 2 2" xfId="40388" xr:uid="{00000000-0005-0000-0000-00008D9C0000}"/>
    <cellStyle name="Normal 3 2 4 5 2 2 2 3" xfId="40389" xr:uid="{00000000-0005-0000-0000-00008E9C0000}"/>
    <cellStyle name="Normal 3 2 4 5 2 2 3" xfId="40390" xr:uid="{00000000-0005-0000-0000-00008F9C0000}"/>
    <cellStyle name="Normal 3 2 4 5 2 2 4" xfId="40391" xr:uid="{00000000-0005-0000-0000-0000909C0000}"/>
    <cellStyle name="Normal 3 2 4 5 2 2 5" xfId="40392" xr:uid="{00000000-0005-0000-0000-0000919C0000}"/>
    <cellStyle name="Normal 3 2 4 5 2 2 6" xfId="40393" xr:uid="{00000000-0005-0000-0000-0000929C0000}"/>
    <cellStyle name="Normal 3 2 4 5 2 3" xfId="40394" xr:uid="{00000000-0005-0000-0000-0000939C0000}"/>
    <cellStyle name="Normal 3 2 4 5 2 3 2" xfId="40395" xr:uid="{00000000-0005-0000-0000-0000949C0000}"/>
    <cellStyle name="Normal 3 2 4 5 2 3 3" xfId="40396" xr:uid="{00000000-0005-0000-0000-0000959C0000}"/>
    <cellStyle name="Normal 3 2 4 5 2 4" xfId="40397" xr:uid="{00000000-0005-0000-0000-0000969C0000}"/>
    <cellStyle name="Normal 3 2 4 5 2 5" xfId="40398" xr:uid="{00000000-0005-0000-0000-0000979C0000}"/>
    <cellStyle name="Normal 3 2 4 5 2 6" xfId="40399" xr:uid="{00000000-0005-0000-0000-0000989C0000}"/>
    <cellStyle name="Normal 3 2 4 5 2 7" xfId="40400" xr:uid="{00000000-0005-0000-0000-0000999C0000}"/>
    <cellStyle name="Normal 3 2 4 5 3" xfId="40401" xr:uid="{00000000-0005-0000-0000-00009A9C0000}"/>
    <cellStyle name="Normal 3 2 4 5 3 2" xfId="40402" xr:uid="{00000000-0005-0000-0000-00009B9C0000}"/>
    <cellStyle name="Normal 3 2 4 5 3 2 2" xfId="40403" xr:uid="{00000000-0005-0000-0000-00009C9C0000}"/>
    <cellStyle name="Normal 3 2 4 5 3 2 3" xfId="40404" xr:uid="{00000000-0005-0000-0000-00009D9C0000}"/>
    <cellStyle name="Normal 3 2 4 5 3 3" xfId="40405" xr:uid="{00000000-0005-0000-0000-00009E9C0000}"/>
    <cellStyle name="Normal 3 2 4 5 3 4" xfId="40406" xr:uid="{00000000-0005-0000-0000-00009F9C0000}"/>
    <cellStyle name="Normal 3 2 4 5 3 5" xfId="40407" xr:uid="{00000000-0005-0000-0000-0000A09C0000}"/>
    <cellStyle name="Normal 3 2 4 5 3 6" xfId="40408" xr:uid="{00000000-0005-0000-0000-0000A19C0000}"/>
    <cellStyle name="Normal 3 2 4 5 4" xfId="40409" xr:uid="{00000000-0005-0000-0000-0000A29C0000}"/>
    <cellStyle name="Normal 3 2 4 5 4 2" xfId="40410" xr:uid="{00000000-0005-0000-0000-0000A39C0000}"/>
    <cellStyle name="Normal 3 2 4 5 4 2 2" xfId="40411" xr:uid="{00000000-0005-0000-0000-0000A49C0000}"/>
    <cellStyle name="Normal 3 2 4 5 4 2 3" xfId="40412" xr:uid="{00000000-0005-0000-0000-0000A59C0000}"/>
    <cellStyle name="Normal 3 2 4 5 4 3" xfId="40413" xr:uid="{00000000-0005-0000-0000-0000A69C0000}"/>
    <cellStyle name="Normal 3 2 4 5 4 4" xfId="40414" xr:uid="{00000000-0005-0000-0000-0000A79C0000}"/>
    <cellStyle name="Normal 3 2 4 5 4 5" xfId="40415" xr:uid="{00000000-0005-0000-0000-0000A89C0000}"/>
    <cellStyle name="Normal 3 2 4 5 4 6" xfId="40416" xr:uid="{00000000-0005-0000-0000-0000A99C0000}"/>
    <cellStyle name="Normal 3 2 4 5 5" xfId="40417" xr:uid="{00000000-0005-0000-0000-0000AA9C0000}"/>
    <cellStyle name="Normal 3 2 4 5 5 2" xfId="40418" xr:uid="{00000000-0005-0000-0000-0000AB9C0000}"/>
    <cellStyle name="Normal 3 2 4 5 5 3" xfId="40419" xr:uid="{00000000-0005-0000-0000-0000AC9C0000}"/>
    <cellStyle name="Normal 3 2 4 5 6" xfId="40420" xr:uid="{00000000-0005-0000-0000-0000AD9C0000}"/>
    <cellStyle name="Normal 3 2 4 5 7" xfId="40421" xr:uid="{00000000-0005-0000-0000-0000AE9C0000}"/>
    <cellStyle name="Normal 3 2 4 5 8" xfId="40422" xr:uid="{00000000-0005-0000-0000-0000AF9C0000}"/>
    <cellStyle name="Normal 3 2 4 5 9" xfId="40423" xr:uid="{00000000-0005-0000-0000-0000B09C0000}"/>
    <cellStyle name="Normal 3 2 4 6" xfId="40424" xr:uid="{00000000-0005-0000-0000-0000B19C0000}"/>
    <cellStyle name="Normal 3 2 4 6 2" xfId="40425" xr:uid="{00000000-0005-0000-0000-0000B29C0000}"/>
    <cellStyle name="Normal 3 2 4 6 2 2" xfId="40426" xr:uid="{00000000-0005-0000-0000-0000B39C0000}"/>
    <cellStyle name="Normal 3 2 4 6 2 2 2" xfId="40427" xr:uid="{00000000-0005-0000-0000-0000B49C0000}"/>
    <cellStyle name="Normal 3 2 4 6 2 2 3" xfId="40428" xr:uid="{00000000-0005-0000-0000-0000B59C0000}"/>
    <cellStyle name="Normal 3 2 4 6 2 3" xfId="40429" xr:uid="{00000000-0005-0000-0000-0000B69C0000}"/>
    <cellStyle name="Normal 3 2 4 6 2 4" xfId="40430" xr:uid="{00000000-0005-0000-0000-0000B79C0000}"/>
    <cellStyle name="Normal 3 2 4 6 2 5" xfId="40431" xr:uid="{00000000-0005-0000-0000-0000B89C0000}"/>
    <cellStyle name="Normal 3 2 4 6 2 6" xfId="40432" xr:uid="{00000000-0005-0000-0000-0000B99C0000}"/>
    <cellStyle name="Normal 3 2 4 6 3" xfId="40433" xr:uid="{00000000-0005-0000-0000-0000BA9C0000}"/>
    <cellStyle name="Normal 3 2 4 6 3 2" xfId="40434" xr:uid="{00000000-0005-0000-0000-0000BB9C0000}"/>
    <cellStyle name="Normal 3 2 4 6 3 3" xfId="40435" xr:uid="{00000000-0005-0000-0000-0000BC9C0000}"/>
    <cellStyle name="Normal 3 2 4 6 4" xfId="40436" xr:uid="{00000000-0005-0000-0000-0000BD9C0000}"/>
    <cellStyle name="Normal 3 2 4 6 5" xfId="40437" xr:uid="{00000000-0005-0000-0000-0000BE9C0000}"/>
    <cellStyle name="Normal 3 2 4 6 6" xfId="40438" xr:uid="{00000000-0005-0000-0000-0000BF9C0000}"/>
    <cellStyle name="Normal 3 2 4 6 7" xfId="40439" xr:uid="{00000000-0005-0000-0000-0000C09C0000}"/>
    <cellStyle name="Normal 3 2 4 7" xfId="40440" xr:uid="{00000000-0005-0000-0000-0000C19C0000}"/>
    <cellStyle name="Normal 3 2 4 7 2" xfId="40441" xr:uid="{00000000-0005-0000-0000-0000C29C0000}"/>
    <cellStyle name="Normal 3 2 4 7 2 2" xfId="40442" xr:uid="{00000000-0005-0000-0000-0000C39C0000}"/>
    <cellStyle name="Normal 3 2 4 7 2 3" xfId="40443" xr:uid="{00000000-0005-0000-0000-0000C49C0000}"/>
    <cellStyle name="Normal 3 2 4 7 3" xfId="40444" xr:uid="{00000000-0005-0000-0000-0000C59C0000}"/>
    <cellStyle name="Normal 3 2 4 7 4" xfId="40445" xr:uid="{00000000-0005-0000-0000-0000C69C0000}"/>
    <cellStyle name="Normal 3 2 4 7 5" xfId="40446" xr:uid="{00000000-0005-0000-0000-0000C79C0000}"/>
    <cellStyle name="Normal 3 2 4 7 6" xfId="40447" xr:uid="{00000000-0005-0000-0000-0000C89C0000}"/>
    <cellStyle name="Normal 3 2 4 8" xfId="40448" xr:uid="{00000000-0005-0000-0000-0000C99C0000}"/>
    <cellStyle name="Normal 3 2 4 8 2" xfId="40449" xr:uid="{00000000-0005-0000-0000-0000CA9C0000}"/>
    <cellStyle name="Normal 3 2 4 8 2 2" xfId="40450" xr:uid="{00000000-0005-0000-0000-0000CB9C0000}"/>
    <cellStyle name="Normal 3 2 4 8 2 3" xfId="40451" xr:uid="{00000000-0005-0000-0000-0000CC9C0000}"/>
    <cellStyle name="Normal 3 2 4 8 3" xfId="40452" xr:uid="{00000000-0005-0000-0000-0000CD9C0000}"/>
    <cellStyle name="Normal 3 2 4 8 4" xfId="40453" xr:uid="{00000000-0005-0000-0000-0000CE9C0000}"/>
    <cellStyle name="Normal 3 2 4 8 5" xfId="40454" xr:uid="{00000000-0005-0000-0000-0000CF9C0000}"/>
    <cellStyle name="Normal 3 2 4 8 6" xfId="40455" xr:uid="{00000000-0005-0000-0000-0000D09C0000}"/>
    <cellStyle name="Normal 3 2 4 9" xfId="40456" xr:uid="{00000000-0005-0000-0000-0000D19C0000}"/>
    <cellStyle name="Normal 3 2 4 9 2" xfId="40457" xr:uid="{00000000-0005-0000-0000-0000D29C0000}"/>
    <cellStyle name="Normal 3 2 4 9 2 2" xfId="40458" xr:uid="{00000000-0005-0000-0000-0000D39C0000}"/>
    <cellStyle name="Normal 3 2 4 9 2 3" xfId="40459" xr:uid="{00000000-0005-0000-0000-0000D49C0000}"/>
    <cellStyle name="Normal 3 2 4 9 3" xfId="40460" xr:uid="{00000000-0005-0000-0000-0000D59C0000}"/>
    <cellStyle name="Normal 3 2 4 9 4" xfId="40461" xr:uid="{00000000-0005-0000-0000-0000D69C0000}"/>
    <cellStyle name="Normal 3 2 4 9 5" xfId="40462" xr:uid="{00000000-0005-0000-0000-0000D79C0000}"/>
    <cellStyle name="Normal 3 2 4 9 6" xfId="40463" xr:uid="{00000000-0005-0000-0000-0000D89C0000}"/>
    <cellStyle name="Normal 3 2 5" xfId="40464" xr:uid="{00000000-0005-0000-0000-0000D99C0000}"/>
    <cellStyle name="Normal 3 2 5 10" xfId="40465" xr:uid="{00000000-0005-0000-0000-0000DA9C0000}"/>
    <cellStyle name="Normal 3 2 5 11" xfId="40466" xr:uid="{00000000-0005-0000-0000-0000DB9C0000}"/>
    <cellStyle name="Normal 3 2 5 12" xfId="40467" xr:uid="{00000000-0005-0000-0000-0000DC9C0000}"/>
    <cellStyle name="Normal 3 2 5 13" xfId="40468" xr:uid="{00000000-0005-0000-0000-0000DD9C0000}"/>
    <cellStyle name="Normal 3 2 5 2" xfId="40469" xr:uid="{00000000-0005-0000-0000-0000DE9C0000}"/>
    <cellStyle name="Normal 3 2 5 2 10" xfId="40470" xr:uid="{00000000-0005-0000-0000-0000DF9C0000}"/>
    <cellStyle name="Normal 3 2 5 2 2" xfId="40471" xr:uid="{00000000-0005-0000-0000-0000E09C0000}"/>
    <cellStyle name="Normal 3 2 5 2 2 2" xfId="40472" xr:uid="{00000000-0005-0000-0000-0000E19C0000}"/>
    <cellStyle name="Normal 3 2 5 2 2 2 2" xfId="40473" xr:uid="{00000000-0005-0000-0000-0000E29C0000}"/>
    <cellStyle name="Normal 3 2 5 2 2 2 2 2" xfId="40474" xr:uid="{00000000-0005-0000-0000-0000E39C0000}"/>
    <cellStyle name="Normal 3 2 5 2 2 2 2 3" xfId="40475" xr:uid="{00000000-0005-0000-0000-0000E49C0000}"/>
    <cellStyle name="Normal 3 2 5 2 2 2 3" xfId="40476" xr:uid="{00000000-0005-0000-0000-0000E59C0000}"/>
    <cellStyle name="Normal 3 2 5 2 2 2 4" xfId="40477" xr:uid="{00000000-0005-0000-0000-0000E69C0000}"/>
    <cellStyle name="Normal 3 2 5 2 2 2 5" xfId="40478" xr:uid="{00000000-0005-0000-0000-0000E79C0000}"/>
    <cellStyle name="Normal 3 2 5 2 2 2 6" xfId="40479" xr:uid="{00000000-0005-0000-0000-0000E89C0000}"/>
    <cellStyle name="Normal 3 2 5 2 2 3" xfId="40480" xr:uid="{00000000-0005-0000-0000-0000E99C0000}"/>
    <cellStyle name="Normal 3 2 5 2 2 3 2" xfId="40481" xr:uid="{00000000-0005-0000-0000-0000EA9C0000}"/>
    <cellStyle name="Normal 3 2 5 2 2 3 2 2" xfId="40482" xr:uid="{00000000-0005-0000-0000-0000EB9C0000}"/>
    <cellStyle name="Normal 3 2 5 2 2 3 2 3" xfId="40483" xr:uid="{00000000-0005-0000-0000-0000EC9C0000}"/>
    <cellStyle name="Normal 3 2 5 2 2 3 3" xfId="40484" xr:uid="{00000000-0005-0000-0000-0000ED9C0000}"/>
    <cellStyle name="Normal 3 2 5 2 2 3 4" xfId="40485" xr:uid="{00000000-0005-0000-0000-0000EE9C0000}"/>
    <cellStyle name="Normal 3 2 5 2 2 3 5" xfId="40486" xr:uid="{00000000-0005-0000-0000-0000EF9C0000}"/>
    <cellStyle name="Normal 3 2 5 2 2 3 6" xfId="40487" xr:uid="{00000000-0005-0000-0000-0000F09C0000}"/>
    <cellStyle name="Normal 3 2 5 2 2 4" xfId="40488" xr:uid="{00000000-0005-0000-0000-0000F19C0000}"/>
    <cellStyle name="Normal 3 2 5 2 2 4 2" xfId="40489" xr:uid="{00000000-0005-0000-0000-0000F29C0000}"/>
    <cellStyle name="Normal 3 2 5 2 2 4 3" xfId="40490" xr:uid="{00000000-0005-0000-0000-0000F39C0000}"/>
    <cellStyle name="Normal 3 2 5 2 2 5" xfId="40491" xr:uid="{00000000-0005-0000-0000-0000F49C0000}"/>
    <cellStyle name="Normal 3 2 5 2 2 6" xfId="40492" xr:uid="{00000000-0005-0000-0000-0000F59C0000}"/>
    <cellStyle name="Normal 3 2 5 2 2 7" xfId="40493" xr:uid="{00000000-0005-0000-0000-0000F69C0000}"/>
    <cellStyle name="Normal 3 2 5 2 2 8" xfId="40494" xr:uid="{00000000-0005-0000-0000-0000F79C0000}"/>
    <cellStyle name="Normal 3 2 5 2 3" xfId="40495" xr:uid="{00000000-0005-0000-0000-0000F89C0000}"/>
    <cellStyle name="Normal 3 2 5 2 3 2" xfId="40496" xr:uid="{00000000-0005-0000-0000-0000F99C0000}"/>
    <cellStyle name="Normal 3 2 5 2 3 2 2" xfId="40497" xr:uid="{00000000-0005-0000-0000-0000FA9C0000}"/>
    <cellStyle name="Normal 3 2 5 2 3 2 2 2" xfId="40498" xr:uid="{00000000-0005-0000-0000-0000FB9C0000}"/>
    <cellStyle name="Normal 3 2 5 2 3 2 2 3" xfId="40499" xr:uid="{00000000-0005-0000-0000-0000FC9C0000}"/>
    <cellStyle name="Normal 3 2 5 2 3 2 3" xfId="40500" xr:uid="{00000000-0005-0000-0000-0000FD9C0000}"/>
    <cellStyle name="Normal 3 2 5 2 3 2 4" xfId="40501" xr:uid="{00000000-0005-0000-0000-0000FE9C0000}"/>
    <cellStyle name="Normal 3 2 5 2 3 2 5" xfId="40502" xr:uid="{00000000-0005-0000-0000-0000FF9C0000}"/>
    <cellStyle name="Normal 3 2 5 2 3 2 6" xfId="40503" xr:uid="{00000000-0005-0000-0000-0000009D0000}"/>
    <cellStyle name="Normal 3 2 5 2 3 3" xfId="40504" xr:uid="{00000000-0005-0000-0000-0000019D0000}"/>
    <cellStyle name="Normal 3 2 5 2 3 3 2" xfId="40505" xr:uid="{00000000-0005-0000-0000-0000029D0000}"/>
    <cellStyle name="Normal 3 2 5 2 3 3 3" xfId="40506" xr:uid="{00000000-0005-0000-0000-0000039D0000}"/>
    <cellStyle name="Normal 3 2 5 2 3 4" xfId="40507" xr:uid="{00000000-0005-0000-0000-0000049D0000}"/>
    <cellStyle name="Normal 3 2 5 2 3 5" xfId="40508" xr:uid="{00000000-0005-0000-0000-0000059D0000}"/>
    <cellStyle name="Normal 3 2 5 2 3 6" xfId="40509" xr:uid="{00000000-0005-0000-0000-0000069D0000}"/>
    <cellStyle name="Normal 3 2 5 2 3 7" xfId="40510" xr:uid="{00000000-0005-0000-0000-0000079D0000}"/>
    <cellStyle name="Normal 3 2 5 2 4" xfId="40511" xr:uid="{00000000-0005-0000-0000-0000089D0000}"/>
    <cellStyle name="Normal 3 2 5 2 4 2" xfId="40512" xr:uid="{00000000-0005-0000-0000-0000099D0000}"/>
    <cellStyle name="Normal 3 2 5 2 4 2 2" xfId="40513" xr:uid="{00000000-0005-0000-0000-00000A9D0000}"/>
    <cellStyle name="Normal 3 2 5 2 4 2 3" xfId="40514" xr:uid="{00000000-0005-0000-0000-00000B9D0000}"/>
    <cellStyle name="Normal 3 2 5 2 4 3" xfId="40515" xr:uid="{00000000-0005-0000-0000-00000C9D0000}"/>
    <cellStyle name="Normal 3 2 5 2 4 4" xfId="40516" xr:uid="{00000000-0005-0000-0000-00000D9D0000}"/>
    <cellStyle name="Normal 3 2 5 2 4 5" xfId="40517" xr:uid="{00000000-0005-0000-0000-00000E9D0000}"/>
    <cellStyle name="Normal 3 2 5 2 4 6" xfId="40518" xr:uid="{00000000-0005-0000-0000-00000F9D0000}"/>
    <cellStyle name="Normal 3 2 5 2 5" xfId="40519" xr:uid="{00000000-0005-0000-0000-0000109D0000}"/>
    <cellStyle name="Normal 3 2 5 2 5 2" xfId="40520" xr:uid="{00000000-0005-0000-0000-0000119D0000}"/>
    <cellStyle name="Normal 3 2 5 2 5 2 2" xfId="40521" xr:uid="{00000000-0005-0000-0000-0000129D0000}"/>
    <cellStyle name="Normal 3 2 5 2 5 2 3" xfId="40522" xr:uid="{00000000-0005-0000-0000-0000139D0000}"/>
    <cellStyle name="Normal 3 2 5 2 5 3" xfId="40523" xr:uid="{00000000-0005-0000-0000-0000149D0000}"/>
    <cellStyle name="Normal 3 2 5 2 5 4" xfId="40524" xr:uid="{00000000-0005-0000-0000-0000159D0000}"/>
    <cellStyle name="Normal 3 2 5 2 5 5" xfId="40525" xr:uid="{00000000-0005-0000-0000-0000169D0000}"/>
    <cellStyle name="Normal 3 2 5 2 5 6" xfId="40526" xr:uid="{00000000-0005-0000-0000-0000179D0000}"/>
    <cellStyle name="Normal 3 2 5 2 6" xfId="40527" xr:uid="{00000000-0005-0000-0000-0000189D0000}"/>
    <cellStyle name="Normal 3 2 5 2 6 2" xfId="40528" xr:uid="{00000000-0005-0000-0000-0000199D0000}"/>
    <cellStyle name="Normal 3 2 5 2 6 3" xfId="40529" xr:uid="{00000000-0005-0000-0000-00001A9D0000}"/>
    <cellStyle name="Normal 3 2 5 2 7" xfId="40530" xr:uid="{00000000-0005-0000-0000-00001B9D0000}"/>
    <cellStyle name="Normal 3 2 5 2 8" xfId="40531" xr:uid="{00000000-0005-0000-0000-00001C9D0000}"/>
    <cellStyle name="Normal 3 2 5 2 9" xfId="40532" xr:uid="{00000000-0005-0000-0000-00001D9D0000}"/>
    <cellStyle name="Normal 3 2 5 3" xfId="40533" xr:uid="{00000000-0005-0000-0000-00001E9D0000}"/>
    <cellStyle name="Normal 3 2 5 3 2" xfId="40534" xr:uid="{00000000-0005-0000-0000-00001F9D0000}"/>
    <cellStyle name="Normal 3 2 5 3 2 2" xfId="40535" xr:uid="{00000000-0005-0000-0000-0000209D0000}"/>
    <cellStyle name="Normal 3 2 5 3 2 2 2" xfId="40536" xr:uid="{00000000-0005-0000-0000-0000219D0000}"/>
    <cellStyle name="Normal 3 2 5 3 2 2 2 2" xfId="40537" xr:uid="{00000000-0005-0000-0000-0000229D0000}"/>
    <cellStyle name="Normal 3 2 5 3 2 2 2 3" xfId="40538" xr:uid="{00000000-0005-0000-0000-0000239D0000}"/>
    <cellStyle name="Normal 3 2 5 3 2 2 3" xfId="40539" xr:uid="{00000000-0005-0000-0000-0000249D0000}"/>
    <cellStyle name="Normal 3 2 5 3 2 2 4" xfId="40540" xr:uid="{00000000-0005-0000-0000-0000259D0000}"/>
    <cellStyle name="Normal 3 2 5 3 2 2 5" xfId="40541" xr:uid="{00000000-0005-0000-0000-0000269D0000}"/>
    <cellStyle name="Normal 3 2 5 3 2 2 6" xfId="40542" xr:uid="{00000000-0005-0000-0000-0000279D0000}"/>
    <cellStyle name="Normal 3 2 5 3 2 3" xfId="40543" xr:uid="{00000000-0005-0000-0000-0000289D0000}"/>
    <cellStyle name="Normal 3 2 5 3 2 3 2" xfId="40544" xr:uid="{00000000-0005-0000-0000-0000299D0000}"/>
    <cellStyle name="Normal 3 2 5 3 2 3 3" xfId="40545" xr:uid="{00000000-0005-0000-0000-00002A9D0000}"/>
    <cellStyle name="Normal 3 2 5 3 2 4" xfId="40546" xr:uid="{00000000-0005-0000-0000-00002B9D0000}"/>
    <cellStyle name="Normal 3 2 5 3 2 5" xfId="40547" xr:uid="{00000000-0005-0000-0000-00002C9D0000}"/>
    <cellStyle name="Normal 3 2 5 3 2 6" xfId="40548" xr:uid="{00000000-0005-0000-0000-00002D9D0000}"/>
    <cellStyle name="Normal 3 2 5 3 2 7" xfId="40549" xr:uid="{00000000-0005-0000-0000-00002E9D0000}"/>
    <cellStyle name="Normal 3 2 5 3 3" xfId="40550" xr:uid="{00000000-0005-0000-0000-00002F9D0000}"/>
    <cellStyle name="Normal 3 2 5 3 3 2" xfId="40551" xr:uid="{00000000-0005-0000-0000-0000309D0000}"/>
    <cellStyle name="Normal 3 2 5 3 3 2 2" xfId="40552" xr:uid="{00000000-0005-0000-0000-0000319D0000}"/>
    <cellStyle name="Normal 3 2 5 3 3 2 3" xfId="40553" xr:uid="{00000000-0005-0000-0000-0000329D0000}"/>
    <cellStyle name="Normal 3 2 5 3 3 3" xfId="40554" xr:uid="{00000000-0005-0000-0000-0000339D0000}"/>
    <cellStyle name="Normal 3 2 5 3 3 4" xfId="40555" xr:uid="{00000000-0005-0000-0000-0000349D0000}"/>
    <cellStyle name="Normal 3 2 5 3 3 5" xfId="40556" xr:uid="{00000000-0005-0000-0000-0000359D0000}"/>
    <cellStyle name="Normal 3 2 5 3 3 6" xfId="40557" xr:uid="{00000000-0005-0000-0000-0000369D0000}"/>
    <cellStyle name="Normal 3 2 5 3 4" xfId="40558" xr:uid="{00000000-0005-0000-0000-0000379D0000}"/>
    <cellStyle name="Normal 3 2 5 3 4 2" xfId="40559" xr:uid="{00000000-0005-0000-0000-0000389D0000}"/>
    <cellStyle name="Normal 3 2 5 3 4 2 2" xfId="40560" xr:uid="{00000000-0005-0000-0000-0000399D0000}"/>
    <cellStyle name="Normal 3 2 5 3 4 2 3" xfId="40561" xr:uid="{00000000-0005-0000-0000-00003A9D0000}"/>
    <cellStyle name="Normal 3 2 5 3 4 3" xfId="40562" xr:uid="{00000000-0005-0000-0000-00003B9D0000}"/>
    <cellStyle name="Normal 3 2 5 3 4 4" xfId="40563" xr:uid="{00000000-0005-0000-0000-00003C9D0000}"/>
    <cellStyle name="Normal 3 2 5 3 4 5" xfId="40564" xr:uid="{00000000-0005-0000-0000-00003D9D0000}"/>
    <cellStyle name="Normal 3 2 5 3 4 6" xfId="40565" xr:uid="{00000000-0005-0000-0000-00003E9D0000}"/>
    <cellStyle name="Normal 3 2 5 3 5" xfId="40566" xr:uid="{00000000-0005-0000-0000-00003F9D0000}"/>
    <cellStyle name="Normal 3 2 5 3 5 2" xfId="40567" xr:uid="{00000000-0005-0000-0000-0000409D0000}"/>
    <cellStyle name="Normal 3 2 5 3 5 3" xfId="40568" xr:uid="{00000000-0005-0000-0000-0000419D0000}"/>
    <cellStyle name="Normal 3 2 5 3 6" xfId="40569" xr:uid="{00000000-0005-0000-0000-0000429D0000}"/>
    <cellStyle name="Normal 3 2 5 3 7" xfId="40570" xr:uid="{00000000-0005-0000-0000-0000439D0000}"/>
    <cellStyle name="Normal 3 2 5 3 8" xfId="40571" xr:uid="{00000000-0005-0000-0000-0000449D0000}"/>
    <cellStyle name="Normal 3 2 5 3 9" xfId="40572" xr:uid="{00000000-0005-0000-0000-0000459D0000}"/>
    <cellStyle name="Normal 3 2 5 4" xfId="40573" xr:uid="{00000000-0005-0000-0000-0000469D0000}"/>
    <cellStyle name="Normal 3 2 5 4 2" xfId="40574" xr:uid="{00000000-0005-0000-0000-0000479D0000}"/>
    <cellStyle name="Normal 3 2 5 4 2 2" xfId="40575" xr:uid="{00000000-0005-0000-0000-0000489D0000}"/>
    <cellStyle name="Normal 3 2 5 4 2 2 2" xfId="40576" xr:uid="{00000000-0005-0000-0000-0000499D0000}"/>
    <cellStyle name="Normal 3 2 5 4 2 2 3" xfId="40577" xr:uid="{00000000-0005-0000-0000-00004A9D0000}"/>
    <cellStyle name="Normal 3 2 5 4 2 3" xfId="40578" xr:uid="{00000000-0005-0000-0000-00004B9D0000}"/>
    <cellStyle name="Normal 3 2 5 4 2 4" xfId="40579" xr:uid="{00000000-0005-0000-0000-00004C9D0000}"/>
    <cellStyle name="Normal 3 2 5 4 2 5" xfId="40580" xr:uid="{00000000-0005-0000-0000-00004D9D0000}"/>
    <cellStyle name="Normal 3 2 5 4 2 6" xfId="40581" xr:uid="{00000000-0005-0000-0000-00004E9D0000}"/>
    <cellStyle name="Normal 3 2 5 4 3" xfId="40582" xr:uid="{00000000-0005-0000-0000-00004F9D0000}"/>
    <cellStyle name="Normal 3 2 5 4 3 2" xfId="40583" xr:uid="{00000000-0005-0000-0000-0000509D0000}"/>
    <cellStyle name="Normal 3 2 5 4 3 3" xfId="40584" xr:uid="{00000000-0005-0000-0000-0000519D0000}"/>
    <cellStyle name="Normal 3 2 5 4 4" xfId="40585" xr:uid="{00000000-0005-0000-0000-0000529D0000}"/>
    <cellStyle name="Normal 3 2 5 4 5" xfId="40586" xr:uid="{00000000-0005-0000-0000-0000539D0000}"/>
    <cellStyle name="Normal 3 2 5 4 6" xfId="40587" xr:uid="{00000000-0005-0000-0000-0000549D0000}"/>
    <cellStyle name="Normal 3 2 5 4 7" xfId="40588" xr:uid="{00000000-0005-0000-0000-0000559D0000}"/>
    <cellStyle name="Normal 3 2 5 5" xfId="40589" xr:uid="{00000000-0005-0000-0000-0000569D0000}"/>
    <cellStyle name="Normal 3 2 5 5 2" xfId="40590" xr:uid="{00000000-0005-0000-0000-0000579D0000}"/>
    <cellStyle name="Normal 3 2 5 5 2 2" xfId="40591" xr:uid="{00000000-0005-0000-0000-0000589D0000}"/>
    <cellStyle name="Normal 3 2 5 5 2 3" xfId="40592" xr:uid="{00000000-0005-0000-0000-0000599D0000}"/>
    <cellStyle name="Normal 3 2 5 5 3" xfId="40593" xr:uid="{00000000-0005-0000-0000-00005A9D0000}"/>
    <cellStyle name="Normal 3 2 5 5 4" xfId="40594" xr:uid="{00000000-0005-0000-0000-00005B9D0000}"/>
    <cellStyle name="Normal 3 2 5 5 5" xfId="40595" xr:uid="{00000000-0005-0000-0000-00005C9D0000}"/>
    <cellStyle name="Normal 3 2 5 5 6" xfId="40596" xr:uid="{00000000-0005-0000-0000-00005D9D0000}"/>
    <cellStyle name="Normal 3 2 5 6" xfId="40597" xr:uid="{00000000-0005-0000-0000-00005E9D0000}"/>
    <cellStyle name="Normal 3 2 5 6 2" xfId="40598" xr:uid="{00000000-0005-0000-0000-00005F9D0000}"/>
    <cellStyle name="Normal 3 2 5 6 2 2" xfId="40599" xr:uid="{00000000-0005-0000-0000-0000609D0000}"/>
    <cellStyle name="Normal 3 2 5 6 2 3" xfId="40600" xr:uid="{00000000-0005-0000-0000-0000619D0000}"/>
    <cellStyle name="Normal 3 2 5 6 3" xfId="40601" xr:uid="{00000000-0005-0000-0000-0000629D0000}"/>
    <cellStyle name="Normal 3 2 5 6 4" xfId="40602" xr:uid="{00000000-0005-0000-0000-0000639D0000}"/>
    <cellStyle name="Normal 3 2 5 6 5" xfId="40603" xr:uid="{00000000-0005-0000-0000-0000649D0000}"/>
    <cellStyle name="Normal 3 2 5 6 6" xfId="40604" xr:uid="{00000000-0005-0000-0000-0000659D0000}"/>
    <cellStyle name="Normal 3 2 5 7" xfId="40605" xr:uid="{00000000-0005-0000-0000-0000669D0000}"/>
    <cellStyle name="Normal 3 2 5 7 2" xfId="40606" xr:uid="{00000000-0005-0000-0000-0000679D0000}"/>
    <cellStyle name="Normal 3 2 5 7 2 2" xfId="40607" xr:uid="{00000000-0005-0000-0000-0000689D0000}"/>
    <cellStyle name="Normal 3 2 5 7 2 3" xfId="40608" xr:uid="{00000000-0005-0000-0000-0000699D0000}"/>
    <cellStyle name="Normal 3 2 5 7 3" xfId="40609" xr:uid="{00000000-0005-0000-0000-00006A9D0000}"/>
    <cellStyle name="Normal 3 2 5 7 4" xfId="40610" xr:uid="{00000000-0005-0000-0000-00006B9D0000}"/>
    <cellStyle name="Normal 3 2 5 7 5" xfId="40611" xr:uid="{00000000-0005-0000-0000-00006C9D0000}"/>
    <cellStyle name="Normal 3 2 5 7 6" xfId="40612" xr:uid="{00000000-0005-0000-0000-00006D9D0000}"/>
    <cellStyle name="Normal 3 2 5 8" xfId="40613" xr:uid="{00000000-0005-0000-0000-00006E9D0000}"/>
    <cellStyle name="Normal 3 2 5 8 2" xfId="40614" xr:uid="{00000000-0005-0000-0000-00006F9D0000}"/>
    <cellStyle name="Normal 3 2 5 8 2 2" xfId="40615" xr:uid="{00000000-0005-0000-0000-0000709D0000}"/>
    <cellStyle name="Normal 3 2 5 8 2 3" xfId="40616" xr:uid="{00000000-0005-0000-0000-0000719D0000}"/>
    <cellStyle name="Normal 3 2 5 8 3" xfId="40617" xr:uid="{00000000-0005-0000-0000-0000729D0000}"/>
    <cellStyle name="Normal 3 2 5 8 4" xfId="40618" xr:uid="{00000000-0005-0000-0000-0000739D0000}"/>
    <cellStyle name="Normal 3 2 5 8 5" xfId="40619" xr:uid="{00000000-0005-0000-0000-0000749D0000}"/>
    <cellStyle name="Normal 3 2 5 8 6" xfId="40620" xr:uid="{00000000-0005-0000-0000-0000759D0000}"/>
    <cellStyle name="Normal 3 2 5 9" xfId="40621" xr:uid="{00000000-0005-0000-0000-0000769D0000}"/>
    <cellStyle name="Normal 3 2 5 9 2" xfId="40622" xr:uid="{00000000-0005-0000-0000-0000779D0000}"/>
    <cellStyle name="Normal 3 2 5 9 3" xfId="40623" xr:uid="{00000000-0005-0000-0000-0000789D0000}"/>
    <cellStyle name="Normal 3 2 6" xfId="40624" xr:uid="{00000000-0005-0000-0000-0000799D0000}"/>
    <cellStyle name="Normal 3 2 6 10" xfId="40625" xr:uid="{00000000-0005-0000-0000-00007A9D0000}"/>
    <cellStyle name="Normal 3 2 6 11" xfId="40626" xr:uid="{00000000-0005-0000-0000-00007B9D0000}"/>
    <cellStyle name="Normal 3 2 6 12" xfId="40627" xr:uid="{00000000-0005-0000-0000-00007C9D0000}"/>
    <cellStyle name="Normal 3 2 6 13" xfId="40628" xr:uid="{00000000-0005-0000-0000-00007D9D0000}"/>
    <cellStyle name="Normal 3 2 6 2" xfId="40629" xr:uid="{00000000-0005-0000-0000-00007E9D0000}"/>
    <cellStyle name="Normal 3 2 6 2 10" xfId="40630" xr:uid="{00000000-0005-0000-0000-00007F9D0000}"/>
    <cellStyle name="Normal 3 2 6 2 2" xfId="40631" xr:uid="{00000000-0005-0000-0000-0000809D0000}"/>
    <cellStyle name="Normal 3 2 6 2 2 2" xfId="40632" xr:uid="{00000000-0005-0000-0000-0000819D0000}"/>
    <cellStyle name="Normal 3 2 6 2 2 2 2" xfId="40633" xr:uid="{00000000-0005-0000-0000-0000829D0000}"/>
    <cellStyle name="Normal 3 2 6 2 2 2 2 2" xfId="40634" xr:uid="{00000000-0005-0000-0000-0000839D0000}"/>
    <cellStyle name="Normal 3 2 6 2 2 2 2 3" xfId="40635" xr:uid="{00000000-0005-0000-0000-0000849D0000}"/>
    <cellStyle name="Normal 3 2 6 2 2 2 3" xfId="40636" xr:uid="{00000000-0005-0000-0000-0000859D0000}"/>
    <cellStyle name="Normal 3 2 6 2 2 2 4" xfId="40637" xr:uid="{00000000-0005-0000-0000-0000869D0000}"/>
    <cellStyle name="Normal 3 2 6 2 2 2 5" xfId="40638" xr:uid="{00000000-0005-0000-0000-0000879D0000}"/>
    <cellStyle name="Normal 3 2 6 2 2 2 6" xfId="40639" xr:uid="{00000000-0005-0000-0000-0000889D0000}"/>
    <cellStyle name="Normal 3 2 6 2 2 3" xfId="40640" xr:uid="{00000000-0005-0000-0000-0000899D0000}"/>
    <cellStyle name="Normal 3 2 6 2 2 3 2" xfId="40641" xr:uid="{00000000-0005-0000-0000-00008A9D0000}"/>
    <cellStyle name="Normal 3 2 6 2 2 3 2 2" xfId="40642" xr:uid="{00000000-0005-0000-0000-00008B9D0000}"/>
    <cellStyle name="Normal 3 2 6 2 2 3 2 3" xfId="40643" xr:uid="{00000000-0005-0000-0000-00008C9D0000}"/>
    <cellStyle name="Normal 3 2 6 2 2 3 3" xfId="40644" xr:uid="{00000000-0005-0000-0000-00008D9D0000}"/>
    <cellStyle name="Normal 3 2 6 2 2 3 4" xfId="40645" xr:uid="{00000000-0005-0000-0000-00008E9D0000}"/>
    <cellStyle name="Normal 3 2 6 2 2 3 5" xfId="40646" xr:uid="{00000000-0005-0000-0000-00008F9D0000}"/>
    <cellStyle name="Normal 3 2 6 2 2 3 6" xfId="40647" xr:uid="{00000000-0005-0000-0000-0000909D0000}"/>
    <cellStyle name="Normal 3 2 6 2 2 4" xfId="40648" xr:uid="{00000000-0005-0000-0000-0000919D0000}"/>
    <cellStyle name="Normal 3 2 6 2 2 4 2" xfId="40649" xr:uid="{00000000-0005-0000-0000-0000929D0000}"/>
    <cellStyle name="Normal 3 2 6 2 2 4 3" xfId="40650" xr:uid="{00000000-0005-0000-0000-0000939D0000}"/>
    <cellStyle name="Normal 3 2 6 2 2 5" xfId="40651" xr:uid="{00000000-0005-0000-0000-0000949D0000}"/>
    <cellStyle name="Normal 3 2 6 2 2 6" xfId="40652" xr:uid="{00000000-0005-0000-0000-0000959D0000}"/>
    <cellStyle name="Normal 3 2 6 2 2 7" xfId="40653" xr:uid="{00000000-0005-0000-0000-0000969D0000}"/>
    <cellStyle name="Normal 3 2 6 2 2 8" xfId="40654" xr:uid="{00000000-0005-0000-0000-0000979D0000}"/>
    <cellStyle name="Normal 3 2 6 2 3" xfId="40655" xr:uid="{00000000-0005-0000-0000-0000989D0000}"/>
    <cellStyle name="Normal 3 2 6 2 3 2" xfId="40656" xr:uid="{00000000-0005-0000-0000-0000999D0000}"/>
    <cellStyle name="Normal 3 2 6 2 3 2 2" xfId="40657" xr:uid="{00000000-0005-0000-0000-00009A9D0000}"/>
    <cellStyle name="Normal 3 2 6 2 3 2 2 2" xfId="40658" xr:uid="{00000000-0005-0000-0000-00009B9D0000}"/>
    <cellStyle name="Normal 3 2 6 2 3 2 2 3" xfId="40659" xr:uid="{00000000-0005-0000-0000-00009C9D0000}"/>
    <cellStyle name="Normal 3 2 6 2 3 2 3" xfId="40660" xr:uid="{00000000-0005-0000-0000-00009D9D0000}"/>
    <cellStyle name="Normal 3 2 6 2 3 2 4" xfId="40661" xr:uid="{00000000-0005-0000-0000-00009E9D0000}"/>
    <cellStyle name="Normal 3 2 6 2 3 2 5" xfId="40662" xr:uid="{00000000-0005-0000-0000-00009F9D0000}"/>
    <cellStyle name="Normal 3 2 6 2 3 2 6" xfId="40663" xr:uid="{00000000-0005-0000-0000-0000A09D0000}"/>
    <cellStyle name="Normal 3 2 6 2 3 3" xfId="40664" xr:uid="{00000000-0005-0000-0000-0000A19D0000}"/>
    <cellStyle name="Normal 3 2 6 2 3 3 2" xfId="40665" xr:uid="{00000000-0005-0000-0000-0000A29D0000}"/>
    <cellStyle name="Normal 3 2 6 2 3 3 3" xfId="40666" xr:uid="{00000000-0005-0000-0000-0000A39D0000}"/>
    <cellStyle name="Normal 3 2 6 2 3 4" xfId="40667" xr:uid="{00000000-0005-0000-0000-0000A49D0000}"/>
    <cellStyle name="Normal 3 2 6 2 3 5" xfId="40668" xr:uid="{00000000-0005-0000-0000-0000A59D0000}"/>
    <cellStyle name="Normal 3 2 6 2 3 6" xfId="40669" xr:uid="{00000000-0005-0000-0000-0000A69D0000}"/>
    <cellStyle name="Normal 3 2 6 2 3 7" xfId="40670" xr:uid="{00000000-0005-0000-0000-0000A79D0000}"/>
    <cellStyle name="Normal 3 2 6 2 4" xfId="40671" xr:uid="{00000000-0005-0000-0000-0000A89D0000}"/>
    <cellStyle name="Normal 3 2 6 2 4 2" xfId="40672" xr:uid="{00000000-0005-0000-0000-0000A99D0000}"/>
    <cellStyle name="Normal 3 2 6 2 4 2 2" xfId="40673" xr:uid="{00000000-0005-0000-0000-0000AA9D0000}"/>
    <cellStyle name="Normal 3 2 6 2 4 2 3" xfId="40674" xr:uid="{00000000-0005-0000-0000-0000AB9D0000}"/>
    <cellStyle name="Normal 3 2 6 2 4 3" xfId="40675" xr:uid="{00000000-0005-0000-0000-0000AC9D0000}"/>
    <cellStyle name="Normal 3 2 6 2 4 4" xfId="40676" xr:uid="{00000000-0005-0000-0000-0000AD9D0000}"/>
    <cellStyle name="Normal 3 2 6 2 4 5" xfId="40677" xr:uid="{00000000-0005-0000-0000-0000AE9D0000}"/>
    <cellStyle name="Normal 3 2 6 2 4 6" xfId="40678" xr:uid="{00000000-0005-0000-0000-0000AF9D0000}"/>
    <cellStyle name="Normal 3 2 6 2 5" xfId="40679" xr:uid="{00000000-0005-0000-0000-0000B09D0000}"/>
    <cellStyle name="Normal 3 2 6 2 5 2" xfId="40680" xr:uid="{00000000-0005-0000-0000-0000B19D0000}"/>
    <cellStyle name="Normal 3 2 6 2 5 2 2" xfId="40681" xr:uid="{00000000-0005-0000-0000-0000B29D0000}"/>
    <cellStyle name="Normal 3 2 6 2 5 2 3" xfId="40682" xr:uid="{00000000-0005-0000-0000-0000B39D0000}"/>
    <cellStyle name="Normal 3 2 6 2 5 3" xfId="40683" xr:uid="{00000000-0005-0000-0000-0000B49D0000}"/>
    <cellStyle name="Normal 3 2 6 2 5 4" xfId="40684" xr:uid="{00000000-0005-0000-0000-0000B59D0000}"/>
    <cellStyle name="Normal 3 2 6 2 5 5" xfId="40685" xr:uid="{00000000-0005-0000-0000-0000B69D0000}"/>
    <cellStyle name="Normal 3 2 6 2 5 6" xfId="40686" xr:uid="{00000000-0005-0000-0000-0000B79D0000}"/>
    <cellStyle name="Normal 3 2 6 2 6" xfId="40687" xr:uid="{00000000-0005-0000-0000-0000B89D0000}"/>
    <cellStyle name="Normal 3 2 6 2 6 2" xfId="40688" xr:uid="{00000000-0005-0000-0000-0000B99D0000}"/>
    <cellStyle name="Normal 3 2 6 2 6 3" xfId="40689" xr:uid="{00000000-0005-0000-0000-0000BA9D0000}"/>
    <cellStyle name="Normal 3 2 6 2 7" xfId="40690" xr:uid="{00000000-0005-0000-0000-0000BB9D0000}"/>
    <cellStyle name="Normal 3 2 6 2 8" xfId="40691" xr:uid="{00000000-0005-0000-0000-0000BC9D0000}"/>
    <cellStyle name="Normal 3 2 6 2 9" xfId="40692" xr:uid="{00000000-0005-0000-0000-0000BD9D0000}"/>
    <cellStyle name="Normal 3 2 6 3" xfId="40693" xr:uid="{00000000-0005-0000-0000-0000BE9D0000}"/>
    <cellStyle name="Normal 3 2 6 3 2" xfId="40694" xr:uid="{00000000-0005-0000-0000-0000BF9D0000}"/>
    <cellStyle name="Normal 3 2 6 3 2 2" xfId="40695" xr:uid="{00000000-0005-0000-0000-0000C09D0000}"/>
    <cellStyle name="Normal 3 2 6 3 2 2 2" xfId="40696" xr:uid="{00000000-0005-0000-0000-0000C19D0000}"/>
    <cellStyle name="Normal 3 2 6 3 2 2 2 2" xfId="40697" xr:uid="{00000000-0005-0000-0000-0000C29D0000}"/>
    <cellStyle name="Normal 3 2 6 3 2 2 2 3" xfId="40698" xr:uid="{00000000-0005-0000-0000-0000C39D0000}"/>
    <cellStyle name="Normal 3 2 6 3 2 2 3" xfId="40699" xr:uid="{00000000-0005-0000-0000-0000C49D0000}"/>
    <cellStyle name="Normal 3 2 6 3 2 2 4" xfId="40700" xr:uid="{00000000-0005-0000-0000-0000C59D0000}"/>
    <cellStyle name="Normal 3 2 6 3 2 2 5" xfId="40701" xr:uid="{00000000-0005-0000-0000-0000C69D0000}"/>
    <cellStyle name="Normal 3 2 6 3 2 2 6" xfId="40702" xr:uid="{00000000-0005-0000-0000-0000C79D0000}"/>
    <cellStyle name="Normal 3 2 6 3 2 3" xfId="40703" xr:uid="{00000000-0005-0000-0000-0000C89D0000}"/>
    <cellStyle name="Normal 3 2 6 3 2 3 2" xfId="40704" xr:uid="{00000000-0005-0000-0000-0000C99D0000}"/>
    <cellStyle name="Normal 3 2 6 3 2 3 3" xfId="40705" xr:uid="{00000000-0005-0000-0000-0000CA9D0000}"/>
    <cellStyle name="Normal 3 2 6 3 2 4" xfId="40706" xr:uid="{00000000-0005-0000-0000-0000CB9D0000}"/>
    <cellStyle name="Normal 3 2 6 3 2 5" xfId="40707" xr:uid="{00000000-0005-0000-0000-0000CC9D0000}"/>
    <cellStyle name="Normal 3 2 6 3 2 6" xfId="40708" xr:uid="{00000000-0005-0000-0000-0000CD9D0000}"/>
    <cellStyle name="Normal 3 2 6 3 2 7" xfId="40709" xr:uid="{00000000-0005-0000-0000-0000CE9D0000}"/>
    <cellStyle name="Normal 3 2 6 3 3" xfId="40710" xr:uid="{00000000-0005-0000-0000-0000CF9D0000}"/>
    <cellStyle name="Normal 3 2 6 3 3 2" xfId="40711" xr:uid="{00000000-0005-0000-0000-0000D09D0000}"/>
    <cellStyle name="Normal 3 2 6 3 3 2 2" xfId="40712" xr:uid="{00000000-0005-0000-0000-0000D19D0000}"/>
    <cellStyle name="Normal 3 2 6 3 3 2 3" xfId="40713" xr:uid="{00000000-0005-0000-0000-0000D29D0000}"/>
    <cellStyle name="Normal 3 2 6 3 3 3" xfId="40714" xr:uid="{00000000-0005-0000-0000-0000D39D0000}"/>
    <cellStyle name="Normal 3 2 6 3 3 4" xfId="40715" xr:uid="{00000000-0005-0000-0000-0000D49D0000}"/>
    <cellStyle name="Normal 3 2 6 3 3 5" xfId="40716" xr:uid="{00000000-0005-0000-0000-0000D59D0000}"/>
    <cellStyle name="Normal 3 2 6 3 3 6" xfId="40717" xr:uid="{00000000-0005-0000-0000-0000D69D0000}"/>
    <cellStyle name="Normal 3 2 6 3 4" xfId="40718" xr:uid="{00000000-0005-0000-0000-0000D79D0000}"/>
    <cellStyle name="Normal 3 2 6 3 4 2" xfId="40719" xr:uid="{00000000-0005-0000-0000-0000D89D0000}"/>
    <cellStyle name="Normal 3 2 6 3 4 2 2" xfId="40720" xr:uid="{00000000-0005-0000-0000-0000D99D0000}"/>
    <cellStyle name="Normal 3 2 6 3 4 2 3" xfId="40721" xr:uid="{00000000-0005-0000-0000-0000DA9D0000}"/>
    <cellStyle name="Normal 3 2 6 3 4 3" xfId="40722" xr:uid="{00000000-0005-0000-0000-0000DB9D0000}"/>
    <cellStyle name="Normal 3 2 6 3 4 4" xfId="40723" xr:uid="{00000000-0005-0000-0000-0000DC9D0000}"/>
    <cellStyle name="Normal 3 2 6 3 4 5" xfId="40724" xr:uid="{00000000-0005-0000-0000-0000DD9D0000}"/>
    <cellStyle name="Normal 3 2 6 3 4 6" xfId="40725" xr:uid="{00000000-0005-0000-0000-0000DE9D0000}"/>
    <cellStyle name="Normal 3 2 6 3 5" xfId="40726" xr:uid="{00000000-0005-0000-0000-0000DF9D0000}"/>
    <cellStyle name="Normal 3 2 6 3 5 2" xfId="40727" xr:uid="{00000000-0005-0000-0000-0000E09D0000}"/>
    <cellStyle name="Normal 3 2 6 3 5 3" xfId="40728" xr:uid="{00000000-0005-0000-0000-0000E19D0000}"/>
    <cellStyle name="Normal 3 2 6 3 6" xfId="40729" xr:uid="{00000000-0005-0000-0000-0000E29D0000}"/>
    <cellStyle name="Normal 3 2 6 3 7" xfId="40730" xr:uid="{00000000-0005-0000-0000-0000E39D0000}"/>
    <cellStyle name="Normal 3 2 6 3 8" xfId="40731" xr:uid="{00000000-0005-0000-0000-0000E49D0000}"/>
    <cellStyle name="Normal 3 2 6 3 9" xfId="40732" xr:uid="{00000000-0005-0000-0000-0000E59D0000}"/>
    <cellStyle name="Normal 3 2 6 4" xfId="40733" xr:uid="{00000000-0005-0000-0000-0000E69D0000}"/>
    <cellStyle name="Normal 3 2 6 4 2" xfId="40734" xr:uid="{00000000-0005-0000-0000-0000E79D0000}"/>
    <cellStyle name="Normal 3 2 6 4 2 2" xfId="40735" xr:uid="{00000000-0005-0000-0000-0000E89D0000}"/>
    <cellStyle name="Normal 3 2 6 4 2 2 2" xfId="40736" xr:uid="{00000000-0005-0000-0000-0000E99D0000}"/>
    <cellStyle name="Normal 3 2 6 4 2 2 3" xfId="40737" xr:uid="{00000000-0005-0000-0000-0000EA9D0000}"/>
    <cellStyle name="Normal 3 2 6 4 2 3" xfId="40738" xr:uid="{00000000-0005-0000-0000-0000EB9D0000}"/>
    <cellStyle name="Normal 3 2 6 4 2 4" xfId="40739" xr:uid="{00000000-0005-0000-0000-0000EC9D0000}"/>
    <cellStyle name="Normal 3 2 6 4 2 5" xfId="40740" xr:uid="{00000000-0005-0000-0000-0000ED9D0000}"/>
    <cellStyle name="Normal 3 2 6 4 2 6" xfId="40741" xr:uid="{00000000-0005-0000-0000-0000EE9D0000}"/>
    <cellStyle name="Normal 3 2 6 4 3" xfId="40742" xr:uid="{00000000-0005-0000-0000-0000EF9D0000}"/>
    <cellStyle name="Normal 3 2 6 4 3 2" xfId="40743" xr:uid="{00000000-0005-0000-0000-0000F09D0000}"/>
    <cellStyle name="Normal 3 2 6 4 3 3" xfId="40744" xr:uid="{00000000-0005-0000-0000-0000F19D0000}"/>
    <cellStyle name="Normal 3 2 6 4 4" xfId="40745" xr:uid="{00000000-0005-0000-0000-0000F29D0000}"/>
    <cellStyle name="Normal 3 2 6 4 5" xfId="40746" xr:uid="{00000000-0005-0000-0000-0000F39D0000}"/>
    <cellStyle name="Normal 3 2 6 4 6" xfId="40747" xr:uid="{00000000-0005-0000-0000-0000F49D0000}"/>
    <cellStyle name="Normal 3 2 6 4 7" xfId="40748" xr:uid="{00000000-0005-0000-0000-0000F59D0000}"/>
    <cellStyle name="Normal 3 2 6 5" xfId="40749" xr:uid="{00000000-0005-0000-0000-0000F69D0000}"/>
    <cellStyle name="Normal 3 2 6 5 2" xfId="40750" xr:uid="{00000000-0005-0000-0000-0000F79D0000}"/>
    <cellStyle name="Normal 3 2 6 5 2 2" xfId="40751" xr:uid="{00000000-0005-0000-0000-0000F89D0000}"/>
    <cellStyle name="Normal 3 2 6 5 2 3" xfId="40752" xr:uid="{00000000-0005-0000-0000-0000F99D0000}"/>
    <cellStyle name="Normal 3 2 6 5 3" xfId="40753" xr:uid="{00000000-0005-0000-0000-0000FA9D0000}"/>
    <cellStyle name="Normal 3 2 6 5 4" xfId="40754" xr:uid="{00000000-0005-0000-0000-0000FB9D0000}"/>
    <cellStyle name="Normal 3 2 6 5 5" xfId="40755" xr:uid="{00000000-0005-0000-0000-0000FC9D0000}"/>
    <cellStyle name="Normal 3 2 6 5 6" xfId="40756" xr:uid="{00000000-0005-0000-0000-0000FD9D0000}"/>
    <cellStyle name="Normal 3 2 6 6" xfId="40757" xr:uid="{00000000-0005-0000-0000-0000FE9D0000}"/>
    <cellStyle name="Normal 3 2 6 6 2" xfId="40758" xr:uid="{00000000-0005-0000-0000-0000FF9D0000}"/>
    <cellStyle name="Normal 3 2 6 6 2 2" xfId="40759" xr:uid="{00000000-0005-0000-0000-0000009E0000}"/>
    <cellStyle name="Normal 3 2 6 6 2 3" xfId="40760" xr:uid="{00000000-0005-0000-0000-0000019E0000}"/>
    <cellStyle name="Normal 3 2 6 6 3" xfId="40761" xr:uid="{00000000-0005-0000-0000-0000029E0000}"/>
    <cellStyle name="Normal 3 2 6 6 4" xfId="40762" xr:uid="{00000000-0005-0000-0000-0000039E0000}"/>
    <cellStyle name="Normal 3 2 6 6 5" xfId="40763" xr:uid="{00000000-0005-0000-0000-0000049E0000}"/>
    <cellStyle name="Normal 3 2 6 6 6" xfId="40764" xr:uid="{00000000-0005-0000-0000-0000059E0000}"/>
    <cellStyle name="Normal 3 2 6 7" xfId="40765" xr:uid="{00000000-0005-0000-0000-0000069E0000}"/>
    <cellStyle name="Normal 3 2 6 7 2" xfId="40766" xr:uid="{00000000-0005-0000-0000-0000079E0000}"/>
    <cellStyle name="Normal 3 2 6 7 2 2" xfId="40767" xr:uid="{00000000-0005-0000-0000-0000089E0000}"/>
    <cellStyle name="Normal 3 2 6 7 2 3" xfId="40768" xr:uid="{00000000-0005-0000-0000-0000099E0000}"/>
    <cellStyle name="Normal 3 2 6 7 3" xfId="40769" xr:uid="{00000000-0005-0000-0000-00000A9E0000}"/>
    <cellStyle name="Normal 3 2 6 7 4" xfId="40770" xr:uid="{00000000-0005-0000-0000-00000B9E0000}"/>
    <cellStyle name="Normal 3 2 6 7 5" xfId="40771" xr:uid="{00000000-0005-0000-0000-00000C9E0000}"/>
    <cellStyle name="Normal 3 2 6 7 6" xfId="40772" xr:uid="{00000000-0005-0000-0000-00000D9E0000}"/>
    <cellStyle name="Normal 3 2 6 8" xfId="40773" xr:uid="{00000000-0005-0000-0000-00000E9E0000}"/>
    <cellStyle name="Normal 3 2 6 8 2" xfId="40774" xr:uid="{00000000-0005-0000-0000-00000F9E0000}"/>
    <cellStyle name="Normal 3 2 6 8 2 2" xfId="40775" xr:uid="{00000000-0005-0000-0000-0000109E0000}"/>
    <cellStyle name="Normal 3 2 6 8 2 3" xfId="40776" xr:uid="{00000000-0005-0000-0000-0000119E0000}"/>
    <cellStyle name="Normal 3 2 6 8 3" xfId="40777" xr:uid="{00000000-0005-0000-0000-0000129E0000}"/>
    <cellStyle name="Normal 3 2 6 8 4" xfId="40778" xr:uid="{00000000-0005-0000-0000-0000139E0000}"/>
    <cellStyle name="Normal 3 2 6 8 5" xfId="40779" xr:uid="{00000000-0005-0000-0000-0000149E0000}"/>
    <cellStyle name="Normal 3 2 6 8 6" xfId="40780" xr:uid="{00000000-0005-0000-0000-0000159E0000}"/>
    <cellStyle name="Normal 3 2 6 9" xfId="40781" xr:uid="{00000000-0005-0000-0000-0000169E0000}"/>
    <cellStyle name="Normal 3 2 6 9 2" xfId="40782" xr:uid="{00000000-0005-0000-0000-0000179E0000}"/>
    <cellStyle name="Normal 3 2 6 9 3" xfId="40783" xr:uid="{00000000-0005-0000-0000-0000189E0000}"/>
    <cellStyle name="Normal 3 2 7" xfId="40784" xr:uid="{00000000-0005-0000-0000-0000199E0000}"/>
    <cellStyle name="Normal 3 2 7 10" xfId="40785" xr:uid="{00000000-0005-0000-0000-00001A9E0000}"/>
    <cellStyle name="Normal 3 2 7 2" xfId="40786" xr:uid="{00000000-0005-0000-0000-00001B9E0000}"/>
    <cellStyle name="Normal 3 2 7 2 2" xfId="40787" xr:uid="{00000000-0005-0000-0000-00001C9E0000}"/>
    <cellStyle name="Normal 3 2 7 2 2 2" xfId="40788" xr:uid="{00000000-0005-0000-0000-00001D9E0000}"/>
    <cellStyle name="Normal 3 2 7 2 2 2 2" xfId="40789" xr:uid="{00000000-0005-0000-0000-00001E9E0000}"/>
    <cellStyle name="Normal 3 2 7 2 2 2 3" xfId="40790" xr:uid="{00000000-0005-0000-0000-00001F9E0000}"/>
    <cellStyle name="Normal 3 2 7 2 2 3" xfId="40791" xr:uid="{00000000-0005-0000-0000-0000209E0000}"/>
    <cellStyle name="Normal 3 2 7 2 2 4" xfId="40792" xr:uid="{00000000-0005-0000-0000-0000219E0000}"/>
    <cellStyle name="Normal 3 2 7 2 2 5" xfId="40793" xr:uid="{00000000-0005-0000-0000-0000229E0000}"/>
    <cellStyle name="Normal 3 2 7 2 2 6" xfId="40794" xr:uid="{00000000-0005-0000-0000-0000239E0000}"/>
    <cellStyle name="Normal 3 2 7 2 3" xfId="40795" xr:uid="{00000000-0005-0000-0000-0000249E0000}"/>
    <cellStyle name="Normal 3 2 7 2 3 2" xfId="40796" xr:uid="{00000000-0005-0000-0000-0000259E0000}"/>
    <cellStyle name="Normal 3 2 7 2 3 2 2" xfId="40797" xr:uid="{00000000-0005-0000-0000-0000269E0000}"/>
    <cellStyle name="Normal 3 2 7 2 3 2 3" xfId="40798" xr:uid="{00000000-0005-0000-0000-0000279E0000}"/>
    <cellStyle name="Normal 3 2 7 2 3 3" xfId="40799" xr:uid="{00000000-0005-0000-0000-0000289E0000}"/>
    <cellStyle name="Normal 3 2 7 2 3 4" xfId="40800" xr:uid="{00000000-0005-0000-0000-0000299E0000}"/>
    <cellStyle name="Normal 3 2 7 2 3 5" xfId="40801" xr:uid="{00000000-0005-0000-0000-00002A9E0000}"/>
    <cellStyle name="Normal 3 2 7 2 3 6" xfId="40802" xr:uid="{00000000-0005-0000-0000-00002B9E0000}"/>
    <cellStyle name="Normal 3 2 7 2 4" xfId="40803" xr:uid="{00000000-0005-0000-0000-00002C9E0000}"/>
    <cellStyle name="Normal 3 2 7 2 4 2" xfId="40804" xr:uid="{00000000-0005-0000-0000-00002D9E0000}"/>
    <cellStyle name="Normal 3 2 7 2 4 3" xfId="40805" xr:uid="{00000000-0005-0000-0000-00002E9E0000}"/>
    <cellStyle name="Normal 3 2 7 2 5" xfId="40806" xr:uid="{00000000-0005-0000-0000-00002F9E0000}"/>
    <cellStyle name="Normal 3 2 7 2 6" xfId="40807" xr:uid="{00000000-0005-0000-0000-0000309E0000}"/>
    <cellStyle name="Normal 3 2 7 2 7" xfId="40808" xr:uid="{00000000-0005-0000-0000-0000319E0000}"/>
    <cellStyle name="Normal 3 2 7 2 8" xfId="40809" xr:uid="{00000000-0005-0000-0000-0000329E0000}"/>
    <cellStyle name="Normal 3 2 7 3" xfId="40810" xr:uid="{00000000-0005-0000-0000-0000339E0000}"/>
    <cellStyle name="Normal 3 2 7 3 2" xfId="40811" xr:uid="{00000000-0005-0000-0000-0000349E0000}"/>
    <cellStyle name="Normal 3 2 7 3 2 2" xfId="40812" xr:uid="{00000000-0005-0000-0000-0000359E0000}"/>
    <cellStyle name="Normal 3 2 7 3 2 2 2" xfId="40813" xr:uid="{00000000-0005-0000-0000-0000369E0000}"/>
    <cellStyle name="Normal 3 2 7 3 2 2 3" xfId="40814" xr:uid="{00000000-0005-0000-0000-0000379E0000}"/>
    <cellStyle name="Normal 3 2 7 3 2 3" xfId="40815" xr:uid="{00000000-0005-0000-0000-0000389E0000}"/>
    <cellStyle name="Normal 3 2 7 3 2 4" xfId="40816" xr:uid="{00000000-0005-0000-0000-0000399E0000}"/>
    <cellStyle name="Normal 3 2 7 3 2 5" xfId="40817" xr:uid="{00000000-0005-0000-0000-00003A9E0000}"/>
    <cellStyle name="Normal 3 2 7 3 2 6" xfId="40818" xr:uid="{00000000-0005-0000-0000-00003B9E0000}"/>
    <cellStyle name="Normal 3 2 7 3 3" xfId="40819" xr:uid="{00000000-0005-0000-0000-00003C9E0000}"/>
    <cellStyle name="Normal 3 2 7 3 3 2" xfId="40820" xr:uid="{00000000-0005-0000-0000-00003D9E0000}"/>
    <cellStyle name="Normal 3 2 7 3 3 3" xfId="40821" xr:uid="{00000000-0005-0000-0000-00003E9E0000}"/>
    <cellStyle name="Normal 3 2 7 3 4" xfId="40822" xr:uid="{00000000-0005-0000-0000-00003F9E0000}"/>
    <cellStyle name="Normal 3 2 7 3 5" xfId="40823" xr:uid="{00000000-0005-0000-0000-0000409E0000}"/>
    <cellStyle name="Normal 3 2 7 3 6" xfId="40824" xr:uid="{00000000-0005-0000-0000-0000419E0000}"/>
    <cellStyle name="Normal 3 2 7 3 7" xfId="40825" xr:uid="{00000000-0005-0000-0000-0000429E0000}"/>
    <cellStyle name="Normal 3 2 7 4" xfId="40826" xr:uid="{00000000-0005-0000-0000-0000439E0000}"/>
    <cellStyle name="Normal 3 2 7 4 2" xfId="40827" xr:uid="{00000000-0005-0000-0000-0000449E0000}"/>
    <cellStyle name="Normal 3 2 7 4 2 2" xfId="40828" xr:uid="{00000000-0005-0000-0000-0000459E0000}"/>
    <cellStyle name="Normal 3 2 7 4 2 3" xfId="40829" xr:uid="{00000000-0005-0000-0000-0000469E0000}"/>
    <cellStyle name="Normal 3 2 7 4 3" xfId="40830" xr:uid="{00000000-0005-0000-0000-0000479E0000}"/>
    <cellStyle name="Normal 3 2 7 4 4" xfId="40831" xr:uid="{00000000-0005-0000-0000-0000489E0000}"/>
    <cellStyle name="Normal 3 2 7 4 5" xfId="40832" xr:uid="{00000000-0005-0000-0000-0000499E0000}"/>
    <cellStyle name="Normal 3 2 7 4 6" xfId="40833" xr:uid="{00000000-0005-0000-0000-00004A9E0000}"/>
    <cellStyle name="Normal 3 2 7 5" xfId="40834" xr:uid="{00000000-0005-0000-0000-00004B9E0000}"/>
    <cellStyle name="Normal 3 2 7 5 2" xfId="40835" xr:uid="{00000000-0005-0000-0000-00004C9E0000}"/>
    <cellStyle name="Normal 3 2 7 5 2 2" xfId="40836" xr:uid="{00000000-0005-0000-0000-00004D9E0000}"/>
    <cellStyle name="Normal 3 2 7 5 2 3" xfId="40837" xr:uid="{00000000-0005-0000-0000-00004E9E0000}"/>
    <cellStyle name="Normal 3 2 7 5 3" xfId="40838" xr:uid="{00000000-0005-0000-0000-00004F9E0000}"/>
    <cellStyle name="Normal 3 2 7 5 4" xfId="40839" xr:uid="{00000000-0005-0000-0000-0000509E0000}"/>
    <cellStyle name="Normal 3 2 7 5 5" xfId="40840" xr:uid="{00000000-0005-0000-0000-0000519E0000}"/>
    <cellStyle name="Normal 3 2 7 5 6" xfId="40841" xr:uid="{00000000-0005-0000-0000-0000529E0000}"/>
    <cellStyle name="Normal 3 2 7 6" xfId="40842" xr:uid="{00000000-0005-0000-0000-0000539E0000}"/>
    <cellStyle name="Normal 3 2 7 6 2" xfId="40843" xr:uid="{00000000-0005-0000-0000-0000549E0000}"/>
    <cellStyle name="Normal 3 2 7 6 3" xfId="40844" xr:uid="{00000000-0005-0000-0000-0000559E0000}"/>
    <cellStyle name="Normal 3 2 7 7" xfId="40845" xr:uid="{00000000-0005-0000-0000-0000569E0000}"/>
    <cellStyle name="Normal 3 2 7 8" xfId="40846" xr:uid="{00000000-0005-0000-0000-0000579E0000}"/>
    <cellStyle name="Normal 3 2 7 9" xfId="40847" xr:uid="{00000000-0005-0000-0000-0000589E0000}"/>
    <cellStyle name="Normal 3 2 8" xfId="40848" xr:uid="{00000000-0005-0000-0000-0000599E0000}"/>
    <cellStyle name="Normal 3 2 8 2" xfId="40849" xr:uid="{00000000-0005-0000-0000-00005A9E0000}"/>
    <cellStyle name="Normal 3 2 8 2 2" xfId="40850" xr:uid="{00000000-0005-0000-0000-00005B9E0000}"/>
    <cellStyle name="Normal 3 2 8 2 3" xfId="40851" xr:uid="{00000000-0005-0000-0000-00005C9E0000}"/>
    <cellStyle name="Normal 3 2 8 3" xfId="40852" xr:uid="{00000000-0005-0000-0000-00005D9E0000}"/>
    <cellStyle name="Normal 3 2 8 4" xfId="40853" xr:uid="{00000000-0005-0000-0000-00005E9E0000}"/>
    <cellStyle name="Normal 3 2 8 5" xfId="40854" xr:uid="{00000000-0005-0000-0000-00005F9E0000}"/>
    <cellStyle name="Normal 3 2 8 6" xfId="40855" xr:uid="{00000000-0005-0000-0000-0000609E0000}"/>
    <cellStyle name="Normal 3 2 9" xfId="40856" xr:uid="{00000000-0005-0000-0000-0000619E0000}"/>
    <cellStyle name="Normal 3 2 9 2" xfId="40857" xr:uid="{00000000-0005-0000-0000-0000629E0000}"/>
    <cellStyle name="Normal 3 2 9 2 2" xfId="40858" xr:uid="{00000000-0005-0000-0000-0000639E0000}"/>
    <cellStyle name="Normal 3 2 9 2 3" xfId="40859" xr:uid="{00000000-0005-0000-0000-0000649E0000}"/>
    <cellStyle name="Normal 3 2 9 3" xfId="40860" xr:uid="{00000000-0005-0000-0000-0000659E0000}"/>
    <cellStyle name="Normal 3 2 9 4" xfId="40861" xr:uid="{00000000-0005-0000-0000-0000669E0000}"/>
    <cellStyle name="Normal 3 2 9 5" xfId="40862" xr:uid="{00000000-0005-0000-0000-0000679E0000}"/>
    <cellStyle name="Normal 3 2 9 6" xfId="40863" xr:uid="{00000000-0005-0000-0000-0000689E0000}"/>
    <cellStyle name="Normal 3 3" xfId="138" xr:uid="{00000000-0005-0000-0000-0000699E0000}"/>
    <cellStyle name="Normal 3 3 10" xfId="40864" xr:uid="{00000000-0005-0000-0000-00006A9E0000}"/>
    <cellStyle name="Normal 3 3 11" xfId="40865" xr:uid="{00000000-0005-0000-0000-00006B9E0000}"/>
    <cellStyle name="Normal 3 3 12" xfId="40866" xr:uid="{00000000-0005-0000-0000-00006C9E0000}"/>
    <cellStyle name="Normal 3 3 13" xfId="40867" xr:uid="{00000000-0005-0000-0000-00006D9E0000}"/>
    <cellStyle name="Normal 3 3 2" xfId="139" xr:uid="{00000000-0005-0000-0000-00006E9E0000}"/>
    <cellStyle name="Normal 3 3 3" xfId="412" xr:uid="{00000000-0005-0000-0000-00006F9E0000}"/>
    <cellStyle name="Normal 3 3 3 10" xfId="40868" xr:uid="{00000000-0005-0000-0000-0000709E0000}"/>
    <cellStyle name="Normal 3 3 3 10 2" xfId="40869" xr:uid="{00000000-0005-0000-0000-0000719E0000}"/>
    <cellStyle name="Normal 3 3 3 10 2 2" xfId="40870" xr:uid="{00000000-0005-0000-0000-0000729E0000}"/>
    <cellStyle name="Normal 3 3 3 10 2 3" xfId="40871" xr:uid="{00000000-0005-0000-0000-0000739E0000}"/>
    <cellStyle name="Normal 3 3 3 10 3" xfId="40872" xr:uid="{00000000-0005-0000-0000-0000749E0000}"/>
    <cellStyle name="Normal 3 3 3 10 4" xfId="40873" xr:uid="{00000000-0005-0000-0000-0000759E0000}"/>
    <cellStyle name="Normal 3 3 3 10 5" xfId="40874" xr:uid="{00000000-0005-0000-0000-0000769E0000}"/>
    <cellStyle name="Normal 3 3 3 10 6" xfId="40875" xr:uid="{00000000-0005-0000-0000-0000779E0000}"/>
    <cellStyle name="Normal 3 3 3 11" xfId="40876" xr:uid="{00000000-0005-0000-0000-0000789E0000}"/>
    <cellStyle name="Normal 3 3 3 11 2" xfId="40877" xr:uid="{00000000-0005-0000-0000-0000799E0000}"/>
    <cellStyle name="Normal 3 3 3 11 3" xfId="40878" xr:uid="{00000000-0005-0000-0000-00007A9E0000}"/>
    <cellStyle name="Normal 3 3 3 12" xfId="40879" xr:uid="{00000000-0005-0000-0000-00007B9E0000}"/>
    <cellStyle name="Normal 3 3 3 13" xfId="40880" xr:uid="{00000000-0005-0000-0000-00007C9E0000}"/>
    <cellStyle name="Normal 3 3 3 14" xfId="40881" xr:uid="{00000000-0005-0000-0000-00007D9E0000}"/>
    <cellStyle name="Normal 3 3 3 15" xfId="40882" xr:uid="{00000000-0005-0000-0000-00007E9E0000}"/>
    <cellStyle name="Normal 3 3 3 2" xfId="40883" xr:uid="{00000000-0005-0000-0000-00007F9E0000}"/>
    <cellStyle name="Normal 3 3 3 2 10" xfId="40884" xr:uid="{00000000-0005-0000-0000-0000809E0000}"/>
    <cellStyle name="Normal 3 3 3 2 10 2" xfId="40885" xr:uid="{00000000-0005-0000-0000-0000819E0000}"/>
    <cellStyle name="Normal 3 3 3 2 10 3" xfId="40886" xr:uid="{00000000-0005-0000-0000-0000829E0000}"/>
    <cellStyle name="Normal 3 3 3 2 11" xfId="40887" xr:uid="{00000000-0005-0000-0000-0000839E0000}"/>
    <cellStyle name="Normal 3 3 3 2 12" xfId="40888" xr:uid="{00000000-0005-0000-0000-0000849E0000}"/>
    <cellStyle name="Normal 3 3 3 2 13" xfId="40889" xr:uid="{00000000-0005-0000-0000-0000859E0000}"/>
    <cellStyle name="Normal 3 3 3 2 14" xfId="40890" xr:uid="{00000000-0005-0000-0000-0000869E0000}"/>
    <cellStyle name="Normal 3 3 3 2 2" xfId="40891" xr:uid="{00000000-0005-0000-0000-0000879E0000}"/>
    <cellStyle name="Normal 3 3 3 2 2 10" xfId="40892" xr:uid="{00000000-0005-0000-0000-0000889E0000}"/>
    <cellStyle name="Normal 3 3 3 2 2 11" xfId="40893" xr:uid="{00000000-0005-0000-0000-0000899E0000}"/>
    <cellStyle name="Normal 3 3 3 2 2 12" xfId="40894" xr:uid="{00000000-0005-0000-0000-00008A9E0000}"/>
    <cellStyle name="Normal 3 3 3 2 2 13" xfId="40895" xr:uid="{00000000-0005-0000-0000-00008B9E0000}"/>
    <cellStyle name="Normal 3 3 3 2 2 2" xfId="40896" xr:uid="{00000000-0005-0000-0000-00008C9E0000}"/>
    <cellStyle name="Normal 3 3 3 2 2 2 10" xfId="40897" xr:uid="{00000000-0005-0000-0000-00008D9E0000}"/>
    <cellStyle name="Normal 3 3 3 2 2 2 2" xfId="40898" xr:uid="{00000000-0005-0000-0000-00008E9E0000}"/>
    <cellStyle name="Normal 3 3 3 2 2 2 2 2" xfId="40899" xr:uid="{00000000-0005-0000-0000-00008F9E0000}"/>
    <cellStyle name="Normal 3 3 3 2 2 2 2 2 2" xfId="40900" xr:uid="{00000000-0005-0000-0000-0000909E0000}"/>
    <cellStyle name="Normal 3 3 3 2 2 2 2 2 2 2" xfId="40901" xr:uid="{00000000-0005-0000-0000-0000919E0000}"/>
    <cellStyle name="Normal 3 3 3 2 2 2 2 2 2 3" xfId="40902" xr:uid="{00000000-0005-0000-0000-0000929E0000}"/>
    <cellStyle name="Normal 3 3 3 2 2 2 2 2 3" xfId="40903" xr:uid="{00000000-0005-0000-0000-0000939E0000}"/>
    <cellStyle name="Normal 3 3 3 2 2 2 2 2 4" xfId="40904" xr:uid="{00000000-0005-0000-0000-0000949E0000}"/>
    <cellStyle name="Normal 3 3 3 2 2 2 2 2 5" xfId="40905" xr:uid="{00000000-0005-0000-0000-0000959E0000}"/>
    <cellStyle name="Normal 3 3 3 2 2 2 2 2 6" xfId="40906" xr:uid="{00000000-0005-0000-0000-0000969E0000}"/>
    <cellStyle name="Normal 3 3 3 2 2 2 2 3" xfId="40907" xr:uid="{00000000-0005-0000-0000-0000979E0000}"/>
    <cellStyle name="Normal 3 3 3 2 2 2 2 3 2" xfId="40908" xr:uid="{00000000-0005-0000-0000-0000989E0000}"/>
    <cellStyle name="Normal 3 3 3 2 2 2 2 3 2 2" xfId="40909" xr:uid="{00000000-0005-0000-0000-0000999E0000}"/>
    <cellStyle name="Normal 3 3 3 2 2 2 2 3 2 3" xfId="40910" xr:uid="{00000000-0005-0000-0000-00009A9E0000}"/>
    <cellStyle name="Normal 3 3 3 2 2 2 2 3 3" xfId="40911" xr:uid="{00000000-0005-0000-0000-00009B9E0000}"/>
    <cellStyle name="Normal 3 3 3 2 2 2 2 3 4" xfId="40912" xr:uid="{00000000-0005-0000-0000-00009C9E0000}"/>
    <cellStyle name="Normal 3 3 3 2 2 2 2 3 5" xfId="40913" xr:uid="{00000000-0005-0000-0000-00009D9E0000}"/>
    <cellStyle name="Normal 3 3 3 2 2 2 2 3 6" xfId="40914" xr:uid="{00000000-0005-0000-0000-00009E9E0000}"/>
    <cellStyle name="Normal 3 3 3 2 2 2 2 4" xfId="40915" xr:uid="{00000000-0005-0000-0000-00009F9E0000}"/>
    <cellStyle name="Normal 3 3 3 2 2 2 2 4 2" xfId="40916" xr:uid="{00000000-0005-0000-0000-0000A09E0000}"/>
    <cellStyle name="Normal 3 3 3 2 2 2 2 4 3" xfId="40917" xr:uid="{00000000-0005-0000-0000-0000A19E0000}"/>
    <cellStyle name="Normal 3 3 3 2 2 2 2 5" xfId="40918" xr:uid="{00000000-0005-0000-0000-0000A29E0000}"/>
    <cellStyle name="Normal 3 3 3 2 2 2 2 6" xfId="40919" xr:uid="{00000000-0005-0000-0000-0000A39E0000}"/>
    <cellStyle name="Normal 3 3 3 2 2 2 2 7" xfId="40920" xr:uid="{00000000-0005-0000-0000-0000A49E0000}"/>
    <cellStyle name="Normal 3 3 3 2 2 2 2 8" xfId="40921" xr:uid="{00000000-0005-0000-0000-0000A59E0000}"/>
    <cellStyle name="Normal 3 3 3 2 2 2 3" xfId="40922" xr:uid="{00000000-0005-0000-0000-0000A69E0000}"/>
    <cellStyle name="Normal 3 3 3 2 2 2 3 2" xfId="40923" xr:uid="{00000000-0005-0000-0000-0000A79E0000}"/>
    <cellStyle name="Normal 3 3 3 2 2 2 3 2 2" xfId="40924" xr:uid="{00000000-0005-0000-0000-0000A89E0000}"/>
    <cellStyle name="Normal 3 3 3 2 2 2 3 2 2 2" xfId="40925" xr:uid="{00000000-0005-0000-0000-0000A99E0000}"/>
    <cellStyle name="Normal 3 3 3 2 2 2 3 2 2 3" xfId="40926" xr:uid="{00000000-0005-0000-0000-0000AA9E0000}"/>
    <cellStyle name="Normal 3 3 3 2 2 2 3 2 3" xfId="40927" xr:uid="{00000000-0005-0000-0000-0000AB9E0000}"/>
    <cellStyle name="Normal 3 3 3 2 2 2 3 2 4" xfId="40928" xr:uid="{00000000-0005-0000-0000-0000AC9E0000}"/>
    <cellStyle name="Normal 3 3 3 2 2 2 3 2 5" xfId="40929" xr:uid="{00000000-0005-0000-0000-0000AD9E0000}"/>
    <cellStyle name="Normal 3 3 3 2 2 2 3 2 6" xfId="40930" xr:uid="{00000000-0005-0000-0000-0000AE9E0000}"/>
    <cellStyle name="Normal 3 3 3 2 2 2 3 3" xfId="40931" xr:uid="{00000000-0005-0000-0000-0000AF9E0000}"/>
    <cellStyle name="Normal 3 3 3 2 2 2 3 3 2" xfId="40932" xr:uid="{00000000-0005-0000-0000-0000B09E0000}"/>
    <cellStyle name="Normal 3 3 3 2 2 2 3 3 3" xfId="40933" xr:uid="{00000000-0005-0000-0000-0000B19E0000}"/>
    <cellStyle name="Normal 3 3 3 2 2 2 3 4" xfId="40934" xr:uid="{00000000-0005-0000-0000-0000B29E0000}"/>
    <cellStyle name="Normal 3 3 3 2 2 2 3 5" xfId="40935" xr:uid="{00000000-0005-0000-0000-0000B39E0000}"/>
    <cellStyle name="Normal 3 3 3 2 2 2 3 6" xfId="40936" xr:uid="{00000000-0005-0000-0000-0000B49E0000}"/>
    <cellStyle name="Normal 3 3 3 2 2 2 3 7" xfId="40937" xr:uid="{00000000-0005-0000-0000-0000B59E0000}"/>
    <cellStyle name="Normal 3 3 3 2 2 2 4" xfId="40938" xr:uid="{00000000-0005-0000-0000-0000B69E0000}"/>
    <cellStyle name="Normal 3 3 3 2 2 2 4 2" xfId="40939" xr:uid="{00000000-0005-0000-0000-0000B79E0000}"/>
    <cellStyle name="Normal 3 3 3 2 2 2 4 2 2" xfId="40940" xr:uid="{00000000-0005-0000-0000-0000B89E0000}"/>
    <cellStyle name="Normal 3 3 3 2 2 2 4 2 3" xfId="40941" xr:uid="{00000000-0005-0000-0000-0000B99E0000}"/>
    <cellStyle name="Normal 3 3 3 2 2 2 4 3" xfId="40942" xr:uid="{00000000-0005-0000-0000-0000BA9E0000}"/>
    <cellStyle name="Normal 3 3 3 2 2 2 4 4" xfId="40943" xr:uid="{00000000-0005-0000-0000-0000BB9E0000}"/>
    <cellStyle name="Normal 3 3 3 2 2 2 4 5" xfId="40944" xr:uid="{00000000-0005-0000-0000-0000BC9E0000}"/>
    <cellStyle name="Normal 3 3 3 2 2 2 4 6" xfId="40945" xr:uid="{00000000-0005-0000-0000-0000BD9E0000}"/>
    <cellStyle name="Normal 3 3 3 2 2 2 5" xfId="40946" xr:uid="{00000000-0005-0000-0000-0000BE9E0000}"/>
    <cellStyle name="Normal 3 3 3 2 2 2 5 2" xfId="40947" xr:uid="{00000000-0005-0000-0000-0000BF9E0000}"/>
    <cellStyle name="Normal 3 3 3 2 2 2 5 2 2" xfId="40948" xr:uid="{00000000-0005-0000-0000-0000C09E0000}"/>
    <cellStyle name="Normal 3 3 3 2 2 2 5 2 3" xfId="40949" xr:uid="{00000000-0005-0000-0000-0000C19E0000}"/>
    <cellStyle name="Normal 3 3 3 2 2 2 5 3" xfId="40950" xr:uid="{00000000-0005-0000-0000-0000C29E0000}"/>
    <cellStyle name="Normal 3 3 3 2 2 2 5 4" xfId="40951" xr:uid="{00000000-0005-0000-0000-0000C39E0000}"/>
    <cellStyle name="Normal 3 3 3 2 2 2 5 5" xfId="40952" xr:uid="{00000000-0005-0000-0000-0000C49E0000}"/>
    <cellStyle name="Normal 3 3 3 2 2 2 5 6" xfId="40953" xr:uid="{00000000-0005-0000-0000-0000C59E0000}"/>
    <cellStyle name="Normal 3 3 3 2 2 2 6" xfId="40954" xr:uid="{00000000-0005-0000-0000-0000C69E0000}"/>
    <cellStyle name="Normal 3 3 3 2 2 2 6 2" xfId="40955" xr:uid="{00000000-0005-0000-0000-0000C79E0000}"/>
    <cellStyle name="Normal 3 3 3 2 2 2 6 3" xfId="40956" xr:uid="{00000000-0005-0000-0000-0000C89E0000}"/>
    <cellStyle name="Normal 3 3 3 2 2 2 7" xfId="40957" xr:uid="{00000000-0005-0000-0000-0000C99E0000}"/>
    <cellStyle name="Normal 3 3 3 2 2 2 8" xfId="40958" xr:uid="{00000000-0005-0000-0000-0000CA9E0000}"/>
    <cellStyle name="Normal 3 3 3 2 2 2 9" xfId="40959" xr:uid="{00000000-0005-0000-0000-0000CB9E0000}"/>
    <cellStyle name="Normal 3 3 3 2 2 3" xfId="40960" xr:uid="{00000000-0005-0000-0000-0000CC9E0000}"/>
    <cellStyle name="Normal 3 3 3 2 2 3 2" xfId="40961" xr:uid="{00000000-0005-0000-0000-0000CD9E0000}"/>
    <cellStyle name="Normal 3 3 3 2 2 3 2 2" xfId="40962" xr:uid="{00000000-0005-0000-0000-0000CE9E0000}"/>
    <cellStyle name="Normal 3 3 3 2 2 3 2 2 2" xfId="40963" xr:uid="{00000000-0005-0000-0000-0000CF9E0000}"/>
    <cellStyle name="Normal 3 3 3 2 2 3 2 2 2 2" xfId="40964" xr:uid="{00000000-0005-0000-0000-0000D09E0000}"/>
    <cellStyle name="Normal 3 3 3 2 2 3 2 2 2 3" xfId="40965" xr:uid="{00000000-0005-0000-0000-0000D19E0000}"/>
    <cellStyle name="Normal 3 3 3 2 2 3 2 2 3" xfId="40966" xr:uid="{00000000-0005-0000-0000-0000D29E0000}"/>
    <cellStyle name="Normal 3 3 3 2 2 3 2 2 4" xfId="40967" xr:uid="{00000000-0005-0000-0000-0000D39E0000}"/>
    <cellStyle name="Normal 3 3 3 2 2 3 2 2 5" xfId="40968" xr:uid="{00000000-0005-0000-0000-0000D49E0000}"/>
    <cellStyle name="Normal 3 3 3 2 2 3 2 2 6" xfId="40969" xr:uid="{00000000-0005-0000-0000-0000D59E0000}"/>
    <cellStyle name="Normal 3 3 3 2 2 3 2 3" xfId="40970" xr:uid="{00000000-0005-0000-0000-0000D69E0000}"/>
    <cellStyle name="Normal 3 3 3 2 2 3 2 3 2" xfId="40971" xr:uid="{00000000-0005-0000-0000-0000D79E0000}"/>
    <cellStyle name="Normal 3 3 3 2 2 3 2 3 3" xfId="40972" xr:uid="{00000000-0005-0000-0000-0000D89E0000}"/>
    <cellStyle name="Normal 3 3 3 2 2 3 2 4" xfId="40973" xr:uid="{00000000-0005-0000-0000-0000D99E0000}"/>
    <cellStyle name="Normal 3 3 3 2 2 3 2 5" xfId="40974" xr:uid="{00000000-0005-0000-0000-0000DA9E0000}"/>
    <cellStyle name="Normal 3 3 3 2 2 3 2 6" xfId="40975" xr:uid="{00000000-0005-0000-0000-0000DB9E0000}"/>
    <cellStyle name="Normal 3 3 3 2 2 3 2 7" xfId="40976" xr:uid="{00000000-0005-0000-0000-0000DC9E0000}"/>
    <cellStyle name="Normal 3 3 3 2 2 3 3" xfId="40977" xr:uid="{00000000-0005-0000-0000-0000DD9E0000}"/>
    <cellStyle name="Normal 3 3 3 2 2 3 3 2" xfId="40978" xr:uid="{00000000-0005-0000-0000-0000DE9E0000}"/>
    <cellStyle name="Normal 3 3 3 2 2 3 3 2 2" xfId="40979" xr:uid="{00000000-0005-0000-0000-0000DF9E0000}"/>
    <cellStyle name="Normal 3 3 3 2 2 3 3 2 3" xfId="40980" xr:uid="{00000000-0005-0000-0000-0000E09E0000}"/>
    <cellStyle name="Normal 3 3 3 2 2 3 3 3" xfId="40981" xr:uid="{00000000-0005-0000-0000-0000E19E0000}"/>
    <cellStyle name="Normal 3 3 3 2 2 3 3 4" xfId="40982" xr:uid="{00000000-0005-0000-0000-0000E29E0000}"/>
    <cellStyle name="Normal 3 3 3 2 2 3 3 5" xfId="40983" xr:uid="{00000000-0005-0000-0000-0000E39E0000}"/>
    <cellStyle name="Normal 3 3 3 2 2 3 3 6" xfId="40984" xr:uid="{00000000-0005-0000-0000-0000E49E0000}"/>
    <cellStyle name="Normal 3 3 3 2 2 3 4" xfId="40985" xr:uid="{00000000-0005-0000-0000-0000E59E0000}"/>
    <cellStyle name="Normal 3 3 3 2 2 3 4 2" xfId="40986" xr:uid="{00000000-0005-0000-0000-0000E69E0000}"/>
    <cellStyle name="Normal 3 3 3 2 2 3 4 2 2" xfId="40987" xr:uid="{00000000-0005-0000-0000-0000E79E0000}"/>
    <cellStyle name="Normal 3 3 3 2 2 3 4 2 3" xfId="40988" xr:uid="{00000000-0005-0000-0000-0000E89E0000}"/>
    <cellStyle name="Normal 3 3 3 2 2 3 4 3" xfId="40989" xr:uid="{00000000-0005-0000-0000-0000E99E0000}"/>
    <cellStyle name="Normal 3 3 3 2 2 3 4 4" xfId="40990" xr:uid="{00000000-0005-0000-0000-0000EA9E0000}"/>
    <cellStyle name="Normal 3 3 3 2 2 3 4 5" xfId="40991" xr:uid="{00000000-0005-0000-0000-0000EB9E0000}"/>
    <cellStyle name="Normal 3 3 3 2 2 3 4 6" xfId="40992" xr:uid="{00000000-0005-0000-0000-0000EC9E0000}"/>
    <cellStyle name="Normal 3 3 3 2 2 3 5" xfId="40993" xr:uid="{00000000-0005-0000-0000-0000ED9E0000}"/>
    <cellStyle name="Normal 3 3 3 2 2 3 5 2" xfId="40994" xr:uid="{00000000-0005-0000-0000-0000EE9E0000}"/>
    <cellStyle name="Normal 3 3 3 2 2 3 5 3" xfId="40995" xr:uid="{00000000-0005-0000-0000-0000EF9E0000}"/>
    <cellStyle name="Normal 3 3 3 2 2 3 6" xfId="40996" xr:uid="{00000000-0005-0000-0000-0000F09E0000}"/>
    <cellStyle name="Normal 3 3 3 2 2 3 7" xfId="40997" xr:uid="{00000000-0005-0000-0000-0000F19E0000}"/>
    <cellStyle name="Normal 3 3 3 2 2 3 8" xfId="40998" xr:uid="{00000000-0005-0000-0000-0000F29E0000}"/>
    <cellStyle name="Normal 3 3 3 2 2 3 9" xfId="40999" xr:uid="{00000000-0005-0000-0000-0000F39E0000}"/>
    <cellStyle name="Normal 3 3 3 2 2 4" xfId="41000" xr:uid="{00000000-0005-0000-0000-0000F49E0000}"/>
    <cellStyle name="Normal 3 3 3 2 2 4 2" xfId="41001" xr:uid="{00000000-0005-0000-0000-0000F59E0000}"/>
    <cellStyle name="Normal 3 3 3 2 2 4 2 2" xfId="41002" xr:uid="{00000000-0005-0000-0000-0000F69E0000}"/>
    <cellStyle name="Normal 3 3 3 2 2 4 2 2 2" xfId="41003" xr:uid="{00000000-0005-0000-0000-0000F79E0000}"/>
    <cellStyle name="Normal 3 3 3 2 2 4 2 2 3" xfId="41004" xr:uid="{00000000-0005-0000-0000-0000F89E0000}"/>
    <cellStyle name="Normal 3 3 3 2 2 4 2 3" xfId="41005" xr:uid="{00000000-0005-0000-0000-0000F99E0000}"/>
    <cellStyle name="Normal 3 3 3 2 2 4 2 4" xfId="41006" xr:uid="{00000000-0005-0000-0000-0000FA9E0000}"/>
    <cellStyle name="Normal 3 3 3 2 2 4 2 5" xfId="41007" xr:uid="{00000000-0005-0000-0000-0000FB9E0000}"/>
    <cellStyle name="Normal 3 3 3 2 2 4 2 6" xfId="41008" xr:uid="{00000000-0005-0000-0000-0000FC9E0000}"/>
    <cellStyle name="Normal 3 3 3 2 2 4 3" xfId="41009" xr:uid="{00000000-0005-0000-0000-0000FD9E0000}"/>
    <cellStyle name="Normal 3 3 3 2 2 4 3 2" xfId="41010" xr:uid="{00000000-0005-0000-0000-0000FE9E0000}"/>
    <cellStyle name="Normal 3 3 3 2 2 4 3 3" xfId="41011" xr:uid="{00000000-0005-0000-0000-0000FF9E0000}"/>
    <cellStyle name="Normal 3 3 3 2 2 4 4" xfId="41012" xr:uid="{00000000-0005-0000-0000-0000009F0000}"/>
    <cellStyle name="Normal 3 3 3 2 2 4 5" xfId="41013" xr:uid="{00000000-0005-0000-0000-0000019F0000}"/>
    <cellStyle name="Normal 3 3 3 2 2 4 6" xfId="41014" xr:uid="{00000000-0005-0000-0000-0000029F0000}"/>
    <cellStyle name="Normal 3 3 3 2 2 4 7" xfId="41015" xr:uid="{00000000-0005-0000-0000-0000039F0000}"/>
    <cellStyle name="Normal 3 3 3 2 2 5" xfId="41016" xr:uid="{00000000-0005-0000-0000-0000049F0000}"/>
    <cellStyle name="Normal 3 3 3 2 2 5 2" xfId="41017" xr:uid="{00000000-0005-0000-0000-0000059F0000}"/>
    <cellStyle name="Normal 3 3 3 2 2 5 2 2" xfId="41018" xr:uid="{00000000-0005-0000-0000-0000069F0000}"/>
    <cellStyle name="Normal 3 3 3 2 2 5 2 3" xfId="41019" xr:uid="{00000000-0005-0000-0000-0000079F0000}"/>
    <cellStyle name="Normal 3 3 3 2 2 5 3" xfId="41020" xr:uid="{00000000-0005-0000-0000-0000089F0000}"/>
    <cellStyle name="Normal 3 3 3 2 2 5 4" xfId="41021" xr:uid="{00000000-0005-0000-0000-0000099F0000}"/>
    <cellStyle name="Normal 3 3 3 2 2 5 5" xfId="41022" xr:uid="{00000000-0005-0000-0000-00000A9F0000}"/>
    <cellStyle name="Normal 3 3 3 2 2 5 6" xfId="41023" xr:uid="{00000000-0005-0000-0000-00000B9F0000}"/>
    <cellStyle name="Normal 3 3 3 2 2 6" xfId="41024" xr:uid="{00000000-0005-0000-0000-00000C9F0000}"/>
    <cellStyle name="Normal 3 3 3 2 2 6 2" xfId="41025" xr:uid="{00000000-0005-0000-0000-00000D9F0000}"/>
    <cellStyle name="Normal 3 3 3 2 2 6 2 2" xfId="41026" xr:uid="{00000000-0005-0000-0000-00000E9F0000}"/>
    <cellStyle name="Normal 3 3 3 2 2 6 2 3" xfId="41027" xr:uid="{00000000-0005-0000-0000-00000F9F0000}"/>
    <cellStyle name="Normal 3 3 3 2 2 6 3" xfId="41028" xr:uid="{00000000-0005-0000-0000-0000109F0000}"/>
    <cellStyle name="Normal 3 3 3 2 2 6 4" xfId="41029" xr:uid="{00000000-0005-0000-0000-0000119F0000}"/>
    <cellStyle name="Normal 3 3 3 2 2 6 5" xfId="41030" xr:uid="{00000000-0005-0000-0000-0000129F0000}"/>
    <cellStyle name="Normal 3 3 3 2 2 6 6" xfId="41031" xr:uid="{00000000-0005-0000-0000-0000139F0000}"/>
    <cellStyle name="Normal 3 3 3 2 2 7" xfId="41032" xr:uid="{00000000-0005-0000-0000-0000149F0000}"/>
    <cellStyle name="Normal 3 3 3 2 2 7 2" xfId="41033" xr:uid="{00000000-0005-0000-0000-0000159F0000}"/>
    <cellStyle name="Normal 3 3 3 2 2 7 2 2" xfId="41034" xr:uid="{00000000-0005-0000-0000-0000169F0000}"/>
    <cellStyle name="Normal 3 3 3 2 2 7 2 3" xfId="41035" xr:uid="{00000000-0005-0000-0000-0000179F0000}"/>
    <cellStyle name="Normal 3 3 3 2 2 7 3" xfId="41036" xr:uid="{00000000-0005-0000-0000-0000189F0000}"/>
    <cellStyle name="Normal 3 3 3 2 2 7 4" xfId="41037" xr:uid="{00000000-0005-0000-0000-0000199F0000}"/>
    <cellStyle name="Normal 3 3 3 2 2 7 5" xfId="41038" xr:uid="{00000000-0005-0000-0000-00001A9F0000}"/>
    <cellStyle name="Normal 3 3 3 2 2 7 6" xfId="41039" xr:uid="{00000000-0005-0000-0000-00001B9F0000}"/>
    <cellStyle name="Normal 3 3 3 2 2 8" xfId="41040" xr:uid="{00000000-0005-0000-0000-00001C9F0000}"/>
    <cellStyle name="Normal 3 3 3 2 2 8 2" xfId="41041" xr:uid="{00000000-0005-0000-0000-00001D9F0000}"/>
    <cellStyle name="Normal 3 3 3 2 2 8 2 2" xfId="41042" xr:uid="{00000000-0005-0000-0000-00001E9F0000}"/>
    <cellStyle name="Normal 3 3 3 2 2 8 2 3" xfId="41043" xr:uid="{00000000-0005-0000-0000-00001F9F0000}"/>
    <cellStyle name="Normal 3 3 3 2 2 8 3" xfId="41044" xr:uid="{00000000-0005-0000-0000-0000209F0000}"/>
    <cellStyle name="Normal 3 3 3 2 2 8 4" xfId="41045" xr:uid="{00000000-0005-0000-0000-0000219F0000}"/>
    <cellStyle name="Normal 3 3 3 2 2 8 5" xfId="41046" xr:uid="{00000000-0005-0000-0000-0000229F0000}"/>
    <cellStyle name="Normal 3 3 3 2 2 8 6" xfId="41047" xr:uid="{00000000-0005-0000-0000-0000239F0000}"/>
    <cellStyle name="Normal 3 3 3 2 2 9" xfId="41048" xr:uid="{00000000-0005-0000-0000-0000249F0000}"/>
    <cellStyle name="Normal 3 3 3 2 2 9 2" xfId="41049" xr:uid="{00000000-0005-0000-0000-0000259F0000}"/>
    <cellStyle name="Normal 3 3 3 2 2 9 3" xfId="41050" xr:uid="{00000000-0005-0000-0000-0000269F0000}"/>
    <cellStyle name="Normal 3 3 3 2 3" xfId="41051" xr:uid="{00000000-0005-0000-0000-0000279F0000}"/>
    <cellStyle name="Normal 3 3 3 2 3 10" xfId="41052" xr:uid="{00000000-0005-0000-0000-0000289F0000}"/>
    <cellStyle name="Normal 3 3 3 2 3 2" xfId="41053" xr:uid="{00000000-0005-0000-0000-0000299F0000}"/>
    <cellStyle name="Normal 3 3 3 2 3 2 2" xfId="41054" xr:uid="{00000000-0005-0000-0000-00002A9F0000}"/>
    <cellStyle name="Normal 3 3 3 2 3 2 2 2" xfId="41055" xr:uid="{00000000-0005-0000-0000-00002B9F0000}"/>
    <cellStyle name="Normal 3 3 3 2 3 2 2 2 2" xfId="41056" xr:uid="{00000000-0005-0000-0000-00002C9F0000}"/>
    <cellStyle name="Normal 3 3 3 2 3 2 2 2 3" xfId="41057" xr:uid="{00000000-0005-0000-0000-00002D9F0000}"/>
    <cellStyle name="Normal 3 3 3 2 3 2 2 3" xfId="41058" xr:uid="{00000000-0005-0000-0000-00002E9F0000}"/>
    <cellStyle name="Normal 3 3 3 2 3 2 2 4" xfId="41059" xr:uid="{00000000-0005-0000-0000-00002F9F0000}"/>
    <cellStyle name="Normal 3 3 3 2 3 2 2 5" xfId="41060" xr:uid="{00000000-0005-0000-0000-0000309F0000}"/>
    <cellStyle name="Normal 3 3 3 2 3 2 2 6" xfId="41061" xr:uid="{00000000-0005-0000-0000-0000319F0000}"/>
    <cellStyle name="Normal 3 3 3 2 3 2 3" xfId="41062" xr:uid="{00000000-0005-0000-0000-0000329F0000}"/>
    <cellStyle name="Normal 3 3 3 2 3 2 3 2" xfId="41063" xr:uid="{00000000-0005-0000-0000-0000339F0000}"/>
    <cellStyle name="Normal 3 3 3 2 3 2 3 2 2" xfId="41064" xr:uid="{00000000-0005-0000-0000-0000349F0000}"/>
    <cellStyle name="Normal 3 3 3 2 3 2 3 2 3" xfId="41065" xr:uid="{00000000-0005-0000-0000-0000359F0000}"/>
    <cellStyle name="Normal 3 3 3 2 3 2 3 3" xfId="41066" xr:uid="{00000000-0005-0000-0000-0000369F0000}"/>
    <cellStyle name="Normal 3 3 3 2 3 2 3 4" xfId="41067" xr:uid="{00000000-0005-0000-0000-0000379F0000}"/>
    <cellStyle name="Normal 3 3 3 2 3 2 3 5" xfId="41068" xr:uid="{00000000-0005-0000-0000-0000389F0000}"/>
    <cellStyle name="Normal 3 3 3 2 3 2 3 6" xfId="41069" xr:uid="{00000000-0005-0000-0000-0000399F0000}"/>
    <cellStyle name="Normal 3 3 3 2 3 2 4" xfId="41070" xr:uid="{00000000-0005-0000-0000-00003A9F0000}"/>
    <cellStyle name="Normal 3 3 3 2 3 2 4 2" xfId="41071" xr:uid="{00000000-0005-0000-0000-00003B9F0000}"/>
    <cellStyle name="Normal 3 3 3 2 3 2 4 3" xfId="41072" xr:uid="{00000000-0005-0000-0000-00003C9F0000}"/>
    <cellStyle name="Normal 3 3 3 2 3 2 5" xfId="41073" xr:uid="{00000000-0005-0000-0000-00003D9F0000}"/>
    <cellStyle name="Normal 3 3 3 2 3 2 6" xfId="41074" xr:uid="{00000000-0005-0000-0000-00003E9F0000}"/>
    <cellStyle name="Normal 3 3 3 2 3 2 7" xfId="41075" xr:uid="{00000000-0005-0000-0000-00003F9F0000}"/>
    <cellStyle name="Normal 3 3 3 2 3 2 8" xfId="41076" xr:uid="{00000000-0005-0000-0000-0000409F0000}"/>
    <cellStyle name="Normal 3 3 3 2 3 3" xfId="41077" xr:uid="{00000000-0005-0000-0000-0000419F0000}"/>
    <cellStyle name="Normal 3 3 3 2 3 3 2" xfId="41078" xr:uid="{00000000-0005-0000-0000-0000429F0000}"/>
    <cellStyle name="Normal 3 3 3 2 3 3 2 2" xfId="41079" xr:uid="{00000000-0005-0000-0000-0000439F0000}"/>
    <cellStyle name="Normal 3 3 3 2 3 3 2 2 2" xfId="41080" xr:uid="{00000000-0005-0000-0000-0000449F0000}"/>
    <cellStyle name="Normal 3 3 3 2 3 3 2 2 3" xfId="41081" xr:uid="{00000000-0005-0000-0000-0000459F0000}"/>
    <cellStyle name="Normal 3 3 3 2 3 3 2 3" xfId="41082" xr:uid="{00000000-0005-0000-0000-0000469F0000}"/>
    <cellStyle name="Normal 3 3 3 2 3 3 2 4" xfId="41083" xr:uid="{00000000-0005-0000-0000-0000479F0000}"/>
    <cellStyle name="Normal 3 3 3 2 3 3 2 5" xfId="41084" xr:uid="{00000000-0005-0000-0000-0000489F0000}"/>
    <cellStyle name="Normal 3 3 3 2 3 3 2 6" xfId="41085" xr:uid="{00000000-0005-0000-0000-0000499F0000}"/>
    <cellStyle name="Normal 3 3 3 2 3 3 3" xfId="41086" xr:uid="{00000000-0005-0000-0000-00004A9F0000}"/>
    <cellStyle name="Normal 3 3 3 2 3 3 3 2" xfId="41087" xr:uid="{00000000-0005-0000-0000-00004B9F0000}"/>
    <cellStyle name="Normal 3 3 3 2 3 3 3 3" xfId="41088" xr:uid="{00000000-0005-0000-0000-00004C9F0000}"/>
    <cellStyle name="Normal 3 3 3 2 3 3 4" xfId="41089" xr:uid="{00000000-0005-0000-0000-00004D9F0000}"/>
    <cellStyle name="Normal 3 3 3 2 3 3 5" xfId="41090" xr:uid="{00000000-0005-0000-0000-00004E9F0000}"/>
    <cellStyle name="Normal 3 3 3 2 3 3 6" xfId="41091" xr:uid="{00000000-0005-0000-0000-00004F9F0000}"/>
    <cellStyle name="Normal 3 3 3 2 3 3 7" xfId="41092" xr:uid="{00000000-0005-0000-0000-0000509F0000}"/>
    <cellStyle name="Normal 3 3 3 2 3 4" xfId="41093" xr:uid="{00000000-0005-0000-0000-0000519F0000}"/>
    <cellStyle name="Normal 3 3 3 2 3 4 2" xfId="41094" xr:uid="{00000000-0005-0000-0000-0000529F0000}"/>
    <cellStyle name="Normal 3 3 3 2 3 4 2 2" xfId="41095" xr:uid="{00000000-0005-0000-0000-0000539F0000}"/>
    <cellStyle name="Normal 3 3 3 2 3 4 2 3" xfId="41096" xr:uid="{00000000-0005-0000-0000-0000549F0000}"/>
    <cellStyle name="Normal 3 3 3 2 3 4 3" xfId="41097" xr:uid="{00000000-0005-0000-0000-0000559F0000}"/>
    <cellStyle name="Normal 3 3 3 2 3 4 4" xfId="41098" xr:uid="{00000000-0005-0000-0000-0000569F0000}"/>
    <cellStyle name="Normal 3 3 3 2 3 4 5" xfId="41099" xr:uid="{00000000-0005-0000-0000-0000579F0000}"/>
    <cellStyle name="Normal 3 3 3 2 3 4 6" xfId="41100" xr:uid="{00000000-0005-0000-0000-0000589F0000}"/>
    <cellStyle name="Normal 3 3 3 2 3 5" xfId="41101" xr:uid="{00000000-0005-0000-0000-0000599F0000}"/>
    <cellStyle name="Normal 3 3 3 2 3 5 2" xfId="41102" xr:uid="{00000000-0005-0000-0000-00005A9F0000}"/>
    <cellStyle name="Normal 3 3 3 2 3 5 2 2" xfId="41103" xr:uid="{00000000-0005-0000-0000-00005B9F0000}"/>
    <cellStyle name="Normal 3 3 3 2 3 5 2 3" xfId="41104" xr:uid="{00000000-0005-0000-0000-00005C9F0000}"/>
    <cellStyle name="Normal 3 3 3 2 3 5 3" xfId="41105" xr:uid="{00000000-0005-0000-0000-00005D9F0000}"/>
    <cellStyle name="Normal 3 3 3 2 3 5 4" xfId="41106" xr:uid="{00000000-0005-0000-0000-00005E9F0000}"/>
    <cellStyle name="Normal 3 3 3 2 3 5 5" xfId="41107" xr:uid="{00000000-0005-0000-0000-00005F9F0000}"/>
    <cellStyle name="Normal 3 3 3 2 3 5 6" xfId="41108" xr:uid="{00000000-0005-0000-0000-0000609F0000}"/>
    <cellStyle name="Normal 3 3 3 2 3 6" xfId="41109" xr:uid="{00000000-0005-0000-0000-0000619F0000}"/>
    <cellStyle name="Normal 3 3 3 2 3 6 2" xfId="41110" xr:uid="{00000000-0005-0000-0000-0000629F0000}"/>
    <cellStyle name="Normal 3 3 3 2 3 6 3" xfId="41111" xr:uid="{00000000-0005-0000-0000-0000639F0000}"/>
    <cellStyle name="Normal 3 3 3 2 3 7" xfId="41112" xr:uid="{00000000-0005-0000-0000-0000649F0000}"/>
    <cellStyle name="Normal 3 3 3 2 3 8" xfId="41113" xr:uid="{00000000-0005-0000-0000-0000659F0000}"/>
    <cellStyle name="Normal 3 3 3 2 3 9" xfId="41114" xr:uid="{00000000-0005-0000-0000-0000669F0000}"/>
    <cellStyle name="Normal 3 3 3 2 4" xfId="41115" xr:uid="{00000000-0005-0000-0000-0000679F0000}"/>
    <cellStyle name="Normal 3 3 3 2 4 2" xfId="41116" xr:uid="{00000000-0005-0000-0000-0000689F0000}"/>
    <cellStyle name="Normal 3 3 3 2 4 2 2" xfId="41117" xr:uid="{00000000-0005-0000-0000-0000699F0000}"/>
    <cellStyle name="Normal 3 3 3 2 4 2 2 2" xfId="41118" xr:uid="{00000000-0005-0000-0000-00006A9F0000}"/>
    <cellStyle name="Normal 3 3 3 2 4 2 2 2 2" xfId="41119" xr:uid="{00000000-0005-0000-0000-00006B9F0000}"/>
    <cellStyle name="Normal 3 3 3 2 4 2 2 2 3" xfId="41120" xr:uid="{00000000-0005-0000-0000-00006C9F0000}"/>
    <cellStyle name="Normal 3 3 3 2 4 2 2 3" xfId="41121" xr:uid="{00000000-0005-0000-0000-00006D9F0000}"/>
    <cellStyle name="Normal 3 3 3 2 4 2 2 4" xfId="41122" xr:uid="{00000000-0005-0000-0000-00006E9F0000}"/>
    <cellStyle name="Normal 3 3 3 2 4 2 2 5" xfId="41123" xr:uid="{00000000-0005-0000-0000-00006F9F0000}"/>
    <cellStyle name="Normal 3 3 3 2 4 2 2 6" xfId="41124" xr:uid="{00000000-0005-0000-0000-0000709F0000}"/>
    <cellStyle name="Normal 3 3 3 2 4 2 3" xfId="41125" xr:uid="{00000000-0005-0000-0000-0000719F0000}"/>
    <cellStyle name="Normal 3 3 3 2 4 2 3 2" xfId="41126" xr:uid="{00000000-0005-0000-0000-0000729F0000}"/>
    <cellStyle name="Normal 3 3 3 2 4 2 3 3" xfId="41127" xr:uid="{00000000-0005-0000-0000-0000739F0000}"/>
    <cellStyle name="Normal 3 3 3 2 4 2 4" xfId="41128" xr:uid="{00000000-0005-0000-0000-0000749F0000}"/>
    <cellStyle name="Normal 3 3 3 2 4 2 5" xfId="41129" xr:uid="{00000000-0005-0000-0000-0000759F0000}"/>
    <cellStyle name="Normal 3 3 3 2 4 2 6" xfId="41130" xr:uid="{00000000-0005-0000-0000-0000769F0000}"/>
    <cellStyle name="Normal 3 3 3 2 4 2 7" xfId="41131" xr:uid="{00000000-0005-0000-0000-0000779F0000}"/>
    <cellStyle name="Normal 3 3 3 2 4 3" xfId="41132" xr:uid="{00000000-0005-0000-0000-0000789F0000}"/>
    <cellStyle name="Normal 3 3 3 2 4 3 2" xfId="41133" xr:uid="{00000000-0005-0000-0000-0000799F0000}"/>
    <cellStyle name="Normal 3 3 3 2 4 3 2 2" xfId="41134" xr:uid="{00000000-0005-0000-0000-00007A9F0000}"/>
    <cellStyle name="Normal 3 3 3 2 4 3 2 3" xfId="41135" xr:uid="{00000000-0005-0000-0000-00007B9F0000}"/>
    <cellStyle name="Normal 3 3 3 2 4 3 3" xfId="41136" xr:uid="{00000000-0005-0000-0000-00007C9F0000}"/>
    <cellStyle name="Normal 3 3 3 2 4 3 4" xfId="41137" xr:uid="{00000000-0005-0000-0000-00007D9F0000}"/>
    <cellStyle name="Normal 3 3 3 2 4 3 5" xfId="41138" xr:uid="{00000000-0005-0000-0000-00007E9F0000}"/>
    <cellStyle name="Normal 3 3 3 2 4 3 6" xfId="41139" xr:uid="{00000000-0005-0000-0000-00007F9F0000}"/>
    <cellStyle name="Normal 3 3 3 2 4 4" xfId="41140" xr:uid="{00000000-0005-0000-0000-0000809F0000}"/>
    <cellStyle name="Normal 3 3 3 2 4 4 2" xfId="41141" xr:uid="{00000000-0005-0000-0000-0000819F0000}"/>
    <cellStyle name="Normal 3 3 3 2 4 4 2 2" xfId="41142" xr:uid="{00000000-0005-0000-0000-0000829F0000}"/>
    <cellStyle name="Normal 3 3 3 2 4 4 2 3" xfId="41143" xr:uid="{00000000-0005-0000-0000-0000839F0000}"/>
    <cellStyle name="Normal 3 3 3 2 4 4 3" xfId="41144" xr:uid="{00000000-0005-0000-0000-0000849F0000}"/>
    <cellStyle name="Normal 3 3 3 2 4 4 4" xfId="41145" xr:uid="{00000000-0005-0000-0000-0000859F0000}"/>
    <cellStyle name="Normal 3 3 3 2 4 4 5" xfId="41146" xr:uid="{00000000-0005-0000-0000-0000869F0000}"/>
    <cellStyle name="Normal 3 3 3 2 4 4 6" xfId="41147" xr:uid="{00000000-0005-0000-0000-0000879F0000}"/>
    <cellStyle name="Normal 3 3 3 2 4 5" xfId="41148" xr:uid="{00000000-0005-0000-0000-0000889F0000}"/>
    <cellStyle name="Normal 3 3 3 2 4 5 2" xfId="41149" xr:uid="{00000000-0005-0000-0000-0000899F0000}"/>
    <cellStyle name="Normal 3 3 3 2 4 5 3" xfId="41150" xr:uid="{00000000-0005-0000-0000-00008A9F0000}"/>
    <cellStyle name="Normal 3 3 3 2 4 6" xfId="41151" xr:uid="{00000000-0005-0000-0000-00008B9F0000}"/>
    <cellStyle name="Normal 3 3 3 2 4 7" xfId="41152" xr:uid="{00000000-0005-0000-0000-00008C9F0000}"/>
    <cellStyle name="Normal 3 3 3 2 4 8" xfId="41153" xr:uid="{00000000-0005-0000-0000-00008D9F0000}"/>
    <cellStyle name="Normal 3 3 3 2 4 9" xfId="41154" xr:uid="{00000000-0005-0000-0000-00008E9F0000}"/>
    <cellStyle name="Normal 3 3 3 2 5" xfId="41155" xr:uid="{00000000-0005-0000-0000-00008F9F0000}"/>
    <cellStyle name="Normal 3 3 3 2 5 2" xfId="41156" xr:uid="{00000000-0005-0000-0000-0000909F0000}"/>
    <cellStyle name="Normal 3 3 3 2 5 2 2" xfId="41157" xr:uid="{00000000-0005-0000-0000-0000919F0000}"/>
    <cellStyle name="Normal 3 3 3 2 5 2 2 2" xfId="41158" xr:uid="{00000000-0005-0000-0000-0000929F0000}"/>
    <cellStyle name="Normal 3 3 3 2 5 2 2 3" xfId="41159" xr:uid="{00000000-0005-0000-0000-0000939F0000}"/>
    <cellStyle name="Normal 3 3 3 2 5 2 3" xfId="41160" xr:uid="{00000000-0005-0000-0000-0000949F0000}"/>
    <cellStyle name="Normal 3 3 3 2 5 2 4" xfId="41161" xr:uid="{00000000-0005-0000-0000-0000959F0000}"/>
    <cellStyle name="Normal 3 3 3 2 5 2 5" xfId="41162" xr:uid="{00000000-0005-0000-0000-0000969F0000}"/>
    <cellStyle name="Normal 3 3 3 2 5 2 6" xfId="41163" xr:uid="{00000000-0005-0000-0000-0000979F0000}"/>
    <cellStyle name="Normal 3 3 3 2 5 3" xfId="41164" xr:uid="{00000000-0005-0000-0000-0000989F0000}"/>
    <cellStyle name="Normal 3 3 3 2 5 3 2" xfId="41165" xr:uid="{00000000-0005-0000-0000-0000999F0000}"/>
    <cellStyle name="Normal 3 3 3 2 5 3 3" xfId="41166" xr:uid="{00000000-0005-0000-0000-00009A9F0000}"/>
    <cellStyle name="Normal 3 3 3 2 5 4" xfId="41167" xr:uid="{00000000-0005-0000-0000-00009B9F0000}"/>
    <cellStyle name="Normal 3 3 3 2 5 5" xfId="41168" xr:uid="{00000000-0005-0000-0000-00009C9F0000}"/>
    <cellStyle name="Normal 3 3 3 2 5 6" xfId="41169" xr:uid="{00000000-0005-0000-0000-00009D9F0000}"/>
    <cellStyle name="Normal 3 3 3 2 5 7" xfId="41170" xr:uid="{00000000-0005-0000-0000-00009E9F0000}"/>
    <cellStyle name="Normal 3 3 3 2 6" xfId="41171" xr:uid="{00000000-0005-0000-0000-00009F9F0000}"/>
    <cellStyle name="Normal 3 3 3 2 6 2" xfId="41172" xr:uid="{00000000-0005-0000-0000-0000A09F0000}"/>
    <cellStyle name="Normal 3 3 3 2 6 2 2" xfId="41173" xr:uid="{00000000-0005-0000-0000-0000A19F0000}"/>
    <cellStyle name="Normal 3 3 3 2 6 2 3" xfId="41174" xr:uid="{00000000-0005-0000-0000-0000A29F0000}"/>
    <cellStyle name="Normal 3 3 3 2 6 3" xfId="41175" xr:uid="{00000000-0005-0000-0000-0000A39F0000}"/>
    <cellStyle name="Normal 3 3 3 2 6 4" xfId="41176" xr:uid="{00000000-0005-0000-0000-0000A49F0000}"/>
    <cellStyle name="Normal 3 3 3 2 6 5" xfId="41177" xr:uid="{00000000-0005-0000-0000-0000A59F0000}"/>
    <cellStyle name="Normal 3 3 3 2 6 6" xfId="41178" xr:uid="{00000000-0005-0000-0000-0000A69F0000}"/>
    <cellStyle name="Normal 3 3 3 2 7" xfId="41179" xr:uid="{00000000-0005-0000-0000-0000A79F0000}"/>
    <cellStyle name="Normal 3 3 3 2 7 2" xfId="41180" xr:uid="{00000000-0005-0000-0000-0000A89F0000}"/>
    <cellStyle name="Normal 3 3 3 2 7 2 2" xfId="41181" xr:uid="{00000000-0005-0000-0000-0000A99F0000}"/>
    <cellStyle name="Normal 3 3 3 2 7 2 3" xfId="41182" xr:uid="{00000000-0005-0000-0000-0000AA9F0000}"/>
    <cellStyle name="Normal 3 3 3 2 7 3" xfId="41183" xr:uid="{00000000-0005-0000-0000-0000AB9F0000}"/>
    <cellStyle name="Normal 3 3 3 2 7 4" xfId="41184" xr:uid="{00000000-0005-0000-0000-0000AC9F0000}"/>
    <cellStyle name="Normal 3 3 3 2 7 5" xfId="41185" xr:uid="{00000000-0005-0000-0000-0000AD9F0000}"/>
    <cellStyle name="Normal 3 3 3 2 7 6" xfId="41186" xr:uid="{00000000-0005-0000-0000-0000AE9F0000}"/>
    <cellStyle name="Normal 3 3 3 2 8" xfId="41187" xr:uid="{00000000-0005-0000-0000-0000AF9F0000}"/>
    <cellStyle name="Normal 3 3 3 2 8 2" xfId="41188" xr:uid="{00000000-0005-0000-0000-0000B09F0000}"/>
    <cellStyle name="Normal 3 3 3 2 8 2 2" xfId="41189" xr:uid="{00000000-0005-0000-0000-0000B19F0000}"/>
    <cellStyle name="Normal 3 3 3 2 8 2 3" xfId="41190" xr:uid="{00000000-0005-0000-0000-0000B29F0000}"/>
    <cellStyle name="Normal 3 3 3 2 8 3" xfId="41191" xr:uid="{00000000-0005-0000-0000-0000B39F0000}"/>
    <cellStyle name="Normal 3 3 3 2 8 4" xfId="41192" xr:uid="{00000000-0005-0000-0000-0000B49F0000}"/>
    <cellStyle name="Normal 3 3 3 2 8 5" xfId="41193" xr:uid="{00000000-0005-0000-0000-0000B59F0000}"/>
    <cellStyle name="Normal 3 3 3 2 8 6" xfId="41194" xr:uid="{00000000-0005-0000-0000-0000B69F0000}"/>
    <cellStyle name="Normal 3 3 3 2 9" xfId="41195" xr:uid="{00000000-0005-0000-0000-0000B79F0000}"/>
    <cellStyle name="Normal 3 3 3 2 9 2" xfId="41196" xr:uid="{00000000-0005-0000-0000-0000B89F0000}"/>
    <cellStyle name="Normal 3 3 3 2 9 2 2" xfId="41197" xr:uid="{00000000-0005-0000-0000-0000B99F0000}"/>
    <cellStyle name="Normal 3 3 3 2 9 2 3" xfId="41198" xr:uid="{00000000-0005-0000-0000-0000BA9F0000}"/>
    <cellStyle name="Normal 3 3 3 2 9 3" xfId="41199" xr:uid="{00000000-0005-0000-0000-0000BB9F0000}"/>
    <cellStyle name="Normal 3 3 3 2 9 4" xfId="41200" xr:uid="{00000000-0005-0000-0000-0000BC9F0000}"/>
    <cellStyle name="Normal 3 3 3 2 9 5" xfId="41201" xr:uid="{00000000-0005-0000-0000-0000BD9F0000}"/>
    <cellStyle name="Normal 3 3 3 2 9 6" xfId="41202" xr:uid="{00000000-0005-0000-0000-0000BE9F0000}"/>
    <cellStyle name="Normal 3 3 3 3" xfId="41203" xr:uid="{00000000-0005-0000-0000-0000BF9F0000}"/>
    <cellStyle name="Normal 3 3 3 3 10" xfId="41204" xr:uid="{00000000-0005-0000-0000-0000C09F0000}"/>
    <cellStyle name="Normal 3 3 3 3 11" xfId="41205" xr:uid="{00000000-0005-0000-0000-0000C19F0000}"/>
    <cellStyle name="Normal 3 3 3 3 12" xfId="41206" xr:uid="{00000000-0005-0000-0000-0000C29F0000}"/>
    <cellStyle name="Normal 3 3 3 3 13" xfId="41207" xr:uid="{00000000-0005-0000-0000-0000C39F0000}"/>
    <cellStyle name="Normal 3 3 3 3 2" xfId="41208" xr:uid="{00000000-0005-0000-0000-0000C49F0000}"/>
    <cellStyle name="Normal 3 3 3 3 2 10" xfId="41209" xr:uid="{00000000-0005-0000-0000-0000C59F0000}"/>
    <cellStyle name="Normal 3 3 3 3 2 2" xfId="41210" xr:uid="{00000000-0005-0000-0000-0000C69F0000}"/>
    <cellStyle name="Normal 3 3 3 3 2 2 2" xfId="41211" xr:uid="{00000000-0005-0000-0000-0000C79F0000}"/>
    <cellStyle name="Normal 3 3 3 3 2 2 2 2" xfId="41212" xr:uid="{00000000-0005-0000-0000-0000C89F0000}"/>
    <cellStyle name="Normal 3 3 3 3 2 2 2 2 2" xfId="41213" xr:uid="{00000000-0005-0000-0000-0000C99F0000}"/>
    <cellStyle name="Normal 3 3 3 3 2 2 2 2 3" xfId="41214" xr:uid="{00000000-0005-0000-0000-0000CA9F0000}"/>
    <cellStyle name="Normal 3 3 3 3 2 2 2 3" xfId="41215" xr:uid="{00000000-0005-0000-0000-0000CB9F0000}"/>
    <cellStyle name="Normal 3 3 3 3 2 2 2 4" xfId="41216" xr:uid="{00000000-0005-0000-0000-0000CC9F0000}"/>
    <cellStyle name="Normal 3 3 3 3 2 2 2 5" xfId="41217" xr:uid="{00000000-0005-0000-0000-0000CD9F0000}"/>
    <cellStyle name="Normal 3 3 3 3 2 2 2 6" xfId="41218" xr:uid="{00000000-0005-0000-0000-0000CE9F0000}"/>
    <cellStyle name="Normal 3 3 3 3 2 2 3" xfId="41219" xr:uid="{00000000-0005-0000-0000-0000CF9F0000}"/>
    <cellStyle name="Normal 3 3 3 3 2 2 3 2" xfId="41220" xr:uid="{00000000-0005-0000-0000-0000D09F0000}"/>
    <cellStyle name="Normal 3 3 3 3 2 2 3 2 2" xfId="41221" xr:uid="{00000000-0005-0000-0000-0000D19F0000}"/>
    <cellStyle name="Normal 3 3 3 3 2 2 3 2 3" xfId="41222" xr:uid="{00000000-0005-0000-0000-0000D29F0000}"/>
    <cellStyle name="Normal 3 3 3 3 2 2 3 3" xfId="41223" xr:uid="{00000000-0005-0000-0000-0000D39F0000}"/>
    <cellStyle name="Normal 3 3 3 3 2 2 3 4" xfId="41224" xr:uid="{00000000-0005-0000-0000-0000D49F0000}"/>
    <cellStyle name="Normal 3 3 3 3 2 2 3 5" xfId="41225" xr:uid="{00000000-0005-0000-0000-0000D59F0000}"/>
    <cellStyle name="Normal 3 3 3 3 2 2 3 6" xfId="41226" xr:uid="{00000000-0005-0000-0000-0000D69F0000}"/>
    <cellStyle name="Normal 3 3 3 3 2 2 4" xfId="41227" xr:uid="{00000000-0005-0000-0000-0000D79F0000}"/>
    <cellStyle name="Normal 3 3 3 3 2 2 4 2" xfId="41228" xr:uid="{00000000-0005-0000-0000-0000D89F0000}"/>
    <cellStyle name="Normal 3 3 3 3 2 2 4 3" xfId="41229" xr:uid="{00000000-0005-0000-0000-0000D99F0000}"/>
    <cellStyle name="Normal 3 3 3 3 2 2 5" xfId="41230" xr:uid="{00000000-0005-0000-0000-0000DA9F0000}"/>
    <cellStyle name="Normal 3 3 3 3 2 2 6" xfId="41231" xr:uid="{00000000-0005-0000-0000-0000DB9F0000}"/>
    <cellStyle name="Normal 3 3 3 3 2 2 7" xfId="41232" xr:uid="{00000000-0005-0000-0000-0000DC9F0000}"/>
    <cellStyle name="Normal 3 3 3 3 2 2 8" xfId="41233" xr:uid="{00000000-0005-0000-0000-0000DD9F0000}"/>
    <cellStyle name="Normal 3 3 3 3 2 3" xfId="41234" xr:uid="{00000000-0005-0000-0000-0000DE9F0000}"/>
    <cellStyle name="Normal 3 3 3 3 2 3 2" xfId="41235" xr:uid="{00000000-0005-0000-0000-0000DF9F0000}"/>
    <cellStyle name="Normal 3 3 3 3 2 3 2 2" xfId="41236" xr:uid="{00000000-0005-0000-0000-0000E09F0000}"/>
    <cellStyle name="Normal 3 3 3 3 2 3 2 2 2" xfId="41237" xr:uid="{00000000-0005-0000-0000-0000E19F0000}"/>
    <cellStyle name="Normal 3 3 3 3 2 3 2 2 3" xfId="41238" xr:uid="{00000000-0005-0000-0000-0000E29F0000}"/>
    <cellStyle name="Normal 3 3 3 3 2 3 2 3" xfId="41239" xr:uid="{00000000-0005-0000-0000-0000E39F0000}"/>
    <cellStyle name="Normal 3 3 3 3 2 3 2 4" xfId="41240" xr:uid="{00000000-0005-0000-0000-0000E49F0000}"/>
    <cellStyle name="Normal 3 3 3 3 2 3 2 5" xfId="41241" xr:uid="{00000000-0005-0000-0000-0000E59F0000}"/>
    <cellStyle name="Normal 3 3 3 3 2 3 2 6" xfId="41242" xr:uid="{00000000-0005-0000-0000-0000E69F0000}"/>
    <cellStyle name="Normal 3 3 3 3 2 3 3" xfId="41243" xr:uid="{00000000-0005-0000-0000-0000E79F0000}"/>
    <cellStyle name="Normal 3 3 3 3 2 3 3 2" xfId="41244" xr:uid="{00000000-0005-0000-0000-0000E89F0000}"/>
    <cellStyle name="Normal 3 3 3 3 2 3 3 3" xfId="41245" xr:uid="{00000000-0005-0000-0000-0000E99F0000}"/>
    <cellStyle name="Normal 3 3 3 3 2 3 4" xfId="41246" xr:uid="{00000000-0005-0000-0000-0000EA9F0000}"/>
    <cellStyle name="Normal 3 3 3 3 2 3 5" xfId="41247" xr:uid="{00000000-0005-0000-0000-0000EB9F0000}"/>
    <cellStyle name="Normal 3 3 3 3 2 3 6" xfId="41248" xr:uid="{00000000-0005-0000-0000-0000EC9F0000}"/>
    <cellStyle name="Normal 3 3 3 3 2 3 7" xfId="41249" xr:uid="{00000000-0005-0000-0000-0000ED9F0000}"/>
    <cellStyle name="Normal 3 3 3 3 2 4" xfId="41250" xr:uid="{00000000-0005-0000-0000-0000EE9F0000}"/>
    <cellStyle name="Normal 3 3 3 3 2 4 2" xfId="41251" xr:uid="{00000000-0005-0000-0000-0000EF9F0000}"/>
    <cellStyle name="Normal 3 3 3 3 2 4 2 2" xfId="41252" xr:uid="{00000000-0005-0000-0000-0000F09F0000}"/>
    <cellStyle name="Normal 3 3 3 3 2 4 2 3" xfId="41253" xr:uid="{00000000-0005-0000-0000-0000F19F0000}"/>
    <cellStyle name="Normal 3 3 3 3 2 4 3" xfId="41254" xr:uid="{00000000-0005-0000-0000-0000F29F0000}"/>
    <cellStyle name="Normal 3 3 3 3 2 4 4" xfId="41255" xr:uid="{00000000-0005-0000-0000-0000F39F0000}"/>
    <cellStyle name="Normal 3 3 3 3 2 4 5" xfId="41256" xr:uid="{00000000-0005-0000-0000-0000F49F0000}"/>
    <cellStyle name="Normal 3 3 3 3 2 4 6" xfId="41257" xr:uid="{00000000-0005-0000-0000-0000F59F0000}"/>
    <cellStyle name="Normal 3 3 3 3 2 5" xfId="41258" xr:uid="{00000000-0005-0000-0000-0000F69F0000}"/>
    <cellStyle name="Normal 3 3 3 3 2 5 2" xfId="41259" xr:uid="{00000000-0005-0000-0000-0000F79F0000}"/>
    <cellStyle name="Normal 3 3 3 3 2 5 2 2" xfId="41260" xr:uid="{00000000-0005-0000-0000-0000F89F0000}"/>
    <cellStyle name="Normal 3 3 3 3 2 5 2 3" xfId="41261" xr:uid="{00000000-0005-0000-0000-0000F99F0000}"/>
    <cellStyle name="Normal 3 3 3 3 2 5 3" xfId="41262" xr:uid="{00000000-0005-0000-0000-0000FA9F0000}"/>
    <cellStyle name="Normal 3 3 3 3 2 5 4" xfId="41263" xr:uid="{00000000-0005-0000-0000-0000FB9F0000}"/>
    <cellStyle name="Normal 3 3 3 3 2 5 5" xfId="41264" xr:uid="{00000000-0005-0000-0000-0000FC9F0000}"/>
    <cellStyle name="Normal 3 3 3 3 2 5 6" xfId="41265" xr:uid="{00000000-0005-0000-0000-0000FD9F0000}"/>
    <cellStyle name="Normal 3 3 3 3 2 6" xfId="41266" xr:uid="{00000000-0005-0000-0000-0000FE9F0000}"/>
    <cellStyle name="Normal 3 3 3 3 2 6 2" xfId="41267" xr:uid="{00000000-0005-0000-0000-0000FF9F0000}"/>
    <cellStyle name="Normal 3 3 3 3 2 6 3" xfId="41268" xr:uid="{00000000-0005-0000-0000-000000A00000}"/>
    <cellStyle name="Normal 3 3 3 3 2 7" xfId="41269" xr:uid="{00000000-0005-0000-0000-000001A00000}"/>
    <cellStyle name="Normal 3 3 3 3 2 8" xfId="41270" xr:uid="{00000000-0005-0000-0000-000002A00000}"/>
    <cellStyle name="Normal 3 3 3 3 2 9" xfId="41271" xr:uid="{00000000-0005-0000-0000-000003A00000}"/>
    <cellStyle name="Normal 3 3 3 3 3" xfId="41272" xr:uid="{00000000-0005-0000-0000-000004A00000}"/>
    <cellStyle name="Normal 3 3 3 3 3 2" xfId="41273" xr:uid="{00000000-0005-0000-0000-000005A00000}"/>
    <cellStyle name="Normal 3 3 3 3 3 2 2" xfId="41274" xr:uid="{00000000-0005-0000-0000-000006A00000}"/>
    <cellStyle name="Normal 3 3 3 3 3 2 2 2" xfId="41275" xr:uid="{00000000-0005-0000-0000-000007A00000}"/>
    <cellStyle name="Normal 3 3 3 3 3 2 2 2 2" xfId="41276" xr:uid="{00000000-0005-0000-0000-000008A00000}"/>
    <cellStyle name="Normal 3 3 3 3 3 2 2 2 3" xfId="41277" xr:uid="{00000000-0005-0000-0000-000009A00000}"/>
    <cellStyle name="Normal 3 3 3 3 3 2 2 3" xfId="41278" xr:uid="{00000000-0005-0000-0000-00000AA00000}"/>
    <cellStyle name="Normal 3 3 3 3 3 2 2 4" xfId="41279" xr:uid="{00000000-0005-0000-0000-00000BA00000}"/>
    <cellStyle name="Normal 3 3 3 3 3 2 2 5" xfId="41280" xr:uid="{00000000-0005-0000-0000-00000CA00000}"/>
    <cellStyle name="Normal 3 3 3 3 3 2 2 6" xfId="41281" xr:uid="{00000000-0005-0000-0000-00000DA00000}"/>
    <cellStyle name="Normal 3 3 3 3 3 2 3" xfId="41282" xr:uid="{00000000-0005-0000-0000-00000EA00000}"/>
    <cellStyle name="Normal 3 3 3 3 3 2 3 2" xfId="41283" xr:uid="{00000000-0005-0000-0000-00000FA00000}"/>
    <cellStyle name="Normal 3 3 3 3 3 2 3 3" xfId="41284" xr:uid="{00000000-0005-0000-0000-000010A00000}"/>
    <cellStyle name="Normal 3 3 3 3 3 2 4" xfId="41285" xr:uid="{00000000-0005-0000-0000-000011A00000}"/>
    <cellStyle name="Normal 3 3 3 3 3 2 5" xfId="41286" xr:uid="{00000000-0005-0000-0000-000012A00000}"/>
    <cellStyle name="Normal 3 3 3 3 3 2 6" xfId="41287" xr:uid="{00000000-0005-0000-0000-000013A00000}"/>
    <cellStyle name="Normal 3 3 3 3 3 2 7" xfId="41288" xr:uid="{00000000-0005-0000-0000-000014A00000}"/>
    <cellStyle name="Normal 3 3 3 3 3 3" xfId="41289" xr:uid="{00000000-0005-0000-0000-000015A00000}"/>
    <cellStyle name="Normal 3 3 3 3 3 3 2" xfId="41290" xr:uid="{00000000-0005-0000-0000-000016A00000}"/>
    <cellStyle name="Normal 3 3 3 3 3 3 2 2" xfId="41291" xr:uid="{00000000-0005-0000-0000-000017A00000}"/>
    <cellStyle name="Normal 3 3 3 3 3 3 2 3" xfId="41292" xr:uid="{00000000-0005-0000-0000-000018A00000}"/>
    <cellStyle name="Normal 3 3 3 3 3 3 3" xfId="41293" xr:uid="{00000000-0005-0000-0000-000019A00000}"/>
    <cellStyle name="Normal 3 3 3 3 3 3 4" xfId="41294" xr:uid="{00000000-0005-0000-0000-00001AA00000}"/>
    <cellStyle name="Normal 3 3 3 3 3 3 5" xfId="41295" xr:uid="{00000000-0005-0000-0000-00001BA00000}"/>
    <cellStyle name="Normal 3 3 3 3 3 3 6" xfId="41296" xr:uid="{00000000-0005-0000-0000-00001CA00000}"/>
    <cellStyle name="Normal 3 3 3 3 3 4" xfId="41297" xr:uid="{00000000-0005-0000-0000-00001DA00000}"/>
    <cellStyle name="Normal 3 3 3 3 3 4 2" xfId="41298" xr:uid="{00000000-0005-0000-0000-00001EA00000}"/>
    <cellStyle name="Normal 3 3 3 3 3 4 2 2" xfId="41299" xr:uid="{00000000-0005-0000-0000-00001FA00000}"/>
    <cellStyle name="Normal 3 3 3 3 3 4 2 3" xfId="41300" xr:uid="{00000000-0005-0000-0000-000020A00000}"/>
    <cellStyle name="Normal 3 3 3 3 3 4 3" xfId="41301" xr:uid="{00000000-0005-0000-0000-000021A00000}"/>
    <cellStyle name="Normal 3 3 3 3 3 4 4" xfId="41302" xr:uid="{00000000-0005-0000-0000-000022A00000}"/>
    <cellStyle name="Normal 3 3 3 3 3 4 5" xfId="41303" xr:uid="{00000000-0005-0000-0000-000023A00000}"/>
    <cellStyle name="Normal 3 3 3 3 3 4 6" xfId="41304" xr:uid="{00000000-0005-0000-0000-000024A00000}"/>
    <cellStyle name="Normal 3 3 3 3 3 5" xfId="41305" xr:uid="{00000000-0005-0000-0000-000025A00000}"/>
    <cellStyle name="Normal 3 3 3 3 3 5 2" xfId="41306" xr:uid="{00000000-0005-0000-0000-000026A00000}"/>
    <cellStyle name="Normal 3 3 3 3 3 5 3" xfId="41307" xr:uid="{00000000-0005-0000-0000-000027A00000}"/>
    <cellStyle name="Normal 3 3 3 3 3 6" xfId="41308" xr:uid="{00000000-0005-0000-0000-000028A00000}"/>
    <cellStyle name="Normal 3 3 3 3 3 7" xfId="41309" xr:uid="{00000000-0005-0000-0000-000029A00000}"/>
    <cellStyle name="Normal 3 3 3 3 3 8" xfId="41310" xr:uid="{00000000-0005-0000-0000-00002AA00000}"/>
    <cellStyle name="Normal 3 3 3 3 3 9" xfId="41311" xr:uid="{00000000-0005-0000-0000-00002BA00000}"/>
    <cellStyle name="Normal 3 3 3 3 4" xfId="41312" xr:uid="{00000000-0005-0000-0000-00002CA00000}"/>
    <cellStyle name="Normal 3 3 3 3 4 2" xfId="41313" xr:uid="{00000000-0005-0000-0000-00002DA00000}"/>
    <cellStyle name="Normal 3 3 3 3 4 2 2" xfId="41314" xr:uid="{00000000-0005-0000-0000-00002EA00000}"/>
    <cellStyle name="Normal 3 3 3 3 4 2 2 2" xfId="41315" xr:uid="{00000000-0005-0000-0000-00002FA00000}"/>
    <cellStyle name="Normal 3 3 3 3 4 2 2 3" xfId="41316" xr:uid="{00000000-0005-0000-0000-000030A00000}"/>
    <cellStyle name="Normal 3 3 3 3 4 2 3" xfId="41317" xr:uid="{00000000-0005-0000-0000-000031A00000}"/>
    <cellStyle name="Normal 3 3 3 3 4 2 4" xfId="41318" xr:uid="{00000000-0005-0000-0000-000032A00000}"/>
    <cellStyle name="Normal 3 3 3 3 4 2 5" xfId="41319" xr:uid="{00000000-0005-0000-0000-000033A00000}"/>
    <cellStyle name="Normal 3 3 3 3 4 2 6" xfId="41320" xr:uid="{00000000-0005-0000-0000-000034A00000}"/>
    <cellStyle name="Normal 3 3 3 3 4 3" xfId="41321" xr:uid="{00000000-0005-0000-0000-000035A00000}"/>
    <cellStyle name="Normal 3 3 3 3 4 3 2" xfId="41322" xr:uid="{00000000-0005-0000-0000-000036A00000}"/>
    <cellStyle name="Normal 3 3 3 3 4 3 3" xfId="41323" xr:uid="{00000000-0005-0000-0000-000037A00000}"/>
    <cellStyle name="Normal 3 3 3 3 4 4" xfId="41324" xr:uid="{00000000-0005-0000-0000-000038A00000}"/>
    <cellStyle name="Normal 3 3 3 3 4 5" xfId="41325" xr:uid="{00000000-0005-0000-0000-000039A00000}"/>
    <cellStyle name="Normal 3 3 3 3 4 6" xfId="41326" xr:uid="{00000000-0005-0000-0000-00003AA00000}"/>
    <cellStyle name="Normal 3 3 3 3 4 7" xfId="41327" xr:uid="{00000000-0005-0000-0000-00003BA00000}"/>
    <cellStyle name="Normal 3 3 3 3 5" xfId="41328" xr:uid="{00000000-0005-0000-0000-00003CA00000}"/>
    <cellStyle name="Normal 3 3 3 3 5 2" xfId="41329" xr:uid="{00000000-0005-0000-0000-00003DA00000}"/>
    <cellStyle name="Normal 3 3 3 3 5 2 2" xfId="41330" xr:uid="{00000000-0005-0000-0000-00003EA00000}"/>
    <cellStyle name="Normal 3 3 3 3 5 2 3" xfId="41331" xr:uid="{00000000-0005-0000-0000-00003FA00000}"/>
    <cellStyle name="Normal 3 3 3 3 5 3" xfId="41332" xr:uid="{00000000-0005-0000-0000-000040A00000}"/>
    <cellStyle name="Normal 3 3 3 3 5 4" xfId="41333" xr:uid="{00000000-0005-0000-0000-000041A00000}"/>
    <cellStyle name="Normal 3 3 3 3 5 5" xfId="41334" xr:uid="{00000000-0005-0000-0000-000042A00000}"/>
    <cellStyle name="Normal 3 3 3 3 5 6" xfId="41335" xr:uid="{00000000-0005-0000-0000-000043A00000}"/>
    <cellStyle name="Normal 3 3 3 3 6" xfId="41336" xr:uid="{00000000-0005-0000-0000-000044A00000}"/>
    <cellStyle name="Normal 3 3 3 3 6 2" xfId="41337" xr:uid="{00000000-0005-0000-0000-000045A00000}"/>
    <cellStyle name="Normal 3 3 3 3 6 2 2" xfId="41338" xr:uid="{00000000-0005-0000-0000-000046A00000}"/>
    <cellStyle name="Normal 3 3 3 3 6 2 3" xfId="41339" xr:uid="{00000000-0005-0000-0000-000047A00000}"/>
    <cellStyle name="Normal 3 3 3 3 6 3" xfId="41340" xr:uid="{00000000-0005-0000-0000-000048A00000}"/>
    <cellStyle name="Normal 3 3 3 3 6 4" xfId="41341" xr:uid="{00000000-0005-0000-0000-000049A00000}"/>
    <cellStyle name="Normal 3 3 3 3 6 5" xfId="41342" xr:uid="{00000000-0005-0000-0000-00004AA00000}"/>
    <cellStyle name="Normal 3 3 3 3 6 6" xfId="41343" xr:uid="{00000000-0005-0000-0000-00004BA00000}"/>
    <cellStyle name="Normal 3 3 3 3 7" xfId="41344" xr:uid="{00000000-0005-0000-0000-00004CA00000}"/>
    <cellStyle name="Normal 3 3 3 3 7 2" xfId="41345" xr:uid="{00000000-0005-0000-0000-00004DA00000}"/>
    <cellStyle name="Normal 3 3 3 3 7 2 2" xfId="41346" xr:uid="{00000000-0005-0000-0000-00004EA00000}"/>
    <cellStyle name="Normal 3 3 3 3 7 2 3" xfId="41347" xr:uid="{00000000-0005-0000-0000-00004FA00000}"/>
    <cellStyle name="Normal 3 3 3 3 7 3" xfId="41348" xr:uid="{00000000-0005-0000-0000-000050A00000}"/>
    <cellStyle name="Normal 3 3 3 3 7 4" xfId="41349" xr:uid="{00000000-0005-0000-0000-000051A00000}"/>
    <cellStyle name="Normal 3 3 3 3 7 5" xfId="41350" xr:uid="{00000000-0005-0000-0000-000052A00000}"/>
    <cellStyle name="Normal 3 3 3 3 7 6" xfId="41351" xr:uid="{00000000-0005-0000-0000-000053A00000}"/>
    <cellStyle name="Normal 3 3 3 3 8" xfId="41352" xr:uid="{00000000-0005-0000-0000-000054A00000}"/>
    <cellStyle name="Normal 3 3 3 3 8 2" xfId="41353" xr:uid="{00000000-0005-0000-0000-000055A00000}"/>
    <cellStyle name="Normal 3 3 3 3 8 2 2" xfId="41354" xr:uid="{00000000-0005-0000-0000-000056A00000}"/>
    <cellStyle name="Normal 3 3 3 3 8 2 3" xfId="41355" xr:uid="{00000000-0005-0000-0000-000057A00000}"/>
    <cellStyle name="Normal 3 3 3 3 8 3" xfId="41356" xr:uid="{00000000-0005-0000-0000-000058A00000}"/>
    <cellStyle name="Normal 3 3 3 3 8 4" xfId="41357" xr:uid="{00000000-0005-0000-0000-000059A00000}"/>
    <cellStyle name="Normal 3 3 3 3 8 5" xfId="41358" xr:uid="{00000000-0005-0000-0000-00005AA00000}"/>
    <cellStyle name="Normal 3 3 3 3 8 6" xfId="41359" xr:uid="{00000000-0005-0000-0000-00005BA00000}"/>
    <cellStyle name="Normal 3 3 3 3 9" xfId="41360" xr:uid="{00000000-0005-0000-0000-00005CA00000}"/>
    <cellStyle name="Normal 3 3 3 3 9 2" xfId="41361" xr:uid="{00000000-0005-0000-0000-00005DA00000}"/>
    <cellStyle name="Normal 3 3 3 3 9 3" xfId="41362" xr:uid="{00000000-0005-0000-0000-00005EA00000}"/>
    <cellStyle name="Normal 3 3 3 4" xfId="41363" xr:uid="{00000000-0005-0000-0000-00005FA00000}"/>
    <cellStyle name="Normal 3 3 3 4 10" xfId="41364" xr:uid="{00000000-0005-0000-0000-000060A00000}"/>
    <cellStyle name="Normal 3 3 3 4 2" xfId="41365" xr:uid="{00000000-0005-0000-0000-000061A00000}"/>
    <cellStyle name="Normal 3 3 3 4 2 2" xfId="41366" xr:uid="{00000000-0005-0000-0000-000062A00000}"/>
    <cellStyle name="Normal 3 3 3 4 2 2 2" xfId="41367" xr:uid="{00000000-0005-0000-0000-000063A00000}"/>
    <cellStyle name="Normal 3 3 3 4 2 2 2 2" xfId="41368" xr:uid="{00000000-0005-0000-0000-000064A00000}"/>
    <cellStyle name="Normal 3 3 3 4 2 2 2 3" xfId="41369" xr:uid="{00000000-0005-0000-0000-000065A00000}"/>
    <cellStyle name="Normal 3 3 3 4 2 2 3" xfId="41370" xr:uid="{00000000-0005-0000-0000-000066A00000}"/>
    <cellStyle name="Normal 3 3 3 4 2 2 4" xfId="41371" xr:uid="{00000000-0005-0000-0000-000067A00000}"/>
    <cellStyle name="Normal 3 3 3 4 2 2 5" xfId="41372" xr:uid="{00000000-0005-0000-0000-000068A00000}"/>
    <cellStyle name="Normal 3 3 3 4 2 2 6" xfId="41373" xr:uid="{00000000-0005-0000-0000-000069A00000}"/>
    <cellStyle name="Normal 3 3 3 4 2 3" xfId="41374" xr:uid="{00000000-0005-0000-0000-00006AA00000}"/>
    <cellStyle name="Normal 3 3 3 4 2 3 2" xfId="41375" xr:uid="{00000000-0005-0000-0000-00006BA00000}"/>
    <cellStyle name="Normal 3 3 3 4 2 3 2 2" xfId="41376" xr:uid="{00000000-0005-0000-0000-00006CA00000}"/>
    <cellStyle name="Normal 3 3 3 4 2 3 2 3" xfId="41377" xr:uid="{00000000-0005-0000-0000-00006DA00000}"/>
    <cellStyle name="Normal 3 3 3 4 2 3 3" xfId="41378" xr:uid="{00000000-0005-0000-0000-00006EA00000}"/>
    <cellStyle name="Normal 3 3 3 4 2 3 4" xfId="41379" xr:uid="{00000000-0005-0000-0000-00006FA00000}"/>
    <cellStyle name="Normal 3 3 3 4 2 3 5" xfId="41380" xr:uid="{00000000-0005-0000-0000-000070A00000}"/>
    <cellStyle name="Normal 3 3 3 4 2 3 6" xfId="41381" xr:uid="{00000000-0005-0000-0000-000071A00000}"/>
    <cellStyle name="Normal 3 3 3 4 2 4" xfId="41382" xr:uid="{00000000-0005-0000-0000-000072A00000}"/>
    <cellStyle name="Normal 3 3 3 4 2 4 2" xfId="41383" xr:uid="{00000000-0005-0000-0000-000073A00000}"/>
    <cellStyle name="Normal 3 3 3 4 2 4 3" xfId="41384" xr:uid="{00000000-0005-0000-0000-000074A00000}"/>
    <cellStyle name="Normal 3 3 3 4 2 5" xfId="41385" xr:uid="{00000000-0005-0000-0000-000075A00000}"/>
    <cellStyle name="Normal 3 3 3 4 2 6" xfId="41386" xr:uid="{00000000-0005-0000-0000-000076A00000}"/>
    <cellStyle name="Normal 3 3 3 4 2 7" xfId="41387" xr:uid="{00000000-0005-0000-0000-000077A00000}"/>
    <cellStyle name="Normal 3 3 3 4 2 8" xfId="41388" xr:uid="{00000000-0005-0000-0000-000078A00000}"/>
    <cellStyle name="Normal 3 3 3 4 3" xfId="41389" xr:uid="{00000000-0005-0000-0000-000079A00000}"/>
    <cellStyle name="Normal 3 3 3 4 3 2" xfId="41390" xr:uid="{00000000-0005-0000-0000-00007AA00000}"/>
    <cellStyle name="Normal 3 3 3 4 3 2 2" xfId="41391" xr:uid="{00000000-0005-0000-0000-00007BA00000}"/>
    <cellStyle name="Normal 3 3 3 4 3 2 2 2" xfId="41392" xr:uid="{00000000-0005-0000-0000-00007CA00000}"/>
    <cellStyle name="Normal 3 3 3 4 3 2 2 3" xfId="41393" xr:uid="{00000000-0005-0000-0000-00007DA00000}"/>
    <cellStyle name="Normal 3 3 3 4 3 2 3" xfId="41394" xr:uid="{00000000-0005-0000-0000-00007EA00000}"/>
    <cellStyle name="Normal 3 3 3 4 3 2 4" xfId="41395" xr:uid="{00000000-0005-0000-0000-00007FA00000}"/>
    <cellStyle name="Normal 3 3 3 4 3 2 5" xfId="41396" xr:uid="{00000000-0005-0000-0000-000080A00000}"/>
    <cellStyle name="Normal 3 3 3 4 3 2 6" xfId="41397" xr:uid="{00000000-0005-0000-0000-000081A00000}"/>
    <cellStyle name="Normal 3 3 3 4 3 3" xfId="41398" xr:uid="{00000000-0005-0000-0000-000082A00000}"/>
    <cellStyle name="Normal 3 3 3 4 3 3 2" xfId="41399" xr:uid="{00000000-0005-0000-0000-000083A00000}"/>
    <cellStyle name="Normal 3 3 3 4 3 3 3" xfId="41400" xr:uid="{00000000-0005-0000-0000-000084A00000}"/>
    <cellStyle name="Normal 3 3 3 4 3 4" xfId="41401" xr:uid="{00000000-0005-0000-0000-000085A00000}"/>
    <cellStyle name="Normal 3 3 3 4 3 5" xfId="41402" xr:uid="{00000000-0005-0000-0000-000086A00000}"/>
    <cellStyle name="Normal 3 3 3 4 3 6" xfId="41403" xr:uid="{00000000-0005-0000-0000-000087A00000}"/>
    <cellStyle name="Normal 3 3 3 4 3 7" xfId="41404" xr:uid="{00000000-0005-0000-0000-000088A00000}"/>
    <cellStyle name="Normal 3 3 3 4 4" xfId="41405" xr:uid="{00000000-0005-0000-0000-000089A00000}"/>
    <cellStyle name="Normal 3 3 3 4 4 2" xfId="41406" xr:uid="{00000000-0005-0000-0000-00008AA00000}"/>
    <cellStyle name="Normal 3 3 3 4 4 2 2" xfId="41407" xr:uid="{00000000-0005-0000-0000-00008BA00000}"/>
    <cellStyle name="Normal 3 3 3 4 4 2 3" xfId="41408" xr:uid="{00000000-0005-0000-0000-00008CA00000}"/>
    <cellStyle name="Normal 3 3 3 4 4 3" xfId="41409" xr:uid="{00000000-0005-0000-0000-00008DA00000}"/>
    <cellStyle name="Normal 3 3 3 4 4 4" xfId="41410" xr:uid="{00000000-0005-0000-0000-00008EA00000}"/>
    <cellStyle name="Normal 3 3 3 4 4 5" xfId="41411" xr:uid="{00000000-0005-0000-0000-00008FA00000}"/>
    <cellStyle name="Normal 3 3 3 4 4 6" xfId="41412" xr:uid="{00000000-0005-0000-0000-000090A00000}"/>
    <cellStyle name="Normal 3 3 3 4 5" xfId="41413" xr:uid="{00000000-0005-0000-0000-000091A00000}"/>
    <cellStyle name="Normal 3 3 3 4 5 2" xfId="41414" xr:uid="{00000000-0005-0000-0000-000092A00000}"/>
    <cellStyle name="Normal 3 3 3 4 5 2 2" xfId="41415" xr:uid="{00000000-0005-0000-0000-000093A00000}"/>
    <cellStyle name="Normal 3 3 3 4 5 2 3" xfId="41416" xr:uid="{00000000-0005-0000-0000-000094A00000}"/>
    <cellStyle name="Normal 3 3 3 4 5 3" xfId="41417" xr:uid="{00000000-0005-0000-0000-000095A00000}"/>
    <cellStyle name="Normal 3 3 3 4 5 4" xfId="41418" xr:uid="{00000000-0005-0000-0000-000096A00000}"/>
    <cellStyle name="Normal 3 3 3 4 5 5" xfId="41419" xr:uid="{00000000-0005-0000-0000-000097A00000}"/>
    <cellStyle name="Normal 3 3 3 4 5 6" xfId="41420" xr:uid="{00000000-0005-0000-0000-000098A00000}"/>
    <cellStyle name="Normal 3 3 3 4 6" xfId="41421" xr:uid="{00000000-0005-0000-0000-000099A00000}"/>
    <cellStyle name="Normal 3 3 3 4 6 2" xfId="41422" xr:uid="{00000000-0005-0000-0000-00009AA00000}"/>
    <cellStyle name="Normal 3 3 3 4 6 3" xfId="41423" xr:uid="{00000000-0005-0000-0000-00009BA00000}"/>
    <cellStyle name="Normal 3 3 3 4 7" xfId="41424" xr:uid="{00000000-0005-0000-0000-00009CA00000}"/>
    <cellStyle name="Normal 3 3 3 4 8" xfId="41425" xr:uid="{00000000-0005-0000-0000-00009DA00000}"/>
    <cellStyle name="Normal 3 3 3 4 9" xfId="41426" xr:uid="{00000000-0005-0000-0000-00009EA00000}"/>
    <cellStyle name="Normal 3 3 3 5" xfId="41427" xr:uid="{00000000-0005-0000-0000-00009FA00000}"/>
    <cellStyle name="Normal 3 3 3 5 2" xfId="41428" xr:uid="{00000000-0005-0000-0000-0000A0A00000}"/>
    <cellStyle name="Normal 3 3 3 5 2 2" xfId="41429" xr:uid="{00000000-0005-0000-0000-0000A1A00000}"/>
    <cellStyle name="Normal 3 3 3 5 2 2 2" xfId="41430" xr:uid="{00000000-0005-0000-0000-0000A2A00000}"/>
    <cellStyle name="Normal 3 3 3 5 2 2 2 2" xfId="41431" xr:uid="{00000000-0005-0000-0000-0000A3A00000}"/>
    <cellStyle name="Normal 3 3 3 5 2 2 2 3" xfId="41432" xr:uid="{00000000-0005-0000-0000-0000A4A00000}"/>
    <cellStyle name="Normal 3 3 3 5 2 2 3" xfId="41433" xr:uid="{00000000-0005-0000-0000-0000A5A00000}"/>
    <cellStyle name="Normal 3 3 3 5 2 2 4" xfId="41434" xr:uid="{00000000-0005-0000-0000-0000A6A00000}"/>
    <cellStyle name="Normal 3 3 3 5 2 2 5" xfId="41435" xr:uid="{00000000-0005-0000-0000-0000A7A00000}"/>
    <cellStyle name="Normal 3 3 3 5 2 2 6" xfId="41436" xr:uid="{00000000-0005-0000-0000-0000A8A00000}"/>
    <cellStyle name="Normal 3 3 3 5 2 3" xfId="41437" xr:uid="{00000000-0005-0000-0000-0000A9A00000}"/>
    <cellStyle name="Normal 3 3 3 5 2 3 2" xfId="41438" xr:uid="{00000000-0005-0000-0000-0000AAA00000}"/>
    <cellStyle name="Normal 3 3 3 5 2 3 3" xfId="41439" xr:uid="{00000000-0005-0000-0000-0000ABA00000}"/>
    <cellStyle name="Normal 3 3 3 5 2 4" xfId="41440" xr:uid="{00000000-0005-0000-0000-0000ACA00000}"/>
    <cellStyle name="Normal 3 3 3 5 2 5" xfId="41441" xr:uid="{00000000-0005-0000-0000-0000ADA00000}"/>
    <cellStyle name="Normal 3 3 3 5 2 6" xfId="41442" xr:uid="{00000000-0005-0000-0000-0000AEA00000}"/>
    <cellStyle name="Normal 3 3 3 5 2 7" xfId="41443" xr:uid="{00000000-0005-0000-0000-0000AFA00000}"/>
    <cellStyle name="Normal 3 3 3 5 3" xfId="41444" xr:uid="{00000000-0005-0000-0000-0000B0A00000}"/>
    <cellStyle name="Normal 3 3 3 5 3 2" xfId="41445" xr:uid="{00000000-0005-0000-0000-0000B1A00000}"/>
    <cellStyle name="Normal 3 3 3 5 3 2 2" xfId="41446" xr:uid="{00000000-0005-0000-0000-0000B2A00000}"/>
    <cellStyle name="Normal 3 3 3 5 3 2 3" xfId="41447" xr:uid="{00000000-0005-0000-0000-0000B3A00000}"/>
    <cellStyle name="Normal 3 3 3 5 3 3" xfId="41448" xr:uid="{00000000-0005-0000-0000-0000B4A00000}"/>
    <cellStyle name="Normal 3 3 3 5 3 4" xfId="41449" xr:uid="{00000000-0005-0000-0000-0000B5A00000}"/>
    <cellStyle name="Normal 3 3 3 5 3 5" xfId="41450" xr:uid="{00000000-0005-0000-0000-0000B6A00000}"/>
    <cellStyle name="Normal 3 3 3 5 3 6" xfId="41451" xr:uid="{00000000-0005-0000-0000-0000B7A00000}"/>
    <cellStyle name="Normal 3 3 3 5 4" xfId="41452" xr:uid="{00000000-0005-0000-0000-0000B8A00000}"/>
    <cellStyle name="Normal 3 3 3 5 4 2" xfId="41453" xr:uid="{00000000-0005-0000-0000-0000B9A00000}"/>
    <cellStyle name="Normal 3 3 3 5 4 2 2" xfId="41454" xr:uid="{00000000-0005-0000-0000-0000BAA00000}"/>
    <cellStyle name="Normal 3 3 3 5 4 2 3" xfId="41455" xr:uid="{00000000-0005-0000-0000-0000BBA00000}"/>
    <cellStyle name="Normal 3 3 3 5 4 3" xfId="41456" xr:uid="{00000000-0005-0000-0000-0000BCA00000}"/>
    <cellStyle name="Normal 3 3 3 5 4 4" xfId="41457" xr:uid="{00000000-0005-0000-0000-0000BDA00000}"/>
    <cellStyle name="Normal 3 3 3 5 4 5" xfId="41458" xr:uid="{00000000-0005-0000-0000-0000BEA00000}"/>
    <cellStyle name="Normal 3 3 3 5 4 6" xfId="41459" xr:uid="{00000000-0005-0000-0000-0000BFA00000}"/>
    <cellStyle name="Normal 3 3 3 5 5" xfId="41460" xr:uid="{00000000-0005-0000-0000-0000C0A00000}"/>
    <cellStyle name="Normal 3 3 3 5 5 2" xfId="41461" xr:uid="{00000000-0005-0000-0000-0000C1A00000}"/>
    <cellStyle name="Normal 3 3 3 5 5 3" xfId="41462" xr:uid="{00000000-0005-0000-0000-0000C2A00000}"/>
    <cellStyle name="Normal 3 3 3 5 6" xfId="41463" xr:uid="{00000000-0005-0000-0000-0000C3A00000}"/>
    <cellStyle name="Normal 3 3 3 5 7" xfId="41464" xr:uid="{00000000-0005-0000-0000-0000C4A00000}"/>
    <cellStyle name="Normal 3 3 3 5 8" xfId="41465" xr:uid="{00000000-0005-0000-0000-0000C5A00000}"/>
    <cellStyle name="Normal 3 3 3 5 9" xfId="41466" xr:uid="{00000000-0005-0000-0000-0000C6A00000}"/>
    <cellStyle name="Normal 3 3 3 6" xfId="41467" xr:uid="{00000000-0005-0000-0000-0000C7A00000}"/>
    <cellStyle name="Normal 3 3 3 6 2" xfId="41468" xr:uid="{00000000-0005-0000-0000-0000C8A00000}"/>
    <cellStyle name="Normal 3 3 3 6 2 2" xfId="41469" xr:uid="{00000000-0005-0000-0000-0000C9A00000}"/>
    <cellStyle name="Normal 3 3 3 6 2 2 2" xfId="41470" xr:uid="{00000000-0005-0000-0000-0000CAA00000}"/>
    <cellStyle name="Normal 3 3 3 6 2 2 3" xfId="41471" xr:uid="{00000000-0005-0000-0000-0000CBA00000}"/>
    <cellStyle name="Normal 3 3 3 6 2 3" xfId="41472" xr:uid="{00000000-0005-0000-0000-0000CCA00000}"/>
    <cellStyle name="Normal 3 3 3 6 2 4" xfId="41473" xr:uid="{00000000-0005-0000-0000-0000CDA00000}"/>
    <cellStyle name="Normal 3 3 3 6 2 5" xfId="41474" xr:uid="{00000000-0005-0000-0000-0000CEA00000}"/>
    <cellStyle name="Normal 3 3 3 6 2 6" xfId="41475" xr:uid="{00000000-0005-0000-0000-0000CFA00000}"/>
    <cellStyle name="Normal 3 3 3 6 3" xfId="41476" xr:uid="{00000000-0005-0000-0000-0000D0A00000}"/>
    <cellStyle name="Normal 3 3 3 6 3 2" xfId="41477" xr:uid="{00000000-0005-0000-0000-0000D1A00000}"/>
    <cellStyle name="Normal 3 3 3 6 3 3" xfId="41478" xr:uid="{00000000-0005-0000-0000-0000D2A00000}"/>
    <cellStyle name="Normal 3 3 3 6 4" xfId="41479" xr:uid="{00000000-0005-0000-0000-0000D3A00000}"/>
    <cellStyle name="Normal 3 3 3 6 5" xfId="41480" xr:uid="{00000000-0005-0000-0000-0000D4A00000}"/>
    <cellStyle name="Normal 3 3 3 6 6" xfId="41481" xr:uid="{00000000-0005-0000-0000-0000D5A00000}"/>
    <cellStyle name="Normal 3 3 3 6 7" xfId="41482" xr:uid="{00000000-0005-0000-0000-0000D6A00000}"/>
    <cellStyle name="Normal 3 3 3 7" xfId="41483" xr:uid="{00000000-0005-0000-0000-0000D7A00000}"/>
    <cellStyle name="Normal 3 3 3 7 2" xfId="41484" xr:uid="{00000000-0005-0000-0000-0000D8A00000}"/>
    <cellStyle name="Normal 3 3 3 7 2 2" xfId="41485" xr:uid="{00000000-0005-0000-0000-0000D9A00000}"/>
    <cellStyle name="Normal 3 3 3 7 2 3" xfId="41486" xr:uid="{00000000-0005-0000-0000-0000DAA00000}"/>
    <cellStyle name="Normal 3 3 3 7 3" xfId="41487" xr:uid="{00000000-0005-0000-0000-0000DBA00000}"/>
    <cellStyle name="Normal 3 3 3 7 4" xfId="41488" xr:uid="{00000000-0005-0000-0000-0000DCA00000}"/>
    <cellStyle name="Normal 3 3 3 7 5" xfId="41489" xr:uid="{00000000-0005-0000-0000-0000DDA00000}"/>
    <cellStyle name="Normal 3 3 3 7 6" xfId="41490" xr:uid="{00000000-0005-0000-0000-0000DEA00000}"/>
    <cellStyle name="Normal 3 3 3 8" xfId="41491" xr:uid="{00000000-0005-0000-0000-0000DFA00000}"/>
    <cellStyle name="Normal 3 3 3 8 2" xfId="41492" xr:uid="{00000000-0005-0000-0000-0000E0A00000}"/>
    <cellStyle name="Normal 3 3 3 8 2 2" xfId="41493" xr:uid="{00000000-0005-0000-0000-0000E1A00000}"/>
    <cellStyle name="Normal 3 3 3 8 2 3" xfId="41494" xr:uid="{00000000-0005-0000-0000-0000E2A00000}"/>
    <cellStyle name="Normal 3 3 3 8 3" xfId="41495" xr:uid="{00000000-0005-0000-0000-0000E3A00000}"/>
    <cellStyle name="Normal 3 3 3 8 4" xfId="41496" xr:uid="{00000000-0005-0000-0000-0000E4A00000}"/>
    <cellStyle name="Normal 3 3 3 8 5" xfId="41497" xr:uid="{00000000-0005-0000-0000-0000E5A00000}"/>
    <cellStyle name="Normal 3 3 3 8 6" xfId="41498" xr:uid="{00000000-0005-0000-0000-0000E6A00000}"/>
    <cellStyle name="Normal 3 3 3 9" xfId="41499" xr:uid="{00000000-0005-0000-0000-0000E7A00000}"/>
    <cellStyle name="Normal 3 3 3 9 2" xfId="41500" xr:uid="{00000000-0005-0000-0000-0000E8A00000}"/>
    <cellStyle name="Normal 3 3 3 9 2 2" xfId="41501" xr:uid="{00000000-0005-0000-0000-0000E9A00000}"/>
    <cellStyle name="Normal 3 3 3 9 2 3" xfId="41502" xr:uid="{00000000-0005-0000-0000-0000EAA00000}"/>
    <cellStyle name="Normal 3 3 3 9 3" xfId="41503" xr:uid="{00000000-0005-0000-0000-0000EBA00000}"/>
    <cellStyle name="Normal 3 3 3 9 4" xfId="41504" xr:uid="{00000000-0005-0000-0000-0000ECA00000}"/>
    <cellStyle name="Normal 3 3 3 9 5" xfId="41505" xr:uid="{00000000-0005-0000-0000-0000EDA00000}"/>
    <cellStyle name="Normal 3 3 3 9 6" xfId="41506" xr:uid="{00000000-0005-0000-0000-0000EEA00000}"/>
    <cellStyle name="Normal 3 3 4" xfId="413" xr:uid="{00000000-0005-0000-0000-0000EFA00000}"/>
    <cellStyle name="Normal 3 3 4 10" xfId="41507" xr:uid="{00000000-0005-0000-0000-0000F0A00000}"/>
    <cellStyle name="Normal 3 3 4 11" xfId="41508" xr:uid="{00000000-0005-0000-0000-0000F1A00000}"/>
    <cellStyle name="Normal 3 3 4 12" xfId="41509" xr:uid="{00000000-0005-0000-0000-0000F2A00000}"/>
    <cellStyle name="Normal 3 3 4 13" xfId="41510" xr:uid="{00000000-0005-0000-0000-0000F3A00000}"/>
    <cellStyle name="Normal 3 3 4 2" xfId="41511" xr:uid="{00000000-0005-0000-0000-0000F4A00000}"/>
    <cellStyle name="Normal 3 3 4 2 10" xfId="41512" xr:uid="{00000000-0005-0000-0000-0000F5A00000}"/>
    <cellStyle name="Normal 3 3 4 2 2" xfId="41513" xr:uid="{00000000-0005-0000-0000-0000F6A00000}"/>
    <cellStyle name="Normal 3 3 4 2 2 2" xfId="41514" xr:uid="{00000000-0005-0000-0000-0000F7A00000}"/>
    <cellStyle name="Normal 3 3 4 2 2 2 2" xfId="41515" xr:uid="{00000000-0005-0000-0000-0000F8A00000}"/>
    <cellStyle name="Normal 3 3 4 2 2 2 2 2" xfId="41516" xr:uid="{00000000-0005-0000-0000-0000F9A00000}"/>
    <cellStyle name="Normal 3 3 4 2 2 2 2 3" xfId="41517" xr:uid="{00000000-0005-0000-0000-0000FAA00000}"/>
    <cellStyle name="Normal 3 3 4 2 2 2 3" xfId="41518" xr:uid="{00000000-0005-0000-0000-0000FBA00000}"/>
    <cellStyle name="Normal 3 3 4 2 2 2 4" xfId="41519" xr:uid="{00000000-0005-0000-0000-0000FCA00000}"/>
    <cellStyle name="Normal 3 3 4 2 2 2 5" xfId="41520" xr:uid="{00000000-0005-0000-0000-0000FDA00000}"/>
    <cellStyle name="Normal 3 3 4 2 2 2 6" xfId="41521" xr:uid="{00000000-0005-0000-0000-0000FEA00000}"/>
    <cellStyle name="Normal 3 3 4 2 2 3" xfId="41522" xr:uid="{00000000-0005-0000-0000-0000FFA00000}"/>
    <cellStyle name="Normal 3 3 4 2 2 3 2" xfId="41523" xr:uid="{00000000-0005-0000-0000-000000A10000}"/>
    <cellStyle name="Normal 3 3 4 2 2 3 2 2" xfId="41524" xr:uid="{00000000-0005-0000-0000-000001A10000}"/>
    <cellStyle name="Normal 3 3 4 2 2 3 2 3" xfId="41525" xr:uid="{00000000-0005-0000-0000-000002A10000}"/>
    <cellStyle name="Normal 3 3 4 2 2 3 3" xfId="41526" xr:uid="{00000000-0005-0000-0000-000003A10000}"/>
    <cellStyle name="Normal 3 3 4 2 2 3 4" xfId="41527" xr:uid="{00000000-0005-0000-0000-000004A10000}"/>
    <cellStyle name="Normal 3 3 4 2 2 3 5" xfId="41528" xr:uid="{00000000-0005-0000-0000-000005A10000}"/>
    <cellStyle name="Normal 3 3 4 2 2 3 6" xfId="41529" xr:uid="{00000000-0005-0000-0000-000006A10000}"/>
    <cellStyle name="Normal 3 3 4 2 2 4" xfId="41530" xr:uid="{00000000-0005-0000-0000-000007A10000}"/>
    <cellStyle name="Normal 3 3 4 2 2 4 2" xfId="41531" xr:uid="{00000000-0005-0000-0000-000008A10000}"/>
    <cellStyle name="Normal 3 3 4 2 2 4 3" xfId="41532" xr:uid="{00000000-0005-0000-0000-000009A10000}"/>
    <cellStyle name="Normal 3 3 4 2 2 5" xfId="41533" xr:uid="{00000000-0005-0000-0000-00000AA10000}"/>
    <cellStyle name="Normal 3 3 4 2 2 6" xfId="41534" xr:uid="{00000000-0005-0000-0000-00000BA10000}"/>
    <cellStyle name="Normal 3 3 4 2 2 7" xfId="41535" xr:uid="{00000000-0005-0000-0000-00000CA10000}"/>
    <cellStyle name="Normal 3 3 4 2 2 8" xfId="41536" xr:uid="{00000000-0005-0000-0000-00000DA10000}"/>
    <cellStyle name="Normal 3 3 4 2 3" xfId="41537" xr:uid="{00000000-0005-0000-0000-00000EA10000}"/>
    <cellStyle name="Normal 3 3 4 2 3 2" xfId="41538" xr:uid="{00000000-0005-0000-0000-00000FA10000}"/>
    <cellStyle name="Normal 3 3 4 2 3 2 2" xfId="41539" xr:uid="{00000000-0005-0000-0000-000010A10000}"/>
    <cellStyle name="Normal 3 3 4 2 3 2 2 2" xfId="41540" xr:uid="{00000000-0005-0000-0000-000011A10000}"/>
    <cellStyle name="Normal 3 3 4 2 3 2 2 3" xfId="41541" xr:uid="{00000000-0005-0000-0000-000012A10000}"/>
    <cellStyle name="Normal 3 3 4 2 3 2 3" xfId="41542" xr:uid="{00000000-0005-0000-0000-000013A10000}"/>
    <cellStyle name="Normal 3 3 4 2 3 2 4" xfId="41543" xr:uid="{00000000-0005-0000-0000-000014A10000}"/>
    <cellStyle name="Normal 3 3 4 2 3 2 5" xfId="41544" xr:uid="{00000000-0005-0000-0000-000015A10000}"/>
    <cellStyle name="Normal 3 3 4 2 3 2 6" xfId="41545" xr:uid="{00000000-0005-0000-0000-000016A10000}"/>
    <cellStyle name="Normal 3 3 4 2 3 3" xfId="41546" xr:uid="{00000000-0005-0000-0000-000017A10000}"/>
    <cellStyle name="Normal 3 3 4 2 3 3 2" xfId="41547" xr:uid="{00000000-0005-0000-0000-000018A10000}"/>
    <cellStyle name="Normal 3 3 4 2 3 3 3" xfId="41548" xr:uid="{00000000-0005-0000-0000-000019A10000}"/>
    <cellStyle name="Normal 3 3 4 2 3 4" xfId="41549" xr:uid="{00000000-0005-0000-0000-00001AA10000}"/>
    <cellStyle name="Normal 3 3 4 2 3 5" xfId="41550" xr:uid="{00000000-0005-0000-0000-00001BA10000}"/>
    <cellStyle name="Normal 3 3 4 2 3 6" xfId="41551" xr:uid="{00000000-0005-0000-0000-00001CA10000}"/>
    <cellStyle name="Normal 3 3 4 2 3 7" xfId="41552" xr:uid="{00000000-0005-0000-0000-00001DA10000}"/>
    <cellStyle name="Normal 3 3 4 2 4" xfId="41553" xr:uid="{00000000-0005-0000-0000-00001EA10000}"/>
    <cellStyle name="Normal 3 3 4 2 4 2" xfId="41554" xr:uid="{00000000-0005-0000-0000-00001FA10000}"/>
    <cellStyle name="Normal 3 3 4 2 4 2 2" xfId="41555" xr:uid="{00000000-0005-0000-0000-000020A10000}"/>
    <cellStyle name="Normal 3 3 4 2 4 2 3" xfId="41556" xr:uid="{00000000-0005-0000-0000-000021A10000}"/>
    <cellStyle name="Normal 3 3 4 2 4 3" xfId="41557" xr:uid="{00000000-0005-0000-0000-000022A10000}"/>
    <cellStyle name="Normal 3 3 4 2 4 4" xfId="41558" xr:uid="{00000000-0005-0000-0000-000023A10000}"/>
    <cellStyle name="Normal 3 3 4 2 4 5" xfId="41559" xr:uid="{00000000-0005-0000-0000-000024A10000}"/>
    <cellStyle name="Normal 3 3 4 2 4 6" xfId="41560" xr:uid="{00000000-0005-0000-0000-000025A10000}"/>
    <cellStyle name="Normal 3 3 4 2 5" xfId="41561" xr:uid="{00000000-0005-0000-0000-000026A10000}"/>
    <cellStyle name="Normal 3 3 4 2 5 2" xfId="41562" xr:uid="{00000000-0005-0000-0000-000027A10000}"/>
    <cellStyle name="Normal 3 3 4 2 5 2 2" xfId="41563" xr:uid="{00000000-0005-0000-0000-000028A10000}"/>
    <cellStyle name="Normal 3 3 4 2 5 2 3" xfId="41564" xr:uid="{00000000-0005-0000-0000-000029A10000}"/>
    <cellStyle name="Normal 3 3 4 2 5 3" xfId="41565" xr:uid="{00000000-0005-0000-0000-00002AA10000}"/>
    <cellStyle name="Normal 3 3 4 2 5 4" xfId="41566" xr:uid="{00000000-0005-0000-0000-00002BA10000}"/>
    <cellStyle name="Normal 3 3 4 2 5 5" xfId="41567" xr:uid="{00000000-0005-0000-0000-00002CA10000}"/>
    <cellStyle name="Normal 3 3 4 2 5 6" xfId="41568" xr:uid="{00000000-0005-0000-0000-00002DA10000}"/>
    <cellStyle name="Normal 3 3 4 2 6" xfId="41569" xr:uid="{00000000-0005-0000-0000-00002EA10000}"/>
    <cellStyle name="Normal 3 3 4 2 6 2" xfId="41570" xr:uid="{00000000-0005-0000-0000-00002FA10000}"/>
    <cellStyle name="Normal 3 3 4 2 6 3" xfId="41571" xr:uid="{00000000-0005-0000-0000-000030A10000}"/>
    <cellStyle name="Normal 3 3 4 2 7" xfId="41572" xr:uid="{00000000-0005-0000-0000-000031A10000}"/>
    <cellStyle name="Normal 3 3 4 2 8" xfId="41573" xr:uid="{00000000-0005-0000-0000-000032A10000}"/>
    <cellStyle name="Normal 3 3 4 2 9" xfId="41574" xr:uid="{00000000-0005-0000-0000-000033A10000}"/>
    <cellStyle name="Normal 3 3 4 3" xfId="41575" xr:uid="{00000000-0005-0000-0000-000034A10000}"/>
    <cellStyle name="Normal 3 3 4 3 2" xfId="41576" xr:uid="{00000000-0005-0000-0000-000035A10000}"/>
    <cellStyle name="Normal 3 3 4 3 2 2" xfId="41577" xr:uid="{00000000-0005-0000-0000-000036A10000}"/>
    <cellStyle name="Normal 3 3 4 3 2 2 2" xfId="41578" xr:uid="{00000000-0005-0000-0000-000037A10000}"/>
    <cellStyle name="Normal 3 3 4 3 2 2 2 2" xfId="41579" xr:uid="{00000000-0005-0000-0000-000038A10000}"/>
    <cellStyle name="Normal 3 3 4 3 2 2 2 3" xfId="41580" xr:uid="{00000000-0005-0000-0000-000039A10000}"/>
    <cellStyle name="Normal 3 3 4 3 2 2 3" xfId="41581" xr:uid="{00000000-0005-0000-0000-00003AA10000}"/>
    <cellStyle name="Normal 3 3 4 3 2 2 4" xfId="41582" xr:uid="{00000000-0005-0000-0000-00003BA10000}"/>
    <cellStyle name="Normal 3 3 4 3 2 2 5" xfId="41583" xr:uid="{00000000-0005-0000-0000-00003CA10000}"/>
    <cellStyle name="Normal 3 3 4 3 2 2 6" xfId="41584" xr:uid="{00000000-0005-0000-0000-00003DA10000}"/>
    <cellStyle name="Normal 3 3 4 3 2 3" xfId="41585" xr:uid="{00000000-0005-0000-0000-00003EA10000}"/>
    <cellStyle name="Normal 3 3 4 3 2 3 2" xfId="41586" xr:uid="{00000000-0005-0000-0000-00003FA10000}"/>
    <cellStyle name="Normal 3 3 4 3 2 3 3" xfId="41587" xr:uid="{00000000-0005-0000-0000-000040A10000}"/>
    <cellStyle name="Normal 3 3 4 3 2 4" xfId="41588" xr:uid="{00000000-0005-0000-0000-000041A10000}"/>
    <cellStyle name="Normal 3 3 4 3 2 5" xfId="41589" xr:uid="{00000000-0005-0000-0000-000042A10000}"/>
    <cellStyle name="Normal 3 3 4 3 2 6" xfId="41590" xr:uid="{00000000-0005-0000-0000-000043A10000}"/>
    <cellStyle name="Normal 3 3 4 3 2 7" xfId="41591" xr:uid="{00000000-0005-0000-0000-000044A10000}"/>
    <cellStyle name="Normal 3 3 4 3 3" xfId="41592" xr:uid="{00000000-0005-0000-0000-000045A10000}"/>
    <cellStyle name="Normal 3 3 4 3 3 2" xfId="41593" xr:uid="{00000000-0005-0000-0000-000046A10000}"/>
    <cellStyle name="Normal 3 3 4 3 3 2 2" xfId="41594" xr:uid="{00000000-0005-0000-0000-000047A10000}"/>
    <cellStyle name="Normal 3 3 4 3 3 2 3" xfId="41595" xr:uid="{00000000-0005-0000-0000-000048A10000}"/>
    <cellStyle name="Normal 3 3 4 3 3 3" xfId="41596" xr:uid="{00000000-0005-0000-0000-000049A10000}"/>
    <cellStyle name="Normal 3 3 4 3 3 4" xfId="41597" xr:uid="{00000000-0005-0000-0000-00004AA10000}"/>
    <cellStyle name="Normal 3 3 4 3 3 5" xfId="41598" xr:uid="{00000000-0005-0000-0000-00004BA10000}"/>
    <cellStyle name="Normal 3 3 4 3 3 6" xfId="41599" xr:uid="{00000000-0005-0000-0000-00004CA10000}"/>
    <cellStyle name="Normal 3 3 4 3 4" xfId="41600" xr:uid="{00000000-0005-0000-0000-00004DA10000}"/>
    <cellStyle name="Normal 3 3 4 3 4 2" xfId="41601" xr:uid="{00000000-0005-0000-0000-00004EA10000}"/>
    <cellStyle name="Normal 3 3 4 3 4 2 2" xfId="41602" xr:uid="{00000000-0005-0000-0000-00004FA10000}"/>
    <cellStyle name="Normal 3 3 4 3 4 2 3" xfId="41603" xr:uid="{00000000-0005-0000-0000-000050A10000}"/>
    <cellStyle name="Normal 3 3 4 3 4 3" xfId="41604" xr:uid="{00000000-0005-0000-0000-000051A10000}"/>
    <cellStyle name="Normal 3 3 4 3 4 4" xfId="41605" xr:uid="{00000000-0005-0000-0000-000052A10000}"/>
    <cellStyle name="Normal 3 3 4 3 4 5" xfId="41606" xr:uid="{00000000-0005-0000-0000-000053A10000}"/>
    <cellStyle name="Normal 3 3 4 3 4 6" xfId="41607" xr:uid="{00000000-0005-0000-0000-000054A10000}"/>
    <cellStyle name="Normal 3 3 4 3 5" xfId="41608" xr:uid="{00000000-0005-0000-0000-000055A10000}"/>
    <cellStyle name="Normal 3 3 4 3 5 2" xfId="41609" xr:uid="{00000000-0005-0000-0000-000056A10000}"/>
    <cellStyle name="Normal 3 3 4 3 5 3" xfId="41610" xr:uid="{00000000-0005-0000-0000-000057A10000}"/>
    <cellStyle name="Normal 3 3 4 3 6" xfId="41611" xr:uid="{00000000-0005-0000-0000-000058A10000}"/>
    <cellStyle name="Normal 3 3 4 3 7" xfId="41612" xr:uid="{00000000-0005-0000-0000-000059A10000}"/>
    <cellStyle name="Normal 3 3 4 3 8" xfId="41613" xr:uid="{00000000-0005-0000-0000-00005AA10000}"/>
    <cellStyle name="Normal 3 3 4 3 9" xfId="41614" xr:uid="{00000000-0005-0000-0000-00005BA10000}"/>
    <cellStyle name="Normal 3 3 4 4" xfId="41615" xr:uid="{00000000-0005-0000-0000-00005CA10000}"/>
    <cellStyle name="Normal 3 3 4 4 2" xfId="41616" xr:uid="{00000000-0005-0000-0000-00005DA10000}"/>
    <cellStyle name="Normal 3 3 4 4 2 2" xfId="41617" xr:uid="{00000000-0005-0000-0000-00005EA10000}"/>
    <cellStyle name="Normal 3 3 4 4 2 2 2" xfId="41618" xr:uid="{00000000-0005-0000-0000-00005FA10000}"/>
    <cellStyle name="Normal 3 3 4 4 2 2 3" xfId="41619" xr:uid="{00000000-0005-0000-0000-000060A10000}"/>
    <cellStyle name="Normal 3 3 4 4 2 3" xfId="41620" xr:uid="{00000000-0005-0000-0000-000061A10000}"/>
    <cellStyle name="Normal 3 3 4 4 2 4" xfId="41621" xr:uid="{00000000-0005-0000-0000-000062A10000}"/>
    <cellStyle name="Normal 3 3 4 4 2 5" xfId="41622" xr:uid="{00000000-0005-0000-0000-000063A10000}"/>
    <cellStyle name="Normal 3 3 4 4 2 6" xfId="41623" xr:uid="{00000000-0005-0000-0000-000064A10000}"/>
    <cellStyle name="Normal 3 3 4 4 3" xfId="41624" xr:uid="{00000000-0005-0000-0000-000065A10000}"/>
    <cellStyle name="Normal 3 3 4 4 3 2" xfId="41625" xr:uid="{00000000-0005-0000-0000-000066A10000}"/>
    <cellStyle name="Normal 3 3 4 4 3 3" xfId="41626" xr:uid="{00000000-0005-0000-0000-000067A10000}"/>
    <cellStyle name="Normal 3 3 4 4 4" xfId="41627" xr:uid="{00000000-0005-0000-0000-000068A10000}"/>
    <cellStyle name="Normal 3 3 4 4 5" xfId="41628" xr:uid="{00000000-0005-0000-0000-000069A10000}"/>
    <cellStyle name="Normal 3 3 4 4 6" xfId="41629" xr:uid="{00000000-0005-0000-0000-00006AA10000}"/>
    <cellStyle name="Normal 3 3 4 4 7" xfId="41630" xr:uid="{00000000-0005-0000-0000-00006BA10000}"/>
    <cellStyle name="Normal 3 3 4 5" xfId="41631" xr:uid="{00000000-0005-0000-0000-00006CA10000}"/>
    <cellStyle name="Normal 3 3 4 5 2" xfId="41632" xr:uid="{00000000-0005-0000-0000-00006DA10000}"/>
    <cellStyle name="Normal 3 3 4 5 2 2" xfId="41633" xr:uid="{00000000-0005-0000-0000-00006EA10000}"/>
    <cellStyle name="Normal 3 3 4 5 2 3" xfId="41634" xr:uid="{00000000-0005-0000-0000-00006FA10000}"/>
    <cellStyle name="Normal 3 3 4 5 3" xfId="41635" xr:uid="{00000000-0005-0000-0000-000070A10000}"/>
    <cellStyle name="Normal 3 3 4 5 4" xfId="41636" xr:uid="{00000000-0005-0000-0000-000071A10000}"/>
    <cellStyle name="Normal 3 3 4 5 5" xfId="41637" xr:uid="{00000000-0005-0000-0000-000072A10000}"/>
    <cellStyle name="Normal 3 3 4 5 6" xfId="41638" xr:uid="{00000000-0005-0000-0000-000073A10000}"/>
    <cellStyle name="Normal 3 3 4 6" xfId="41639" xr:uid="{00000000-0005-0000-0000-000074A10000}"/>
    <cellStyle name="Normal 3 3 4 6 2" xfId="41640" xr:uid="{00000000-0005-0000-0000-000075A10000}"/>
    <cellStyle name="Normal 3 3 4 6 2 2" xfId="41641" xr:uid="{00000000-0005-0000-0000-000076A10000}"/>
    <cellStyle name="Normal 3 3 4 6 2 3" xfId="41642" xr:uid="{00000000-0005-0000-0000-000077A10000}"/>
    <cellStyle name="Normal 3 3 4 6 3" xfId="41643" xr:uid="{00000000-0005-0000-0000-000078A10000}"/>
    <cellStyle name="Normal 3 3 4 6 4" xfId="41644" xr:uid="{00000000-0005-0000-0000-000079A10000}"/>
    <cellStyle name="Normal 3 3 4 6 5" xfId="41645" xr:uid="{00000000-0005-0000-0000-00007AA10000}"/>
    <cellStyle name="Normal 3 3 4 6 6" xfId="41646" xr:uid="{00000000-0005-0000-0000-00007BA10000}"/>
    <cellStyle name="Normal 3 3 4 7" xfId="41647" xr:uid="{00000000-0005-0000-0000-00007CA10000}"/>
    <cellStyle name="Normal 3 3 4 7 2" xfId="41648" xr:uid="{00000000-0005-0000-0000-00007DA10000}"/>
    <cellStyle name="Normal 3 3 4 7 2 2" xfId="41649" xr:uid="{00000000-0005-0000-0000-00007EA10000}"/>
    <cellStyle name="Normal 3 3 4 7 2 3" xfId="41650" xr:uid="{00000000-0005-0000-0000-00007FA10000}"/>
    <cellStyle name="Normal 3 3 4 7 3" xfId="41651" xr:uid="{00000000-0005-0000-0000-000080A10000}"/>
    <cellStyle name="Normal 3 3 4 7 4" xfId="41652" xr:uid="{00000000-0005-0000-0000-000081A10000}"/>
    <cellStyle name="Normal 3 3 4 7 5" xfId="41653" xr:uid="{00000000-0005-0000-0000-000082A10000}"/>
    <cellStyle name="Normal 3 3 4 7 6" xfId="41654" xr:uid="{00000000-0005-0000-0000-000083A10000}"/>
    <cellStyle name="Normal 3 3 4 8" xfId="41655" xr:uid="{00000000-0005-0000-0000-000084A10000}"/>
    <cellStyle name="Normal 3 3 4 8 2" xfId="41656" xr:uid="{00000000-0005-0000-0000-000085A10000}"/>
    <cellStyle name="Normal 3 3 4 8 2 2" xfId="41657" xr:uid="{00000000-0005-0000-0000-000086A10000}"/>
    <cellStyle name="Normal 3 3 4 8 2 3" xfId="41658" xr:uid="{00000000-0005-0000-0000-000087A10000}"/>
    <cellStyle name="Normal 3 3 4 8 3" xfId="41659" xr:uid="{00000000-0005-0000-0000-000088A10000}"/>
    <cellStyle name="Normal 3 3 4 8 4" xfId="41660" xr:uid="{00000000-0005-0000-0000-000089A10000}"/>
    <cellStyle name="Normal 3 3 4 8 5" xfId="41661" xr:uid="{00000000-0005-0000-0000-00008AA10000}"/>
    <cellStyle name="Normal 3 3 4 8 6" xfId="41662" xr:uid="{00000000-0005-0000-0000-00008BA10000}"/>
    <cellStyle name="Normal 3 3 4 9" xfId="41663" xr:uid="{00000000-0005-0000-0000-00008CA10000}"/>
    <cellStyle name="Normal 3 3 4 9 2" xfId="41664" xr:uid="{00000000-0005-0000-0000-00008DA10000}"/>
    <cellStyle name="Normal 3 3 4 9 3" xfId="41665" xr:uid="{00000000-0005-0000-0000-00008EA10000}"/>
    <cellStyle name="Normal 3 3 5" xfId="41666" xr:uid="{00000000-0005-0000-0000-00008FA10000}"/>
    <cellStyle name="Normal 3 3 5 10" xfId="41667" xr:uid="{00000000-0005-0000-0000-000090A10000}"/>
    <cellStyle name="Normal 3 3 5 2" xfId="41668" xr:uid="{00000000-0005-0000-0000-000091A10000}"/>
    <cellStyle name="Normal 3 3 5 2 2" xfId="41669" xr:uid="{00000000-0005-0000-0000-000092A10000}"/>
    <cellStyle name="Normal 3 3 5 2 2 2" xfId="41670" xr:uid="{00000000-0005-0000-0000-000093A10000}"/>
    <cellStyle name="Normal 3 3 5 2 2 2 2" xfId="41671" xr:uid="{00000000-0005-0000-0000-000094A10000}"/>
    <cellStyle name="Normal 3 3 5 2 2 2 3" xfId="41672" xr:uid="{00000000-0005-0000-0000-000095A10000}"/>
    <cellStyle name="Normal 3 3 5 2 2 3" xfId="41673" xr:uid="{00000000-0005-0000-0000-000096A10000}"/>
    <cellStyle name="Normal 3 3 5 2 2 4" xfId="41674" xr:uid="{00000000-0005-0000-0000-000097A10000}"/>
    <cellStyle name="Normal 3 3 5 2 2 5" xfId="41675" xr:uid="{00000000-0005-0000-0000-000098A10000}"/>
    <cellStyle name="Normal 3 3 5 2 2 6" xfId="41676" xr:uid="{00000000-0005-0000-0000-000099A10000}"/>
    <cellStyle name="Normal 3 3 5 2 3" xfId="41677" xr:uid="{00000000-0005-0000-0000-00009AA10000}"/>
    <cellStyle name="Normal 3 3 5 2 3 2" xfId="41678" xr:uid="{00000000-0005-0000-0000-00009BA10000}"/>
    <cellStyle name="Normal 3 3 5 2 3 2 2" xfId="41679" xr:uid="{00000000-0005-0000-0000-00009CA10000}"/>
    <cellStyle name="Normal 3 3 5 2 3 2 3" xfId="41680" xr:uid="{00000000-0005-0000-0000-00009DA10000}"/>
    <cellStyle name="Normal 3 3 5 2 3 3" xfId="41681" xr:uid="{00000000-0005-0000-0000-00009EA10000}"/>
    <cellStyle name="Normal 3 3 5 2 3 4" xfId="41682" xr:uid="{00000000-0005-0000-0000-00009FA10000}"/>
    <cellStyle name="Normal 3 3 5 2 3 5" xfId="41683" xr:uid="{00000000-0005-0000-0000-0000A0A10000}"/>
    <cellStyle name="Normal 3 3 5 2 3 6" xfId="41684" xr:uid="{00000000-0005-0000-0000-0000A1A10000}"/>
    <cellStyle name="Normal 3 3 5 2 4" xfId="41685" xr:uid="{00000000-0005-0000-0000-0000A2A10000}"/>
    <cellStyle name="Normal 3 3 5 2 4 2" xfId="41686" xr:uid="{00000000-0005-0000-0000-0000A3A10000}"/>
    <cellStyle name="Normal 3 3 5 2 4 3" xfId="41687" xr:uid="{00000000-0005-0000-0000-0000A4A10000}"/>
    <cellStyle name="Normal 3 3 5 2 5" xfId="41688" xr:uid="{00000000-0005-0000-0000-0000A5A10000}"/>
    <cellStyle name="Normal 3 3 5 2 6" xfId="41689" xr:uid="{00000000-0005-0000-0000-0000A6A10000}"/>
    <cellStyle name="Normal 3 3 5 2 7" xfId="41690" xr:uid="{00000000-0005-0000-0000-0000A7A10000}"/>
    <cellStyle name="Normal 3 3 5 2 8" xfId="41691" xr:uid="{00000000-0005-0000-0000-0000A8A10000}"/>
    <cellStyle name="Normal 3 3 5 3" xfId="41692" xr:uid="{00000000-0005-0000-0000-0000A9A10000}"/>
    <cellStyle name="Normal 3 3 5 3 2" xfId="41693" xr:uid="{00000000-0005-0000-0000-0000AAA10000}"/>
    <cellStyle name="Normal 3 3 5 3 2 2" xfId="41694" xr:uid="{00000000-0005-0000-0000-0000ABA10000}"/>
    <cellStyle name="Normal 3 3 5 3 2 2 2" xfId="41695" xr:uid="{00000000-0005-0000-0000-0000ACA10000}"/>
    <cellStyle name="Normal 3 3 5 3 2 2 3" xfId="41696" xr:uid="{00000000-0005-0000-0000-0000ADA10000}"/>
    <cellStyle name="Normal 3 3 5 3 2 3" xfId="41697" xr:uid="{00000000-0005-0000-0000-0000AEA10000}"/>
    <cellStyle name="Normal 3 3 5 3 2 4" xfId="41698" xr:uid="{00000000-0005-0000-0000-0000AFA10000}"/>
    <cellStyle name="Normal 3 3 5 3 2 5" xfId="41699" xr:uid="{00000000-0005-0000-0000-0000B0A10000}"/>
    <cellStyle name="Normal 3 3 5 3 2 6" xfId="41700" xr:uid="{00000000-0005-0000-0000-0000B1A10000}"/>
    <cellStyle name="Normal 3 3 5 3 3" xfId="41701" xr:uid="{00000000-0005-0000-0000-0000B2A10000}"/>
    <cellStyle name="Normal 3 3 5 3 3 2" xfId="41702" xr:uid="{00000000-0005-0000-0000-0000B3A10000}"/>
    <cellStyle name="Normal 3 3 5 3 3 3" xfId="41703" xr:uid="{00000000-0005-0000-0000-0000B4A10000}"/>
    <cellStyle name="Normal 3 3 5 3 4" xfId="41704" xr:uid="{00000000-0005-0000-0000-0000B5A10000}"/>
    <cellStyle name="Normal 3 3 5 3 5" xfId="41705" xr:uid="{00000000-0005-0000-0000-0000B6A10000}"/>
    <cellStyle name="Normal 3 3 5 3 6" xfId="41706" xr:uid="{00000000-0005-0000-0000-0000B7A10000}"/>
    <cellStyle name="Normal 3 3 5 3 7" xfId="41707" xr:uid="{00000000-0005-0000-0000-0000B8A10000}"/>
    <cellStyle name="Normal 3 3 5 4" xfId="41708" xr:uid="{00000000-0005-0000-0000-0000B9A10000}"/>
    <cellStyle name="Normal 3 3 5 4 2" xfId="41709" xr:uid="{00000000-0005-0000-0000-0000BAA10000}"/>
    <cellStyle name="Normal 3 3 5 4 2 2" xfId="41710" xr:uid="{00000000-0005-0000-0000-0000BBA10000}"/>
    <cellStyle name="Normal 3 3 5 4 2 3" xfId="41711" xr:uid="{00000000-0005-0000-0000-0000BCA10000}"/>
    <cellStyle name="Normal 3 3 5 4 3" xfId="41712" xr:uid="{00000000-0005-0000-0000-0000BDA10000}"/>
    <cellStyle name="Normal 3 3 5 4 4" xfId="41713" xr:uid="{00000000-0005-0000-0000-0000BEA10000}"/>
    <cellStyle name="Normal 3 3 5 4 5" xfId="41714" xr:uid="{00000000-0005-0000-0000-0000BFA10000}"/>
    <cellStyle name="Normal 3 3 5 4 6" xfId="41715" xr:uid="{00000000-0005-0000-0000-0000C0A10000}"/>
    <cellStyle name="Normal 3 3 5 5" xfId="41716" xr:uid="{00000000-0005-0000-0000-0000C1A10000}"/>
    <cellStyle name="Normal 3 3 5 5 2" xfId="41717" xr:uid="{00000000-0005-0000-0000-0000C2A10000}"/>
    <cellStyle name="Normal 3 3 5 5 2 2" xfId="41718" xr:uid="{00000000-0005-0000-0000-0000C3A10000}"/>
    <cellStyle name="Normal 3 3 5 5 2 3" xfId="41719" xr:uid="{00000000-0005-0000-0000-0000C4A10000}"/>
    <cellStyle name="Normal 3 3 5 5 3" xfId="41720" xr:uid="{00000000-0005-0000-0000-0000C5A10000}"/>
    <cellStyle name="Normal 3 3 5 5 4" xfId="41721" xr:uid="{00000000-0005-0000-0000-0000C6A10000}"/>
    <cellStyle name="Normal 3 3 5 5 5" xfId="41722" xr:uid="{00000000-0005-0000-0000-0000C7A10000}"/>
    <cellStyle name="Normal 3 3 5 5 6" xfId="41723" xr:uid="{00000000-0005-0000-0000-0000C8A10000}"/>
    <cellStyle name="Normal 3 3 5 6" xfId="41724" xr:uid="{00000000-0005-0000-0000-0000C9A10000}"/>
    <cellStyle name="Normal 3 3 5 6 2" xfId="41725" xr:uid="{00000000-0005-0000-0000-0000CAA10000}"/>
    <cellStyle name="Normal 3 3 5 6 3" xfId="41726" xr:uid="{00000000-0005-0000-0000-0000CBA10000}"/>
    <cellStyle name="Normal 3 3 5 7" xfId="41727" xr:uid="{00000000-0005-0000-0000-0000CCA10000}"/>
    <cellStyle name="Normal 3 3 5 8" xfId="41728" xr:uid="{00000000-0005-0000-0000-0000CDA10000}"/>
    <cellStyle name="Normal 3 3 5 9" xfId="41729" xr:uid="{00000000-0005-0000-0000-0000CEA10000}"/>
    <cellStyle name="Normal 3 3 6" xfId="41730" xr:uid="{00000000-0005-0000-0000-0000CFA10000}"/>
    <cellStyle name="Normal 3 3 6 2" xfId="41731" xr:uid="{00000000-0005-0000-0000-0000D0A10000}"/>
    <cellStyle name="Normal 3 3 6 2 2" xfId="41732" xr:uid="{00000000-0005-0000-0000-0000D1A10000}"/>
    <cellStyle name="Normal 3 3 6 2 3" xfId="41733" xr:uid="{00000000-0005-0000-0000-0000D2A10000}"/>
    <cellStyle name="Normal 3 3 6 3" xfId="41734" xr:uid="{00000000-0005-0000-0000-0000D3A10000}"/>
    <cellStyle name="Normal 3 3 6 4" xfId="41735" xr:uid="{00000000-0005-0000-0000-0000D4A10000}"/>
    <cellStyle name="Normal 3 3 6 5" xfId="41736" xr:uid="{00000000-0005-0000-0000-0000D5A10000}"/>
    <cellStyle name="Normal 3 3 6 6" xfId="41737" xr:uid="{00000000-0005-0000-0000-0000D6A10000}"/>
    <cellStyle name="Normal 3 3 7" xfId="41738" xr:uid="{00000000-0005-0000-0000-0000D7A10000}"/>
    <cellStyle name="Normal 3 3 7 2" xfId="41739" xr:uid="{00000000-0005-0000-0000-0000D8A10000}"/>
    <cellStyle name="Normal 3 3 7 2 2" xfId="41740" xr:uid="{00000000-0005-0000-0000-0000D9A10000}"/>
    <cellStyle name="Normal 3 3 7 2 3" xfId="41741" xr:uid="{00000000-0005-0000-0000-0000DAA10000}"/>
    <cellStyle name="Normal 3 3 7 3" xfId="41742" xr:uid="{00000000-0005-0000-0000-0000DBA10000}"/>
    <cellStyle name="Normal 3 3 7 4" xfId="41743" xr:uid="{00000000-0005-0000-0000-0000DCA10000}"/>
    <cellStyle name="Normal 3 3 7 5" xfId="41744" xr:uid="{00000000-0005-0000-0000-0000DDA10000}"/>
    <cellStyle name="Normal 3 3 7 6" xfId="41745" xr:uid="{00000000-0005-0000-0000-0000DEA10000}"/>
    <cellStyle name="Normal 3 3 8" xfId="41746" xr:uid="{00000000-0005-0000-0000-0000DFA10000}"/>
    <cellStyle name="Normal 3 3 8 2" xfId="41747" xr:uid="{00000000-0005-0000-0000-0000E0A10000}"/>
    <cellStyle name="Normal 3 3 8 2 2" xfId="41748" xr:uid="{00000000-0005-0000-0000-0000E1A10000}"/>
    <cellStyle name="Normal 3 3 8 2 3" xfId="41749" xr:uid="{00000000-0005-0000-0000-0000E2A10000}"/>
    <cellStyle name="Normal 3 3 8 3" xfId="41750" xr:uid="{00000000-0005-0000-0000-0000E3A10000}"/>
    <cellStyle name="Normal 3 3 8 4" xfId="41751" xr:uid="{00000000-0005-0000-0000-0000E4A10000}"/>
    <cellStyle name="Normal 3 3 8 5" xfId="41752" xr:uid="{00000000-0005-0000-0000-0000E5A10000}"/>
    <cellStyle name="Normal 3 3 8 6" xfId="41753" xr:uid="{00000000-0005-0000-0000-0000E6A10000}"/>
    <cellStyle name="Normal 3 3 9" xfId="41754" xr:uid="{00000000-0005-0000-0000-0000E7A10000}"/>
    <cellStyle name="Normal 3 3 9 2" xfId="41755" xr:uid="{00000000-0005-0000-0000-0000E8A10000}"/>
    <cellStyle name="Normal 3 3 9 3" xfId="41756" xr:uid="{00000000-0005-0000-0000-0000E9A10000}"/>
    <cellStyle name="Normal 3 4" xfId="273" xr:uid="{00000000-0005-0000-0000-0000EAA10000}"/>
    <cellStyle name="Normal 3 4 2" xfId="414" xr:uid="{00000000-0005-0000-0000-0000EBA10000}"/>
    <cellStyle name="Normal 3 4 3" xfId="415" xr:uid="{00000000-0005-0000-0000-0000ECA10000}"/>
    <cellStyle name="Normal 3 5" xfId="275" xr:uid="{00000000-0005-0000-0000-0000EDA10000}"/>
    <cellStyle name="Normal 3 5 2" xfId="416" xr:uid="{00000000-0005-0000-0000-0000EEA10000}"/>
    <cellStyle name="Normal 3 5 2 2" xfId="41757" xr:uid="{00000000-0005-0000-0000-0000EFA10000}"/>
    <cellStyle name="Normal 3 5 2 2 2" xfId="41758" xr:uid="{00000000-0005-0000-0000-0000F0A10000}"/>
    <cellStyle name="Normal 3 5 2 2 2 2" xfId="41759" xr:uid="{00000000-0005-0000-0000-0000F1A10000}"/>
    <cellStyle name="Normal 3 5 2 2 2 3" xfId="41760" xr:uid="{00000000-0005-0000-0000-0000F2A10000}"/>
    <cellStyle name="Normal 3 5 2 2 3" xfId="41761" xr:uid="{00000000-0005-0000-0000-0000F3A10000}"/>
    <cellStyle name="Normal 3 5 2 2 4" xfId="41762" xr:uid="{00000000-0005-0000-0000-0000F4A10000}"/>
    <cellStyle name="Normal 3 5 2 2 5" xfId="41763" xr:uid="{00000000-0005-0000-0000-0000F5A10000}"/>
    <cellStyle name="Normal 3 5 2 2 6" xfId="41764" xr:uid="{00000000-0005-0000-0000-0000F6A10000}"/>
    <cellStyle name="Normal 3 5 2 3" xfId="41765" xr:uid="{00000000-0005-0000-0000-0000F7A10000}"/>
    <cellStyle name="Normal 3 5 2 3 2" xfId="41766" xr:uid="{00000000-0005-0000-0000-0000F8A10000}"/>
    <cellStyle name="Normal 3 5 2 3 3" xfId="41767" xr:uid="{00000000-0005-0000-0000-0000F9A10000}"/>
    <cellStyle name="Normal 3 5 2 4" xfId="41768" xr:uid="{00000000-0005-0000-0000-0000FAA10000}"/>
    <cellStyle name="Normal 3 5 2 5" xfId="41769" xr:uid="{00000000-0005-0000-0000-0000FBA10000}"/>
    <cellStyle name="Normal 3 5 2 6" xfId="41770" xr:uid="{00000000-0005-0000-0000-0000FCA10000}"/>
    <cellStyle name="Normal 3 5 2 7" xfId="41771" xr:uid="{00000000-0005-0000-0000-0000FDA10000}"/>
    <cellStyle name="Normal 3 5 3" xfId="417" xr:uid="{00000000-0005-0000-0000-0000FEA10000}"/>
    <cellStyle name="Normal 3 5 3 2" xfId="41772" xr:uid="{00000000-0005-0000-0000-0000FFA10000}"/>
    <cellStyle name="Normal 3 5 3 2 2" xfId="41773" xr:uid="{00000000-0005-0000-0000-000000A20000}"/>
    <cellStyle name="Normal 3 5 3 2 3" xfId="41774" xr:uid="{00000000-0005-0000-0000-000001A20000}"/>
    <cellStyle name="Normal 3 5 3 3" xfId="41775" xr:uid="{00000000-0005-0000-0000-000002A20000}"/>
    <cellStyle name="Normal 3 5 3 4" xfId="41776" xr:uid="{00000000-0005-0000-0000-000003A20000}"/>
    <cellStyle name="Normal 3 5 3 5" xfId="41777" xr:uid="{00000000-0005-0000-0000-000004A20000}"/>
    <cellStyle name="Normal 3 5 3 6" xfId="41778" xr:uid="{00000000-0005-0000-0000-000005A20000}"/>
    <cellStyle name="Normal 3 6" xfId="418" xr:uid="{00000000-0005-0000-0000-000006A20000}"/>
    <cellStyle name="Normal 3 6 10" xfId="41779" xr:uid="{00000000-0005-0000-0000-000007A20000}"/>
    <cellStyle name="Normal 3 6 11" xfId="41780" xr:uid="{00000000-0005-0000-0000-000008A20000}"/>
    <cellStyle name="Normal 3 6 12" xfId="41781" xr:uid="{00000000-0005-0000-0000-000009A20000}"/>
    <cellStyle name="Normal 3 6 13" xfId="41782" xr:uid="{00000000-0005-0000-0000-00000AA20000}"/>
    <cellStyle name="Normal 3 6 2" xfId="41783" xr:uid="{00000000-0005-0000-0000-00000BA20000}"/>
    <cellStyle name="Normal 3 6 2 10" xfId="41784" xr:uid="{00000000-0005-0000-0000-00000CA20000}"/>
    <cellStyle name="Normal 3 6 2 2" xfId="41785" xr:uid="{00000000-0005-0000-0000-00000DA20000}"/>
    <cellStyle name="Normal 3 6 2 2 2" xfId="41786" xr:uid="{00000000-0005-0000-0000-00000EA20000}"/>
    <cellStyle name="Normal 3 6 2 2 2 2" xfId="41787" xr:uid="{00000000-0005-0000-0000-00000FA20000}"/>
    <cellStyle name="Normal 3 6 2 2 2 2 2" xfId="41788" xr:uid="{00000000-0005-0000-0000-000010A20000}"/>
    <cellStyle name="Normal 3 6 2 2 2 2 3" xfId="41789" xr:uid="{00000000-0005-0000-0000-000011A20000}"/>
    <cellStyle name="Normal 3 6 2 2 2 3" xfId="41790" xr:uid="{00000000-0005-0000-0000-000012A20000}"/>
    <cellStyle name="Normal 3 6 2 2 2 4" xfId="41791" xr:uid="{00000000-0005-0000-0000-000013A20000}"/>
    <cellStyle name="Normal 3 6 2 2 2 5" xfId="41792" xr:uid="{00000000-0005-0000-0000-000014A20000}"/>
    <cellStyle name="Normal 3 6 2 2 2 6" xfId="41793" xr:uid="{00000000-0005-0000-0000-000015A20000}"/>
    <cellStyle name="Normal 3 6 2 2 3" xfId="41794" xr:uid="{00000000-0005-0000-0000-000016A20000}"/>
    <cellStyle name="Normal 3 6 2 2 3 2" xfId="41795" xr:uid="{00000000-0005-0000-0000-000017A20000}"/>
    <cellStyle name="Normal 3 6 2 2 3 2 2" xfId="41796" xr:uid="{00000000-0005-0000-0000-000018A20000}"/>
    <cellStyle name="Normal 3 6 2 2 3 2 3" xfId="41797" xr:uid="{00000000-0005-0000-0000-000019A20000}"/>
    <cellStyle name="Normal 3 6 2 2 3 3" xfId="41798" xr:uid="{00000000-0005-0000-0000-00001AA20000}"/>
    <cellStyle name="Normal 3 6 2 2 3 4" xfId="41799" xr:uid="{00000000-0005-0000-0000-00001BA20000}"/>
    <cellStyle name="Normal 3 6 2 2 3 5" xfId="41800" xr:uid="{00000000-0005-0000-0000-00001CA20000}"/>
    <cellStyle name="Normal 3 6 2 2 3 6" xfId="41801" xr:uid="{00000000-0005-0000-0000-00001DA20000}"/>
    <cellStyle name="Normal 3 6 2 2 4" xfId="41802" xr:uid="{00000000-0005-0000-0000-00001EA20000}"/>
    <cellStyle name="Normal 3 6 2 2 4 2" xfId="41803" xr:uid="{00000000-0005-0000-0000-00001FA20000}"/>
    <cellStyle name="Normal 3 6 2 2 4 3" xfId="41804" xr:uid="{00000000-0005-0000-0000-000020A20000}"/>
    <cellStyle name="Normal 3 6 2 2 5" xfId="41805" xr:uid="{00000000-0005-0000-0000-000021A20000}"/>
    <cellStyle name="Normal 3 6 2 2 6" xfId="41806" xr:uid="{00000000-0005-0000-0000-000022A20000}"/>
    <cellStyle name="Normal 3 6 2 2 7" xfId="41807" xr:uid="{00000000-0005-0000-0000-000023A20000}"/>
    <cellStyle name="Normal 3 6 2 2 8" xfId="41808" xr:uid="{00000000-0005-0000-0000-000024A20000}"/>
    <cellStyle name="Normal 3 6 2 3" xfId="41809" xr:uid="{00000000-0005-0000-0000-000025A20000}"/>
    <cellStyle name="Normal 3 6 2 3 2" xfId="41810" xr:uid="{00000000-0005-0000-0000-000026A20000}"/>
    <cellStyle name="Normal 3 6 2 3 2 2" xfId="41811" xr:uid="{00000000-0005-0000-0000-000027A20000}"/>
    <cellStyle name="Normal 3 6 2 3 2 2 2" xfId="41812" xr:uid="{00000000-0005-0000-0000-000028A20000}"/>
    <cellStyle name="Normal 3 6 2 3 2 2 3" xfId="41813" xr:uid="{00000000-0005-0000-0000-000029A20000}"/>
    <cellStyle name="Normal 3 6 2 3 2 3" xfId="41814" xr:uid="{00000000-0005-0000-0000-00002AA20000}"/>
    <cellStyle name="Normal 3 6 2 3 2 4" xfId="41815" xr:uid="{00000000-0005-0000-0000-00002BA20000}"/>
    <cellStyle name="Normal 3 6 2 3 2 5" xfId="41816" xr:uid="{00000000-0005-0000-0000-00002CA20000}"/>
    <cellStyle name="Normal 3 6 2 3 2 6" xfId="41817" xr:uid="{00000000-0005-0000-0000-00002DA20000}"/>
    <cellStyle name="Normal 3 6 2 3 3" xfId="41818" xr:uid="{00000000-0005-0000-0000-00002EA20000}"/>
    <cellStyle name="Normal 3 6 2 3 3 2" xfId="41819" xr:uid="{00000000-0005-0000-0000-00002FA20000}"/>
    <cellStyle name="Normal 3 6 2 3 3 3" xfId="41820" xr:uid="{00000000-0005-0000-0000-000030A20000}"/>
    <cellStyle name="Normal 3 6 2 3 4" xfId="41821" xr:uid="{00000000-0005-0000-0000-000031A20000}"/>
    <cellStyle name="Normal 3 6 2 3 5" xfId="41822" xr:uid="{00000000-0005-0000-0000-000032A20000}"/>
    <cellStyle name="Normal 3 6 2 3 6" xfId="41823" xr:uid="{00000000-0005-0000-0000-000033A20000}"/>
    <cellStyle name="Normal 3 6 2 3 7" xfId="41824" xr:uid="{00000000-0005-0000-0000-000034A20000}"/>
    <cellStyle name="Normal 3 6 2 4" xfId="41825" xr:uid="{00000000-0005-0000-0000-000035A20000}"/>
    <cellStyle name="Normal 3 6 2 4 2" xfId="41826" xr:uid="{00000000-0005-0000-0000-000036A20000}"/>
    <cellStyle name="Normal 3 6 2 4 2 2" xfId="41827" xr:uid="{00000000-0005-0000-0000-000037A20000}"/>
    <cellStyle name="Normal 3 6 2 4 2 3" xfId="41828" xr:uid="{00000000-0005-0000-0000-000038A20000}"/>
    <cellStyle name="Normal 3 6 2 4 3" xfId="41829" xr:uid="{00000000-0005-0000-0000-000039A20000}"/>
    <cellStyle name="Normal 3 6 2 4 4" xfId="41830" xr:uid="{00000000-0005-0000-0000-00003AA20000}"/>
    <cellStyle name="Normal 3 6 2 4 5" xfId="41831" xr:uid="{00000000-0005-0000-0000-00003BA20000}"/>
    <cellStyle name="Normal 3 6 2 4 6" xfId="41832" xr:uid="{00000000-0005-0000-0000-00003CA20000}"/>
    <cellStyle name="Normal 3 6 2 5" xfId="41833" xr:uid="{00000000-0005-0000-0000-00003DA20000}"/>
    <cellStyle name="Normal 3 6 2 5 2" xfId="41834" xr:uid="{00000000-0005-0000-0000-00003EA20000}"/>
    <cellStyle name="Normal 3 6 2 5 2 2" xfId="41835" xr:uid="{00000000-0005-0000-0000-00003FA20000}"/>
    <cellStyle name="Normal 3 6 2 5 2 3" xfId="41836" xr:uid="{00000000-0005-0000-0000-000040A20000}"/>
    <cellStyle name="Normal 3 6 2 5 3" xfId="41837" xr:uid="{00000000-0005-0000-0000-000041A20000}"/>
    <cellStyle name="Normal 3 6 2 5 4" xfId="41838" xr:uid="{00000000-0005-0000-0000-000042A20000}"/>
    <cellStyle name="Normal 3 6 2 5 5" xfId="41839" xr:uid="{00000000-0005-0000-0000-000043A20000}"/>
    <cellStyle name="Normal 3 6 2 5 6" xfId="41840" xr:uid="{00000000-0005-0000-0000-000044A20000}"/>
    <cellStyle name="Normal 3 6 2 6" xfId="41841" xr:uid="{00000000-0005-0000-0000-000045A20000}"/>
    <cellStyle name="Normal 3 6 2 6 2" xfId="41842" xr:uid="{00000000-0005-0000-0000-000046A20000}"/>
    <cellStyle name="Normal 3 6 2 6 3" xfId="41843" xr:uid="{00000000-0005-0000-0000-000047A20000}"/>
    <cellStyle name="Normal 3 6 2 7" xfId="41844" xr:uid="{00000000-0005-0000-0000-000048A20000}"/>
    <cellStyle name="Normal 3 6 2 8" xfId="41845" xr:uid="{00000000-0005-0000-0000-000049A20000}"/>
    <cellStyle name="Normal 3 6 2 9" xfId="41846" xr:uid="{00000000-0005-0000-0000-00004AA20000}"/>
    <cellStyle name="Normal 3 6 3" xfId="41847" xr:uid="{00000000-0005-0000-0000-00004BA20000}"/>
    <cellStyle name="Normal 3 6 3 2" xfId="41848" xr:uid="{00000000-0005-0000-0000-00004CA20000}"/>
    <cellStyle name="Normal 3 6 3 2 2" xfId="41849" xr:uid="{00000000-0005-0000-0000-00004DA20000}"/>
    <cellStyle name="Normal 3 6 3 2 2 2" xfId="41850" xr:uid="{00000000-0005-0000-0000-00004EA20000}"/>
    <cellStyle name="Normal 3 6 3 2 2 2 2" xfId="41851" xr:uid="{00000000-0005-0000-0000-00004FA20000}"/>
    <cellStyle name="Normal 3 6 3 2 2 2 3" xfId="41852" xr:uid="{00000000-0005-0000-0000-000050A20000}"/>
    <cellStyle name="Normal 3 6 3 2 2 3" xfId="41853" xr:uid="{00000000-0005-0000-0000-000051A20000}"/>
    <cellStyle name="Normal 3 6 3 2 2 4" xfId="41854" xr:uid="{00000000-0005-0000-0000-000052A20000}"/>
    <cellStyle name="Normal 3 6 3 2 2 5" xfId="41855" xr:uid="{00000000-0005-0000-0000-000053A20000}"/>
    <cellStyle name="Normal 3 6 3 2 2 6" xfId="41856" xr:uid="{00000000-0005-0000-0000-000054A20000}"/>
    <cellStyle name="Normal 3 6 3 2 3" xfId="41857" xr:uid="{00000000-0005-0000-0000-000055A20000}"/>
    <cellStyle name="Normal 3 6 3 2 3 2" xfId="41858" xr:uid="{00000000-0005-0000-0000-000056A20000}"/>
    <cellStyle name="Normal 3 6 3 2 3 3" xfId="41859" xr:uid="{00000000-0005-0000-0000-000057A20000}"/>
    <cellStyle name="Normal 3 6 3 2 4" xfId="41860" xr:uid="{00000000-0005-0000-0000-000058A20000}"/>
    <cellStyle name="Normal 3 6 3 2 5" xfId="41861" xr:uid="{00000000-0005-0000-0000-000059A20000}"/>
    <cellStyle name="Normal 3 6 3 2 6" xfId="41862" xr:uid="{00000000-0005-0000-0000-00005AA20000}"/>
    <cellStyle name="Normal 3 6 3 2 7" xfId="41863" xr:uid="{00000000-0005-0000-0000-00005BA20000}"/>
    <cellStyle name="Normal 3 6 3 3" xfId="41864" xr:uid="{00000000-0005-0000-0000-00005CA20000}"/>
    <cellStyle name="Normal 3 6 3 3 2" xfId="41865" xr:uid="{00000000-0005-0000-0000-00005DA20000}"/>
    <cellStyle name="Normal 3 6 3 3 2 2" xfId="41866" xr:uid="{00000000-0005-0000-0000-00005EA20000}"/>
    <cellStyle name="Normal 3 6 3 3 2 3" xfId="41867" xr:uid="{00000000-0005-0000-0000-00005FA20000}"/>
    <cellStyle name="Normal 3 6 3 3 3" xfId="41868" xr:uid="{00000000-0005-0000-0000-000060A20000}"/>
    <cellStyle name="Normal 3 6 3 3 4" xfId="41869" xr:uid="{00000000-0005-0000-0000-000061A20000}"/>
    <cellStyle name="Normal 3 6 3 3 5" xfId="41870" xr:uid="{00000000-0005-0000-0000-000062A20000}"/>
    <cellStyle name="Normal 3 6 3 3 6" xfId="41871" xr:uid="{00000000-0005-0000-0000-000063A20000}"/>
    <cellStyle name="Normal 3 6 3 4" xfId="41872" xr:uid="{00000000-0005-0000-0000-000064A20000}"/>
    <cellStyle name="Normal 3 6 3 4 2" xfId="41873" xr:uid="{00000000-0005-0000-0000-000065A20000}"/>
    <cellStyle name="Normal 3 6 3 4 2 2" xfId="41874" xr:uid="{00000000-0005-0000-0000-000066A20000}"/>
    <cellStyle name="Normal 3 6 3 4 2 3" xfId="41875" xr:uid="{00000000-0005-0000-0000-000067A20000}"/>
    <cellStyle name="Normal 3 6 3 4 3" xfId="41876" xr:uid="{00000000-0005-0000-0000-000068A20000}"/>
    <cellStyle name="Normal 3 6 3 4 4" xfId="41877" xr:uid="{00000000-0005-0000-0000-000069A20000}"/>
    <cellStyle name="Normal 3 6 3 4 5" xfId="41878" xr:uid="{00000000-0005-0000-0000-00006AA20000}"/>
    <cellStyle name="Normal 3 6 3 4 6" xfId="41879" xr:uid="{00000000-0005-0000-0000-00006BA20000}"/>
    <cellStyle name="Normal 3 6 3 5" xfId="41880" xr:uid="{00000000-0005-0000-0000-00006CA20000}"/>
    <cellStyle name="Normal 3 6 3 5 2" xfId="41881" xr:uid="{00000000-0005-0000-0000-00006DA20000}"/>
    <cellStyle name="Normal 3 6 3 5 3" xfId="41882" xr:uid="{00000000-0005-0000-0000-00006EA20000}"/>
    <cellStyle name="Normal 3 6 3 6" xfId="41883" xr:uid="{00000000-0005-0000-0000-00006FA20000}"/>
    <cellStyle name="Normal 3 6 3 7" xfId="41884" xr:uid="{00000000-0005-0000-0000-000070A20000}"/>
    <cellStyle name="Normal 3 6 3 8" xfId="41885" xr:uid="{00000000-0005-0000-0000-000071A20000}"/>
    <cellStyle name="Normal 3 6 3 9" xfId="41886" xr:uid="{00000000-0005-0000-0000-000072A20000}"/>
    <cellStyle name="Normal 3 6 4" xfId="41887" xr:uid="{00000000-0005-0000-0000-000073A20000}"/>
    <cellStyle name="Normal 3 6 4 2" xfId="41888" xr:uid="{00000000-0005-0000-0000-000074A20000}"/>
    <cellStyle name="Normal 3 6 4 2 2" xfId="41889" xr:uid="{00000000-0005-0000-0000-000075A20000}"/>
    <cellStyle name="Normal 3 6 4 2 2 2" xfId="41890" xr:uid="{00000000-0005-0000-0000-000076A20000}"/>
    <cellStyle name="Normal 3 6 4 2 2 3" xfId="41891" xr:uid="{00000000-0005-0000-0000-000077A20000}"/>
    <cellStyle name="Normal 3 6 4 2 3" xfId="41892" xr:uid="{00000000-0005-0000-0000-000078A20000}"/>
    <cellStyle name="Normal 3 6 4 2 4" xfId="41893" xr:uid="{00000000-0005-0000-0000-000079A20000}"/>
    <cellStyle name="Normal 3 6 4 2 5" xfId="41894" xr:uid="{00000000-0005-0000-0000-00007AA20000}"/>
    <cellStyle name="Normal 3 6 4 2 6" xfId="41895" xr:uid="{00000000-0005-0000-0000-00007BA20000}"/>
    <cellStyle name="Normal 3 6 4 3" xfId="41896" xr:uid="{00000000-0005-0000-0000-00007CA20000}"/>
    <cellStyle name="Normal 3 6 4 3 2" xfId="41897" xr:uid="{00000000-0005-0000-0000-00007DA20000}"/>
    <cellStyle name="Normal 3 6 4 3 3" xfId="41898" xr:uid="{00000000-0005-0000-0000-00007EA20000}"/>
    <cellStyle name="Normal 3 6 4 4" xfId="41899" xr:uid="{00000000-0005-0000-0000-00007FA20000}"/>
    <cellStyle name="Normal 3 6 4 5" xfId="41900" xr:uid="{00000000-0005-0000-0000-000080A20000}"/>
    <cellStyle name="Normal 3 6 4 6" xfId="41901" xr:uid="{00000000-0005-0000-0000-000081A20000}"/>
    <cellStyle name="Normal 3 6 4 7" xfId="41902" xr:uid="{00000000-0005-0000-0000-000082A20000}"/>
    <cellStyle name="Normal 3 6 5" xfId="41903" xr:uid="{00000000-0005-0000-0000-000083A20000}"/>
    <cellStyle name="Normal 3 6 5 2" xfId="41904" xr:uid="{00000000-0005-0000-0000-000084A20000}"/>
    <cellStyle name="Normal 3 6 5 2 2" xfId="41905" xr:uid="{00000000-0005-0000-0000-000085A20000}"/>
    <cellStyle name="Normal 3 6 5 2 3" xfId="41906" xr:uid="{00000000-0005-0000-0000-000086A20000}"/>
    <cellStyle name="Normal 3 6 5 3" xfId="41907" xr:uid="{00000000-0005-0000-0000-000087A20000}"/>
    <cellStyle name="Normal 3 6 5 4" xfId="41908" xr:uid="{00000000-0005-0000-0000-000088A20000}"/>
    <cellStyle name="Normal 3 6 5 5" xfId="41909" xr:uid="{00000000-0005-0000-0000-000089A20000}"/>
    <cellStyle name="Normal 3 6 5 6" xfId="41910" xr:uid="{00000000-0005-0000-0000-00008AA20000}"/>
    <cellStyle name="Normal 3 6 6" xfId="41911" xr:uid="{00000000-0005-0000-0000-00008BA20000}"/>
    <cellStyle name="Normal 3 6 6 2" xfId="41912" xr:uid="{00000000-0005-0000-0000-00008CA20000}"/>
    <cellStyle name="Normal 3 6 6 2 2" xfId="41913" xr:uid="{00000000-0005-0000-0000-00008DA20000}"/>
    <cellStyle name="Normal 3 6 6 2 3" xfId="41914" xr:uid="{00000000-0005-0000-0000-00008EA20000}"/>
    <cellStyle name="Normal 3 6 6 3" xfId="41915" xr:uid="{00000000-0005-0000-0000-00008FA20000}"/>
    <cellStyle name="Normal 3 6 6 4" xfId="41916" xr:uid="{00000000-0005-0000-0000-000090A20000}"/>
    <cellStyle name="Normal 3 6 6 5" xfId="41917" xr:uid="{00000000-0005-0000-0000-000091A20000}"/>
    <cellStyle name="Normal 3 6 6 6" xfId="41918" xr:uid="{00000000-0005-0000-0000-000092A20000}"/>
    <cellStyle name="Normal 3 6 7" xfId="41919" xr:uid="{00000000-0005-0000-0000-000093A20000}"/>
    <cellStyle name="Normal 3 6 7 2" xfId="41920" xr:uid="{00000000-0005-0000-0000-000094A20000}"/>
    <cellStyle name="Normal 3 6 7 2 2" xfId="41921" xr:uid="{00000000-0005-0000-0000-000095A20000}"/>
    <cellStyle name="Normal 3 6 7 2 3" xfId="41922" xr:uid="{00000000-0005-0000-0000-000096A20000}"/>
    <cellStyle name="Normal 3 6 7 3" xfId="41923" xr:uid="{00000000-0005-0000-0000-000097A20000}"/>
    <cellStyle name="Normal 3 6 7 4" xfId="41924" xr:uid="{00000000-0005-0000-0000-000098A20000}"/>
    <cellStyle name="Normal 3 6 7 5" xfId="41925" xr:uid="{00000000-0005-0000-0000-000099A20000}"/>
    <cellStyle name="Normal 3 6 7 6" xfId="41926" xr:uid="{00000000-0005-0000-0000-00009AA20000}"/>
    <cellStyle name="Normal 3 6 8" xfId="41927" xr:uid="{00000000-0005-0000-0000-00009BA20000}"/>
    <cellStyle name="Normal 3 6 8 2" xfId="41928" xr:uid="{00000000-0005-0000-0000-00009CA20000}"/>
    <cellStyle name="Normal 3 6 8 2 2" xfId="41929" xr:uid="{00000000-0005-0000-0000-00009DA20000}"/>
    <cellStyle name="Normal 3 6 8 2 3" xfId="41930" xr:uid="{00000000-0005-0000-0000-00009EA20000}"/>
    <cellStyle name="Normal 3 6 8 3" xfId="41931" xr:uid="{00000000-0005-0000-0000-00009FA20000}"/>
    <cellStyle name="Normal 3 6 8 4" xfId="41932" xr:uid="{00000000-0005-0000-0000-0000A0A20000}"/>
    <cellStyle name="Normal 3 6 8 5" xfId="41933" xr:uid="{00000000-0005-0000-0000-0000A1A20000}"/>
    <cellStyle name="Normal 3 6 8 6" xfId="41934" xr:uid="{00000000-0005-0000-0000-0000A2A20000}"/>
    <cellStyle name="Normal 3 6 9" xfId="41935" xr:uid="{00000000-0005-0000-0000-0000A3A20000}"/>
    <cellStyle name="Normal 3 6 9 2" xfId="41936" xr:uid="{00000000-0005-0000-0000-0000A4A20000}"/>
    <cellStyle name="Normal 3 6 9 3" xfId="41937" xr:uid="{00000000-0005-0000-0000-0000A5A20000}"/>
    <cellStyle name="Normal 3 7" xfId="419" xr:uid="{00000000-0005-0000-0000-0000A6A20000}"/>
    <cellStyle name="Normal 3 8" xfId="41938" xr:uid="{00000000-0005-0000-0000-0000A7A20000}"/>
    <cellStyle name="Normal 3 8 10" xfId="41939" xr:uid="{00000000-0005-0000-0000-0000A8A20000}"/>
    <cellStyle name="Normal 3 8 11" xfId="41940" xr:uid="{00000000-0005-0000-0000-0000A9A20000}"/>
    <cellStyle name="Normal 3 8 2" xfId="41941" xr:uid="{00000000-0005-0000-0000-0000AAA20000}"/>
    <cellStyle name="Normal 3 8 2 2" xfId="41942" xr:uid="{00000000-0005-0000-0000-0000ABA20000}"/>
    <cellStyle name="Normal 3 8 2 2 2" xfId="41943" xr:uid="{00000000-0005-0000-0000-0000ACA20000}"/>
    <cellStyle name="Normal 3 8 2 2 2 2" xfId="41944" xr:uid="{00000000-0005-0000-0000-0000ADA20000}"/>
    <cellStyle name="Normal 3 8 2 2 2 3" xfId="41945" xr:uid="{00000000-0005-0000-0000-0000AEA20000}"/>
    <cellStyle name="Normal 3 8 2 2 3" xfId="41946" xr:uid="{00000000-0005-0000-0000-0000AFA20000}"/>
    <cellStyle name="Normal 3 8 2 2 4" xfId="41947" xr:uid="{00000000-0005-0000-0000-0000B0A20000}"/>
    <cellStyle name="Normal 3 8 2 2 5" xfId="41948" xr:uid="{00000000-0005-0000-0000-0000B1A20000}"/>
    <cellStyle name="Normal 3 8 2 2 6" xfId="41949" xr:uid="{00000000-0005-0000-0000-0000B2A20000}"/>
    <cellStyle name="Normal 3 8 2 3" xfId="41950" xr:uid="{00000000-0005-0000-0000-0000B3A20000}"/>
    <cellStyle name="Normal 3 8 2 3 2" xfId="41951" xr:uid="{00000000-0005-0000-0000-0000B4A20000}"/>
    <cellStyle name="Normal 3 8 2 3 2 2" xfId="41952" xr:uid="{00000000-0005-0000-0000-0000B5A20000}"/>
    <cellStyle name="Normal 3 8 2 3 2 3" xfId="41953" xr:uid="{00000000-0005-0000-0000-0000B6A20000}"/>
    <cellStyle name="Normal 3 8 2 3 3" xfId="41954" xr:uid="{00000000-0005-0000-0000-0000B7A20000}"/>
    <cellStyle name="Normal 3 8 2 3 4" xfId="41955" xr:uid="{00000000-0005-0000-0000-0000B8A20000}"/>
    <cellStyle name="Normal 3 8 2 3 5" xfId="41956" xr:uid="{00000000-0005-0000-0000-0000B9A20000}"/>
    <cellStyle name="Normal 3 8 2 3 6" xfId="41957" xr:uid="{00000000-0005-0000-0000-0000BAA20000}"/>
    <cellStyle name="Normal 3 8 2 4" xfId="41958" xr:uid="{00000000-0005-0000-0000-0000BBA20000}"/>
    <cellStyle name="Normal 3 8 2 4 2" xfId="41959" xr:uid="{00000000-0005-0000-0000-0000BCA20000}"/>
    <cellStyle name="Normal 3 8 2 4 3" xfId="41960" xr:uid="{00000000-0005-0000-0000-0000BDA20000}"/>
    <cellStyle name="Normal 3 8 2 5" xfId="41961" xr:uid="{00000000-0005-0000-0000-0000BEA20000}"/>
    <cellStyle name="Normal 3 8 2 6" xfId="41962" xr:uid="{00000000-0005-0000-0000-0000BFA20000}"/>
    <cellStyle name="Normal 3 8 2 7" xfId="41963" xr:uid="{00000000-0005-0000-0000-0000C0A20000}"/>
    <cellStyle name="Normal 3 8 2 8" xfId="41964" xr:uid="{00000000-0005-0000-0000-0000C1A20000}"/>
    <cellStyle name="Normal 3 8 3" xfId="41965" xr:uid="{00000000-0005-0000-0000-0000C2A20000}"/>
    <cellStyle name="Normal 3 8 3 2" xfId="41966" xr:uid="{00000000-0005-0000-0000-0000C3A20000}"/>
    <cellStyle name="Normal 3 8 3 2 2" xfId="41967" xr:uid="{00000000-0005-0000-0000-0000C4A20000}"/>
    <cellStyle name="Normal 3 8 3 2 2 2" xfId="41968" xr:uid="{00000000-0005-0000-0000-0000C5A20000}"/>
    <cellStyle name="Normal 3 8 3 2 2 3" xfId="41969" xr:uid="{00000000-0005-0000-0000-0000C6A20000}"/>
    <cellStyle name="Normal 3 8 3 2 3" xfId="41970" xr:uid="{00000000-0005-0000-0000-0000C7A20000}"/>
    <cellStyle name="Normal 3 8 3 2 4" xfId="41971" xr:uid="{00000000-0005-0000-0000-0000C8A20000}"/>
    <cellStyle name="Normal 3 8 3 2 5" xfId="41972" xr:uid="{00000000-0005-0000-0000-0000C9A20000}"/>
    <cellStyle name="Normal 3 8 3 2 6" xfId="41973" xr:uid="{00000000-0005-0000-0000-0000CAA20000}"/>
    <cellStyle name="Normal 3 8 3 3" xfId="41974" xr:uid="{00000000-0005-0000-0000-0000CBA20000}"/>
    <cellStyle name="Normal 3 8 3 3 2" xfId="41975" xr:uid="{00000000-0005-0000-0000-0000CCA20000}"/>
    <cellStyle name="Normal 3 8 3 3 3" xfId="41976" xr:uid="{00000000-0005-0000-0000-0000CDA20000}"/>
    <cellStyle name="Normal 3 8 3 4" xfId="41977" xr:uid="{00000000-0005-0000-0000-0000CEA20000}"/>
    <cellStyle name="Normal 3 8 3 5" xfId="41978" xr:uid="{00000000-0005-0000-0000-0000CFA20000}"/>
    <cellStyle name="Normal 3 8 3 6" xfId="41979" xr:uid="{00000000-0005-0000-0000-0000D0A20000}"/>
    <cellStyle name="Normal 3 8 3 7" xfId="41980" xr:uid="{00000000-0005-0000-0000-0000D1A20000}"/>
    <cellStyle name="Normal 3 8 4" xfId="41981" xr:uid="{00000000-0005-0000-0000-0000D2A20000}"/>
    <cellStyle name="Normal 3 8 4 2" xfId="41982" xr:uid="{00000000-0005-0000-0000-0000D3A20000}"/>
    <cellStyle name="Normal 3 8 4 2 2" xfId="41983" xr:uid="{00000000-0005-0000-0000-0000D4A20000}"/>
    <cellStyle name="Normal 3 8 4 2 3" xfId="41984" xr:uid="{00000000-0005-0000-0000-0000D5A20000}"/>
    <cellStyle name="Normal 3 8 4 3" xfId="41985" xr:uid="{00000000-0005-0000-0000-0000D6A20000}"/>
    <cellStyle name="Normal 3 8 4 4" xfId="41986" xr:uid="{00000000-0005-0000-0000-0000D7A20000}"/>
    <cellStyle name="Normal 3 8 4 5" xfId="41987" xr:uid="{00000000-0005-0000-0000-0000D8A20000}"/>
    <cellStyle name="Normal 3 8 4 6" xfId="41988" xr:uid="{00000000-0005-0000-0000-0000D9A20000}"/>
    <cellStyle name="Normal 3 8 5" xfId="41989" xr:uid="{00000000-0005-0000-0000-0000DAA20000}"/>
    <cellStyle name="Normal 3 8 5 2" xfId="41990" xr:uid="{00000000-0005-0000-0000-0000DBA20000}"/>
    <cellStyle name="Normal 3 8 5 2 2" xfId="41991" xr:uid="{00000000-0005-0000-0000-0000DCA20000}"/>
    <cellStyle name="Normal 3 8 5 2 3" xfId="41992" xr:uid="{00000000-0005-0000-0000-0000DDA20000}"/>
    <cellStyle name="Normal 3 8 5 3" xfId="41993" xr:uid="{00000000-0005-0000-0000-0000DEA20000}"/>
    <cellStyle name="Normal 3 8 5 4" xfId="41994" xr:uid="{00000000-0005-0000-0000-0000DFA20000}"/>
    <cellStyle name="Normal 3 8 5 5" xfId="41995" xr:uid="{00000000-0005-0000-0000-0000E0A20000}"/>
    <cellStyle name="Normal 3 8 5 6" xfId="41996" xr:uid="{00000000-0005-0000-0000-0000E1A20000}"/>
    <cellStyle name="Normal 3 8 6" xfId="41997" xr:uid="{00000000-0005-0000-0000-0000E2A20000}"/>
    <cellStyle name="Normal 3 8 6 2" xfId="41998" xr:uid="{00000000-0005-0000-0000-0000E3A20000}"/>
    <cellStyle name="Normal 3 8 6 2 2" xfId="41999" xr:uid="{00000000-0005-0000-0000-0000E4A20000}"/>
    <cellStyle name="Normal 3 8 6 2 3" xfId="42000" xr:uid="{00000000-0005-0000-0000-0000E5A20000}"/>
    <cellStyle name="Normal 3 8 6 3" xfId="42001" xr:uid="{00000000-0005-0000-0000-0000E6A20000}"/>
    <cellStyle name="Normal 3 8 6 4" xfId="42002" xr:uid="{00000000-0005-0000-0000-0000E7A20000}"/>
    <cellStyle name="Normal 3 8 6 5" xfId="42003" xr:uid="{00000000-0005-0000-0000-0000E8A20000}"/>
    <cellStyle name="Normal 3 8 6 6" xfId="42004" xr:uid="{00000000-0005-0000-0000-0000E9A20000}"/>
    <cellStyle name="Normal 3 8 7" xfId="42005" xr:uid="{00000000-0005-0000-0000-0000EAA20000}"/>
    <cellStyle name="Normal 3 8 7 2" xfId="42006" xr:uid="{00000000-0005-0000-0000-0000EBA20000}"/>
    <cellStyle name="Normal 3 8 7 3" xfId="42007" xr:uid="{00000000-0005-0000-0000-0000ECA20000}"/>
    <cellStyle name="Normal 3 8 8" xfId="42008" xr:uid="{00000000-0005-0000-0000-0000EDA20000}"/>
    <cellStyle name="Normal 3 8 9" xfId="42009" xr:uid="{00000000-0005-0000-0000-0000EEA20000}"/>
    <cellStyle name="Normal 3 9" xfId="42010" xr:uid="{00000000-0005-0000-0000-0000EFA20000}"/>
    <cellStyle name="Normal 3 9 2" xfId="42011" xr:uid="{00000000-0005-0000-0000-0000F0A20000}"/>
    <cellStyle name="Normal 3 9 3" xfId="42012" xr:uid="{00000000-0005-0000-0000-0000F1A20000}"/>
    <cellStyle name="Normal 3 9 3 2" xfId="42013" xr:uid="{00000000-0005-0000-0000-0000F2A20000}"/>
    <cellStyle name="Normal 3 9 3 3" xfId="42014" xr:uid="{00000000-0005-0000-0000-0000F3A20000}"/>
    <cellStyle name="Normal 3 9 4" xfId="42015" xr:uid="{00000000-0005-0000-0000-0000F4A20000}"/>
    <cellStyle name="Normal 3 9 5" xfId="42016" xr:uid="{00000000-0005-0000-0000-0000F5A20000}"/>
    <cellStyle name="Normal 3 9 6" xfId="42017" xr:uid="{00000000-0005-0000-0000-0000F6A20000}"/>
    <cellStyle name="Normal 3 9 7" xfId="42018" xr:uid="{00000000-0005-0000-0000-0000F7A20000}"/>
    <cellStyle name="Normal 3_Apr" xfId="42019" xr:uid="{00000000-0005-0000-0000-0000F8A20000}"/>
    <cellStyle name="Normal 30" xfId="42020" xr:uid="{00000000-0005-0000-0000-0000F9A20000}"/>
    <cellStyle name="Normal 30 2" xfId="42021" xr:uid="{00000000-0005-0000-0000-0000FAA20000}"/>
    <cellStyle name="Normal 30 2 2" xfId="42022" xr:uid="{00000000-0005-0000-0000-0000FBA20000}"/>
    <cellStyle name="Normal 30 2 3" xfId="42023" xr:uid="{00000000-0005-0000-0000-0000FCA20000}"/>
    <cellStyle name="Normal 30 3" xfId="42024" xr:uid="{00000000-0005-0000-0000-0000FDA20000}"/>
    <cellStyle name="Normal 30 4" xfId="42025" xr:uid="{00000000-0005-0000-0000-0000FEA20000}"/>
    <cellStyle name="Normal 30 5" xfId="42026" xr:uid="{00000000-0005-0000-0000-0000FFA20000}"/>
    <cellStyle name="Normal 30 6" xfId="42027" xr:uid="{00000000-0005-0000-0000-000000A30000}"/>
    <cellStyle name="Normal 31" xfId="42028" xr:uid="{00000000-0005-0000-0000-000001A30000}"/>
    <cellStyle name="Normal 32" xfId="140" xr:uid="{00000000-0005-0000-0000-000002A30000}"/>
    <cellStyle name="Normal 32 2" xfId="141" xr:uid="{00000000-0005-0000-0000-000003A30000}"/>
    <cellStyle name="Normal 32 3" xfId="42029" xr:uid="{00000000-0005-0000-0000-000004A30000}"/>
    <cellStyle name="Normal 33" xfId="42030" xr:uid="{00000000-0005-0000-0000-000005A30000}"/>
    <cellStyle name="Normal 34" xfId="142" xr:uid="{00000000-0005-0000-0000-000006A30000}"/>
    <cellStyle name="Normal 34 2" xfId="143" xr:uid="{00000000-0005-0000-0000-000007A30000}"/>
    <cellStyle name="Normal 34 3" xfId="42031" xr:uid="{00000000-0005-0000-0000-000008A30000}"/>
    <cellStyle name="Normal 35" xfId="42032" xr:uid="{00000000-0005-0000-0000-000009A30000}"/>
    <cellStyle name="Normal 36" xfId="144" xr:uid="{00000000-0005-0000-0000-00000AA30000}"/>
    <cellStyle name="Normal 36 2" xfId="145" xr:uid="{00000000-0005-0000-0000-00000BA30000}"/>
    <cellStyle name="Normal 36 3" xfId="42033" xr:uid="{00000000-0005-0000-0000-00000CA30000}"/>
    <cellStyle name="Normal 37" xfId="42034" xr:uid="{00000000-0005-0000-0000-00000DA30000}"/>
    <cellStyle name="Normal 37 2" xfId="42035" xr:uid="{00000000-0005-0000-0000-00000EA30000}"/>
    <cellStyle name="Normal 38" xfId="42036" xr:uid="{00000000-0005-0000-0000-00000FA30000}"/>
    <cellStyle name="Normal 39" xfId="42037" xr:uid="{00000000-0005-0000-0000-000010A30000}"/>
    <cellStyle name="Normal 39 2" xfId="42038" xr:uid="{00000000-0005-0000-0000-000011A30000}"/>
    <cellStyle name="Normal 4" xfId="50" xr:uid="{00000000-0005-0000-0000-000012A30000}"/>
    <cellStyle name="Normal 4 10" xfId="42039" xr:uid="{00000000-0005-0000-0000-000013A30000}"/>
    <cellStyle name="Normal 4 10 2" xfId="42040" xr:uid="{00000000-0005-0000-0000-000014A30000}"/>
    <cellStyle name="Normal 4 10 3" xfId="42041" xr:uid="{00000000-0005-0000-0000-000015A30000}"/>
    <cellStyle name="Normal 4 11" xfId="42042" xr:uid="{00000000-0005-0000-0000-000016A30000}"/>
    <cellStyle name="Normal 4 12" xfId="42043" xr:uid="{00000000-0005-0000-0000-000017A30000}"/>
    <cellStyle name="Normal 4 13" xfId="42044" xr:uid="{00000000-0005-0000-0000-000018A30000}"/>
    <cellStyle name="Normal 4 14" xfId="42045" xr:uid="{00000000-0005-0000-0000-000019A30000}"/>
    <cellStyle name="Normal 4 2" xfId="146" xr:uid="{00000000-0005-0000-0000-00001AA30000}"/>
    <cellStyle name="Normal 4 2 10" xfId="42046" xr:uid="{00000000-0005-0000-0000-00001BA30000}"/>
    <cellStyle name="Normal 4 2 10 2" xfId="42047" xr:uid="{00000000-0005-0000-0000-00001CA30000}"/>
    <cellStyle name="Normal 4 2 10 2 2" xfId="42048" xr:uid="{00000000-0005-0000-0000-00001DA30000}"/>
    <cellStyle name="Normal 4 2 10 2 2 2" xfId="42049" xr:uid="{00000000-0005-0000-0000-00001EA30000}"/>
    <cellStyle name="Normal 4 2 10 2 2 3" xfId="42050" xr:uid="{00000000-0005-0000-0000-00001FA30000}"/>
    <cellStyle name="Normal 4 2 10 2 3" xfId="42051" xr:uid="{00000000-0005-0000-0000-000020A30000}"/>
    <cellStyle name="Normal 4 2 10 2 4" xfId="42052" xr:uid="{00000000-0005-0000-0000-000021A30000}"/>
    <cellStyle name="Normal 4 2 10 2 5" xfId="42053" xr:uid="{00000000-0005-0000-0000-000022A30000}"/>
    <cellStyle name="Normal 4 2 10 2 6" xfId="42054" xr:uid="{00000000-0005-0000-0000-000023A30000}"/>
    <cellStyle name="Normal 4 2 10 3" xfId="42055" xr:uid="{00000000-0005-0000-0000-000024A30000}"/>
    <cellStyle name="Normal 4 2 10 3 2" xfId="42056" xr:uid="{00000000-0005-0000-0000-000025A30000}"/>
    <cellStyle name="Normal 4 2 10 3 3" xfId="42057" xr:uid="{00000000-0005-0000-0000-000026A30000}"/>
    <cellStyle name="Normal 4 2 10 4" xfId="42058" xr:uid="{00000000-0005-0000-0000-000027A30000}"/>
    <cellStyle name="Normal 4 2 10 5" xfId="42059" xr:uid="{00000000-0005-0000-0000-000028A30000}"/>
    <cellStyle name="Normal 4 2 10 6" xfId="42060" xr:uid="{00000000-0005-0000-0000-000029A30000}"/>
    <cellStyle name="Normal 4 2 10 7" xfId="42061" xr:uid="{00000000-0005-0000-0000-00002AA30000}"/>
    <cellStyle name="Normal 4 2 11" xfId="42062" xr:uid="{00000000-0005-0000-0000-00002BA30000}"/>
    <cellStyle name="Normal 4 2 11 2" xfId="42063" xr:uid="{00000000-0005-0000-0000-00002CA30000}"/>
    <cellStyle name="Normal 4 2 11 2 2" xfId="42064" xr:uid="{00000000-0005-0000-0000-00002DA30000}"/>
    <cellStyle name="Normal 4 2 11 2 3" xfId="42065" xr:uid="{00000000-0005-0000-0000-00002EA30000}"/>
    <cellStyle name="Normal 4 2 11 3" xfId="42066" xr:uid="{00000000-0005-0000-0000-00002FA30000}"/>
    <cellStyle name="Normal 4 2 11 4" xfId="42067" xr:uid="{00000000-0005-0000-0000-000030A30000}"/>
    <cellStyle name="Normal 4 2 11 5" xfId="42068" xr:uid="{00000000-0005-0000-0000-000031A30000}"/>
    <cellStyle name="Normal 4 2 11 6" xfId="42069" xr:uid="{00000000-0005-0000-0000-000032A30000}"/>
    <cellStyle name="Normal 4 2 2" xfId="420" xr:uid="{00000000-0005-0000-0000-000033A30000}"/>
    <cellStyle name="Normal 4 2 2 10" xfId="42070" xr:uid="{00000000-0005-0000-0000-000034A30000}"/>
    <cellStyle name="Normal 4 2 2 10 2" xfId="42071" xr:uid="{00000000-0005-0000-0000-000035A30000}"/>
    <cellStyle name="Normal 4 2 2 10 2 2" xfId="42072" xr:uid="{00000000-0005-0000-0000-000036A30000}"/>
    <cellStyle name="Normal 4 2 2 10 2 3" xfId="42073" xr:uid="{00000000-0005-0000-0000-000037A30000}"/>
    <cellStyle name="Normal 4 2 2 10 3" xfId="42074" xr:uid="{00000000-0005-0000-0000-000038A30000}"/>
    <cellStyle name="Normal 4 2 2 10 4" xfId="42075" xr:uid="{00000000-0005-0000-0000-000039A30000}"/>
    <cellStyle name="Normal 4 2 2 10 5" xfId="42076" xr:uid="{00000000-0005-0000-0000-00003AA30000}"/>
    <cellStyle name="Normal 4 2 2 10 6" xfId="42077" xr:uid="{00000000-0005-0000-0000-00003BA30000}"/>
    <cellStyle name="Normal 4 2 2 11" xfId="42078" xr:uid="{00000000-0005-0000-0000-00003CA30000}"/>
    <cellStyle name="Normal 4 2 2 11 2" xfId="42079" xr:uid="{00000000-0005-0000-0000-00003DA30000}"/>
    <cellStyle name="Normal 4 2 2 11 2 2" xfId="42080" xr:uid="{00000000-0005-0000-0000-00003EA30000}"/>
    <cellStyle name="Normal 4 2 2 11 2 3" xfId="42081" xr:uid="{00000000-0005-0000-0000-00003FA30000}"/>
    <cellStyle name="Normal 4 2 2 11 3" xfId="42082" xr:uid="{00000000-0005-0000-0000-000040A30000}"/>
    <cellStyle name="Normal 4 2 2 11 4" xfId="42083" xr:uid="{00000000-0005-0000-0000-000041A30000}"/>
    <cellStyle name="Normal 4 2 2 11 5" xfId="42084" xr:uid="{00000000-0005-0000-0000-000042A30000}"/>
    <cellStyle name="Normal 4 2 2 11 6" xfId="42085" xr:uid="{00000000-0005-0000-0000-000043A30000}"/>
    <cellStyle name="Normal 4 2 2 12" xfId="42086" xr:uid="{00000000-0005-0000-0000-000044A30000}"/>
    <cellStyle name="Normal 4 2 2 12 2" xfId="42087" xr:uid="{00000000-0005-0000-0000-000045A30000}"/>
    <cellStyle name="Normal 4 2 2 12 3" xfId="42088" xr:uid="{00000000-0005-0000-0000-000046A30000}"/>
    <cellStyle name="Normal 4 2 2 13" xfId="42089" xr:uid="{00000000-0005-0000-0000-000047A30000}"/>
    <cellStyle name="Normal 4 2 2 14" xfId="42090" xr:uid="{00000000-0005-0000-0000-000048A30000}"/>
    <cellStyle name="Normal 4 2 2 15" xfId="42091" xr:uid="{00000000-0005-0000-0000-000049A30000}"/>
    <cellStyle name="Normal 4 2 2 16" xfId="42092" xr:uid="{00000000-0005-0000-0000-00004AA30000}"/>
    <cellStyle name="Normal 4 2 2 2" xfId="421" xr:uid="{00000000-0005-0000-0000-00004BA30000}"/>
    <cellStyle name="Normal 4 2 2 2 10" xfId="42093" xr:uid="{00000000-0005-0000-0000-00004CA30000}"/>
    <cellStyle name="Normal 4 2 2 2 10 2" xfId="42094" xr:uid="{00000000-0005-0000-0000-00004DA30000}"/>
    <cellStyle name="Normal 4 2 2 2 10 3" xfId="42095" xr:uid="{00000000-0005-0000-0000-00004EA30000}"/>
    <cellStyle name="Normal 4 2 2 2 11" xfId="42096" xr:uid="{00000000-0005-0000-0000-00004FA30000}"/>
    <cellStyle name="Normal 4 2 2 2 12" xfId="42097" xr:uid="{00000000-0005-0000-0000-000050A30000}"/>
    <cellStyle name="Normal 4 2 2 2 13" xfId="42098" xr:uid="{00000000-0005-0000-0000-000051A30000}"/>
    <cellStyle name="Normal 4 2 2 2 14" xfId="42099" xr:uid="{00000000-0005-0000-0000-000052A30000}"/>
    <cellStyle name="Normal 4 2 2 2 2" xfId="42100" xr:uid="{00000000-0005-0000-0000-000053A30000}"/>
    <cellStyle name="Normal 4 2 2 2 2 10" xfId="42101" xr:uid="{00000000-0005-0000-0000-000054A30000}"/>
    <cellStyle name="Normal 4 2 2 2 2 11" xfId="42102" xr:uid="{00000000-0005-0000-0000-000055A30000}"/>
    <cellStyle name="Normal 4 2 2 2 2 12" xfId="42103" xr:uid="{00000000-0005-0000-0000-000056A30000}"/>
    <cellStyle name="Normal 4 2 2 2 2 13" xfId="42104" xr:uid="{00000000-0005-0000-0000-000057A30000}"/>
    <cellStyle name="Normal 4 2 2 2 2 2" xfId="42105" xr:uid="{00000000-0005-0000-0000-000058A30000}"/>
    <cellStyle name="Normal 4 2 2 2 2 2 10" xfId="42106" xr:uid="{00000000-0005-0000-0000-000059A30000}"/>
    <cellStyle name="Normal 4 2 2 2 2 2 2" xfId="42107" xr:uid="{00000000-0005-0000-0000-00005AA30000}"/>
    <cellStyle name="Normal 4 2 2 2 2 2 2 2" xfId="42108" xr:uid="{00000000-0005-0000-0000-00005BA30000}"/>
    <cellStyle name="Normal 4 2 2 2 2 2 2 2 2" xfId="42109" xr:uid="{00000000-0005-0000-0000-00005CA30000}"/>
    <cellStyle name="Normal 4 2 2 2 2 2 2 2 2 2" xfId="42110" xr:uid="{00000000-0005-0000-0000-00005DA30000}"/>
    <cellStyle name="Normal 4 2 2 2 2 2 2 2 2 3" xfId="42111" xr:uid="{00000000-0005-0000-0000-00005EA30000}"/>
    <cellStyle name="Normal 4 2 2 2 2 2 2 2 3" xfId="42112" xr:uid="{00000000-0005-0000-0000-00005FA30000}"/>
    <cellStyle name="Normal 4 2 2 2 2 2 2 2 4" xfId="42113" xr:uid="{00000000-0005-0000-0000-000060A30000}"/>
    <cellStyle name="Normal 4 2 2 2 2 2 2 2 5" xfId="42114" xr:uid="{00000000-0005-0000-0000-000061A30000}"/>
    <cellStyle name="Normal 4 2 2 2 2 2 2 2 6" xfId="42115" xr:uid="{00000000-0005-0000-0000-000062A30000}"/>
    <cellStyle name="Normal 4 2 2 2 2 2 2 3" xfId="42116" xr:uid="{00000000-0005-0000-0000-000063A30000}"/>
    <cellStyle name="Normal 4 2 2 2 2 2 2 3 2" xfId="42117" xr:uid="{00000000-0005-0000-0000-000064A30000}"/>
    <cellStyle name="Normal 4 2 2 2 2 2 2 3 2 2" xfId="42118" xr:uid="{00000000-0005-0000-0000-000065A30000}"/>
    <cellStyle name="Normal 4 2 2 2 2 2 2 3 2 3" xfId="42119" xr:uid="{00000000-0005-0000-0000-000066A30000}"/>
    <cellStyle name="Normal 4 2 2 2 2 2 2 3 3" xfId="42120" xr:uid="{00000000-0005-0000-0000-000067A30000}"/>
    <cellStyle name="Normal 4 2 2 2 2 2 2 3 4" xfId="42121" xr:uid="{00000000-0005-0000-0000-000068A30000}"/>
    <cellStyle name="Normal 4 2 2 2 2 2 2 3 5" xfId="42122" xr:uid="{00000000-0005-0000-0000-000069A30000}"/>
    <cellStyle name="Normal 4 2 2 2 2 2 2 3 6" xfId="42123" xr:uid="{00000000-0005-0000-0000-00006AA30000}"/>
    <cellStyle name="Normal 4 2 2 2 2 2 2 4" xfId="42124" xr:uid="{00000000-0005-0000-0000-00006BA30000}"/>
    <cellStyle name="Normal 4 2 2 2 2 2 2 4 2" xfId="42125" xr:uid="{00000000-0005-0000-0000-00006CA30000}"/>
    <cellStyle name="Normal 4 2 2 2 2 2 2 4 3" xfId="42126" xr:uid="{00000000-0005-0000-0000-00006DA30000}"/>
    <cellStyle name="Normal 4 2 2 2 2 2 2 5" xfId="42127" xr:uid="{00000000-0005-0000-0000-00006EA30000}"/>
    <cellStyle name="Normal 4 2 2 2 2 2 2 6" xfId="42128" xr:uid="{00000000-0005-0000-0000-00006FA30000}"/>
    <cellStyle name="Normal 4 2 2 2 2 2 2 7" xfId="42129" xr:uid="{00000000-0005-0000-0000-000070A30000}"/>
    <cellStyle name="Normal 4 2 2 2 2 2 2 8" xfId="42130" xr:uid="{00000000-0005-0000-0000-000071A30000}"/>
    <cellStyle name="Normal 4 2 2 2 2 2 3" xfId="42131" xr:uid="{00000000-0005-0000-0000-000072A30000}"/>
    <cellStyle name="Normal 4 2 2 2 2 2 3 2" xfId="42132" xr:uid="{00000000-0005-0000-0000-000073A30000}"/>
    <cellStyle name="Normal 4 2 2 2 2 2 3 2 2" xfId="42133" xr:uid="{00000000-0005-0000-0000-000074A30000}"/>
    <cellStyle name="Normal 4 2 2 2 2 2 3 2 2 2" xfId="42134" xr:uid="{00000000-0005-0000-0000-000075A30000}"/>
    <cellStyle name="Normal 4 2 2 2 2 2 3 2 2 3" xfId="42135" xr:uid="{00000000-0005-0000-0000-000076A30000}"/>
    <cellStyle name="Normal 4 2 2 2 2 2 3 2 3" xfId="42136" xr:uid="{00000000-0005-0000-0000-000077A30000}"/>
    <cellStyle name="Normal 4 2 2 2 2 2 3 2 4" xfId="42137" xr:uid="{00000000-0005-0000-0000-000078A30000}"/>
    <cellStyle name="Normal 4 2 2 2 2 2 3 2 5" xfId="42138" xr:uid="{00000000-0005-0000-0000-000079A30000}"/>
    <cellStyle name="Normal 4 2 2 2 2 2 3 2 6" xfId="42139" xr:uid="{00000000-0005-0000-0000-00007AA30000}"/>
    <cellStyle name="Normal 4 2 2 2 2 2 3 3" xfId="42140" xr:uid="{00000000-0005-0000-0000-00007BA30000}"/>
    <cellStyle name="Normal 4 2 2 2 2 2 3 3 2" xfId="42141" xr:uid="{00000000-0005-0000-0000-00007CA30000}"/>
    <cellStyle name="Normal 4 2 2 2 2 2 3 3 3" xfId="42142" xr:uid="{00000000-0005-0000-0000-00007DA30000}"/>
    <cellStyle name="Normal 4 2 2 2 2 2 3 4" xfId="42143" xr:uid="{00000000-0005-0000-0000-00007EA30000}"/>
    <cellStyle name="Normal 4 2 2 2 2 2 3 5" xfId="42144" xr:uid="{00000000-0005-0000-0000-00007FA30000}"/>
    <cellStyle name="Normal 4 2 2 2 2 2 3 6" xfId="42145" xr:uid="{00000000-0005-0000-0000-000080A30000}"/>
    <cellStyle name="Normal 4 2 2 2 2 2 3 7" xfId="42146" xr:uid="{00000000-0005-0000-0000-000081A30000}"/>
    <cellStyle name="Normal 4 2 2 2 2 2 4" xfId="42147" xr:uid="{00000000-0005-0000-0000-000082A30000}"/>
    <cellStyle name="Normal 4 2 2 2 2 2 4 2" xfId="42148" xr:uid="{00000000-0005-0000-0000-000083A30000}"/>
    <cellStyle name="Normal 4 2 2 2 2 2 4 2 2" xfId="42149" xr:uid="{00000000-0005-0000-0000-000084A30000}"/>
    <cellStyle name="Normal 4 2 2 2 2 2 4 2 3" xfId="42150" xr:uid="{00000000-0005-0000-0000-000085A30000}"/>
    <cellStyle name="Normal 4 2 2 2 2 2 4 3" xfId="42151" xr:uid="{00000000-0005-0000-0000-000086A30000}"/>
    <cellStyle name="Normal 4 2 2 2 2 2 4 4" xfId="42152" xr:uid="{00000000-0005-0000-0000-000087A30000}"/>
    <cellStyle name="Normal 4 2 2 2 2 2 4 5" xfId="42153" xr:uid="{00000000-0005-0000-0000-000088A30000}"/>
    <cellStyle name="Normal 4 2 2 2 2 2 4 6" xfId="42154" xr:uid="{00000000-0005-0000-0000-000089A30000}"/>
    <cellStyle name="Normal 4 2 2 2 2 2 5" xfId="42155" xr:uid="{00000000-0005-0000-0000-00008AA30000}"/>
    <cellStyle name="Normal 4 2 2 2 2 2 5 2" xfId="42156" xr:uid="{00000000-0005-0000-0000-00008BA30000}"/>
    <cellStyle name="Normal 4 2 2 2 2 2 5 2 2" xfId="42157" xr:uid="{00000000-0005-0000-0000-00008CA30000}"/>
    <cellStyle name="Normal 4 2 2 2 2 2 5 2 3" xfId="42158" xr:uid="{00000000-0005-0000-0000-00008DA30000}"/>
    <cellStyle name="Normal 4 2 2 2 2 2 5 3" xfId="42159" xr:uid="{00000000-0005-0000-0000-00008EA30000}"/>
    <cellStyle name="Normal 4 2 2 2 2 2 5 4" xfId="42160" xr:uid="{00000000-0005-0000-0000-00008FA30000}"/>
    <cellStyle name="Normal 4 2 2 2 2 2 5 5" xfId="42161" xr:uid="{00000000-0005-0000-0000-000090A30000}"/>
    <cellStyle name="Normal 4 2 2 2 2 2 5 6" xfId="42162" xr:uid="{00000000-0005-0000-0000-000091A30000}"/>
    <cellStyle name="Normal 4 2 2 2 2 2 6" xfId="42163" xr:uid="{00000000-0005-0000-0000-000092A30000}"/>
    <cellStyle name="Normal 4 2 2 2 2 2 6 2" xfId="42164" xr:uid="{00000000-0005-0000-0000-000093A30000}"/>
    <cellStyle name="Normal 4 2 2 2 2 2 6 3" xfId="42165" xr:uid="{00000000-0005-0000-0000-000094A30000}"/>
    <cellStyle name="Normal 4 2 2 2 2 2 7" xfId="42166" xr:uid="{00000000-0005-0000-0000-000095A30000}"/>
    <cellStyle name="Normal 4 2 2 2 2 2 8" xfId="42167" xr:uid="{00000000-0005-0000-0000-000096A30000}"/>
    <cellStyle name="Normal 4 2 2 2 2 2 9" xfId="42168" xr:uid="{00000000-0005-0000-0000-000097A30000}"/>
    <cellStyle name="Normal 4 2 2 2 2 3" xfId="42169" xr:uid="{00000000-0005-0000-0000-000098A30000}"/>
    <cellStyle name="Normal 4 2 2 2 2 3 2" xfId="42170" xr:uid="{00000000-0005-0000-0000-000099A30000}"/>
    <cellStyle name="Normal 4 2 2 2 2 3 2 2" xfId="42171" xr:uid="{00000000-0005-0000-0000-00009AA30000}"/>
    <cellStyle name="Normal 4 2 2 2 2 3 2 2 2" xfId="42172" xr:uid="{00000000-0005-0000-0000-00009BA30000}"/>
    <cellStyle name="Normal 4 2 2 2 2 3 2 2 2 2" xfId="42173" xr:uid="{00000000-0005-0000-0000-00009CA30000}"/>
    <cellStyle name="Normal 4 2 2 2 2 3 2 2 2 3" xfId="42174" xr:uid="{00000000-0005-0000-0000-00009DA30000}"/>
    <cellStyle name="Normal 4 2 2 2 2 3 2 2 3" xfId="42175" xr:uid="{00000000-0005-0000-0000-00009EA30000}"/>
    <cellStyle name="Normal 4 2 2 2 2 3 2 2 4" xfId="42176" xr:uid="{00000000-0005-0000-0000-00009FA30000}"/>
    <cellStyle name="Normal 4 2 2 2 2 3 2 2 5" xfId="42177" xr:uid="{00000000-0005-0000-0000-0000A0A30000}"/>
    <cellStyle name="Normal 4 2 2 2 2 3 2 2 6" xfId="42178" xr:uid="{00000000-0005-0000-0000-0000A1A30000}"/>
    <cellStyle name="Normal 4 2 2 2 2 3 2 3" xfId="42179" xr:uid="{00000000-0005-0000-0000-0000A2A30000}"/>
    <cellStyle name="Normal 4 2 2 2 2 3 2 3 2" xfId="42180" xr:uid="{00000000-0005-0000-0000-0000A3A30000}"/>
    <cellStyle name="Normal 4 2 2 2 2 3 2 3 3" xfId="42181" xr:uid="{00000000-0005-0000-0000-0000A4A30000}"/>
    <cellStyle name="Normal 4 2 2 2 2 3 2 4" xfId="42182" xr:uid="{00000000-0005-0000-0000-0000A5A30000}"/>
    <cellStyle name="Normal 4 2 2 2 2 3 2 5" xfId="42183" xr:uid="{00000000-0005-0000-0000-0000A6A30000}"/>
    <cellStyle name="Normal 4 2 2 2 2 3 2 6" xfId="42184" xr:uid="{00000000-0005-0000-0000-0000A7A30000}"/>
    <cellStyle name="Normal 4 2 2 2 2 3 2 7" xfId="42185" xr:uid="{00000000-0005-0000-0000-0000A8A30000}"/>
    <cellStyle name="Normal 4 2 2 2 2 3 3" xfId="42186" xr:uid="{00000000-0005-0000-0000-0000A9A30000}"/>
    <cellStyle name="Normal 4 2 2 2 2 3 3 2" xfId="42187" xr:uid="{00000000-0005-0000-0000-0000AAA30000}"/>
    <cellStyle name="Normal 4 2 2 2 2 3 3 2 2" xfId="42188" xr:uid="{00000000-0005-0000-0000-0000ABA30000}"/>
    <cellStyle name="Normal 4 2 2 2 2 3 3 2 3" xfId="42189" xr:uid="{00000000-0005-0000-0000-0000ACA30000}"/>
    <cellStyle name="Normal 4 2 2 2 2 3 3 3" xfId="42190" xr:uid="{00000000-0005-0000-0000-0000ADA30000}"/>
    <cellStyle name="Normal 4 2 2 2 2 3 3 4" xfId="42191" xr:uid="{00000000-0005-0000-0000-0000AEA30000}"/>
    <cellStyle name="Normal 4 2 2 2 2 3 3 5" xfId="42192" xr:uid="{00000000-0005-0000-0000-0000AFA30000}"/>
    <cellStyle name="Normal 4 2 2 2 2 3 3 6" xfId="42193" xr:uid="{00000000-0005-0000-0000-0000B0A30000}"/>
    <cellStyle name="Normal 4 2 2 2 2 3 4" xfId="42194" xr:uid="{00000000-0005-0000-0000-0000B1A30000}"/>
    <cellStyle name="Normal 4 2 2 2 2 3 4 2" xfId="42195" xr:uid="{00000000-0005-0000-0000-0000B2A30000}"/>
    <cellStyle name="Normal 4 2 2 2 2 3 4 2 2" xfId="42196" xr:uid="{00000000-0005-0000-0000-0000B3A30000}"/>
    <cellStyle name="Normal 4 2 2 2 2 3 4 2 3" xfId="42197" xr:uid="{00000000-0005-0000-0000-0000B4A30000}"/>
    <cellStyle name="Normal 4 2 2 2 2 3 4 3" xfId="42198" xr:uid="{00000000-0005-0000-0000-0000B5A30000}"/>
    <cellStyle name="Normal 4 2 2 2 2 3 4 4" xfId="42199" xr:uid="{00000000-0005-0000-0000-0000B6A30000}"/>
    <cellStyle name="Normal 4 2 2 2 2 3 4 5" xfId="42200" xr:uid="{00000000-0005-0000-0000-0000B7A30000}"/>
    <cellStyle name="Normal 4 2 2 2 2 3 4 6" xfId="42201" xr:uid="{00000000-0005-0000-0000-0000B8A30000}"/>
    <cellStyle name="Normal 4 2 2 2 2 3 5" xfId="42202" xr:uid="{00000000-0005-0000-0000-0000B9A30000}"/>
    <cellStyle name="Normal 4 2 2 2 2 3 5 2" xfId="42203" xr:uid="{00000000-0005-0000-0000-0000BAA30000}"/>
    <cellStyle name="Normal 4 2 2 2 2 3 5 3" xfId="42204" xr:uid="{00000000-0005-0000-0000-0000BBA30000}"/>
    <cellStyle name="Normal 4 2 2 2 2 3 6" xfId="42205" xr:uid="{00000000-0005-0000-0000-0000BCA30000}"/>
    <cellStyle name="Normal 4 2 2 2 2 3 7" xfId="42206" xr:uid="{00000000-0005-0000-0000-0000BDA30000}"/>
    <cellStyle name="Normal 4 2 2 2 2 3 8" xfId="42207" xr:uid="{00000000-0005-0000-0000-0000BEA30000}"/>
    <cellStyle name="Normal 4 2 2 2 2 3 9" xfId="42208" xr:uid="{00000000-0005-0000-0000-0000BFA30000}"/>
    <cellStyle name="Normal 4 2 2 2 2 4" xfId="42209" xr:uid="{00000000-0005-0000-0000-0000C0A30000}"/>
    <cellStyle name="Normal 4 2 2 2 2 4 2" xfId="42210" xr:uid="{00000000-0005-0000-0000-0000C1A30000}"/>
    <cellStyle name="Normal 4 2 2 2 2 4 2 2" xfId="42211" xr:uid="{00000000-0005-0000-0000-0000C2A30000}"/>
    <cellStyle name="Normal 4 2 2 2 2 4 2 2 2" xfId="42212" xr:uid="{00000000-0005-0000-0000-0000C3A30000}"/>
    <cellStyle name="Normal 4 2 2 2 2 4 2 2 3" xfId="42213" xr:uid="{00000000-0005-0000-0000-0000C4A30000}"/>
    <cellStyle name="Normal 4 2 2 2 2 4 2 3" xfId="42214" xr:uid="{00000000-0005-0000-0000-0000C5A30000}"/>
    <cellStyle name="Normal 4 2 2 2 2 4 2 4" xfId="42215" xr:uid="{00000000-0005-0000-0000-0000C6A30000}"/>
    <cellStyle name="Normal 4 2 2 2 2 4 2 5" xfId="42216" xr:uid="{00000000-0005-0000-0000-0000C7A30000}"/>
    <cellStyle name="Normal 4 2 2 2 2 4 2 6" xfId="42217" xr:uid="{00000000-0005-0000-0000-0000C8A30000}"/>
    <cellStyle name="Normal 4 2 2 2 2 4 3" xfId="42218" xr:uid="{00000000-0005-0000-0000-0000C9A30000}"/>
    <cellStyle name="Normal 4 2 2 2 2 4 3 2" xfId="42219" xr:uid="{00000000-0005-0000-0000-0000CAA30000}"/>
    <cellStyle name="Normal 4 2 2 2 2 4 3 3" xfId="42220" xr:uid="{00000000-0005-0000-0000-0000CBA30000}"/>
    <cellStyle name="Normal 4 2 2 2 2 4 4" xfId="42221" xr:uid="{00000000-0005-0000-0000-0000CCA30000}"/>
    <cellStyle name="Normal 4 2 2 2 2 4 5" xfId="42222" xr:uid="{00000000-0005-0000-0000-0000CDA30000}"/>
    <cellStyle name="Normal 4 2 2 2 2 4 6" xfId="42223" xr:uid="{00000000-0005-0000-0000-0000CEA30000}"/>
    <cellStyle name="Normal 4 2 2 2 2 4 7" xfId="42224" xr:uid="{00000000-0005-0000-0000-0000CFA30000}"/>
    <cellStyle name="Normal 4 2 2 2 2 5" xfId="42225" xr:uid="{00000000-0005-0000-0000-0000D0A30000}"/>
    <cellStyle name="Normal 4 2 2 2 2 5 2" xfId="42226" xr:uid="{00000000-0005-0000-0000-0000D1A30000}"/>
    <cellStyle name="Normal 4 2 2 2 2 5 2 2" xfId="42227" xr:uid="{00000000-0005-0000-0000-0000D2A30000}"/>
    <cellStyle name="Normal 4 2 2 2 2 5 2 3" xfId="42228" xr:uid="{00000000-0005-0000-0000-0000D3A30000}"/>
    <cellStyle name="Normal 4 2 2 2 2 5 3" xfId="42229" xr:uid="{00000000-0005-0000-0000-0000D4A30000}"/>
    <cellStyle name="Normal 4 2 2 2 2 5 4" xfId="42230" xr:uid="{00000000-0005-0000-0000-0000D5A30000}"/>
    <cellStyle name="Normal 4 2 2 2 2 5 5" xfId="42231" xr:uid="{00000000-0005-0000-0000-0000D6A30000}"/>
    <cellStyle name="Normal 4 2 2 2 2 5 6" xfId="42232" xr:uid="{00000000-0005-0000-0000-0000D7A30000}"/>
    <cellStyle name="Normal 4 2 2 2 2 6" xfId="42233" xr:uid="{00000000-0005-0000-0000-0000D8A30000}"/>
    <cellStyle name="Normal 4 2 2 2 2 6 2" xfId="42234" xr:uid="{00000000-0005-0000-0000-0000D9A30000}"/>
    <cellStyle name="Normal 4 2 2 2 2 6 2 2" xfId="42235" xr:uid="{00000000-0005-0000-0000-0000DAA30000}"/>
    <cellStyle name="Normal 4 2 2 2 2 6 2 3" xfId="42236" xr:uid="{00000000-0005-0000-0000-0000DBA30000}"/>
    <cellStyle name="Normal 4 2 2 2 2 6 3" xfId="42237" xr:uid="{00000000-0005-0000-0000-0000DCA30000}"/>
    <cellStyle name="Normal 4 2 2 2 2 6 4" xfId="42238" xr:uid="{00000000-0005-0000-0000-0000DDA30000}"/>
    <cellStyle name="Normal 4 2 2 2 2 6 5" xfId="42239" xr:uid="{00000000-0005-0000-0000-0000DEA30000}"/>
    <cellStyle name="Normal 4 2 2 2 2 6 6" xfId="42240" xr:uid="{00000000-0005-0000-0000-0000DFA30000}"/>
    <cellStyle name="Normal 4 2 2 2 2 7" xfId="42241" xr:uid="{00000000-0005-0000-0000-0000E0A30000}"/>
    <cellStyle name="Normal 4 2 2 2 2 7 2" xfId="42242" xr:uid="{00000000-0005-0000-0000-0000E1A30000}"/>
    <cellStyle name="Normal 4 2 2 2 2 7 2 2" xfId="42243" xr:uid="{00000000-0005-0000-0000-0000E2A30000}"/>
    <cellStyle name="Normal 4 2 2 2 2 7 2 3" xfId="42244" xr:uid="{00000000-0005-0000-0000-0000E3A30000}"/>
    <cellStyle name="Normal 4 2 2 2 2 7 3" xfId="42245" xr:uid="{00000000-0005-0000-0000-0000E4A30000}"/>
    <cellStyle name="Normal 4 2 2 2 2 7 4" xfId="42246" xr:uid="{00000000-0005-0000-0000-0000E5A30000}"/>
    <cellStyle name="Normal 4 2 2 2 2 7 5" xfId="42247" xr:uid="{00000000-0005-0000-0000-0000E6A30000}"/>
    <cellStyle name="Normal 4 2 2 2 2 7 6" xfId="42248" xr:uid="{00000000-0005-0000-0000-0000E7A30000}"/>
    <cellStyle name="Normal 4 2 2 2 2 8" xfId="42249" xr:uid="{00000000-0005-0000-0000-0000E8A30000}"/>
    <cellStyle name="Normal 4 2 2 2 2 8 2" xfId="42250" xr:uid="{00000000-0005-0000-0000-0000E9A30000}"/>
    <cellStyle name="Normal 4 2 2 2 2 8 2 2" xfId="42251" xr:uid="{00000000-0005-0000-0000-0000EAA30000}"/>
    <cellStyle name="Normal 4 2 2 2 2 8 2 3" xfId="42252" xr:uid="{00000000-0005-0000-0000-0000EBA30000}"/>
    <cellStyle name="Normal 4 2 2 2 2 8 3" xfId="42253" xr:uid="{00000000-0005-0000-0000-0000ECA30000}"/>
    <cellStyle name="Normal 4 2 2 2 2 8 4" xfId="42254" xr:uid="{00000000-0005-0000-0000-0000EDA30000}"/>
    <cellStyle name="Normal 4 2 2 2 2 8 5" xfId="42255" xr:uid="{00000000-0005-0000-0000-0000EEA30000}"/>
    <cellStyle name="Normal 4 2 2 2 2 8 6" xfId="42256" xr:uid="{00000000-0005-0000-0000-0000EFA30000}"/>
    <cellStyle name="Normal 4 2 2 2 2 9" xfId="42257" xr:uid="{00000000-0005-0000-0000-0000F0A30000}"/>
    <cellStyle name="Normal 4 2 2 2 2 9 2" xfId="42258" xr:uid="{00000000-0005-0000-0000-0000F1A30000}"/>
    <cellStyle name="Normal 4 2 2 2 2 9 3" xfId="42259" xr:uid="{00000000-0005-0000-0000-0000F2A30000}"/>
    <cellStyle name="Normal 4 2 2 2 3" xfId="42260" xr:uid="{00000000-0005-0000-0000-0000F3A30000}"/>
    <cellStyle name="Normal 4 2 2 2 3 10" xfId="42261" xr:uid="{00000000-0005-0000-0000-0000F4A30000}"/>
    <cellStyle name="Normal 4 2 2 2 3 2" xfId="42262" xr:uid="{00000000-0005-0000-0000-0000F5A30000}"/>
    <cellStyle name="Normal 4 2 2 2 3 2 2" xfId="42263" xr:uid="{00000000-0005-0000-0000-0000F6A30000}"/>
    <cellStyle name="Normal 4 2 2 2 3 2 2 2" xfId="42264" xr:uid="{00000000-0005-0000-0000-0000F7A30000}"/>
    <cellStyle name="Normal 4 2 2 2 3 2 2 2 2" xfId="42265" xr:uid="{00000000-0005-0000-0000-0000F8A30000}"/>
    <cellStyle name="Normal 4 2 2 2 3 2 2 2 3" xfId="42266" xr:uid="{00000000-0005-0000-0000-0000F9A30000}"/>
    <cellStyle name="Normal 4 2 2 2 3 2 2 3" xfId="42267" xr:uid="{00000000-0005-0000-0000-0000FAA30000}"/>
    <cellStyle name="Normal 4 2 2 2 3 2 2 4" xfId="42268" xr:uid="{00000000-0005-0000-0000-0000FBA30000}"/>
    <cellStyle name="Normal 4 2 2 2 3 2 2 5" xfId="42269" xr:uid="{00000000-0005-0000-0000-0000FCA30000}"/>
    <cellStyle name="Normal 4 2 2 2 3 2 2 6" xfId="42270" xr:uid="{00000000-0005-0000-0000-0000FDA30000}"/>
    <cellStyle name="Normal 4 2 2 2 3 2 3" xfId="42271" xr:uid="{00000000-0005-0000-0000-0000FEA30000}"/>
    <cellStyle name="Normal 4 2 2 2 3 2 3 2" xfId="42272" xr:uid="{00000000-0005-0000-0000-0000FFA30000}"/>
    <cellStyle name="Normal 4 2 2 2 3 2 3 2 2" xfId="42273" xr:uid="{00000000-0005-0000-0000-000000A40000}"/>
    <cellStyle name="Normal 4 2 2 2 3 2 3 2 3" xfId="42274" xr:uid="{00000000-0005-0000-0000-000001A40000}"/>
    <cellStyle name="Normal 4 2 2 2 3 2 3 3" xfId="42275" xr:uid="{00000000-0005-0000-0000-000002A40000}"/>
    <cellStyle name="Normal 4 2 2 2 3 2 3 4" xfId="42276" xr:uid="{00000000-0005-0000-0000-000003A40000}"/>
    <cellStyle name="Normal 4 2 2 2 3 2 3 5" xfId="42277" xr:uid="{00000000-0005-0000-0000-000004A40000}"/>
    <cellStyle name="Normal 4 2 2 2 3 2 3 6" xfId="42278" xr:uid="{00000000-0005-0000-0000-000005A40000}"/>
    <cellStyle name="Normal 4 2 2 2 3 2 4" xfId="42279" xr:uid="{00000000-0005-0000-0000-000006A40000}"/>
    <cellStyle name="Normal 4 2 2 2 3 2 4 2" xfId="42280" xr:uid="{00000000-0005-0000-0000-000007A40000}"/>
    <cellStyle name="Normal 4 2 2 2 3 2 4 3" xfId="42281" xr:uid="{00000000-0005-0000-0000-000008A40000}"/>
    <cellStyle name="Normal 4 2 2 2 3 2 5" xfId="42282" xr:uid="{00000000-0005-0000-0000-000009A40000}"/>
    <cellStyle name="Normal 4 2 2 2 3 2 6" xfId="42283" xr:uid="{00000000-0005-0000-0000-00000AA40000}"/>
    <cellStyle name="Normal 4 2 2 2 3 2 7" xfId="42284" xr:uid="{00000000-0005-0000-0000-00000BA40000}"/>
    <cellStyle name="Normal 4 2 2 2 3 2 8" xfId="42285" xr:uid="{00000000-0005-0000-0000-00000CA40000}"/>
    <cellStyle name="Normal 4 2 2 2 3 3" xfId="42286" xr:uid="{00000000-0005-0000-0000-00000DA40000}"/>
    <cellStyle name="Normal 4 2 2 2 3 3 2" xfId="42287" xr:uid="{00000000-0005-0000-0000-00000EA40000}"/>
    <cellStyle name="Normal 4 2 2 2 3 3 2 2" xfId="42288" xr:uid="{00000000-0005-0000-0000-00000FA40000}"/>
    <cellStyle name="Normal 4 2 2 2 3 3 2 2 2" xfId="42289" xr:uid="{00000000-0005-0000-0000-000010A40000}"/>
    <cellStyle name="Normal 4 2 2 2 3 3 2 2 3" xfId="42290" xr:uid="{00000000-0005-0000-0000-000011A40000}"/>
    <cellStyle name="Normal 4 2 2 2 3 3 2 3" xfId="42291" xr:uid="{00000000-0005-0000-0000-000012A40000}"/>
    <cellStyle name="Normal 4 2 2 2 3 3 2 4" xfId="42292" xr:uid="{00000000-0005-0000-0000-000013A40000}"/>
    <cellStyle name="Normal 4 2 2 2 3 3 2 5" xfId="42293" xr:uid="{00000000-0005-0000-0000-000014A40000}"/>
    <cellStyle name="Normal 4 2 2 2 3 3 2 6" xfId="42294" xr:uid="{00000000-0005-0000-0000-000015A40000}"/>
    <cellStyle name="Normal 4 2 2 2 3 3 3" xfId="42295" xr:uid="{00000000-0005-0000-0000-000016A40000}"/>
    <cellStyle name="Normal 4 2 2 2 3 3 3 2" xfId="42296" xr:uid="{00000000-0005-0000-0000-000017A40000}"/>
    <cellStyle name="Normal 4 2 2 2 3 3 3 3" xfId="42297" xr:uid="{00000000-0005-0000-0000-000018A40000}"/>
    <cellStyle name="Normal 4 2 2 2 3 3 4" xfId="42298" xr:uid="{00000000-0005-0000-0000-000019A40000}"/>
    <cellStyle name="Normal 4 2 2 2 3 3 5" xfId="42299" xr:uid="{00000000-0005-0000-0000-00001AA40000}"/>
    <cellStyle name="Normal 4 2 2 2 3 3 6" xfId="42300" xr:uid="{00000000-0005-0000-0000-00001BA40000}"/>
    <cellStyle name="Normal 4 2 2 2 3 3 7" xfId="42301" xr:uid="{00000000-0005-0000-0000-00001CA40000}"/>
    <cellStyle name="Normal 4 2 2 2 3 4" xfId="42302" xr:uid="{00000000-0005-0000-0000-00001DA40000}"/>
    <cellStyle name="Normal 4 2 2 2 3 4 2" xfId="42303" xr:uid="{00000000-0005-0000-0000-00001EA40000}"/>
    <cellStyle name="Normal 4 2 2 2 3 4 2 2" xfId="42304" xr:uid="{00000000-0005-0000-0000-00001FA40000}"/>
    <cellStyle name="Normal 4 2 2 2 3 4 2 3" xfId="42305" xr:uid="{00000000-0005-0000-0000-000020A40000}"/>
    <cellStyle name="Normal 4 2 2 2 3 4 3" xfId="42306" xr:uid="{00000000-0005-0000-0000-000021A40000}"/>
    <cellStyle name="Normal 4 2 2 2 3 4 4" xfId="42307" xr:uid="{00000000-0005-0000-0000-000022A40000}"/>
    <cellStyle name="Normal 4 2 2 2 3 4 5" xfId="42308" xr:uid="{00000000-0005-0000-0000-000023A40000}"/>
    <cellStyle name="Normal 4 2 2 2 3 4 6" xfId="42309" xr:uid="{00000000-0005-0000-0000-000024A40000}"/>
    <cellStyle name="Normal 4 2 2 2 3 5" xfId="42310" xr:uid="{00000000-0005-0000-0000-000025A40000}"/>
    <cellStyle name="Normal 4 2 2 2 3 5 2" xfId="42311" xr:uid="{00000000-0005-0000-0000-000026A40000}"/>
    <cellStyle name="Normal 4 2 2 2 3 5 2 2" xfId="42312" xr:uid="{00000000-0005-0000-0000-000027A40000}"/>
    <cellStyle name="Normal 4 2 2 2 3 5 2 3" xfId="42313" xr:uid="{00000000-0005-0000-0000-000028A40000}"/>
    <cellStyle name="Normal 4 2 2 2 3 5 3" xfId="42314" xr:uid="{00000000-0005-0000-0000-000029A40000}"/>
    <cellStyle name="Normal 4 2 2 2 3 5 4" xfId="42315" xr:uid="{00000000-0005-0000-0000-00002AA40000}"/>
    <cellStyle name="Normal 4 2 2 2 3 5 5" xfId="42316" xr:uid="{00000000-0005-0000-0000-00002BA40000}"/>
    <cellStyle name="Normal 4 2 2 2 3 5 6" xfId="42317" xr:uid="{00000000-0005-0000-0000-00002CA40000}"/>
    <cellStyle name="Normal 4 2 2 2 3 6" xfId="42318" xr:uid="{00000000-0005-0000-0000-00002DA40000}"/>
    <cellStyle name="Normal 4 2 2 2 3 6 2" xfId="42319" xr:uid="{00000000-0005-0000-0000-00002EA40000}"/>
    <cellStyle name="Normal 4 2 2 2 3 6 3" xfId="42320" xr:uid="{00000000-0005-0000-0000-00002FA40000}"/>
    <cellStyle name="Normal 4 2 2 2 3 7" xfId="42321" xr:uid="{00000000-0005-0000-0000-000030A40000}"/>
    <cellStyle name="Normal 4 2 2 2 3 8" xfId="42322" xr:uid="{00000000-0005-0000-0000-000031A40000}"/>
    <cellStyle name="Normal 4 2 2 2 3 9" xfId="42323" xr:uid="{00000000-0005-0000-0000-000032A40000}"/>
    <cellStyle name="Normal 4 2 2 2 4" xfId="42324" xr:uid="{00000000-0005-0000-0000-000033A40000}"/>
    <cellStyle name="Normal 4 2 2 2 4 2" xfId="42325" xr:uid="{00000000-0005-0000-0000-000034A40000}"/>
    <cellStyle name="Normal 4 2 2 2 4 2 2" xfId="42326" xr:uid="{00000000-0005-0000-0000-000035A40000}"/>
    <cellStyle name="Normal 4 2 2 2 4 2 2 2" xfId="42327" xr:uid="{00000000-0005-0000-0000-000036A40000}"/>
    <cellStyle name="Normal 4 2 2 2 4 2 2 2 2" xfId="42328" xr:uid="{00000000-0005-0000-0000-000037A40000}"/>
    <cellStyle name="Normal 4 2 2 2 4 2 2 2 3" xfId="42329" xr:uid="{00000000-0005-0000-0000-000038A40000}"/>
    <cellStyle name="Normal 4 2 2 2 4 2 2 3" xfId="42330" xr:uid="{00000000-0005-0000-0000-000039A40000}"/>
    <cellStyle name="Normal 4 2 2 2 4 2 2 4" xfId="42331" xr:uid="{00000000-0005-0000-0000-00003AA40000}"/>
    <cellStyle name="Normal 4 2 2 2 4 2 2 5" xfId="42332" xr:uid="{00000000-0005-0000-0000-00003BA40000}"/>
    <cellStyle name="Normal 4 2 2 2 4 2 2 6" xfId="42333" xr:uid="{00000000-0005-0000-0000-00003CA40000}"/>
    <cellStyle name="Normal 4 2 2 2 4 2 3" xfId="42334" xr:uid="{00000000-0005-0000-0000-00003DA40000}"/>
    <cellStyle name="Normal 4 2 2 2 4 2 3 2" xfId="42335" xr:uid="{00000000-0005-0000-0000-00003EA40000}"/>
    <cellStyle name="Normal 4 2 2 2 4 2 3 3" xfId="42336" xr:uid="{00000000-0005-0000-0000-00003FA40000}"/>
    <cellStyle name="Normal 4 2 2 2 4 2 4" xfId="42337" xr:uid="{00000000-0005-0000-0000-000040A40000}"/>
    <cellStyle name="Normal 4 2 2 2 4 2 5" xfId="42338" xr:uid="{00000000-0005-0000-0000-000041A40000}"/>
    <cellStyle name="Normal 4 2 2 2 4 2 6" xfId="42339" xr:uid="{00000000-0005-0000-0000-000042A40000}"/>
    <cellStyle name="Normal 4 2 2 2 4 2 7" xfId="42340" xr:uid="{00000000-0005-0000-0000-000043A40000}"/>
    <cellStyle name="Normal 4 2 2 2 4 3" xfId="42341" xr:uid="{00000000-0005-0000-0000-000044A40000}"/>
    <cellStyle name="Normal 4 2 2 2 4 3 2" xfId="42342" xr:uid="{00000000-0005-0000-0000-000045A40000}"/>
    <cellStyle name="Normal 4 2 2 2 4 3 2 2" xfId="42343" xr:uid="{00000000-0005-0000-0000-000046A40000}"/>
    <cellStyle name="Normal 4 2 2 2 4 3 2 3" xfId="42344" xr:uid="{00000000-0005-0000-0000-000047A40000}"/>
    <cellStyle name="Normal 4 2 2 2 4 3 3" xfId="42345" xr:uid="{00000000-0005-0000-0000-000048A40000}"/>
    <cellStyle name="Normal 4 2 2 2 4 3 4" xfId="42346" xr:uid="{00000000-0005-0000-0000-000049A40000}"/>
    <cellStyle name="Normal 4 2 2 2 4 3 5" xfId="42347" xr:uid="{00000000-0005-0000-0000-00004AA40000}"/>
    <cellStyle name="Normal 4 2 2 2 4 3 6" xfId="42348" xr:uid="{00000000-0005-0000-0000-00004BA40000}"/>
    <cellStyle name="Normal 4 2 2 2 4 4" xfId="42349" xr:uid="{00000000-0005-0000-0000-00004CA40000}"/>
    <cellStyle name="Normal 4 2 2 2 4 4 2" xfId="42350" xr:uid="{00000000-0005-0000-0000-00004DA40000}"/>
    <cellStyle name="Normal 4 2 2 2 4 4 2 2" xfId="42351" xr:uid="{00000000-0005-0000-0000-00004EA40000}"/>
    <cellStyle name="Normal 4 2 2 2 4 4 2 3" xfId="42352" xr:uid="{00000000-0005-0000-0000-00004FA40000}"/>
    <cellStyle name="Normal 4 2 2 2 4 4 3" xfId="42353" xr:uid="{00000000-0005-0000-0000-000050A40000}"/>
    <cellStyle name="Normal 4 2 2 2 4 4 4" xfId="42354" xr:uid="{00000000-0005-0000-0000-000051A40000}"/>
    <cellStyle name="Normal 4 2 2 2 4 4 5" xfId="42355" xr:uid="{00000000-0005-0000-0000-000052A40000}"/>
    <cellStyle name="Normal 4 2 2 2 4 4 6" xfId="42356" xr:uid="{00000000-0005-0000-0000-000053A40000}"/>
    <cellStyle name="Normal 4 2 2 2 4 5" xfId="42357" xr:uid="{00000000-0005-0000-0000-000054A40000}"/>
    <cellStyle name="Normal 4 2 2 2 4 5 2" xfId="42358" xr:uid="{00000000-0005-0000-0000-000055A40000}"/>
    <cellStyle name="Normal 4 2 2 2 4 5 3" xfId="42359" xr:uid="{00000000-0005-0000-0000-000056A40000}"/>
    <cellStyle name="Normal 4 2 2 2 4 6" xfId="42360" xr:uid="{00000000-0005-0000-0000-000057A40000}"/>
    <cellStyle name="Normal 4 2 2 2 4 7" xfId="42361" xr:uid="{00000000-0005-0000-0000-000058A40000}"/>
    <cellStyle name="Normal 4 2 2 2 4 8" xfId="42362" xr:uid="{00000000-0005-0000-0000-000059A40000}"/>
    <cellStyle name="Normal 4 2 2 2 4 9" xfId="42363" xr:uid="{00000000-0005-0000-0000-00005AA40000}"/>
    <cellStyle name="Normal 4 2 2 2 5" xfId="42364" xr:uid="{00000000-0005-0000-0000-00005BA40000}"/>
    <cellStyle name="Normal 4 2 2 2 5 2" xfId="42365" xr:uid="{00000000-0005-0000-0000-00005CA40000}"/>
    <cellStyle name="Normal 4 2 2 2 5 2 2" xfId="42366" xr:uid="{00000000-0005-0000-0000-00005DA40000}"/>
    <cellStyle name="Normal 4 2 2 2 5 2 2 2" xfId="42367" xr:uid="{00000000-0005-0000-0000-00005EA40000}"/>
    <cellStyle name="Normal 4 2 2 2 5 2 2 3" xfId="42368" xr:uid="{00000000-0005-0000-0000-00005FA40000}"/>
    <cellStyle name="Normal 4 2 2 2 5 2 3" xfId="42369" xr:uid="{00000000-0005-0000-0000-000060A40000}"/>
    <cellStyle name="Normal 4 2 2 2 5 2 4" xfId="42370" xr:uid="{00000000-0005-0000-0000-000061A40000}"/>
    <cellStyle name="Normal 4 2 2 2 5 2 5" xfId="42371" xr:uid="{00000000-0005-0000-0000-000062A40000}"/>
    <cellStyle name="Normal 4 2 2 2 5 2 6" xfId="42372" xr:uid="{00000000-0005-0000-0000-000063A40000}"/>
    <cellStyle name="Normal 4 2 2 2 5 3" xfId="42373" xr:uid="{00000000-0005-0000-0000-000064A40000}"/>
    <cellStyle name="Normal 4 2 2 2 5 3 2" xfId="42374" xr:uid="{00000000-0005-0000-0000-000065A40000}"/>
    <cellStyle name="Normal 4 2 2 2 5 3 3" xfId="42375" xr:uid="{00000000-0005-0000-0000-000066A40000}"/>
    <cellStyle name="Normal 4 2 2 2 5 4" xfId="42376" xr:uid="{00000000-0005-0000-0000-000067A40000}"/>
    <cellStyle name="Normal 4 2 2 2 5 5" xfId="42377" xr:uid="{00000000-0005-0000-0000-000068A40000}"/>
    <cellStyle name="Normal 4 2 2 2 5 6" xfId="42378" xr:uid="{00000000-0005-0000-0000-000069A40000}"/>
    <cellStyle name="Normal 4 2 2 2 5 7" xfId="42379" xr:uid="{00000000-0005-0000-0000-00006AA40000}"/>
    <cellStyle name="Normal 4 2 2 2 6" xfId="42380" xr:uid="{00000000-0005-0000-0000-00006BA40000}"/>
    <cellStyle name="Normal 4 2 2 2 6 2" xfId="42381" xr:uid="{00000000-0005-0000-0000-00006CA40000}"/>
    <cellStyle name="Normal 4 2 2 2 6 2 2" xfId="42382" xr:uid="{00000000-0005-0000-0000-00006DA40000}"/>
    <cellStyle name="Normal 4 2 2 2 6 2 3" xfId="42383" xr:uid="{00000000-0005-0000-0000-00006EA40000}"/>
    <cellStyle name="Normal 4 2 2 2 6 3" xfId="42384" xr:uid="{00000000-0005-0000-0000-00006FA40000}"/>
    <cellStyle name="Normal 4 2 2 2 6 4" xfId="42385" xr:uid="{00000000-0005-0000-0000-000070A40000}"/>
    <cellStyle name="Normal 4 2 2 2 6 5" xfId="42386" xr:uid="{00000000-0005-0000-0000-000071A40000}"/>
    <cellStyle name="Normal 4 2 2 2 6 6" xfId="42387" xr:uid="{00000000-0005-0000-0000-000072A40000}"/>
    <cellStyle name="Normal 4 2 2 2 7" xfId="42388" xr:uid="{00000000-0005-0000-0000-000073A40000}"/>
    <cellStyle name="Normal 4 2 2 2 7 2" xfId="42389" xr:uid="{00000000-0005-0000-0000-000074A40000}"/>
    <cellStyle name="Normal 4 2 2 2 7 2 2" xfId="42390" xr:uid="{00000000-0005-0000-0000-000075A40000}"/>
    <cellStyle name="Normal 4 2 2 2 7 2 3" xfId="42391" xr:uid="{00000000-0005-0000-0000-000076A40000}"/>
    <cellStyle name="Normal 4 2 2 2 7 3" xfId="42392" xr:uid="{00000000-0005-0000-0000-000077A40000}"/>
    <cellStyle name="Normal 4 2 2 2 7 4" xfId="42393" xr:uid="{00000000-0005-0000-0000-000078A40000}"/>
    <cellStyle name="Normal 4 2 2 2 7 5" xfId="42394" xr:uid="{00000000-0005-0000-0000-000079A40000}"/>
    <cellStyle name="Normal 4 2 2 2 7 6" xfId="42395" xr:uid="{00000000-0005-0000-0000-00007AA40000}"/>
    <cellStyle name="Normal 4 2 2 2 8" xfId="42396" xr:uid="{00000000-0005-0000-0000-00007BA40000}"/>
    <cellStyle name="Normal 4 2 2 2 8 2" xfId="42397" xr:uid="{00000000-0005-0000-0000-00007CA40000}"/>
    <cellStyle name="Normal 4 2 2 2 8 2 2" xfId="42398" xr:uid="{00000000-0005-0000-0000-00007DA40000}"/>
    <cellStyle name="Normal 4 2 2 2 8 2 3" xfId="42399" xr:uid="{00000000-0005-0000-0000-00007EA40000}"/>
    <cellStyle name="Normal 4 2 2 2 8 3" xfId="42400" xr:uid="{00000000-0005-0000-0000-00007FA40000}"/>
    <cellStyle name="Normal 4 2 2 2 8 4" xfId="42401" xr:uid="{00000000-0005-0000-0000-000080A40000}"/>
    <cellStyle name="Normal 4 2 2 2 8 5" xfId="42402" xr:uid="{00000000-0005-0000-0000-000081A40000}"/>
    <cellStyle name="Normal 4 2 2 2 8 6" xfId="42403" xr:uid="{00000000-0005-0000-0000-000082A40000}"/>
    <cellStyle name="Normal 4 2 2 2 9" xfId="42404" xr:uid="{00000000-0005-0000-0000-000083A40000}"/>
    <cellStyle name="Normal 4 2 2 2 9 2" xfId="42405" xr:uid="{00000000-0005-0000-0000-000084A40000}"/>
    <cellStyle name="Normal 4 2 2 2 9 2 2" xfId="42406" xr:uid="{00000000-0005-0000-0000-000085A40000}"/>
    <cellStyle name="Normal 4 2 2 2 9 2 3" xfId="42407" xr:uid="{00000000-0005-0000-0000-000086A40000}"/>
    <cellStyle name="Normal 4 2 2 2 9 3" xfId="42408" xr:uid="{00000000-0005-0000-0000-000087A40000}"/>
    <cellStyle name="Normal 4 2 2 2 9 4" xfId="42409" xr:uid="{00000000-0005-0000-0000-000088A40000}"/>
    <cellStyle name="Normal 4 2 2 2 9 5" xfId="42410" xr:uid="{00000000-0005-0000-0000-000089A40000}"/>
    <cellStyle name="Normal 4 2 2 2 9 6" xfId="42411" xr:uid="{00000000-0005-0000-0000-00008AA40000}"/>
    <cellStyle name="Normal 4 2 2 3" xfId="422" xr:uid="{00000000-0005-0000-0000-00008BA40000}"/>
    <cellStyle name="Normal 4 2 2 3 10" xfId="42412" xr:uid="{00000000-0005-0000-0000-00008CA40000}"/>
    <cellStyle name="Normal 4 2 2 3 10 2" xfId="42413" xr:uid="{00000000-0005-0000-0000-00008DA40000}"/>
    <cellStyle name="Normal 4 2 2 3 10 3" xfId="42414" xr:uid="{00000000-0005-0000-0000-00008EA40000}"/>
    <cellStyle name="Normal 4 2 2 3 11" xfId="42415" xr:uid="{00000000-0005-0000-0000-00008FA40000}"/>
    <cellStyle name="Normal 4 2 2 3 12" xfId="42416" xr:uid="{00000000-0005-0000-0000-000090A40000}"/>
    <cellStyle name="Normal 4 2 2 3 13" xfId="42417" xr:uid="{00000000-0005-0000-0000-000091A40000}"/>
    <cellStyle name="Normal 4 2 2 3 14" xfId="42418" xr:uid="{00000000-0005-0000-0000-000092A40000}"/>
    <cellStyle name="Normal 4 2 2 3 2" xfId="42419" xr:uid="{00000000-0005-0000-0000-000093A40000}"/>
    <cellStyle name="Normal 4 2 2 3 2 10" xfId="42420" xr:uid="{00000000-0005-0000-0000-000094A40000}"/>
    <cellStyle name="Normal 4 2 2 3 2 11" xfId="42421" xr:uid="{00000000-0005-0000-0000-000095A40000}"/>
    <cellStyle name="Normal 4 2 2 3 2 12" xfId="42422" xr:uid="{00000000-0005-0000-0000-000096A40000}"/>
    <cellStyle name="Normal 4 2 2 3 2 13" xfId="42423" xr:uid="{00000000-0005-0000-0000-000097A40000}"/>
    <cellStyle name="Normal 4 2 2 3 2 2" xfId="42424" xr:uid="{00000000-0005-0000-0000-000098A40000}"/>
    <cellStyle name="Normal 4 2 2 3 2 2 10" xfId="42425" xr:uid="{00000000-0005-0000-0000-000099A40000}"/>
    <cellStyle name="Normal 4 2 2 3 2 2 2" xfId="42426" xr:uid="{00000000-0005-0000-0000-00009AA40000}"/>
    <cellStyle name="Normal 4 2 2 3 2 2 2 2" xfId="42427" xr:uid="{00000000-0005-0000-0000-00009BA40000}"/>
    <cellStyle name="Normal 4 2 2 3 2 2 2 2 2" xfId="42428" xr:uid="{00000000-0005-0000-0000-00009CA40000}"/>
    <cellStyle name="Normal 4 2 2 3 2 2 2 2 2 2" xfId="42429" xr:uid="{00000000-0005-0000-0000-00009DA40000}"/>
    <cellStyle name="Normal 4 2 2 3 2 2 2 2 2 3" xfId="42430" xr:uid="{00000000-0005-0000-0000-00009EA40000}"/>
    <cellStyle name="Normal 4 2 2 3 2 2 2 2 3" xfId="42431" xr:uid="{00000000-0005-0000-0000-00009FA40000}"/>
    <cellStyle name="Normal 4 2 2 3 2 2 2 2 4" xfId="42432" xr:uid="{00000000-0005-0000-0000-0000A0A40000}"/>
    <cellStyle name="Normal 4 2 2 3 2 2 2 2 5" xfId="42433" xr:uid="{00000000-0005-0000-0000-0000A1A40000}"/>
    <cellStyle name="Normal 4 2 2 3 2 2 2 2 6" xfId="42434" xr:uid="{00000000-0005-0000-0000-0000A2A40000}"/>
    <cellStyle name="Normal 4 2 2 3 2 2 2 3" xfId="42435" xr:uid="{00000000-0005-0000-0000-0000A3A40000}"/>
    <cellStyle name="Normal 4 2 2 3 2 2 2 3 2" xfId="42436" xr:uid="{00000000-0005-0000-0000-0000A4A40000}"/>
    <cellStyle name="Normal 4 2 2 3 2 2 2 3 2 2" xfId="42437" xr:uid="{00000000-0005-0000-0000-0000A5A40000}"/>
    <cellStyle name="Normal 4 2 2 3 2 2 2 3 2 3" xfId="42438" xr:uid="{00000000-0005-0000-0000-0000A6A40000}"/>
    <cellStyle name="Normal 4 2 2 3 2 2 2 3 3" xfId="42439" xr:uid="{00000000-0005-0000-0000-0000A7A40000}"/>
    <cellStyle name="Normal 4 2 2 3 2 2 2 3 4" xfId="42440" xr:uid="{00000000-0005-0000-0000-0000A8A40000}"/>
    <cellStyle name="Normal 4 2 2 3 2 2 2 3 5" xfId="42441" xr:uid="{00000000-0005-0000-0000-0000A9A40000}"/>
    <cellStyle name="Normal 4 2 2 3 2 2 2 3 6" xfId="42442" xr:uid="{00000000-0005-0000-0000-0000AAA40000}"/>
    <cellStyle name="Normal 4 2 2 3 2 2 2 4" xfId="42443" xr:uid="{00000000-0005-0000-0000-0000ABA40000}"/>
    <cellStyle name="Normal 4 2 2 3 2 2 2 4 2" xfId="42444" xr:uid="{00000000-0005-0000-0000-0000ACA40000}"/>
    <cellStyle name="Normal 4 2 2 3 2 2 2 4 3" xfId="42445" xr:uid="{00000000-0005-0000-0000-0000ADA40000}"/>
    <cellStyle name="Normal 4 2 2 3 2 2 2 5" xfId="42446" xr:uid="{00000000-0005-0000-0000-0000AEA40000}"/>
    <cellStyle name="Normal 4 2 2 3 2 2 2 6" xfId="42447" xr:uid="{00000000-0005-0000-0000-0000AFA40000}"/>
    <cellStyle name="Normal 4 2 2 3 2 2 2 7" xfId="42448" xr:uid="{00000000-0005-0000-0000-0000B0A40000}"/>
    <cellStyle name="Normal 4 2 2 3 2 2 2 8" xfId="42449" xr:uid="{00000000-0005-0000-0000-0000B1A40000}"/>
    <cellStyle name="Normal 4 2 2 3 2 2 3" xfId="42450" xr:uid="{00000000-0005-0000-0000-0000B2A40000}"/>
    <cellStyle name="Normal 4 2 2 3 2 2 3 2" xfId="42451" xr:uid="{00000000-0005-0000-0000-0000B3A40000}"/>
    <cellStyle name="Normal 4 2 2 3 2 2 3 2 2" xfId="42452" xr:uid="{00000000-0005-0000-0000-0000B4A40000}"/>
    <cellStyle name="Normal 4 2 2 3 2 2 3 2 2 2" xfId="42453" xr:uid="{00000000-0005-0000-0000-0000B5A40000}"/>
    <cellStyle name="Normal 4 2 2 3 2 2 3 2 2 3" xfId="42454" xr:uid="{00000000-0005-0000-0000-0000B6A40000}"/>
    <cellStyle name="Normal 4 2 2 3 2 2 3 2 3" xfId="42455" xr:uid="{00000000-0005-0000-0000-0000B7A40000}"/>
    <cellStyle name="Normal 4 2 2 3 2 2 3 2 4" xfId="42456" xr:uid="{00000000-0005-0000-0000-0000B8A40000}"/>
    <cellStyle name="Normal 4 2 2 3 2 2 3 2 5" xfId="42457" xr:uid="{00000000-0005-0000-0000-0000B9A40000}"/>
    <cellStyle name="Normal 4 2 2 3 2 2 3 2 6" xfId="42458" xr:uid="{00000000-0005-0000-0000-0000BAA40000}"/>
    <cellStyle name="Normal 4 2 2 3 2 2 3 3" xfId="42459" xr:uid="{00000000-0005-0000-0000-0000BBA40000}"/>
    <cellStyle name="Normal 4 2 2 3 2 2 3 3 2" xfId="42460" xr:uid="{00000000-0005-0000-0000-0000BCA40000}"/>
    <cellStyle name="Normal 4 2 2 3 2 2 3 3 3" xfId="42461" xr:uid="{00000000-0005-0000-0000-0000BDA40000}"/>
    <cellStyle name="Normal 4 2 2 3 2 2 3 4" xfId="42462" xr:uid="{00000000-0005-0000-0000-0000BEA40000}"/>
    <cellStyle name="Normal 4 2 2 3 2 2 3 5" xfId="42463" xr:uid="{00000000-0005-0000-0000-0000BFA40000}"/>
    <cellStyle name="Normal 4 2 2 3 2 2 3 6" xfId="42464" xr:uid="{00000000-0005-0000-0000-0000C0A40000}"/>
    <cellStyle name="Normal 4 2 2 3 2 2 3 7" xfId="42465" xr:uid="{00000000-0005-0000-0000-0000C1A40000}"/>
    <cellStyle name="Normal 4 2 2 3 2 2 4" xfId="42466" xr:uid="{00000000-0005-0000-0000-0000C2A40000}"/>
    <cellStyle name="Normal 4 2 2 3 2 2 4 2" xfId="42467" xr:uid="{00000000-0005-0000-0000-0000C3A40000}"/>
    <cellStyle name="Normal 4 2 2 3 2 2 4 2 2" xfId="42468" xr:uid="{00000000-0005-0000-0000-0000C4A40000}"/>
    <cellStyle name="Normal 4 2 2 3 2 2 4 2 3" xfId="42469" xr:uid="{00000000-0005-0000-0000-0000C5A40000}"/>
    <cellStyle name="Normal 4 2 2 3 2 2 4 3" xfId="42470" xr:uid="{00000000-0005-0000-0000-0000C6A40000}"/>
    <cellStyle name="Normal 4 2 2 3 2 2 4 4" xfId="42471" xr:uid="{00000000-0005-0000-0000-0000C7A40000}"/>
    <cellStyle name="Normal 4 2 2 3 2 2 4 5" xfId="42472" xr:uid="{00000000-0005-0000-0000-0000C8A40000}"/>
    <cellStyle name="Normal 4 2 2 3 2 2 4 6" xfId="42473" xr:uid="{00000000-0005-0000-0000-0000C9A40000}"/>
    <cellStyle name="Normal 4 2 2 3 2 2 5" xfId="42474" xr:uid="{00000000-0005-0000-0000-0000CAA40000}"/>
    <cellStyle name="Normal 4 2 2 3 2 2 5 2" xfId="42475" xr:uid="{00000000-0005-0000-0000-0000CBA40000}"/>
    <cellStyle name="Normal 4 2 2 3 2 2 5 2 2" xfId="42476" xr:uid="{00000000-0005-0000-0000-0000CCA40000}"/>
    <cellStyle name="Normal 4 2 2 3 2 2 5 2 3" xfId="42477" xr:uid="{00000000-0005-0000-0000-0000CDA40000}"/>
    <cellStyle name="Normal 4 2 2 3 2 2 5 3" xfId="42478" xr:uid="{00000000-0005-0000-0000-0000CEA40000}"/>
    <cellStyle name="Normal 4 2 2 3 2 2 5 4" xfId="42479" xr:uid="{00000000-0005-0000-0000-0000CFA40000}"/>
    <cellStyle name="Normal 4 2 2 3 2 2 5 5" xfId="42480" xr:uid="{00000000-0005-0000-0000-0000D0A40000}"/>
    <cellStyle name="Normal 4 2 2 3 2 2 5 6" xfId="42481" xr:uid="{00000000-0005-0000-0000-0000D1A40000}"/>
    <cellStyle name="Normal 4 2 2 3 2 2 6" xfId="42482" xr:uid="{00000000-0005-0000-0000-0000D2A40000}"/>
    <cellStyle name="Normal 4 2 2 3 2 2 6 2" xfId="42483" xr:uid="{00000000-0005-0000-0000-0000D3A40000}"/>
    <cellStyle name="Normal 4 2 2 3 2 2 6 3" xfId="42484" xr:uid="{00000000-0005-0000-0000-0000D4A40000}"/>
    <cellStyle name="Normal 4 2 2 3 2 2 7" xfId="42485" xr:uid="{00000000-0005-0000-0000-0000D5A40000}"/>
    <cellStyle name="Normal 4 2 2 3 2 2 8" xfId="42486" xr:uid="{00000000-0005-0000-0000-0000D6A40000}"/>
    <cellStyle name="Normal 4 2 2 3 2 2 9" xfId="42487" xr:uid="{00000000-0005-0000-0000-0000D7A40000}"/>
    <cellStyle name="Normal 4 2 2 3 2 3" xfId="42488" xr:uid="{00000000-0005-0000-0000-0000D8A40000}"/>
    <cellStyle name="Normal 4 2 2 3 2 3 2" xfId="42489" xr:uid="{00000000-0005-0000-0000-0000D9A40000}"/>
    <cellStyle name="Normal 4 2 2 3 2 3 2 2" xfId="42490" xr:uid="{00000000-0005-0000-0000-0000DAA40000}"/>
    <cellStyle name="Normal 4 2 2 3 2 3 2 2 2" xfId="42491" xr:uid="{00000000-0005-0000-0000-0000DBA40000}"/>
    <cellStyle name="Normal 4 2 2 3 2 3 2 2 2 2" xfId="42492" xr:uid="{00000000-0005-0000-0000-0000DCA40000}"/>
    <cellStyle name="Normal 4 2 2 3 2 3 2 2 2 3" xfId="42493" xr:uid="{00000000-0005-0000-0000-0000DDA40000}"/>
    <cellStyle name="Normal 4 2 2 3 2 3 2 2 3" xfId="42494" xr:uid="{00000000-0005-0000-0000-0000DEA40000}"/>
    <cellStyle name="Normal 4 2 2 3 2 3 2 2 4" xfId="42495" xr:uid="{00000000-0005-0000-0000-0000DFA40000}"/>
    <cellStyle name="Normal 4 2 2 3 2 3 2 2 5" xfId="42496" xr:uid="{00000000-0005-0000-0000-0000E0A40000}"/>
    <cellStyle name="Normal 4 2 2 3 2 3 2 2 6" xfId="42497" xr:uid="{00000000-0005-0000-0000-0000E1A40000}"/>
    <cellStyle name="Normal 4 2 2 3 2 3 2 3" xfId="42498" xr:uid="{00000000-0005-0000-0000-0000E2A40000}"/>
    <cellStyle name="Normal 4 2 2 3 2 3 2 3 2" xfId="42499" xr:uid="{00000000-0005-0000-0000-0000E3A40000}"/>
    <cellStyle name="Normal 4 2 2 3 2 3 2 3 3" xfId="42500" xr:uid="{00000000-0005-0000-0000-0000E4A40000}"/>
    <cellStyle name="Normal 4 2 2 3 2 3 2 4" xfId="42501" xr:uid="{00000000-0005-0000-0000-0000E5A40000}"/>
    <cellStyle name="Normal 4 2 2 3 2 3 2 5" xfId="42502" xr:uid="{00000000-0005-0000-0000-0000E6A40000}"/>
    <cellStyle name="Normal 4 2 2 3 2 3 2 6" xfId="42503" xr:uid="{00000000-0005-0000-0000-0000E7A40000}"/>
    <cellStyle name="Normal 4 2 2 3 2 3 2 7" xfId="42504" xr:uid="{00000000-0005-0000-0000-0000E8A40000}"/>
    <cellStyle name="Normal 4 2 2 3 2 3 3" xfId="42505" xr:uid="{00000000-0005-0000-0000-0000E9A40000}"/>
    <cellStyle name="Normal 4 2 2 3 2 3 3 2" xfId="42506" xr:uid="{00000000-0005-0000-0000-0000EAA40000}"/>
    <cellStyle name="Normal 4 2 2 3 2 3 3 2 2" xfId="42507" xr:uid="{00000000-0005-0000-0000-0000EBA40000}"/>
    <cellStyle name="Normal 4 2 2 3 2 3 3 2 3" xfId="42508" xr:uid="{00000000-0005-0000-0000-0000ECA40000}"/>
    <cellStyle name="Normal 4 2 2 3 2 3 3 3" xfId="42509" xr:uid="{00000000-0005-0000-0000-0000EDA40000}"/>
    <cellStyle name="Normal 4 2 2 3 2 3 3 4" xfId="42510" xr:uid="{00000000-0005-0000-0000-0000EEA40000}"/>
    <cellStyle name="Normal 4 2 2 3 2 3 3 5" xfId="42511" xr:uid="{00000000-0005-0000-0000-0000EFA40000}"/>
    <cellStyle name="Normal 4 2 2 3 2 3 3 6" xfId="42512" xr:uid="{00000000-0005-0000-0000-0000F0A40000}"/>
    <cellStyle name="Normal 4 2 2 3 2 3 4" xfId="42513" xr:uid="{00000000-0005-0000-0000-0000F1A40000}"/>
    <cellStyle name="Normal 4 2 2 3 2 3 4 2" xfId="42514" xr:uid="{00000000-0005-0000-0000-0000F2A40000}"/>
    <cellStyle name="Normal 4 2 2 3 2 3 4 2 2" xfId="42515" xr:uid="{00000000-0005-0000-0000-0000F3A40000}"/>
    <cellStyle name="Normal 4 2 2 3 2 3 4 2 3" xfId="42516" xr:uid="{00000000-0005-0000-0000-0000F4A40000}"/>
    <cellStyle name="Normal 4 2 2 3 2 3 4 3" xfId="42517" xr:uid="{00000000-0005-0000-0000-0000F5A40000}"/>
    <cellStyle name="Normal 4 2 2 3 2 3 4 4" xfId="42518" xr:uid="{00000000-0005-0000-0000-0000F6A40000}"/>
    <cellStyle name="Normal 4 2 2 3 2 3 4 5" xfId="42519" xr:uid="{00000000-0005-0000-0000-0000F7A40000}"/>
    <cellStyle name="Normal 4 2 2 3 2 3 4 6" xfId="42520" xr:uid="{00000000-0005-0000-0000-0000F8A40000}"/>
    <cellStyle name="Normal 4 2 2 3 2 3 5" xfId="42521" xr:uid="{00000000-0005-0000-0000-0000F9A40000}"/>
    <cellStyle name="Normal 4 2 2 3 2 3 5 2" xfId="42522" xr:uid="{00000000-0005-0000-0000-0000FAA40000}"/>
    <cellStyle name="Normal 4 2 2 3 2 3 5 3" xfId="42523" xr:uid="{00000000-0005-0000-0000-0000FBA40000}"/>
    <cellStyle name="Normal 4 2 2 3 2 3 6" xfId="42524" xr:uid="{00000000-0005-0000-0000-0000FCA40000}"/>
    <cellStyle name="Normal 4 2 2 3 2 3 7" xfId="42525" xr:uid="{00000000-0005-0000-0000-0000FDA40000}"/>
    <cellStyle name="Normal 4 2 2 3 2 3 8" xfId="42526" xr:uid="{00000000-0005-0000-0000-0000FEA40000}"/>
    <cellStyle name="Normal 4 2 2 3 2 3 9" xfId="42527" xr:uid="{00000000-0005-0000-0000-0000FFA40000}"/>
    <cellStyle name="Normal 4 2 2 3 2 4" xfId="42528" xr:uid="{00000000-0005-0000-0000-000000A50000}"/>
    <cellStyle name="Normal 4 2 2 3 2 4 2" xfId="42529" xr:uid="{00000000-0005-0000-0000-000001A50000}"/>
    <cellStyle name="Normal 4 2 2 3 2 4 2 2" xfId="42530" xr:uid="{00000000-0005-0000-0000-000002A50000}"/>
    <cellStyle name="Normal 4 2 2 3 2 4 2 2 2" xfId="42531" xr:uid="{00000000-0005-0000-0000-000003A50000}"/>
    <cellStyle name="Normal 4 2 2 3 2 4 2 2 3" xfId="42532" xr:uid="{00000000-0005-0000-0000-000004A50000}"/>
    <cellStyle name="Normal 4 2 2 3 2 4 2 3" xfId="42533" xr:uid="{00000000-0005-0000-0000-000005A50000}"/>
    <cellStyle name="Normal 4 2 2 3 2 4 2 4" xfId="42534" xr:uid="{00000000-0005-0000-0000-000006A50000}"/>
    <cellStyle name="Normal 4 2 2 3 2 4 2 5" xfId="42535" xr:uid="{00000000-0005-0000-0000-000007A50000}"/>
    <cellStyle name="Normal 4 2 2 3 2 4 2 6" xfId="42536" xr:uid="{00000000-0005-0000-0000-000008A50000}"/>
    <cellStyle name="Normal 4 2 2 3 2 4 3" xfId="42537" xr:uid="{00000000-0005-0000-0000-000009A50000}"/>
    <cellStyle name="Normal 4 2 2 3 2 4 3 2" xfId="42538" xr:uid="{00000000-0005-0000-0000-00000AA50000}"/>
    <cellStyle name="Normal 4 2 2 3 2 4 3 3" xfId="42539" xr:uid="{00000000-0005-0000-0000-00000BA50000}"/>
    <cellStyle name="Normal 4 2 2 3 2 4 4" xfId="42540" xr:uid="{00000000-0005-0000-0000-00000CA50000}"/>
    <cellStyle name="Normal 4 2 2 3 2 4 5" xfId="42541" xr:uid="{00000000-0005-0000-0000-00000DA50000}"/>
    <cellStyle name="Normal 4 2 2 3 2 4 6" xfId="42542" xr:uid="{00000000-0005-0000-0000-00000EA50000}"/>
    <cellStyle name="Normal 4 2 2 3 2 4 7" xfId="42543" xr:uid="{00000000-0005-0000-0000-00000FA50000}"/>
    <cellStyle name="Normal 4 2 2 3 2 5" xfId="42544" xr:uid="{00000000-0005-0000-0000-000010A50000}"/>
    <cellStyle name="Normal 4 2 2 3 2 5 2" xfId="42545" xr:uid="{00000000-0005-0000-0000-000011A50000}"/>
    <cellStyle name="Normal 4 2 2 3 2 5 2 2" xfId="42546" xr:uid="{00000000-0005-0000-0000-000012A50000}"/>
    <cellStyle name="Normal 4 2 2 3 2 5 2 3" xfId="42547" xr:uid="{00000000-0005-0000-0000-000013A50000}"/>
    <cellStyle name="Normal 4 2 2 3 2 5 3" xfId="42548" xr:uid="{00000000-0005-0000-0000-000014A50000}"/>
    <cellStyle name="Normal 4 2 2 3 2 5 4" xfId="42549" xr:uid="{00000000-0005-0000-0000-000015A50000}"/>
    <cellStyle name="Normal 4 2 2 3 2 5 5" xfId="42550" xr:uid="{00000000-0005-0000-0000-000016A50000}"/>
    <cellStyle name="Normal 4 2 2 3 2 5 6" xfId="42551" xr:uid="{00000000-0005-0000-0000-000017A50000}"/>
    <cellStyle name="Normal 4 2 2 3 2 6" xfId="42552" xr:uid="{00000000-0005-0000-0000-000018A50000}"/>
    <cellStyle name="Normal 4 2 2 3 2 6 2" xfId="42553" xr:uid="{00000000-0005-0000-0000-000019A50000}"/>
    <cellStyle name="Normal 4 2 2 3 2 6 2 2" xfId="42554" xr:uid="{00000000-0005-0000-0000-00001AA50000}"/>
    <cellStyle name="Normal 4 2 2 3 2 6 2 3" xfId="42555" xr:uid="{00000000-0005-0000-0000-00001BA50000}"/>
    <cellStyle name="Normal 4 2 2 3 2 6 3" xfId="42556" xr:uid="{00000000-0005-0000-0000-00001CA50000}"/>
    <cellStyle name="Normal 4 2 2 3 2 6 4" xfId="42557" xr:uid="{00000000-0005-0000-0000-00001DA50000}"/>
    <cellStyle name="Normal 4 2 2 3 2 6 5" xfId="42558" xr:uid="{00000000-0005-0000-0000-00001EA50000}"/>
    <cellStyle name="Normal 4 2 2 3 2 6 6" xfId="42559" xr:uid="{00000000-0005-0000-0000-00001FA50000}"/>
    <cellStyle name="Normal 4 2 2 3 2 7" xfId="42560" xr:uid="{00000000-0005-0000-0000-000020A50000}"/>
    <cellStyle name="Normal 4 2 2 3 2 7 2" xfId="42561" xr:uid="{00000000-0005-0000-0000-000021A50000}"/>
    <cellStyle name="Normal 4 2 2 3 2 7 2 2" xfId="42562" xr:uid="{00000000-0005-0000-0000-000022A50000}"/>
    <cellStyle name="Normal 4 2 2 3 2 7 2 3" xfId="42563" xr:uid="{00000000-0005-0000-0000-000023A50000}"/>
    <cellStyle name="Normal 4 2 2 3 2 7 3" xfId="42564" xr:uid="{00000000-0005-0000-0000-000024A50000}"/>
    <cellStyle name="Normal 4 2 2 3 2 7 4" xfId="42565" xr:uid="{00000000-0005-0000-0000-000025A50000}"/>
    <cellStyle name="Normal 4 2 2 3 2 7 5" xfId="42566" xr:uid="{00000000-0005-0000-0000-000026A50000}"/>
    <cellStyle name="Normal 4 2 2 3 2 7 6" xfId="42567" xr:uid="{00000000-0005-0000-0000-000027A50000}"/>
    <cellStyle name="Normal 4 2 2 3 2 8" xfId="42568" xr:uid="{00000000-0005-0000-0000-000028A50000}"/>
    <cellStyle name="Normal 4 2 2 3 2 8 2" xfId="42569" xr:uid="{00000000-0005-0000-0000-000029A50000}"/>
    <cellStyle name="Normal 4 2 2 3 2 8 2 2" xfId="42570" xr:uid="{00000000-0005-0000-0000-00002AA50000}"/>
    <cellStyle name="Normal 4 2 2 3 2 8 2 3" xfId="42571" xr:uid="{00000000-0005-0000-0000-00002BA50000}"/>
    <cellStyle name="Normal 4 2 2 3 2 8 3" xfId="42572" xr:uid="{00000000-0005-0000-0000-00002CA50000}"/>
    <cellStyle name="Normal 4 2 2 3 2 8 4" xfId="42573" xr:uid="{00000000-0005-0000-0000-00002DA50000}"/>
    <cellStyle name="Normal 4 2 2 3 2 8 5" xfId="42574" xr:uid="{00000000-0005-0000-0000-00002EA50000}"/>
    <cellStyle name="Normal 4 2 2 3 2 8 6" xfId="42575" xr:uid="{00000000-0005-0000-0000-00002FA50000}"/>
    <cellStyle name="Normal 4 2 2 3 2 9" xfId="42576" xr:uid="{00000000-0005-0000-0000-000030A50000}"/>
    <cellStyle name="Normal 4 2 2 3 2 9 2" xfId="42577" xr:uid="{00000000-0005-0000-0000-000031A50000}"/>
    <cellStyle name="Normal 4 2 2 3 2 9 3" xfId="42578" xr:uid="{00000000-0005-0000-0000-000032A50000}"/>
    <cellStyle name="Normal 4 2 2 3 3" xfId="42579" xr:uid="{00000000-0005-0000-0000-000033A50000}"/>
    <cellStyle name="Normal 4 2 2 3 3 10" xfId="42580" xr:uid="{00000000-0005-0000-0000-000034A50000}"/>
    <cellStyle name="Normal 4 2 2 3 3 2" xfId="42581" xr:uid="{00000000-0005-0000-0000-000035A50000}"/>
    <cellStyle name="Normal 4 2 2 3 3 2 2" xfId="42582" xr:uid="{00000000-0005-0000-0000-000036A50000}"/>
    <cellStyle name="Normal 4 2 2 3 3 2 2 2" xfId="42583" xr:uid="{00000000-0005-0000-0000-000037A50000}"/>
    <cellStyle name="Normal 4 2 2 3 3 2 2 2 2" xfId="42584" xr:uid="{00000000-0005-0000-0000-000038A50000}"/>
    <cellStyle name="Normal 4 2 2 3 3 2 2 2 3" xfId="42585" xr:uid="{00000000-0005-0000-0000-000039A50000}"/>
    <cellStyle name="Normal 4 2 2 3 3 2 2 3" xfId="42586" xr:uid="{00000000-0005-0000-0000-00003AA50000}"/>
    <cellStyle name="Normal 4 2 2 3 3 2 2 4" xfId="42587" xr:uid="{00000000-0005-0000-0000-00003BA50000}"/>
    <cellStyle name="Normal 4 2 2 3 3 2 2 5" xfId="42588" xr:uid="{00000000-0005-0000-0000-00003CA50000}"/>
    <cellStyle name="Normal 4 2 2 3 3 2 2 6" xfId="42589" xr:uid="{00000000-0005-0000-0000-00003DA50000}"/>
    <cellStyle name="Normal 4 2 2 3 3 2 3" xfId="42590" xr:uid="{00000000-0005-0000-0000-00003EA50000}"/>
    <cellStyle name="Normal 4 2 2 3 3 2 3 2" xfId="42591" xr:uid="{00000000-0005-0000-0000-00003FA50000}"/>
    <cellStyle name="Normal 4 2 2 3 3 2 3 2 2" xfId="42592" xr:uid="{00000000-0005-0000-0000-000040A50000}"/>
    <cellStyle name="Normal 4 2 2 3 3 2 3 2 3" xfId="42593" xr:uid="{00000000-0005-0000-0000-000041A50000}"/>
    <cellStyle name="Normal 4 2 2 3 3 2 3 3" xfId="42594" xr:uid="{00000000-0005-0000-0000-000042A50000}"/>
    <cellStyle name="Normal 4 2 2 3 3 2 3 4" xfId="42595" xr:uid="{00000000-0005-0000-0000-000043A50000}"/>
    <cellStyle name="Normal 4 2 2 3 3 2 3 5" xfId="42596" xr:uid="{00000000-0005-0000-0000-000044A50000}"/>
    <cellStyle name="Normal 4 2 2 3 3 2 3 6" xfId="42597" xr:uid="{00000000-0005-0000-0000-000045A50000}"/>
    <cellStyle name="Normal 4 2 2 3 3 2 4" xfId="42598" xr:uid="{00000000-0005-0000-0000-000046A50000}"/>
    <cellStyle name="Normal 4 2 2 3 3 2 4 2" xfId="42599" xr:uid="{00000000-0005-0000-0000-000047A50000}"/>
    <cellStyle name="Normal 4 2 2 3 3 2 4 3" xfId="42600" xr:uid="{00000000-0005-0000-0000-000048A50000}"/>
    <cellStyle name="Normal 4 2 2 3 3 2 5" xfId="42601" xr:uid="{00000000-0005-0000-0000-000049A50000}"/>
    <cellStyle name="Normal 4 2 2 3 3 2 6" xfId="42602" xr:uid="{00000000-0005-0000-0000-00004AA50000}"/>
    <cellStyle name="Normal 4 2 2 3 3 2 7" xfId="42603" xr:uid="{00000000-0005-0000-0000-00004BA50000}"/>
    <cellStyle name="Normal 4 2 2 3 3 2 8" xfId="42604" xr:uid="{00000000-0005-0000-0000-00004CA50000}"/>
    <cellStyle name="Normal 4 2 2 3 3 3" xfId="42605" xr:uid="{00000000-0005-0000-0000-00004DA50000}"/>
    <cellStyle name="Normal 4 2 2 3 3 3 2" xfId="42606" xr:uid="{00000000-0005-0000-0000-00004EA50000}"/>
    <cellStyle name="Normal 4 2 2 3 3 3 2 2" xfId="42607" xr:uid="{00000000-0005-0000-0000-00004FA50000}"/>
    <cellStyle name="Normal 4 2 2 3 3 3 2 2 2" xfId="42608" xr:uid="{00000000-0005-0000-0000-000050A50000}"/>
    <cellStyle name="Normal 4 2 2 3 3 3 2 2 3" xfId="42609" xr:uid="{00000000-0005-0000-0000-000051A50000}"/>
    <cellStyle name="Normal 4 2 2 3 3 3 2 3" xfId="42610" xr:uid="{00000000-0005-0000-0000-000052A50000}"/>
    <cellStyle name="Normal 4 2 2 3 3 3 2 4" xfId="42611" xr:uid="{00000000-0005-0000-0000-000053A50000}"/>
    <cellStyle name="Normal 4 2 2 3 3 3 2 5" xfId="42612" xr:uid="{00000000-0005-0000-0000-000054A50000}"/>
    <cellStyle name="Normal 4 2 2 3 3 3 2 6" xfId="42613" xr:uid="{00000000-0005-0000-0000-000055A50000}"/>
    <cellStyle name="Normal 4 2 2 3 3 3 3" xfId="42614" xr:uid="{00000000-0005-0000-0000-000056A50000}"/>
    <cellStyle name="Normal 4 2 2 3 3 3 3 2" xfId="42615" xr:uid="{00000000-0005-0000-0000-000057A50000}"/>
    <cellStyle name="Normal 4 2 2 3 3 3 3 3" xfId="42616" xr:uid="{00000000-0005-0000-0000-000058A50000}"/>
    <cellStyle name="Normal 4 2 2 3 3 3 4" xfId="42617" xr:uid="{00000000-0005-0000-0000-000059A50000}"/>
    <cellStyle name="Normal 4 2 2 3 3 3 5" xfId="42618" xr:uid="{00000000-0005-0000-0000-00005AA50000}"/>
    <cellStyle name="Normal 4 2 2 3 3 3 6" xfId="42619" xr:uid="{00000000-0005-0000-0000-00005BA50000}"/>
    <cellStyle name="Normal 4 2 2 3 3 3 7" xfId="42620" xr:uid="{00000000-0005-0000-0000-00005CA50000}"/>
    <cellStyle name="Normal 4 2 2 3 3 4" xfId="42621" xr:uid="{00000000-0005-0000-0000-00005DA50000}"/>
    <cellStyle name="Normal 4 2 2 3 3 4 2" xfId="42622" xr:uid="{00000000-0005-0000-0000-00005EA50000}"/>
    <cellStyle name="Normal 4 2 2 3 3 4 2 2" xfId="42623" xr:uid="{00000000-0005-0000-0000-00005FA50000}"/>
    <cellStyle name="Normal 4 2 2 3 3 4 2 3" xfId="42624" xr:uid="{00000000-0005-0000-0000-000060A50000}"/>
    <cellStyle name="Normal 4 2 2 3 3 4 3" xfId="42625" xr:uid="{00000000-0005-0000-0000-000061A50000}"/>
    <cellStyle name="Normal 4 2 2 3 3 4 4" xfId="42626" xr:uid="{00000000-0005-0000-0000-000062A50000}"/>
    <cellStyle name="Normal 4 2 2 3 3 4 5" xfId="42627" xr:uid="{00000000-0005-0000-0000-000063A50000}"/>
    <cellStyle name="Normal 4 2 2 3 3 4 6" xfId="42628" xr:uid="{00000000-0005-0000-0000-000064A50000}"/>
    <cellStyle name="Normal 4 2 2 3 3 5" xfId="42629" xr:uid="{00000000-0005-0000-0000-000065A50000}"/>
    <cellStyle name="Normal 4 2 2 3 3 5 2" xfId="42630" xr:uid="{00000000-0005-0000-0000-000066A50000}"/>
    <cellStyle name="Normal 4 2 2 3 3 5 2 2" xfId="42631" xr:uid="{00000000-0005-0000-0000-000067A50000}"/>
    <cellStyle name="Normal 4 2 2 3 3 5 2 3" xfId="42632" xr:uid="{00000000-0005-0000-0000-000068A50000}"/>
    <cellStyle name="Normal 4 2 2 3 3 5 3" xfId="42633" xr:uid="{00000000-0005-0000-0000-000069A50000}"/>
    <cellStyle name="Normal 4 2 2 3 3 5 4" xfId="42634" xr:uid="{00000000-0005-0000-0000-00006AA50000}"/>
    <cellStyle name="Normal 4 2 2 3 3 5 5" xfId="42635" xr:uid="{00000000-0005-0000-0000-00006BA50000}"/>
    <cellStyle name="Normal 4 2 2 3 3 5 6" xfId="42636" xr:uid="{00000000-0005-0000-0000-00006CA50000}"/>
    <cellStyle name="Normal 4 2 2 3 3 6" xfId="42637" xr:uid="{00000000-0005-0000-0000-00006DA50000}"/>
    <cellStyle name="Normal 4 2 2 3 3 6 2" xfId="42638" xr:uid="{00000000-0005-0000-0000-00006EA50000}"/>
    <cellStyle name="Normal 4 2 2 3 3 6 3" xfId="42639" xr:uid="{00000000-0005-0000-0000-00006FA50000}"/>
    <cellStyle name="Normal 4 2 2 3 3 7" xfId="42640" xr:uid="{00000000-0005-0000-0000-000070A50000}"/>
    <cellStyle name="Normal 4 2 2 3 3 8" xfId="42641" xr:uid="{00000000-0005-0000-0000-000071A50000}"/>
    <cellStyle name="Normal 4 2 2 3 3 9" xfId="42642" xr:uid="{00000000-0005-0000-0000-000072A50000}"/>
    <cellStyle name="Normal 4 2 2 3 4" xfId="42643" xr:uid="{00000000-0005-0000-0000-000073A50000}"/>
    <cellStyle name="Normal 4 2 2 3 4 2" xfId="42644" xr:uid="{00000000-0005-0000-0000-000074A50000}"/>
    <cellStyle name="Normal 4 2 2 3 4 2 2" xfId="42645" xr:uid="{00000000-0005-0000-0000-000075A50000}"/>
    <cellStyle name="Normal 4 2 2 3 4 2 2 2" xfId="42646" xr:uid="{00000000-0005-0000-0000-000076A50000}"/>
    <cellStyle name="Normal 4 2 2 3 4 2 2 2 2" xfId="42647" xr:uid="{00000000-0005-0000-0000-000077A50000}"/>
    <cellStyle name="Normal 4 2 2 3 4 2 2 2 3" xfId="42648" xr:uid="{00000000-0005-0000-0000-000078A50000}"/>
    <cellStyle name="Normal 4 2 2 3 4 2 2 3" xfId="42649" xr:uid="{00000000-0005-0000-0000-000079A50000}"/>
    <cellStyle name="Normal 4 2 2 3 4 2 2 4" xfId="42650" xr:uid="{00000000-0005-0000-0000-00007AA50000}"/>
    <cellStyle name="Normal 4 2 2 3 4 2 2 5" xfId="42651" xr:uid="{00000000-0005-0000-0000-00007BA50000}"/>
    <cellStyle name="Normal 4 2 2 3 4 2 2 6" xfId="42652" xr:uid="{00000000-0005-0000-0000-00007CA50000}"/>
    <cellStyle name="Normal 4 2 2 3 4 2 3" xfId="42653" xr:uid="{00000000-0005-0000-0000-00007DA50000}"/>
    <cellStyle name="Normal 4 2 2 3 4 2 3 2" xfId="42654" xr:uid="{00000000-0005-0000-0000-00007EA50000}"/>
    <cellStyle name="Normal 4 2 2 3 4 2 3 3" xfId="42655" xr:uid="{00000000-0005-0000-0000-00007FA50000}"/>
    <cellStyle name="Normal 4 2 2 3 4 2 4" xfId="42656" xr:uid="{00000000-0005-0000-0000-000080A50000}"/>
    <cellStyle name="Normal 4 2 2 3 4 2 5" xfId="42657" xr:uid="{00000000-0005-0000-0000-000081A50000}"/>
    <cellStyle name="Normal 4 2 2 3 4 2 6" xfId="42658" xr:uid="{00000000-0005-0000-0000-000082A50000}"/>
    <cellStyle name="Normal 4 2 2 3 4 2 7" xfId="42659" xr:uid="{00000000-0005-0000-0000-000083A50000}"/>
    <cellStyle name="Normal 4 2 2 3 4 3" xfId="42660" xr:uid="{00000000-0005-0000-0000-000084A50000}"/>
    <cellStyle name="Normal 4 2 2 3 4 3 2" xfId="42661" xr:uid="{00000000-0005-0000-0000-000085A50000}"/>
    <cellStyle name="Normal 4 2 2 3 4 3 2 2" xfId="42662" xr:uid="{00000000-0005-0000-0000-000086A50000}"/>
    <cellStyle name="Normal 4 2 2 3 4 3 2 3" xfId="42663" xr:uid="{00000000-0005-0000-0000-000087A50000}"/>
    <cellStyle name="Normal 4 2 2 3 4 3 3" xfId="42664" xr:uid="{00000000-0005-0000-0000-000088A50000}"/>
    <cellStyle name="Normal 4 2 2 3 4 3 4" xfId="42665" xr:uid="{00000000-0005-0000-0000-000089A50000}"/>
    <cellStyle name="Normal 4 2 2 3 4 3 5" xfId="42666" xr:uid="{00000000-0005-0000-0000-00008AA50000}"/>
    <cellStyle name="Normal 4 2 2 3 4 3 6" xfId="42667" xr:uid="{00000000-0005-0000-0000-00008BA50000}"/>
    <cellStyle name="Normal 4 2 2 3 4 4" xfId="42668" xr:uid="{00000000-0005-0000-0000-00008CA50000}"/>
    <cellStyle name="Normal 4 2 2 3 4 4 2" xfId="42669" xr:uid="{00000000-0005-0000-0000-00008DA50000}"/>
    <cellStyle name="Normal 4 2 2 3 4 4 2 2" xfId="42670" xr:uid="{00000000-0005-0000-0000-00008EA50000}"/>
    <cellStyle name="Normal 4 2 2 3 4 4 2 3" xfId="42671" xr:uid="{00000000-0005-0000-0000-00008FA50000}"/>
    <cellStyle name="Normal 4 2 2 3 4 4 3" xfId="42672" xr:uid="{00000000-0005-0000-0000-000090A50000}"/>
    <cellStyle name="Normal 4 2 2 3 4 4 4" xfId="42673" xr:uid="{00000000-0005-0000-0000-000091A50000}"/>
    <cellStyle name="Normal 4 2 2 3 4 4 5" xfId="42674" xr:uid="{00000000-0005-0000-0000-000092A50000}"/>
    <cellStyle name="Normal 4 2 2 3 4 4 6" xfId="42675" xr:uid="{00000000-0005-0000-0000-000093A50000}"/>
    <cellStyle name="Normal 4 2 2 3 4 5" xfId="42676" xr:uid="{00000000-0005-0000-0000-000094A50000}"/>
    <cellStyle name="Normal 4 2 2 3 4 5 2" xfId="42677" xr:uid="{00000000-0005-0000-0000-000095A50000}"/>
    <cellStyle name="Normal 4 2 2 3 4 5 3" xfId="42678" xr:uid="{00000000-0005-0000-0000-000096A50000}"/>
    <cellStyle name="Normal 4 2 2 3 4 6" xfId="42679" xr:uid="{00000000-0005-0000-0000-000097A50000}"/>
    <cellStyle name="Normal 4 2 2 3 4 7" xfId="42680" xr:uid="{00000000-0005-0000-0000-000098A50000}"/>
    <cellStyle name="Normal 4 2 2 3 4 8" xfId="42681" xr:uid="{00000000-0005-0000-0000-000099A50000}"/>
    <cellStyle name="Normal 4 2 2 3 4 9" xfId="42682" xr:uid="{00000000-0005-0000-0000-00009AA50000}"/>
    <cellStyle name="Normal 4 2 2 3 5" xfId="42683" xr:uid="{00000000-0005-0000-0000-00009BA50000}"/>
    <cellStyle name="Normal 4 2 2 3 5 2" xfId="42684" xr:uid="{00000000-0005-0000-0000-00009CA50000}"/>
    <cellStyle name="Normal 4 2 2 3 5 2 2" xfId="42685" xr:uid="{00000000-0005-0000-0000-00009DA50000}"/>
    <cellStyle name="Normal 4 2 2 3 5 2 2 2" xfId="42686" xr:uid="{00000000-0005-0000-0000-00009EA50000}"/>
    <cellStyle name="Normal 4 2 2 3 5 2 2 3" xfId="42687" xr:uid="{00000000-0005-0000-0000-00009FA50000}"/>
    <cellStyle name="Normal 4 2 2 3 5 2 3" xfId="42688" xr:uid="{00000000-0005-0000-0000-0000A0A50000}"/>
    <cellStyle name="Normal 4 2 2 3 5 2 4" xfId="42689" xr:uid="{00000000-0005-0000-0000-0000A1A50000}"/>
    <cellStyle name="Normal 4 2 2 3 5 2 5" xfId="42690" xr:uid="{00000000-0005-0000-0000-0000A2A50000}"/>
    <cellStyle name="Normal 4 2 2 3 5 2 6" xfId="42691" xr:uid="{00000000-0005-0000-0000-0000A3A50000}"/>
    <cellStyle name="Normal 4 2 2 3 5 3" xfId="42692" xr:uid="{00000000-0005-0000-0000-0000A4A50000}"/>
    <cellStyle name="Normal 4 2 2 3 5 3 2" xfId="42693" xr:uid="{00000000-0005-0000-0000-0000A5A50000}"/>
    <cellStyle name="Normal 4 2 2 3 5 3 3" xfId="42694" xr:uid="{00000000-0005-0000-0000-0000A6A50000}"/>
    <cellStyle name="Normal 4 2 2 3 5 4" xfId="42695" xr:uid="{00000000-0005-0000-0000-0000A7A50000}"/>
    <cellStyle name="Normal 4 2 2 3 5 5" xfId="42696" xr:uid="{00000000-0005-0000-0000-0000A8A50000}"/>
    <cellStyle name="Normal 4 2 2 3 5 6" xfId="42697" xr:uid="{00000000-0005-0000-0000-0000A9A50000}"/>
    <cellStyle name="Normal 4 2 2 3 5 7" xfId="42698" xr:uid="{00000000-0005-0000-0000-0000AAA50000}"/>
    <cellStyle name="Normal 4 2 2 3 6" xfId="42699" xr:uid="{00000000-0005-0000-0000-0000ABA50000}"/>
    <cellStyle name="Normal 4 2 2 3 6 2" xfId="42700" xr:uid="{00000000-0005-0000-0000-0000ACA50000}"/>
    <cellStyle name="Normal 4 2 2 3 6 2 2" xfId="42701" xr:uid="{00000000-0005-0000-0000-0000ADA50000}"/>
    <cellStyle name="Normal 4 2 2 3 6 2 3" xfId="42702" xr:uid="{00000000-0005-0000-0000-0000AEA50000}"/>
    <cellStyle name="Normal 4 2 2 3 6 3" xfId="42703" xr:uid="{00000000-0005-0000-0000-0000AFA50000}"/>
    <cellStyle name="Normal 4 2 2 3 6 4" xfId="42704" xr:uid="{00000000-0005-0000-0000-0000B0A50000}"/>
    <cellStyle name="Normal 4 2 2 3 6 5" xfId="42705" xr:uid="{00000000-0005-0000-0000-0000B1A50000}"/>
    <cellStyle name="Normal 4 2 2 3 6 6" xfId="42706" xr:uid="{00000000-0005-0000-0000-0000B2A50000}"/>
    <cellStyle name="Normal 4 2 2 3 7" xfId="42707" xr:uid="{00000000-0005-0000-0000-0000B3A50000}"/>
    <cellStyle name="Normal 4 2 2 3 7 2" xfId="42708" xr:uid="{00000000-0005-0000-0000-0000B4A50000}"/>
    <cellStyle name="Normal 4 2 2 3 7 2 2" xfId="42709" xr:uid="{00000000-0005-0000-0000-0000B5A50000}"/>
    <cellStyle name="Normal 4 2 2 3 7 2 3" xfId="42710" xr:uid="{00000000-0005-0000-0000-0000B6A50000}"/>
    <cellStyle name="Normal 4 2 2 3 7 3" xfId="42711" xr:uid="{00000000-0005-0000-0000-0000B7A50000}"/>
    <cellStyle name="Normal 4 2 2 3 7 4" xfId="42712" xr:uid="{00000000-0005-0000-0000-0000B8A50000}"/>
    <cellStyle name="Normal 4 2 2 3 7 5" xfId="42713" xr:uid="{00000000-0005-0000-0000-0000B9A50000}"/>
    <cellStyle name="Normal 4 2 2 3 7 6" xfId="42714" xr:uid="{00000000-0005-0000-0000-0000BAA50000}"/>
    <cellStyle name="Normal 4 2 2 3 8" xfId="42715" xr:uid="{00000000-0005-0000-0000-0000BBA50000}"/>
    <cellStyle name="Normal 4 2 2 3 8 2" xfId="42716" xr:uid="{00000000-0005-0000-0000-0000BCA50000}"/>
    <cellStyle name="Normal 4 2 2 3 8 2 2" xfId="42717" xr:uid="{00000000-0005-0000-0000-0000BDA50000}"/>
    <cellStyle name="Normal 4 2 2 3 8 2 3" xfId="42718" xr:uid="{00000000-0005-0000-0000-0000BEA50000}"/>
    <cellStyle name="Normal 4 2 2 3 8 3" xfId="42719" xr:uid="{00000000-0005-0000-0000-0000BFA50000}"/>
    <cellStyle name="Normal 4 2 2 3 8 4" xfId="42720" xr:uid="{00000000-0005-0000-0000-0000C0A50000}"/>
    <cellStyle name="Normal 4 2 2 3 8 5" xfId="42721" xr:uid="{00000000-0005-0000-0000-0000C1A50000}"/>
    <cellStyle name="Normal 4 2 2 3 8 6" xfId="42722" xr:uid="{00000000-0005-0000-0000-0000C2A50000}"/>
    <cellStyle name="Normal 4 2 2 3 9" xfId="42723" xr:uid="{00000000-0005-0000-0000-0000C3A50000}"/>
    <cellStyle name="Normal 4 2 2 3 9 2" xfId="42724" xr:uid="{00000000-0005-0000-0000-0000C4A50000}"/>
    <cellStyle name="Normal 4 2 2 3 9 2 2" xfId="42725" xr:uid="{00000000-0005-0000-0000-0000C5A50000}"/>
    <cellStyle name="Normal 4 2 2 3 9 2 3" xfId="42726" xr:uid="{00000000-0005-0000-0000-0000C6A50000}"/>
    <cellStyle name="Normal 4 2 2 3 9 3" xfId="42727" xr:uid="{00000000-0005-0000-0000-0000C7A50000}"/>
    <cellStyle name="Normal 4 2 2 3 9 4" xfId="42728" xr:uid="{00000000-0005-0000-0000-0000C8A50000}"/>
    <cellStyle name="Normal 4 2 2 3 9 5" xfId="42729" xr:uid="{00000000-0005-0000-0000-0000C9A50000}"/>
    <cellStyle name="Normal 4 2 2 3 9 6" xfId="42730" xr:uid="{00000000-0005-0000-0000-0000CAA50000}"/>
    <cellStyle name="Normal 4 2 2 4" xfId="42731" xr:uid="{00000000-0005-0000-0000-0000CBA50000}"/>
    <cellStyle name="Normal 4 2 2 4 10" xfId="42732" xr:uid="{00000000-0005-0000-0000-0000CCA50000}"/>
    <cellStyle name="Normal 4 2 2 4 11" xfId="42733" xr:uid="{00000000-0005-0000-0000-0000CDA50000}"/>
    <cellStyle name="Normal 4 2 2 4 12" xfId="42734" xr:uid="{00000000-0005-0000-0000-0000CEA50000}"/>
    <cellStyle name="Normal 4 2 2 4 13" xfId="42735" xr:uid="{00000000-0005-0000-0000-0000CFA50000}"/>
    <cellStyle name="Normal 4 2 2 4 2" xfId="42736" xr:uid="{00000000-0005-0000-0000-0000D0A50000}"/>
    <cellStyle name="Normal 4 2 2 4 2 10" xfId="42737" xr:uid="{00000000-0005-0000-0000-0000D1A50000}"/>
    <cellStyle name="Normal 4 2 2 4 2 2" xfId="42738" xr:uid="{00000000-0005-0000-0000-0000D2A50000}"/>
    <cellStyle name="Normal 4 2 2 4 2 2 2" xfId="42739" xr:uid="{00000000-0005-0000-0000-0000D3A50000}"/>
    <cellStyle name="Normal 4 2 2 4 2 2 2 2" xfId="42740" xr:uid="{00000000-0005-0000-0000-0000D4A50000}"/>
    <cellStyle name="Normal 4 2 2 4 2 2 2 2 2" xfId="42741" xr:uid="{00000000-0005-0000-0000-0000D5A50000}"/>
    <cellStyle name="Normal 4 2 2 4 2 2 2 2 3" xfId="42742" xr:uid="{00000000-0005-0000-0000-0000D6A50000}"/>
    <cellStyle name="Normal 4 2 2 4 2 2 2 3" xfId="42743" xr:uid="{00000000-0005-0000-0000-0000D7A50000}"/>
    <cellStyle name="Normal 4 2 2 4 2 2 2 4" xfId="42744" xr:uid="{00000000-0005-0000-0000-0000D8A50000}"/>
    <cellStyle name="Normal 4 2 2 4 2 2 2 5" xfId="42745" xr:uid="{00000000-0005-0000-0000-0000D9A50000}"/>
    <cellStyle name="Normal 4 2 2 4 2 2 2 6" xfId="42746" xr:uid="{00000000-0005-0000-0000-0000DAA50000}"/>
    <cellStyle name="Normal 4 2 2 4 2 2 3" xfId="42747" xr:uid="{00000000-0005-0000-0000-0000DBA50000}"/>
    <cellStyle name="Normal 4 2 2 4 2 2 3 2" xfId="42748" xr:uid="{00000000-0005-0000-0000-0000DCA50000}"/>
    <cellStyle name="Normal 4 2 2 4 2 2 3 2 2" xfId="42749" xr:uid="{00000000-0005-0000-0000-0000DDA50000}"/>
    <cellStyle name="Normal 4 2 2 4 2 2 3 2 3" xfId="42750" xr:uid="{00000000-0005-0000-0000-0000DEA50000}"/>
    <cellStyle name="Normal 4 2 2 4 2 2 3 3" xfId="42751" xr:uid="{00000000-0005-0000-0000-0000DFA50000}"/>
    <cellStyle name="Normal 4 2 2 4 2 2 3 4" xfId="42752" xr:uid="{00000000-0005-0000-0000-0000E0A50000}"/>
    <cellStyle name="Normal 4 2 2 4 2 2 3 5" xfId="42753" xr:uid="{00000000-0005-0000-0000-0000E1A50000}"/>
    <cellStyle name="Normal 4 2 2 4 2 2 3 6" xfId="42754" xr:uid="{00000000-0005-0000-0000-0000E2A50000}"/>
    <cellStyle name="Normal 4 2 2 4 2 2 4" xfId="42755" xr:uid="{00000000-0005-0000-0000-0000E3A50000}"/>
    <cellStyle name="Normal 4 2 2 4 2 2 4 2" xfId="42756" xr:uid="{00000000-0005-0000-0000-0000E4A50000}"/>
    <cellStyle name="Normal 4 2 2 4 2 2 4 3" xfId="42757" xr:uid="{00000000-0005-0000-0000-0000E5A50000}"/>
    <cellStyle name="Normal 4 2 2 4 2 2 5" xfId="42758" xr:uid="{00000000-0005-0000-0000-0000E6A50000}"/>
    <cellStyle name="Normal 4 2 2 4 2 2 6" xfId="42759" xr:uid="{00000000-0005-0000-0000-0000E7A50000}"/>
    <cellStyle name="Normal 4 2 2 4 2 2 7" xfId="42760" xr:uid="{00000000-0005-0000-0000-0000E8A50000}"/>
    <cellStyle name="Normal 4 2 2 4 2 2 8" xfId="42761" xr:uid="{00000000-0005-0000-0000-0000E9A50000}"/>
    <cellStyle name="Normal 4 2 2 4 2 3" xfId="42762" xr:uid="{00000000-0005-0000-0000-0000EAA50000}"/>
    <cellStyle name="Normal 4 2 2 4 2 3 2" xfId="42763" xr:uid="{00000000-0005-0000-0000-0000EBA50000}"/>
    <cellStyle name="Normal 4 2 2 4 2 3 2 2" xfId="42764" xr:uid="{00000000-0005-0000-0000-0000ECA50000}"/>
    <cellStyle name="Normal 4 2 2 4 2 3 2 2 2" xfId="42765" xr:uid="{00000000-0005-0000-0000-0000EDA50000}"/>
    <cellStyle name="Normal 4 2 2 4 2 3 2 2 3" xfId="42766" xr:uid="{00000000-0005-0000-0000-0000EEA50000}"/>
    <cellStyle name="Normal 4 2 2 4 2 3 2 3" xfId="42767" xr:uid="{00000000-0005-0000-0000-0000EFA50000}"/>
    <cellStyle name="Normal 4 2 2 4 2 3 2 4" xfId="42768" xr:uid="{00000000-0005-0000-0000-0000F0A50000}"/>
    <cellStyle name="Normal 4 2 2 4 2 3 2 5" xfId="42769" xr:uid="{00000000-0005-0000-0000-0000F1A50000}"/>
    <cellStyle name="Normal 4 2 2 4 2 3 2 6" xfId="42770" xr:uid="{00000000-0005-0000-0000-0000F2A50000}"/>
    <cellStyle name="Normal 4 2 2 4 2 3 3" xfId="42771" xr:uid="{00000000-0005-0000-0000-0000F3A50000}"/>
    <cellStyle name="Normal 4 2 2 4 2 3 3 2" xfId="42772" xr:uid="{00000000-0005-0000-0000-0000F4A50000}"/>
    <cellStyle name="Normal 4 2 2 4 2 3 3 3" xfId="42773" xr:uid="{00000000-0005-0000-0000-0000F5A50000}"/>
    <cellStyle name="Normal 4 2 2 4 2 3 4" xfId="42774" xr:uid="{00000000-0005-0000-0000-0000F6A50000}"/>
    <cellStyle name="Normal 4 2 2 4 2 3 5" xfId="42775" xr:uid="{00000000-0005-0000-0000-0000F7A50000}"/>
    <cellStyle name="Normal 4 2 2 4 2 3 6" xfId="42776" xr:uid="{00000000-0005-0000-0000-0000F8A50000}"/>
    <cellStyle name="Normal 4 2 2 4 2 3 7" xfId="42777" xr:uid="{00000000-0005-0000-0000-0000F9A50000}"/>
    <cellStyle name="Normal 4 2 2 4 2 4" xfId="42778" xr:uid="{00000000-0005-0000-0000-0000FAA50000}"/>
    <cellStyle name="Normal 4 2 2 4 2 4 2" xfId="42779" xr:uid="{00000000-0005-0000-0000-0000FBA50000}"/>
    <cellStyle name="Normal 4 2 2 4 2 4 2 2" xfId="42780" xr:uid="{00000000-0005-0000-0000-0000FCA50000}"/>
    <cellStyle name="Normal 4 2 2 4 2 4 2 3" xfId="42781" xr:uid="{00000000-0005-0000-0000-0000FDA50000}"/>
    <cellStyle name="Normal 4 2 2 4 2 4 3" xfId="42782" xr:uid="{00000000-0005-0000-0000-0000FEA50000}"/>
    <cellStyle name="Normal 4 2 2 4 2 4 4" xfId="42783" xr:uid="{00000000-0005-0000-0000-0000FFA50000}"/>
    <cellStyle name="Normal 4 2 2 4 2 4 5" xfId="42784" xr:uid="{00000000-0005-0000-0000-000000A60000}"/>
    <cellStyle name="Normal 4 2 2 4 2 4 6" xfId="42785" xr:uid="{00000000-0005-0000-0000-000001A60000}"/>
    <cellStyle name="Normal 4 2 2 4 2 5" xfId="42786" xr:uid="{00000000-0005-0000-0000-000002A60000}"/>
    <cellStyle name="Normal 4 2 2 4 2 5 2" xfId="42787" xr:uid="{00000000-0005-0000-0000-000003A60000}"/>
    <cellStyle name="Normal 4 2 2 4 2 5 2 2" xfId="42788" xr:uid="{00000000-0005-0000-0000-000004A60000}"/>
    <cellStyle name="Normal 4 2 2 4 2 5 2 3" xfId="42789" xr:uid="{00000000-0005-0000-0000-000005A60000}"/>
    <cellStyle name="Normal 4 2 2 4 2 5 3" xfId="42790" xr:uid="{00000000-0005-0000-0000-000006A60000}"/>
    <cellStyle name="Normal 4 2 2 4 2 5 4" xfId="42791" xr:uid="{00000000-0005-0000-0000-000007A60000}"/>
    <cellStyle name="Normal 4 2 2 4 2 5 5" xfId="42792" xr:uid="{00000000-0005-0000-0000-000008A60000}"/>
    <cellStyle name="Normal 4 2 2 4 2 5 6" xfId="42793" xr:uid="{00000000-0005-0000-0000-000009A60000}"/>
    <cellStyle name="Normal 4 2 2 4 2 6" xfId="42794" xr:uid="{00000000-0005-0000-0000-00000AA60000}"/>
    <cellStyle name="Normal 4 2 2 4 2 6 2" xfId="42795" xr:uid="{00000000-0005-0000-0000-00000BA60000}"/>
    <cellStyle name="Normal 4 2 2 4 2 6 3" xfId="42796" xr:uid="{00000000-0005-0000-0000-00000CA60000}"/>
    <cellStyle name="Normal 4 2 2 4 2 7" xfId="42797" xr:uid="{00000000-0005-0000-0000-00000DA60000}"/>
    <cellStyle name="Normal 4 2 2 4 2 8" xfId="42798" xr:uid="{00000000-0005-0000-0000-00000EA60000}"/>
    <cellStyle name="Normal 4 2 2 4 2 9" xfId="42799" xr:uid="{00000000-0005-0000-0000-00000FA60000}"/>
    <cellStyle name="Normal 4 2 2 4 3" xfId="42800" xr:uid="{00000000-0005-0000-0000-000010A60000}"/>
    <cellStyle name="Normal 4 2 2 4 3 2" xfId="42801" xr:uid="{00000000-0005-0000-0000-000011A60000}"/>
    <cellStyle name="Normal 4 2 2 4 3 2 2" xfId="42802" xr:uid="{00000000-0005-0000-0000-000012A60000}"/>
    <cellStyle name="Normal 4 2 2 4 3 2 2 2" xfId="42803" xr:uid="{00000000-0005-0000-0000-000013A60000}"/>
    <cellStyle name="Normal 4 2 2 4 3 2 2 2 2" xfId="42804" xr:uid="{00000000-0005-0000-0000-000014A60000}"/>
    <cellStyle name="Normal 4 2 2 4 3 2 2 2 3" xfId="42805" xr:uid="{00000000-0005-0000-0000-000015A60000}"/>
    <cellStyle name="Normal 4 2 2 4 3 2 2 3" xfId="42806" xr:uid="{00000000-0005-0000-0000-000016A60000}"/>
    <cellStyle name="Normal 4 2 2 4 3 2 2 4" xfId="42807" xr:uid="{00000000-0005-0000-0000-000017A60000}"/>
    <cellStyle name="Normal 4 2 2 4 3 2 2 5" xfId="42808" xr:uid="{00000000-0005-0000-0000-000018A60000}"/>
    <cellStyle name="Normal 4 2 2 4 3 2 2 6" xfId="42809" xr:uid="{00000000-0005-0000-0000-000019A60000}"/>
    <cellStyle name="Normal 4 2 2 4 3 2 3" xfId="42810" xr:uid="{00000000-0005-0000-0000-00001AA60000}"/>
    <cellStyle name="Normal 4 2 2 4 3 2 3 2" xfId="42811" xr:uid="{00000000-0005-0000-0000-00001BA60000}"/>
    <cellStyle name="Normal 4 2 2 4 3 2 3 3" xfId="42812" xr:uid="{00000000-0005-0000-0000-00001CA60000}"/>
    <cellStyle name="Normal 4 2 2 4 3 2 4" xfId="42813" xr:uid="{00000000-0005-0000-0000-00001DA60000}"/>
    <cellStyle name="Normal 4 2 2 4 3 2 5" xfId="42814" xr:uid="{00000000-0005-0000-0000-00001EA60000}"/>
    <cellStyle name="Normal 4 2 2 4 3 2 6" xfId="42815" xr:uid="{00000000-0005-0000-0000-00001FA60000}"/>
    <cellStyle name="Normal 4 2 2 4 3 2 7" xfId="42816" xr:uid="{00000000-0005-0000-0000-000020A60000}"/>
    <cellStyle name="Normal 4 2 2 4 3 3" xfId="42817" xr:uid="{00000000-0005-0000-0000-000021A60000}"/>
    <cellStyle name="Normal 4 2 2 4 3 3 2" xfId="42818" xr:uid="{00000000-0005-0000-0000-000022A60000}"/>
    <cellStyle name="Normal 4 2 2 4 3 3 2 2" xfId="42819" xr:uid="{00000000-0005-0000-0000-000023A60000}"/>
    <cellStyle name="Normal 4 2 2 4 3 3 2 3" xfId="42820" xr:uid="{00000000-0005-0000-0000-000024A60000}"/>
    <cellStyle name="Normal 4 2 2 4 3 3 3" xfId="42821" xr:uid="{00000000-0005-0000-0000-000025A60000}"/>
    <cellStyle name="Normal 4 2 2 4 3 3 4" xfId="42822" xr:uid="{00000000-0005-0000-0000-000026A60000}"/>
    <cellStyle name="Normal 4 2 2 4 3 3 5" xfId="42823" xr:uid="{00000000-0005-0000-0000-000027A60000}"/>
    <cellStyle name="Normal 4 2 2 4 3 3 6" xfId="42824" xr:uid="{00000000-0005-0000-0000-000028A60000}"/>
    <cellStyle name="Normal 4 2 2 4 3 4" xfId="42825" xr:uid="{00000000-0005-0000-0000-000029A60000}"/>
    <cellStyle name="Normal 4 2 2 4 3 4 2" xfId="42826" xr:uid="{00000000-0005-0000-0000-00002AA60000}"/>
    <cellStyle name="Normal 4 2 2 4 3 4 2 2" xfId="42827" xr:uid="{00000000-0005-0000-0000-00002BA60000}"/>
    <cellStyle name="Normal 4 2 2 4 3 4 2 3" xfId="42828" xr:uid="{00000000-0005-0000-0000-00002CA60000}"/>
    <cellStyle name="Normal 4 2 2 4 3 4 3" xfId="42829" xr:uid="{00000000-0005-0000-0000-00002DA60000}"/>
    <cellStyle name="Normal 4 2 2 4 3 4 4" xfId="42830" xr:uid="{00000000-0005-0000-0000-00002EA60000}"/>
    <cellStyle name="Normal 4 2 2 4 3 4 5" xfId="42831" xr:uid="{00000000-0005-0000-0000-00002FA60000}"/>
    <cellStyle name="Normal 4 2 2 4 3 4 6" xfId="42832" xr:uid="{00000000-0005-0000-0000-000030A60000}"/>
    <cellStyle name="Normal 4 2 2 4 3 5" xfId="42833" xr:uid="{00000000-0005-0000-0000-000031A60000}"/>
    <cellStyle name="Normal 4 2 2 4 3 5 2" xfId="42834" xr:uid="{00000000-0005-0000-0000-000032A60000}"/>
    <cellStyle name="Normal 4 2 2 4 3 5 3" xfId="42835" xr:uid="{00000000-0005-0000-0000-000033A60000}"/>
    <cellStyle name="Normal 4 2 2 4 3 6" xfId="42836" xr:uid="{00000000-0005-0000-0000-000034A60000}"/>
    <cellStyle name="Normal 4 2 2 4 3 7" xfId="42837" xr:uid="{00000000-0005-0000-0000-000035A60000}"/>
    <cellStyle name="Normal 4 2 2 4 3 8" xfId="42838" xr:uid="{00000000-0005-0000-0000-000036A60000}"/>
    <cellStyle name="Normal 4 2 2 4 3 9" xfId="42839" xr:uid="{00000000-0005-0000-0000-000037A60000}"/>
    <cellStyle name="Normal 4 2 2 4 4" xfId="42840" xr:uid="{00000000-0005-0000-0000-000038A60000}"/>
    <cellStyle name="Normal 4 2 2 4 4 2" xfId="42841" xr:uid="{00000000-0005-0000-0000-000039A60000}"/>
    <cellStyle name="Normal 4 2 2 4 4 2 2" xfId="42842" xr:uid="{00000000-0005-0000-0000-00003AA60000}"/>
    <cellStyle name="Normal 4 2 2 4 4 2 2 2" xfId="42843" xr:uid="{00000000-0005-0000-0000-00003BA60000}"/>
    <cellStyle name="Normal 4 2 2 4 4 2 2 3" xfId="42844" xr:uid="{00000000-0005-0000-0000-00003CA60000}"/>
    <cellStyle name="Normal 4 2 2 4 4 2 3" xfId="42845" xr:uid="{00000000-0005-0000-0000-00003DA60000}"/>
    <cellStyle name="Normal 4 2 2 4 4 2 4" xfId="42846" xr:uid="{00000000-0005-0000-0000-00003EA60000}"/>
    <cellStyle name="Normal 4 2 2 4 4 2 5" xfId="42847" xr:uid="{00000000-0005-0000-0000-00003FA60000}"/>
    <cellStyle name="Normal 4 2 2 4 4 2 6" xfId="42848" xr:uid="{00000000-0005-0000-0000-000040A60000}"/>
    <cellStyle name="Normal 4 2 2 4 4 3" xfId="42849" xr:uid="{00000000-0005-0000-0000-000041A60000}"/>
    <cellStyle name="Normal 4 2 2 4 4 3 2" xfId="42850" xr:uid="{00000000-0005-0000-0000-000042A60000}"/>
    <cellStyle name="Normal 4 2 2 4 4 3 3" xfId="42851" xr:uid="{00000000-0005-0000-0000-000043A60000}"/>
    <cellStyle name="Normal 4 2 2 4 4 4" xfId="42852" xr:uid="{00000000-0005-0000-0000-000044A60000}"/>
    <cellStyle name="Normal 4 2 2 4 4 5" xfId="42853" xr:uid="{00000000-0005-0000-0000-000045A60000}"/>
    <cellStyle name="Normal 4 2 2 4 4 6" xfId="42854" xr:uid="{00000000-0005-0000-0000-000046A60000}"/>
    <cellStyle name="Normal 4 2 2 4 4 7" xfId="42855" xr:uid="{00000000-0005-0000-0000-000047A60000}"/>
    <cellStyle name="Normal 4 2 2 4 5" xfId="42856" xr:uid="{00000000-0005-0000-0000-000048A60000}"/>
    <cellStyle name="Normal 4 2 2 4 5 2" xfId="42857" xr:uid="{00000000-0005-0000-0000-000049A60000}"/>
    <cellStyle name="Normal 4 2 2 4 5 2 2" xfId="42858" xr:uid="{00000000-0005-0000-0000-00004AA60000}"/>
    <cellStyle name="Normal 4 2 2 4 5 2 3" xfId="42859" xr:uid="{00000000-0005-0000-0000-00004BA60000}"/>
    <cellStyle name="Normal 4 2 2 4 5 3" xfId="42860" xr:uid="{00000000-0005-0000-0000-00004CA60000}"/>
    <cellStyle name="Normal 4 2 2 4 5 4" xfId="42861" xr:uid="{00000000-0005-0000-0000-00004DA60000}"/>
    <cellStyle name="Normal 4 2 2 4 5 5" xfId="42862" xr:uid="{00000000-0005-0000-0000-00004EA60000}"/>
    <cellStyle name="Normal 4 2 2 4 5 6" xfId="42863" xr:uid="{00000000-0005-0000-0000-00004FA60000}"/>
    <cellStyle name="Normal 4 2 2 4 6" xfId="42864" xr:uid="{00000000-0005-0000-0000-000050A60000}"/>
    <cellStyle name="Normal 4 2 2 4 6 2" xfId="42865" xr:uid="{00000000-0005-0000-0000-000051A60000}"/>
    <cellStyle name="Normal 4 2 2 4 6 2 2" xfId="42866" xr:uid="{00000000-0005-0000-0000-000052A60000}"/>
    <cellStyle name="Normal 4 2 2 4 6 2 3" xfId="42867" xr:uid="{00000000-0005-0000-0000-000053A60000}"/>
    <cellStyle name="Normal 4 2 2 4 6 3" xfId="42868" xr:uid="{00000000-0005-0000-0000-000054A60000}"/>
    <cellStyle name="Normal 4 2 2 4 6 4" xfId="42869" xr:uid="{00000000-0005-0000-0000-000055A60000}"/>
    <cellStyle name="Normal 4 2 2 4 6 5" xfId="42870" xr:uid="{00000000-0005-0000-0000-000056A60000}"/>
    <cellStyle name="Normal 4 2 2 4 6 6" xfId="42871" xr:uid="{00000000-0005-0000-0000-000057A60000}"/>
    <cellStyle name="Normal 4 2 2 4 7" xfId="42872" xr:uid="{00000000-0005-0000-0000-000058A60000}"/>
    <cellStyle name="Normal 4 2 2 4 7 2" xfId="42873" xr:uid="{00000000-0005-0000-0000-000059A60000}"/>
    <cellStyle name="Normal 4 2 2 4 7 2 2" xfId="42874" xr:uid="{00000000-0005-0000-0000-00005AA60000}"/>
    <cellStyle name="Normal 4 2 2 4 7 2 3" xfId="42875" xr:uid="{00000000-0005-0000-0000-00005BA60000}"/>
    <cellStyle name="Normal 4 2 2 4 7 3" xfId="42876" xr:uid="{00000000-0005-0000-0000-00005CA60000}"/>
    <cellStyle name="Normal 4 2 2 4 7 4" xfId="42877" xr:uid="{00000000-0005-0000-0000-00005DA60000}"/>
    <cellStyle name="Normal 4 2 2 4 7 5" xfId="42878" xr:uid="{00000000-0005-0000-0000-00005EA60000}"/>
    <cellStyle name="Normal 4 2 2 4 7 6" xfId="42879" xr:uid="{00000000-0005-0000-0000-00005FA60000}"/>
    <cellStyle name="Normal 4 2 2 4 8" xfId="42880" xr:uid="{00000000-0005-0000-0000-000060A60000}"/>
    <cellStyle name="Normal 4 2 2 4 8 2" xfId="42881" xr:uid="{00000000-0005-0000-0000-000061A60000}"/>
    <cellStyle name="Normal 4 2 2 4 8 2 2" xfId="42882" xr:uid="{00000000-0005-0000-0000-000062A60000}"/>
    <cellStyle name="Normal 4 2 2 4 8 2 3" xfId="42883" xr:uid="{00000000-0005-0000-0000-000063A60000}"/>
    <cellStyle name="Normal 4 2 2 4 8 3" xfId="42884" xr:uid="{00000000-0005-0000-0000-000064A60000}"/>
    <cellStyle name="Normal 4 2 2 4 8 4" xfId="42885" xr:uid="{00000000-0005-0000-0000-000065A60000}"/>
    <cellStyle name="Normal 4 2 2 4 8 5" xfId="42886" xr:uid="{00000000-0005-0000-0000-000066A60000}"/>
    <cellStyle name="Normal 4 2 2 4 8 6" xfId="42887" xr:uid="{00000000-0005-0000-0000-000067A60000}"/>
    <cellStyle name="Normal 4 2 2 4 9" xfId="42888" xr:uid="{00000000-0005-0000-0000-000068A60000}"/>
    <cellStyle name="Normal 4 2 2 4 9 2" xfId="42889" xr:uid="{00000000-0005-0000-0000-000069A60000}"/>
    <cellStyle name="Normal 4 2 2 4 9 3" xfId="42890" xr:uid="{00000000-0005-0000-0000-00006AA60000}"/>
    <cellStyle name="Normal 4 2 2 5" xfId="42891" xr:uid="{00000000-0005-0000-0000-00006BA60000}"/>
    <cellStyle name="Normal 4 2 2 5 10" xfId="42892" xr:uid="{00000000-0005-0000-0000-00006CA60000}"/>
    <cellStyle name="Normal 4 2 2 5 2" xfId="42893" xr:uid="{00000000-0005-0000-0000-00006DA60000}"/>
    <cellStyle name="Normal 4 2 2 5 2 2" xfId="42894" xr:uid="{00000000-0005-0000-0000-00006EA60000}"/>
    <cellStyle name="Normal 4 2 2 5 2 2 2" xfId="42895" xr:uid="{00000000-0005-0000-0000-00006FA60000}"/>
    <cellStyle name="Normal 4 2 2 5 2 2 2 2" xfId="42896" xr:uid="{00000000-0005-0000-0000-000070A60000}"/>
    <cellStyle name="Normal 4 2 2 5 2 2 2 3" xfId="42897" xr:uid="{00000000-0005-0000-0000-000071A60000}"/>
    <cellStyle name="Normal 4 2 2 5 2 2 3" xfId="42898" xr:uid="{00000000-0005-0000-0000-000072A60000}"/>
    <cellStyle name="Normal 4 2 2 5 2 2 4" xfId="42899" xr:uid="{00000000-0005-0000-0000-000073A60000}"/>
    <cellStyle name="Normal 4 2 2 5 2 2 5" xfId="42900" xr:uid="{00000000-0005-0000-0000-000074A60000}"/>
    <cellStyle name="Normal 4 2 2 5 2 2 6" xfId="42901" xr:uid="{00000000-0005-0000-0000-000075A60000}"/>
    <cellStyle name="Normal 4 2 2 5 2 3" xfId="42902" xr:uid="{00000000-0005-0000-0000-000076A60000}"/>
    <cellStyle name="Normal 4 2 2 5 2 3 2" xfId="42903" xr:uid="{00000000-0005-0000-0000-000077A60000}"/>
    <cellStyle name="Normal 4 2 2 5 2 3 2 2" xfId="42904" xr:uid="{00000000-0005-0000-0000-000078A60000}"/>
    <cellStyle name="Normal 4 2 2 5 2 3 2 3" xfId="42905" xr:uid="{00000000-0005-0000-0000-000079A60000}"/>
    <cellStyle name="Normal 4 2 2 5 2 3 3" xfId="42906" xr:uid="{00000000-0005-0000-0000-00007AA60000}"/>
    <cellStyle name="Normal 4 2 2 5 2 3 4" xfId="42907" xr:uid="{00000000-0005-0000-0000-00007BA60000}"/>
    <cellStyle name="Normal 4 2 2 5 2 3 5" xfId="42908" xr:uid="{00000000-0005-0000-0000-00007CA60000}"/>
    <cellStyle name="Normal 4 2 2 5 2 3 6" xfId="42909" xr:uid="{00000000-0005-0000-0000-00007DA60000}"/>
    <cellStyle name="Normal 4 2 2 5 2 4" xfId="42910" xr:uid="{00000000-0005-0000-0000-00007EA60000}"/>
    <cellStyle name="Normal 4 2 2 5 2 4 2" xfId="42911" xr:uid="{00000000-0005-0000-0000-00007FA60000}"/>
    <cellStyle name="Normal 4 2 2 5 2 4 3" xfId="42912" xr:uid="{00000000-0005-0000-0000-000080A60000}"/>
    <cellStyle name="Normal 4 2 2 5 2 5" xfId="42913" xr:uid="{00000000-0005-0000-0000-000081A60000}"/>
    <cellStyle name="Normal 4 2 2 5 2 6" xfId="42914" xr:uid="{00000000-0005-0000-0000-000082A60000}"/>
    <cellStyle name="Normal 4 2 2 5 2 7" xfId="42915" xr:uid="{00000000-0005-0000-0000-000083A60000}"/>
    <cellStyle name="Normal 4 2 2 5 2 8" xfId="42916" xr:uid="{00000000-0005-0000-0000-000084A60000}"/>
    <cellStyle name="Normal 4 2 2 5 3" xfId="42917" xr:uid="{00000000-0005-0000-0000-000085A60000}"/>
    <cellStyle name="Normal 4 2 2 5 3 2" xfId="42918" xr:uid="{00000000-0005-0000-0000-000086A60000}"/>
    <cellStyle name="Normal 4 2 2 5 3 2 2" xfId="42919" xr:uid="{00000000-0005-0000-0000-000087A60000}"/>
    <cellStyle name="Normal 4 2 2 5 3 2 2 2" xfId="42920" xr:uid="{00000000-0005-0000-0000-000088A60000}"/>
    <cellStyle name="Normal 4 2 2 5 3 2 2 3" xfId="42921" xr:uid="{00000000-0005-0000-0000-000089A60000}"/>
    <cellStyle name="Normal 4 2 2 5 3 2 3" xfId="42922" xr:uid="{00000000-0005-0000-0000-00008AA60000}"/>
    <cellStyle name="Normal 4 2 2 5 3 2 4" xfId="42923" xr:uid="{00000000-0005-0000-0000-00008BA60000}"/>
    <cellStyle name="Normal 4 2 2 5 3 2 5" xfId="42924" xr:uid="{00000000-0005-0000-0000-00008CA60000}"/>
    <cellStyle name="Normal 4 2 2 5 3 2 6" xfId="42925" xr:uid="{00000000-0005-0000-0000-00008DA60000}"/>
    <cellStyle name="Normal 4 2 2 5 3 3" xfId="42926" xr:uid="{00000000-0005-0000-0000-00008EA60000}"/>
    <cellStyle name="Normal 4 2 2 5 3 3 2" xfId="42927" xr:uid="{00000000-0005-0000-0000-00008FA60000}"/>
    <cellStyle name="Normal 4 2 2 5 3 3 3" xfId="42928" xr:uid="{00000000-0005-0000-0000-000090A60000}"/>
    <cellStyle name="Normal 4 2 2 5 3 4" xfId="42929" xr:uid="{00000000-0005-0000-0000-000091A60000}"/>
    <cellStyle name="Normal 4 2 2 5 3 5" xfId="42930" xr:uid="{00000000-0005-0000-0000-000092A60000}"/>
    <cellStyle name="Normal 4 2 2 5 3 6" xfId="42931" xr:uid="{00000000-0005-0000-0000-000093A60000}"/>
    <cellStyle name="Normal 4 2 2 5 3 7" xfId="42932" xr:uid="{00000000-0005-0000-0000-000094A60000}"/>
    <cellStyle name="Normal 4 2 2 5 4" xfId="42933" xr:uid="{00000000-0005-0000-0000-000095A60000}"/>
    <cellStyle name="Normal 4 2 2 5 4 2" xfId="42934" xr:uid="{00000000-0005-0000-0000-000096A60000}"/>
    <cellStyle name="Normal 4 2 2 5 4 2 2" xfId="42935" xr:uid="{00000000-0005-0000-0000-000097A60000}"/>
    <cellStyle name="Normal 4 2 2 5 4 2 3" xfId="42936" xr:uid="{00000000-0005-0000-0000-000098A60000}"/>
    <cellStyle name="Normal 4 2 2 5 4 3" xfId="42937" xr:uid="{00000000-0005-0000-0000-000099A60000}"/>
    <cellStyle name="Normal 4 2 2 5 4 4" xfId="42938" xr:uid="{00000000-0005-0000-0000-00009AA60000}"/>
    <cellStyle name="Normal 4 2 2 5 4 5" xfId="42939" xr:uid="{00000000-0005-0000-0000-00009BA60000}"/>
    <cellStyle name="Normal 4 2 2 5 4 6" xfId="42940" xr:uid="{00000000-0005-0000-0000-00009CA60000}"/>
    <cellStyle name="Normal 4 2 2 5 5" xfId="42941" xr:uid="{00000000-0005-0000-0000-00009DA60000}"/>
    <cellStyle name="Normal 4 2 2 5 5 2" xfId="42942" xr:uid="{00000000-0005-0000-0000-00009EA60000}"/>
    <cellStyle name="Normal 4 2 2 5 5 2 2" xfId="42943" xr:uid="{00000000-0005-0000-0000-00009FA60000}"/>
    <cellStyle name="Normal 4 2 2 5 5 2 3" xfId="42944" xr:uid="{00000000-0005-0000-0000-0000A0A60000}"/>
    <cellStyle name="Normal 4 2 2 5 5 3" xfId="42945" xr:uid="{00000000-0005-0000-0000-0000A1A60000}"/>
    <cellStyle name="Normal 4 2 2 5 5 4" xfId="42946" xr:uid="{00000000-0005-0000-0000-0000A2A60000}"/>
    <cellStyle name="Normal 4 2 2 5 5 5" xfId="42947" xr:uid="{00000000-0005-0000-0000-0000A3A60000}"/>
    <cellStyle name="Normal 4 2 2 5 5 6" xfId="42948" xr:uid="{00000000-0005-0000-0000-0000A4A60000}"/>
    <cellStyle name="Normal 4 2 2 5 6" xfId="42949" xr:uid="{00000000-0005-0000-0000-0000A5A60000}"/>
    <cellStyle name="Normal 4 2 2 5 6 2" xfId="42950" xr:uid="{00000000-0005-0000-0000-0000A6A60000}"/>
    <cellStyle name="Normal 4 2 2 5 6 3" xfId="42951" xr:uid="{00000000-0005-0000-0000-0000A7A60000}"/>
    <cellStyle name="Normal 4 2 2 5 7" xfId="42952" xr:uid="{00000000-0005-0000-0000-0000A8A60000}"/>
    <cellStyle name="Normal 4 2 2 5 8" xfId="42953" xr:uid="{00000000-0005-0000-0000-0000A9A60000}"/>
    <cellStyle name="Normal 4 2 2 5 9" xfId="42954" xr:uid="{00000000-0005-0000-0000-0000AAA60000}"/>
    <cellStyle name="Normal 4 2 2 6" xfId="42955" xr:uid="{00000000-0005-0000-0000-0000ABA60000}"/>
    <cellStyle name="Normal 4 2 2 6 2" xfId="42956" xr:uid="{00000000-0005-0000-0000-0000ACA60000}"/>
    <cellStyle name="Normal 4 2 2 6 2 2" xfId="42957" xr:uid="{00000000-0005-0000-0000-0000ADA60000}"/>
    <cellStyle name="Normal 4 2 2 6 2 2 2" xfId="42958" xr:uid="{00000000-0005-0000-0000-0000AEA60000}"/>
    <cellStyle name="Normal 4 2 2 6 2 2 2 2" xfId="42959" xr:uid="{00000000-0005-0000-0000-0000AFA60000}"/>
    <cellStyle name="Normal 4 2 2 6 2 2 2 3" xfId="42960" xr:uid="{00000000-0005-0000-0000-0000B0A60000}"/>
    <cellStyle name="Normal 4 2 2 6 2 2 3" xfId="42961" xr:uid="{00000000-0005-0000-0000-0000B1A60000}"/>
    <cellStyle name="Normal 4 2 2 6 2 2 4" xfId="42962" xr:uid="{00000000-0005-0000-0000-0000B2A60000}"/>
    <cellStyle name="Normal 4 2 2 6 2 2 5" xfId="42963" xr:uid="{00000000-0005-0000-0000-0000B3A60000}"/>
    <cellStyle name="Normal 4 2 2 6 2 2 6" xfId="42964" xr:uid="{00000000-0005-0000-0000-0000B4A60000}"/>
    <cellStyle name="Normal 4 2 2 6 2 3" xfId="42965" xr:uid="{00000000-0005-0000-0000-0000B5A60000}"/>
    <cellStyle name="Normal 4 2 2 6 2 3 2" xfId="42966" xr:uid="{00000000-0005-0000-0000-0000B6A60000}"/>
    <cellStyle name="Normal 4 2 2 6 2 3 3" xfId="42967" xr:uid="{00000000-0005-0000-0000-0000B7A60000}"/>
    <cellStyle name="Normal 4 2 2 6 2 4" xfId="42968" xr:uid="{00000000-0005-0000-0000-0000B8A60000}"/>
    <cellStyle name="Normal 4 2 2 6 2 5" xfId="42969" xr:uid="{00000000-0005-0000-0000-0000B9A60000}"/>
    <cellStyle name="Normal 4 2 2 6 2 6" xfId="42970" xr:uid="{00000000-0005-0000-0000-0000BAA60000}"/>
    <cellStyle name="Normal 4 2 2 6 2 7" xfId="42971" xr:uid="{00000000-0005-0000-0000-0000BBA60000}"/>
    <cellStyle name="Normal 4 2 2 6 3" xfId="42972" xr:uid="{00000000-0005-0000-0000-0000BCA60000}"/>
    <cellStyle name="Normal 4 2 2 6 3 2" xfId="42973" xr:uid="{00000000-0005-0000-0000-0000BDA60000}"/>
    <cellStyle name="Normal 4 2 2 6 3 2 2" xfId="42974" xr:uid="{00000000-0005-0000-0000-0000BEA60000}"/>
    <cellStyle name="Normal 4 2 2 6 3 2 3" xfId="42975" xr:uid="{00000000-0005-0000-0000-0000BFA60000}"/>
    <cellStyle name="Normal 4 2 2 6 3 3" xfId="42976" xr:uid="{00000000-0005-0000-0000-0000C0A60000}"/>
    <cellStyle name="Normal 4 2 2 6 3 4" xfId="42977" xr:uid="{00000000-0005-0000-0000-0000C1A60000}"/>
    <cellStyle name="Normal 4 2 2 6 3 5" xfId="42978" xr:uid="{00000000-0005-0000-0000-0000C2A60000}"/>
    <cellStyle name="Normal 4 2 2 6 3 6" xfId="42979" xr:uid="{00000000-0005-0000-0000-0000C3A60000}"/>
    <cellStyle name="Normal 4 2 2 6 4" xfId="42980" xr:uid="{00000000-0005-0000-0000-0000C4A60000}"/>
    <cellStyle name="Normal 4 2 2 6 4 2" xfId="42981" xr:uid="{00000000-0005-0000-0000-0000C5A60000}"/>
    <cellStyle name="Normal 4 2 2 6 4 2 2" xfId="42982" xr:uid="{00000000-0005-0000-0000-0000C6A60000}"/>
    <cellStyle name="Normal 4 2 2 6 4 2 3" xfId="42983" xr:uid="{00000000-0005-0000-0000-0000C7A60000}"/>
    <cellStyle name="Normal 4 2 2 6 4 3" xfId="42984" xr:uid="{00000000-0005-0000-0000-0000C8A60000}"/>
    <cellStyle name="Normal 4 2 2 6 4 4" xfId="42985" xr:uid="{00000000-0005-0000-0000-0000C9A60000}"/>
    <cellStyle name="Normal 4 2 2 6 4 5" xfId="42986" xr:uid="{00000000-0005-0000-0000-0000CAA60000}"/>
    <cellStyle name="Normal 4 2 2 6 4 6" xfId="42987" xr:uid="{00000000-0005-0000-0000-0000CBA60000}"/>
    <cellStyle name="Normal 4 2 2 6 5" xfId="42988" xr:uid="{00000000-0005-0000-0000-0000CCA60000}"/>
    <cellStyle name="Normal 4 2 2 6 5 2" xfId="42989" xr:uid="{00000000-0005-0000-0000-0000CDA60000}"/>
    <cellStyle name="Normal 4 2 2 6 5 3" xfId="42990" xr:uid="{00000000-0005-0000-0000-0000CEA60000}"/>
    <cellStyle name="Normal 4 2 2 6 6" xfId="42991" xr:uid="{00000000-0005-0000-0000-0000CFA60000}"/>
    <cellStyle name="Normal 4 2 2 6 7" xfId="42992" xr:uid="{00000000-0005-0000-0000-0000D0A60000}"/>
    <cellStyle name="Normal 4 2 2 6 8" xfId="42993" xr:uid="{00000000-0005-0000-0000-0000D1A60000}"/>
    <cellStyle name="Normal 4 2 2 6 9" xfId="42994" xr:uid="{00000000-0005-0000-0000-0000D2A60000}"/>
    <cellStyle name="Normal 4 2 2 7" xfId="42995" xr:uid="{00000000-0005-0000-0000-0000D3A60000}"/>
    <cellStyle name="Normal 4 2 2 7 2" xfId="42996" xr:uid="{00000000-0005-0000-0000-0000D4A60000}"/>
    <cellStyle name="Normal 4 2 2 7 2 2" xfId="42997" xr:uid="{00000000-0005-0000-0000-0000D5A60000}"/>
    <cellStyle name="Normal 4 2 2 7 2 2 2" xfId="42998" xr:uid="{00000000-0005-0000-0000-0000D6A60000}"/>
    <cellStyle name="Normal 4 2 2 7 2 2 3" xfId="42999" xr:uid="{00000000-0005-0000-0000-0000D7A60000}"/>
    <cellStyle name="Normal 4 2 2 7 2 3" xfId="43000" xr:uid="{00000000-0005-0000-0000-0000D8A60000}"/>
    <cellStyle name="Normal 4 2 2 7 2 4" xfId="43001" xr:uid="{00000000-0005-0000-0000-0000D9A60000}"/>
    <cellStyle name="Normal 4 2 2 7 2 5" xfId="43002" xr:uid="{00000000-0005-0000-0000-0000DAA60000}"/>
    <cellStyle name="Normal 4 2 2 7 2 6" xfId="43003" xr:uid="{00000000-0005-0000-0000-0000DBA60000}"/>
    <cellStyle name="Normal 4 2 2 7 3" xfId="43004" xr:uid="{00000000-0005-0000-0000-0000DCA60000}"/>
    <cellStyle name="Normal 4 2 2 7 3 2" xfId="43005" xr:uid="{00000000-0005-0000-0000-0000DDA60000}"/>
    <cellStyle name="Normal 4 2 2 7 3 3" xfId="43006" xr:uid="{00000000-0005-0000-0000-0000DEA60000}"/>
    <cellStyle name="Normal 4 2 2 7 4" xfId="43007" xr:uid="{00000000-0005-0000-0000-0000DFA60000}"/>
    <cellStyle name="Normal 4 2 2 7 5" xfId="43008" xr:uid="{00000000-0005-0000-0000-0000E0A60000}"/>
    <cellStyle name="Normal 4 2 2 7 6" xfId="43009" xr:uid="{00000000-0005-0000-0000-0000E1A60000}"/>
    <cellStyle name="Normal 4 2 2 7 7" xfId="43010" xr:uid="{00000000-0005-0000-0000-0000E2A60000}"/>
    <cellStyle name="Normal 4 2 2 8" xfId="43011" xr:uid="{00000000-0005-0000-0000-0000E3A60000}"/>
    <cellStyle name="Normal 4 2 2 8 2" xfId="43012" xr:uid="{00000000-0005-0000-0000-0000E4A60000}"/>
    <cellStyle name="Normal 4 2 2 8 2 2" xfId="43013" xr:uid="{00000000-0005-0000-0000-0000E5A60000}"/>
    <cellStyle name="Normal 4 2 2 8 2 3" xfId="43014" xr:uid="{00000000-0005-0000-0000-0000E6A60000}"/>
    <cellStyle name="Normal 4 2 2 8 3" xfId="43015" xr:uid="{00000000-0005-0000-0000-0000E7A60000}"/>
    <cellStyle name="Normal 4 2 2 8 4" xfId="43016" xr:uid="{00000000-0005-0000-0000-0000E8A60000}"/>
    <cellStyle name="Normal 4 2 2 8 5" xfId="43017" xr:uid="{00000000-0005-0000-0000-0000E9A60000}"/>
    <cellStyle name="Normal 4 2 2 8 6" xfId="43018" xr:uid="{00000000-0005-0000-0000-0000EAA60000}"/>
    <cellStyle name="Normal 4 2 2 9" xfId="43019" xr:uid="{00000000-0005-0000-0000-0000EBA60000}"/>
    <cellStyle name="Normal 4 2 2 9 2" xfId="43020" xr:uid="{00000000-0005-0000-0000-0000ECA60000}"/>
    <cellStyle name="Normal 4 2 2 9 2 2" xfId="43021" xr:uid="{00000000-0005-0000-0000-0000EDA60000}"/>
    <cellStyle name="Normal 4 2 2 9 2 3" xfId="43022" xr:uid="{00000000-0005-0000-0000-0000EEA60000}"/>
    <cellStyle name="Normal 4 2 2 9 3" xfId="43023" xr:uid="{00000000-0005-0000-0000-0000EFA60000}"/>
    <cellStyle name="Normal 4 2 2 9 4" xfId="43024" xr:uid="{00000000-0005-0000-0000-0000F0A60000}"/>
    <cellStyle name="Normal 4 2 2 9 5" xfId="43025" xr:uid="{00000000-0005-0000-0000-0000F1A60000}"/>
    <cellStyle name="Normal 4 2 2 9 6" xfId="43026" xr:uid="{00000000-0005-0000-0000-0000F2A60000}"/>
    <cellStyle name="Normal 4 2 3" xfId="423" xr:uid="{00000000-0005-0000-0000-0000F3A60000}"/>
    <cellStyle name="Normal 4 2 4" xfId="43027" xr:uid="{00000000-0005-0000-0000-0000F4A60000}"/>
    <cellStyle name="Normal 4 2 4 10" xfId="43028" xr:uid="{00000000-0005-0000-0000-0000F5A60000}"/>
    <cellStyle name="Normal 4 2 4 10 2" xfId="43029" xr:uid="{00000000-0005-0000-0000-0000F6A60000}"/>
    <cellStyle name="Normal 4 2 4 10 2 2" xfId="43030" xr:uid="{00000000-0005-0000-0000-0000F7A60000}"/>
    <cellStyle name="Normal 4 2 4 10 2 3" xfId="43031" xr:uid="{00000000-0005-0000-0000-0000F8A60000}"/>
    <cellStyle name="Normal 4 2 4 10 3" xfId="43032" xr:uid="{00000000-0005-0000-0000-0000F9A60000}"/>
    <cellStyle name="Normal 4 2 4 10 4" xfId="43033" xr:uid="{00000000-0005-0000-0000-0000FAA60000}"/>
    <cellStyle name="Normal 4 2 4 10 5" xfId="43034" xr:uid="{00000000-0005-0000-0000-0000FBA60000}"/>
    <cellStyle name="Normal 4 2 4 10 6" xfId="43035" xr:uid="{00000000-0005-0000-0000-0000FCA60000}"/>
    <cellStyle name="Normal 4 2 4 11" xfId="43036" xr:uid="{00000000-0005-0000-0000-0000FDA60000}"/>
    <cellStyle name="Normal 4 2 4 11 2" xfId="43037" xr:uid="{00000000-0005-0000-0000-0000FEA60000}"/>
    <cellStyle name="Normal 4 2 4 11 3" xfId="43038" xr:uid="{00000000-0005-0000-0000-0000FFA60000}"/>
    <cellStyle name="Normal 4 2 4 12" xfId="43039" xr:uid="{00000000-0005-0000-0000-000000A70000}"/>
    <cellStyle name="Normal 4 2 4 13" xfId="43040" xr:uid="{00000000-0005-0000-0000-000001A70000}"/>
    <cellStyle name="Normal 4 2 4 14" xfId="43041" xr:uid="{00000000-0005-0000-0000-000002A70000}"/>
    <cellStyle name="Normal 4 2 4 15" xfId="43042" xr:uid="{00000000-0005-0000-0000-000003A70000}"/>
    <cellStyle name="Normal 4 2 4 2" xfId="43043" xr:uid="{00000000-0005-0000-0000-000004A70000}"/>
    <cellStyle name="Normal 4 2 4 2 10" xfId="43044" xr:uid="{00000000-0005-0000-0000-000005A70000}"/>
    <cellStyle name="Normal 4 2 4 2 10 2" xfId="43045" xr:uid="{00000000-0005-0000-0000-000006A70000}"/>
    <cellStyle name="Normal 4 2 4 2 10 3" xfId="43046" xr:uid="{00000000-0005-0000-0000-000007A70000}"/>
    <cellStyle name="Normal 4 2 4 2 11" xfId="43047" xr:uid="{00000000-0005-0000-0000-000008A70000}"/>
    <cellStyle name="Normal 4 2 4 2 12" xfId="43048" xr:uid="{00000000-0005-0000-0000-000009A70000}"/>
    <cellStyle name="Normal 4 2 4 2 13" xfId="43049" xr:uid="{00000000-0005-0000-0000-00000AA70000}"/>
    <cellStyle name="Normal 4 2 4 2 14" xfId="43050" xr:uid="{00000000-0005-0000-0000-00000BA70000}"/>
    <cellStyle name="Normal 4 2 4 2 2" xfId="43051" xr:uid="{00000000-0005-0000-0000-00000CA70000}"/>
    <cellStyle name="Normal 4 2 4 2 2 10" xfId="43052" xr:uid="{00000000-0005-0000-0000-00000DA70000}"/>
    <cellStyle name="Normal 4 2 4 2 2 11" xfId="43053" xr:uid="{00000000-0005-0000-0000-00000EA70000}"/>
    <cellStyle name="Normal 4 2 4 2 2 12" xfId="43054" xr:uid="{00000000-0005-0000-0000-00000FA70000}"/>
    <cellStyle name="Normal 4 2 4 2 2 13" xfId="43055" xr:uid="{00000000-0005-0000-0000-000010A70000}"/>
    <cellStyle name="Normal 4 2 4 2 2 2" xfId="43056" xr:uid="{00000000-0005-0000-0000-000011A70000}"/>
    <cellStyle name="Normal 4 2 4 2 2 2 10" xfId="43057" xr:uid="{00000000-0005-0000-0000-000012A70000}"/>
    <cellStyle name="Normal 4 2 4 2 2 2 2" xfId="43058" xr:uid="{00000000-0005-0000-0000-000013A70000}"/>
    <cellStyle name="Normal 4 2 4 2 2 2 2 2" xfId="43059" xr:uid="{00000000-0005-0000-0000-000014A70000}"/>
    <cellStyle name="Normal 4 2 4 2 2 2 2 2 2" xfId="43060" xr:uid="{00000000-0005-0000-0000-000015A70000}"/>
    <cellStyle name="Normal 4 2 4 2 2 2 2 2 2 2" xfId="43061" xr:uid="{00000000-0005-0000-0000-000016A70000}"/>
    <cellStyle name="Normal 4 2 4 2 2 2 2 2 2 3" xfId="43062" xr:uid="{00000000-0005-0000-0000-000017A70000}"/>
    <cellStyle name="Normal 4 2 4 2 2 2 2 2 3" xfId="43063" xr:uid="{00000000-0005-0000-0000-000018A70000}"/>
    <cellStyle name="Normal 4 2 4 2 2 2 2 2 4" xfId="43064" xr:uid="{00000000-0005-0000-0000-000019A70000}"/>
    <cellStyle name="Normal 4 2 4 2 2 2 2 2 5" xfId="43065" xr:uid="{00000000-0005-0000-0000-00001AA70000}"/>
    <cellStyle name="Normal 4 2 4 2 2 2 2 2 6" xfId="43066" xr:uid="{00000000-0005-0000-0000-00001BA70000}"/>
    <cellStyle name="Normal 4 2 4 2 2 2 2 3" xfId="43067" xr:uid="{00000000-0005-0000-0000-00001CA70000}"/>
    <cellStyle name="Normal 4 2 4 2 2 2 2 3 2" xfId="43068" xr:uid="{00000000-0005-0000-0000-00001DA70000}"/>
    <cellStyle name="Normal 4 2 4 2 2 2 2 3 2 2" xfId="43069" xr:uid="{00000000-0005-0000-0000-00001EA70000}"/>
    <cellStyle name="Normal 4 2 4 2 2 2 2 3 2 3" xfId="43070" xr:uid="{00000000-0005-0000-0000-00001FA70000}"/>
    <cellStyle name="Normal 4 2 4 2 2 2 2 3 3" xfId="43071" xr:uid="{00000000-0005-0000-0000-000020A70000}"/>
    <cellStyle name="Normal 4 2 4 2 2 2 2 3 4" xfId="43072" xr:uid="{00000000-0005-0000-0000-000021A70000}"/>
    <cellStyle name="Normal 4 2 4 2 2 2 2 3 5" xfId="43073" xr:uid="{00000000-0005-0000-0000-000022A70000}"/>
    <cellStyle name="Normal 4 2 4 2 2 2 2 3 6" xfId="43074" xr:uid="{00000000-0005-0000-0000-000023A70000}"/>
    <cellStyle name="Normal 4 2 4 2 2 2 2 4" xfId="43075" xr:uid="{00000000-0005-0000-0000-000024A70000}"/>
    <cellStyle name="Normal 4 2 4 2 2 2 2 4 2" xfId="43076" xr:uid="{00000000-0005-0000-0000-000025A70000}"/>
    <cellStyle name="Normal 4 2 4 2 2 2 2 4 3" xfId="43077" xr:uid="{00000000-0005-0000-0000-000026A70000}"/>
    <cellStyle name="Normal 4 2 4 2 2 2 2 5" xfId="43078" xr:uid="{00000000-0005-0000-0000-000027A70000}"/>
    <cellStyle name="Normal 4 2 4 2 2 2 2 6" xfId="43079" xr:uid="{00000000-0005-0000-0000-000028A70000}"/>
    <cellStyle name="Normal 4 2 4 2 2 2 2 7" xfId="43080" xr:uid="{00000000-0005-0000-0000-000029A70000}"/>
    <cellStyle name="Normal 4 2 4 2 2 2 2 8" xfId="43081" xr:uid="{00000000-0005-0000-0000-00002AA70000}"/>
    <cellStyle name="Normal 4 2 4 2 2 2 3" xfId="43082" xr:uid="{00000000-0005-0000-0000-00002BA70000}"/>
    <cellStyle name="Normal 4 2 4 2 2 2 3 2" xfId="43083" xr:uid="{00000000-0005-0000-0000-00002CA70000}"/>
    <cellStyle name="Normal 4 2 4 2 2 2 3 2 2" xfId="43084" xr:uid="{00000000-0005-0000-0000-00002DA70000}"/>
    <cellStyle name="Normal 4 2 4 2 2 2 3 2 2 2" xfId="43085" xr:uid="{00000000-0005-0000-0000-00002EA70000}"/>
    <cellStyle name="Normal 4 2 4 2 2 2 3 2 2 3" xfId="43086" xr:uid="{00000000-0005-0000-0000-00002FA70000}"/>
    <cellStyle name="Normal 4 2 4 2 2 2 3 2 3" xfId="43087" xr:uid="{00000000-0005-0000-0000-000030A70000}"/>
    <cellStyle name="Normal 4 2 4 2 2 2 3 2 4" xfId="43088" xr:uid="{00000000-0005-0000-0000-000031A70000}"/>
    <cellStyle name="Normal 4 2 4 2 2 2 3 2 5" xfId="43089" xr:uid="{00000000-0005-0000-0000-000032A70000}"/>
    <cellStyle name="Normal 4 2 4 2 2 2 3 2 6" xfId="43090" xr:uid="{00000000-0005-0000-0000-000033A70000}"/>
    <cellStyle name="Normal 4 2 4 2 2 2 3 3" xfId="43091" xr:uid="{00000000-0005-0000-0000-000034A70000}"/>
    <cellStyle name="Normal 4 2 4 2 2 2 3 3 2" xfId="43092" xr:uid="{00000000-0005-0000-0000-000035A70000}"/>
    <cellStyle name="Normal 4 2 4 2 2 2 3 3 3" xfId="43093" xr:uid="{00000000-0005-0000-0000-000036A70000}"/>
    <cellStyle name="Normal 4 2 4 2 2 2 3 4" xfId="43094" xr:uid="{00000000-0005-0000-0000-000037A70000}"/>
    <cellStyle name="Normal 4 2 4 2 2 2 3 5" xfId="43095" xr:uid="{00000000-0005-0000-0000-000038A70000}"/>
    <cellStyle name="Normal 4 2 4 2 2 2 3 6" xfId="43096" xr:uid="{00000000-0005-0000-0000-000039A70000}"/>
    <cellStyle name="Normal 4 2 4 2 2 2 3 7" xfId="43097" xr:uid="{00000000-0005-0000-0000-00003AA70000}"/>
    <cellStyle name="Normal 4 2 4 2 2 2 4" xfId="43098" xr:uid="{00000000-0005-0000-0000-00003BA70000}"/>
    <cellStyle name="Normal 4 2 4 2 2 2 4 2" xfId="43099" xr:uid="{00000000-0005-0000-0000-00003CA70000}"/>
    <cellStyle name="Normal 4 2 4 2 2 2 4 2 2" xfId="43100" xr:uid="{00000000-0005-0000-0000-00003DA70000}"/>
    <cellStyle name="Normal 4 2 4 2 2 2 4 2 3" xfId="43101" xr:uid="{00000000-0005-0000-0000-00003EA70000}"/>
    <cellStyle name="Normal 4 2 4 2 2 2 4 3" xfId="43102" xr:uid="{00000000-0005-0000-0000-00003FA70000}"/>
    <cellStyle name="Normal 4 2 4 2 2 2 4 4" xfId="43103" xr:uid="{00000000-0005-0000-0000-000040A70000}"/>
    <cellStyle name="Normal 4 2 4 2 2 2 4 5" xfId="43104" xr:uid="{00000000-0005-0000-0000-000041A70000}"/>
    <cellStyle name="Normal 4 2 4 2 2 2 4 6" xfId="43105" xr:uid="{00000000-0005-0000-0000-000042A70000}"/>
    <cellStyle name="Normal 4 2 4 2 2 2 5" xfId="43106" xr:uid="{00000000-0005-0000-0000-000043A70000}"/>
    <cellStyle name="Normal 4 2 4 2 2 2 5 2" xfId="43107" xr:uid="{00000000-0005-0000-0000-000044A70000}"/>
    <cellStyle name="Normal 4 2 4 2 2 2 5 2 2" xfId="43108" xr:uid="{00000000-0005-0000-0000-000045A70000}"/>
    <cellStyle name="Normal 4 2 4 2 2 2 5 2 3" xfId="43109" xr:uid="{00000000-0005-0000-0000-000046A70000}"/>
    <cellStyle name="Normal 4 2 4 2 2 2 5 3" xfId="43110" xr:uid="{00000000-0005-0000-0000-000047A70000}"/>
    <cellStyle name="Normal 4 2 4 2 2 2 5 4" xfId="43111" xr:uid="{00000000-0005-0000-0000-000048A70000}"/>
    <cellStyle name="Normal 4 2 4 2 2 2 5 5" xfId="43112" xr:uid="{00000000-0005-0000-0000-000049A70000}"/>
    <cellStyle name="Normal 4 2 4 2 2 2 5 6" xfId="43113" xr:uid="{00000000-0005-0000-0000-00004AA70000}"/>
    <cellStyle name="Normal 4 2 4 2 2 2 6" xfId="43114" xr:uid="{00000000-0005-0000-0000-00004BA70000}"/>
    <cellStyle name="Normal 4 2 4 2 2 2 6 2" xfId="43115" xr:uid="{00000000-0005-0000-0000-00004CA70000}"/>
    <cellStyle name="Normal 4 2 4 2 2 2 6 3" xfId="43116" xr:uid="{00000000-0005-0000-0000-00004DA70000}"/>
    <cellStyle name="Normal 4 2 4 2 2 2 7" xfId="43117" xr:uid="{00000000-0005-0000-0000-00004EA70000}"/>
    <cellStyle name="Normal 4 2 4 2 2 2 8" xfId="43118" xr:uid="{00000000-0005-0000-0000-00004FA70000}"/>
    <cellStyle name="Normal 4 2 4 2 2 2 9" xfId="43119" xr:uid="{00000000-0005-0000-0000-000050A70000}"/>
    <cellStyle name="Normal 4 2 4 2 2 3" xfId="43120" xr:uid="{00000000-0005-0000-0000-000051A70000}"/>
    <cellStyle name="Normal 4 2 4 2 2 3 2" xfId="43121" xr:uid="{00000000-0005-0000-0000-000052A70000}"/>
    <cellStyle name="Normal 4 2 4 2 2 3 2 2" xfId="43122" xr:uid="{00000000-0005-0000-0000-000053A70000}"/>
    <cellStyle name="Normal 4 2 4 2 2 3 2 2 2" xfId="43123" xr:uid="{00000000-0005-0000-0000-000054A70000}"/>
    <cellStyle name="Normal 4 2 4 2 2 3 2 2 2 2" xfId="43124" xr:uid="{00000000-0005-0000-0000-000055A70000}"/>
    <cellStyle name="Normal 4 2 4 2 2 3 2 2 2 3" xfId="43125" xr:uid="{00000000-0005-0000-0000-000056A70000}"/>
    <cellStyle name="Normal 4 2 4 2 2 3 2 2 3" xfId="43126" xr:uid="{00000000-0005-0000-0000-000057A70000}"/>
    <cellStyle name="Normal 4 2 4 2 2 3 2 2 4" xfId="43127" xr:uid="{00000000-0005-0000-0000-000058A70000}"/>
    <cellStyle name="Normal 4 2 4 2 2 3 2 2 5" xfId="43128" xr:uid="{00000000-0005-0000-0000-000059A70000}"/>
    <cellStyle name="Normal 4 2 4 2 2 3 2 2 6" xfId="43129" xr:uid="{00000000-0005-0000-0000-00005AA70000}"/>
    <cellStyle name="Normal 4 2 4 2 2 3 2 3" xfId="43130" xr:uid="{00000000-0005-0000-0000-00005BA70000}"/>
    <cellStyle name="Normal 4 2 4 2 2 3 2 3 2" xfId="43131" xr:uid="{00000000-0005-0000-0000-00005CA70000}"/>
    <cellStyle name="Normal 4 2 4 2 2 3 2 3 3" xfId="43132" xr:uid="{00000000-0005-0000-0000-00005DA70000}"/>
    <cellStyle name="Normal 4 2 4 2 2 3 2 4" xfId="43133" xr:uid="{00000000-0005-0000-0000-00005EA70000}"/>
    <cellStyle name="Normal 4 2 4 2 2 3 2 5" xfId="43134" xr:uid="{00000000-0005-0000-0000-00005FA70000}"/>
    <cellStyle name="Normal 4 2 4 2 2 3 2 6" xfId="43135" xr:uid="{00000000-0005-0000-0000-000060A70000}"/>
    <cellStyle name="Normal 4 2 4 2 2 3 2 7" xfId="43136" xr:uid="{00000000-0005-0000-0000-000061A70000}"/>
    <cellStyle name="Normal 4 2 4 2 2 3 3" xfId="43137" xr:uid="{00000000-0005-0000-0000-000062A70000}"/>
    <cellStyle name="Normal 4 2 4 2 2 3 3 2" xfId="43138" xr:uid="{00000000-0005-0000-0000-000063A70000}"/>
    <cellStyle name="Normal 4 2 4 2 2 3 3 2 2" xfId="43139" xr:uid="{00000000-0005-0000-0000-000064A70000}"/>
    <cellStyle name="Normal 4 2 4 2 2 3 3 2 3" xfId="43140" xr:uid="{00000000-0005-0000-0000-000065A70000}"/>
    <cellStyle name="Normal 4 2 4 2 2 3 3 3" xfId="43141" xr:uid="{00000000-0005-0000-0000-000066A70000}"/>
    <cellStyle name="Normal 4 2 4 2 2 3 3 4" xfId="43142" xr:uid="{00000000-0005-0000-0000-000067A70000}"/>
    <cellStyle name="Normal 4 2 4 2 2 3 3 5" xfId="43143" xr:uid="{00000000-0005-0000-0000-000068A70000}"/>
    <cellStyle name="Normal 4 2 4 2 2 3 3 6" xfId="43144" xr:uid="{00000000-0005-0000-0000-000069A70000}"/>
    <cellStyle name="Normal 4 2 4 2 2 3 4" xfId="43145" xr:uid="{00000000-0005-0000-0000-00006AA70000}"/>
    <cellStyle name="Normal 4 2 4 2 2 3 4 2" xfId="43146" xr:uid="{00000000-0005-0000-0000-00006BA70000}"/>
    <cellStyle name="Normal 4 2 4 2 2 3 4 2 2" xfId="43147" xr:uid="{00000000-0005-0000-0000-00006CA70000}"/>
    <cellStyle name="Normal 4 2 4 2 2 3 4 2 3" xfId="43148" xr:uid="{00000000-0005-0000-0000-00006DA70000}"/>
    <cellStyle name="Normal 4 2 4 2 2 3 4 3" xfId="43149" xr:uid="{00000000-0005-0000-0000-00006EA70000}"/>
    <cellStyle name="Normal 4 2 4 2 2 3 4 4" xfId="43150" xr:uid="{00000000-0005-0000-0000-00006FA70000}"/>
    <cellStyle name="Normal 4 2 4 2 2 3 4 5" xfId="43151" xr:uid="{00000000-0005-0000-0000-000070A70000}"/>
    <cellStyle name="Normal 4 2 4 2 2 3 4 6" xfId="43152" xr:uid="{00000000-0005-0000-0000-000071A70000}"/>
    <cellStyle name="Normal 4 2 4 2 2 3 5" xfId="43153" xr:uid="{00000000-0005-0000-0000-000072A70000}"/>
    <cellStyle name="Normal 4 2 4 2 2 3 5 2" xfId="43154" xr:uid="{00000000-0005-0000-0000-000073A70000}"/>
    <cellStyle name="Normal 4 2 4 2 2 3 5 3" xfId="43155" xr:uid="{00000000-0005-0000-0000-000074A70000}"/>
    <cellStyle name="Normal 4 2 4 2 2 3 6" xfId="43156" xr:uid="{00000000-0005-0000-0000-000075A70000}"/>
    <cellStyle name="Normal 4 2 4 2 2 3 7" xfId="43157" xr:uid="{00000000-0005-0000-0000-000076A70000}"/>
    <cellStyle name="Normal 4 2 4 2 2 3 8" xfId="43158" xr:uid="{00000000-0005-0000-0000-000077A70000}"/>
    <cellStyle name="Normal 4 2 4 2 2 3 9" xfId="43159" xr:uid="{00000000-0005-0000-0000-000078A70000}"/>
    <cellStyle name="Normal 4 2 4 2 2 4" xfId="43160" xr:uid="{00000000-0005-0000-0000-000079A70000}"/>
    <cellStyle name="Normal 4 2 4 2 2 4 2" xfId="43161" xr:uid="{00000000-0005-0000-0000-00007AA70000}"/>
    <cellStyle name="Normal 4 2 4 2 2 4 2 2" xfId="43162" xr:uid="{00000000-0005-0000-0000-00007BA70000}"/>
    <cellStyle name="Normal 4 2 4 2 2 4 2 2 2" xfId="43163" xr:uid="{00000000-0005-0000-0000-00007CA70000}"/>
    <cellStyle name="Normal 4 2 4 2 2 4 2 2 3" xfId="43164" xr:uid="{00000000-0005-0000-0000-00007DA70000}"/>
    <cellStyle name="Normal 4 2 4 2 2 4 2 3" xfId="43165" xr:uid="{00000000-0005-0000-0000-00007EA70000}"/>
    <cellStyle name="Normal 4 2 4 2 2 4 2 4" xfId="43166" xr:uid="{00000000-0005-0000-0000-00007FA70000}"/>
    <cellStyle name="Normal 4 2 4 2 2 4 2 5" xfId="43167" xr:uid="{00000000-0005-0000-0000-000080A70000}"/>
    <cellStyle name="Normal 4 2 4 2 2 4 2 6" xfId="43168" xr:uid="{00000000-0005-0000-0000-000081A70000}"/>
    <cellStyle name="Normal 4 2 4 2 2 4 3" xfId="43169" xr:uid="{00000000-0005-0000-0000-000082A70000}"/>
    <cellStyle name="Normal 4 2 4 2 2 4 3 2" xfId="43170" xr:uid="{00000000-0005-0000-0000-000083A70000}"/>
    <cellStyle name="Normal 4 2 4 2 2 4 3 3" xfId="43171" xr:uid="{00000000-0005-0000-0000-000084A70000}"/>
    <cellStyle name="Normal 4 2 4 2 2 4 4" xfId="43172" xr:uid="{00000000-0005-0000-0000-000085A70000}"/>
    <cellStyle name="Normal 4 2 4 2 2 4 5" xfId="43173" xr:uid="{00000000-0005-0000-0000-000086A70000}"/>
    <cellStyle name="Normal 4 2 4 2 2 4 6" xfId="43174" xr:uid="{00000000-0005-0000-0000-000087A70000}"/>
    <cellStyle name="Normal 4 2 4 2 2 4 7" xfId="43175" xr:uid="{00000000-0005-0000-0000-000088A70000}"/>
    <cellStyle name="Normal 4 2 4 2 2 5" xfId="43176" xr:uid="{00000000-0005-0000-0000-000089A70000}"/>
    <cellStyle name="Normal 4 2 4 2 2 5 2" xfId="43177" xr:uid="{00000000-0005-0000-0000-00008AA70000}"/>
    <cellStyle name="Normal 4 2 4 2 2 5 2 2" xfId="43178" xr:uid="{00000000-0005-0000-0000-00008BA70000}"/>
    <cellStyle name="Normal 4 2 4 2 2 5 2 3" xfId="43179" xr:uid="{00000000-0005-0000-0000-00008CA70000}"/>
    <cellStyle name="Normal 4 2 4 2 2 5 3" xfId="43180" xr:uid="{00000000-0005-0000-0000-00008DA70000}"/>
    <cellStyle name="Normal 4 2 4 2 2 5 4" xfId="43181" xr:uid="{00000000-0005-0000-0000-00008EA70000}"/>
    <cellStyle name="Normal 4 2 4 2 2 5 5" xfId="43182" xr:uid="{00000000-0005-0000-0000-00008FA70000}"/>
    <cellStyle name="Normal 4 2 4 2 2 5 6" xfId="43183" xr:uid="{00000000-0005-0000-0000-000090A70000}"/>
    <cellStyle name="Normal 4 2 4 2 2 6" xfId="43184" xr:uid="{00000000-0005-0000-0000-000091A70000}"/>
    <cellStyle name="Normal 4 2 4 2 2 6 2" xfId="43185" xr:uid="{00000000-0005-0000-0000-000092A70000}"/>
    <cellStyle name="Normal 4 2 4 2 2 6 2 2" xfId="43186" xr:uid="{00000000-0005-0000-0000-000093A70000}"/>
    <cellStyle name="Normal 4 2 4 2 2 6 2 3" xfId="43187" xr:uid="{00000000-0005-0000-0000-000094A70000}"/>
    <cellStyle name="Normal 4 2 4 2 2 6 3" xfId="43188" xr:uid="{00000000-0005-0000-0000-000095A70000}"/>
    <cellStyle name="Normal 4 2 4 2 2 6 4" xfId="43189" xr:uid="{00000000-0005-0000-0000-000096A70000}"/>
    <cellStyle name="Normal 4 2 4 2 2 6 5" xfId="43190" xr:uid="{00000000-0005-0000-0000-000097A70000}"/>
    <cellStyle name="Normal 4 2 4 2 2 6 6" xfId="43191" xr:uid="{00000000-0005-0000-0000-000098A70000}"/>
    <cellStyle name="Normal 4 2 4 2 2 7" xfId="43192" xr:uid="{00000000-0005-0000-0000-000099A70000}"/>
    <cellStyle name="Normal 4 2 4 2 2 7 2" xfId="43193" xr:uid="{00000000-0005-0000-0000-00009AA70000}"/>
    <cellStyle name="Normal 4 2 4 2 2 7 2 2" xfId="43194" xr:uid="{00000000-0005-0000-0000-00009BA70000}"/>
    <cellStyle name="Normal 4 2 4 2 2 7 2 3" xfId="43195" xr:uid="{00000000-0005-0000-0000-00009CA70000}"/>
    <cellStyle name="Normal 4 2 4 2 2 7 3" xfId="43196" xr:uid="{00000000-0005-0000-0000-00009DA70000}"/>
    <cellStyle name="Normal 4 2 4 2 2 7 4" xfId="43197" xr:uid="{00000000-0005-0000-0000-00009EA70000}"/>
    <cellStyle name="Normal 4 2 4 2 2 7 5" xfId="43198" xr:uid="{00000000-0005-0000-0000-00009FA70000}"/>
    <cellStyle name="Normal 4 2 4 2 2 7 6" xfId="43199" xr:uid="{00000000-0005-0000-0000-0000A0A70000}"/>
    <cellStyle name="Normal 4 2 4 2 2 8" xfId="43200" xr:uid="{00000000-0005-0000-0000-0000A1A70000}"/>
    <cellStyle name="Normal 4 2 4 2 2 8 2" xfId="43201" xr:uid="{00000000-0005-0000-0000-0000A2A70000}"/>
    <cellStyle name="Normal 4 2 4 2 2 8 2 2" xfId="43202" xr:uid="{00000000-0005-0000-0000-0000A3A70000}"/>
    <cellStyle name="Normal 4 2 4 2 2 8 2 3" xfId="43203" xr:uid="{00000000-0005-0000-0000-0000A4A70000}"/>
    <cellStyle name="Normal 4 2 4 2 2 8 3" xfId="43204" xr:uid="{00000000-0005-0000-0000-0000A5A70000}"/>
    <cellStyle name="Normal 4 2 4 2 2 8 4" xfId="43205" xr:uid="{00000000-0005-0000-0000-0000A6A70000}"/>
    <cellStyle name="Normal 4 2 4 2 2 8 5" xfId="43206" xr:uid="{00000000-0005-0000-0000-0000A7A70000}"/>
    <cellStyle name="Normal 4 2 4 2 2 8 6" xfId="43207" xr:uid="{00000000-0005-0000-0000-0000A8A70000}"/>
    <cellStyle name="Normal 4 2 4 2 2 9" xfId="43208" xr:uid="{00000000-0005-0000-0000-0000A9A70000}"/>
    <cellStyle name="Normal 4 2 4 2 2 9 2" xfId="43209" xr:uid="{00000000-0005-0000-0000-0000AAA70000}"/>
    <cellStyle name="Normal 4 2 4 2 2 9 3" xfId="43210" xr:uid="{00000000-0005-0000-0000-0000ABA70000}"/>
    <cellStyle name="Normal 4 2 4 2 3" xfId="43211" xr:uid="{00000000-0005-0000-0000-0000ACA70000}"/>
    <cellStyle name="Normal 4 2 4 2 3 10" xfId="43212" xr:uid="{00000000-0005-0000-0000-0000ADA70000}"/>
    <cellStyle name="Normal 4 2 4 2 3 2" xfId="43213" xr:uid="{00000000-0005-0000-0000-0000AEA70000}"/>
    <cellStyle name="Normal 4 2 4 2 3 2 2" xfId="43214" xr:uid="{00000000-0005-0000-0000-0000AFA70000}"/>
    <cellStyle name="Normal 4 2 4 2 3 2 2 2" xfId="43215" xr:uid="{00000000-0005-0000-0000-0000B0A70000}"/>
    <cellStyle name="Normal 4 2 4 2 3 2 2 2 2" xfId="43216" xr:uid="{00000000-0005-0000-0000-0000B1A70000}"/>
    <cellStyle name="Normal 4 2 4 2 3 2 2 2 3" xfId="43217" xr:uid="{00000000-0005-0000-0000-0000B2A70000}"/>
    <cellStyle name="Normal 4 2 4 2 3 2 2 3" xfId="43218" xr:uid="{00000000-0005-0000-0000-0000B3A70000}"/>
    <cellStyle name="Normal 4 2 4 2 3 2 2 4" xfId="43219" xr:uid="{00000000-0005-0000-0000-0000B4A70000}"/>
    <cellStyle name="Normal 4 2 4 2 3 2 2 5" xfId="43220" xr:uid="{00000000-0005-0000-0000-0000B5A70000}"/>
    <cellStyle name="Normal 4 2 4 2 3 2 2 6" xfId="43221" xr:uid="{00000000-0005-0000-0000-0000B6A70000}"/>
    <cellStyle name="Normal 4 2 4 2 3 2 3" xfId="43222" xr:uid="{00000000-0005-0000-0000-0000B7A70000}"/>
    <cellStyle name="Normal 4 2 4 2 3 2 3 2" xfId="43223" xr:uid="{00000000-0005-0000-0000-0000B8A70000}"/>
    <cellStyle name="Normal 4 2 4 2 3 2 3 2 2" xfId="43224" xr:uid="{00000000-0005-0000-0000-0000B9A70000}"/>
    <cellStyle name="Normal 4 2 4 2 3 2 3 2 3" xfId="43225" xr:uid="{00000000-0005-0000-0000-0000BAA70000}"/>
    <cellStyle name="Normal 4 2 4 2 3 2 3 3" xfId="43226" xr:uid="{00000000-0005-0000-0000-0000BBA70000}"/>
    <cellStyle name="Normal 4 2 4 2 3 2 3 4" xfId="43227" xr:uid="{00000000-0005-0000-0000-0000BCA70000}"/>
    <cellStyle name="Normal 4 2 4 2 3 2 3 5" xfId="43228" xr:uid="{00000000-0005-0000-0000-0000BDA70000}"/>
    <cellStyle name="Normal 4 2 4 2 3 2 3 6" xfId="43229" xr:uid="{00000000-0005-0000-0000-0000BEA70000}"/>
    <cellStyle name="Normal 4 2 4 2 3 2 4" xfId="43230" xr:uid="{00000000-0005-0000-0000-0000BFA70000}"/>
    <cellStyle name="Normal 4 2 4 2 3 2 4 2" xfId="43231" xr:uid="{00000000-0005-0000-0000-0000C0A70000}"/>
    <cellStyle name="Normal 4 2 4 2 3 2 4 3" xfId="43232" xr:uid="{00000000-0005-0000-0000-0000C1A70000}"/>
    <cellStyle name="Normal 4 2 4 2 3 2 5" xfId="43233" xr:uid="{00000000-0005-0000-0000-0000C2A70000}"/>
    <cellStyle name="Normal 4 2 4 2 3 2 6" xfId="43234" xr:uid="{00000000-0005-0000-0000-0000C3A70000}"/>
    <cellStyle name="Normal 4 2 4 2 3 2 7" xfId="43235" xr:uid="{00000000-0005-0000-0000-0000C4A70000}"/>
    <cellStyle name="Normal 4 2 4 2 3 2 8" xfId="43236" xr:uid="{00000000-0005-0000-0000-0000C5A70000}"/>
    <cellStyle name="Normal 4 2 4 2 3 3" xfId="43237" xr:uid="{00000000-0005-0000-0000-0000C6A70000}"/>
    <cellStyle name="Normal 4 2 4 2 3 3 2" xfId="43238" xr:uid="{00000000-0005-0000-0000-0000C7A70000}"/>
    <cellStyle name="Normal 4 2 4 2 3 3 2 2" xfId="43239" xr:uid="{00000000-0005-0000-0000-0000C8A70000}"/>
    <cellStyle name="Normal 4 2 4 2 3 3 2 2 2" xfId="43240" xr:uid="{00000000-0005-0000-0000-0000C9A70000}"/>
    <cellStyle name="Normal 4 2 4 2 3 3 2 2 3" xfId="43241" xr:uid="{00000000-0005-0000-0000-0000CAA70000}"/>
    <cellStyle name="Normal 4 2 4 2 3 3 2 3" xfId="43242" xr:uid="{00000000-0005-0000-0000-0000CBA70000}"/>
    <cellStyle name="Normal 4 2 4 2 3 3 2 4" xfId="43243" xr:uid="{00000000-0005-0000-0000-0000CCA70000}"/>
    <cellStyle name="Normal 4 2 4 2 3 3 2 5" xfId="43244" xr:uid="{00000000-0005-0000-0000-0000CDA70000}"/>
    <cellStyle name="Normal 4 2 4 2 3 3 2 6" xfId="43245" xr:uid="{00000000-0005-0000-0000-0000CEA70000}"/>
    <cellStyle name="Normal 4 2 4 2 3 3 3" xfId="43246" xr:uid="{00000000-0005-0000-0000-0000CFA70000}"/>
    <cellStyle name="Normal 4 2 4 2 3 3 3 2" xfId="43247" xr:uid="{00000000-0005-0000-0000-0000D0A70000}"/>
    <cellStyle name="Normal 4 2 4 2 3 3 3 3" xfId="43248" xr:uid="{00000000-0005-0000-0000-0000D1A70000}"/>
    <cellStyle name="Normal 4 2 4 2 3 3 4" xfId="43249" xr:uid="{00000000-0005-0000-0000-0000D2A70000}"/>
    <cellStyle name="Normal 4 2 4 2 3 3 5" xfId="43250" xr:uid="{00000000-0005-0000-0000-0000D3A70000}"/>
    <cellStyle name="Normal 4 2 4 2 3 3 6" xfId="43251" xr:uid="{00000000-0005-0000-0000-0000D4A70000}"/>
    <cellStyle name="Normal 4 2 4 2 3 3 7" xfId="43252" xr:uid="{00000000-0005-0000-0000-0000D5A70000}"/>
    <cellStyle name="Normal 4 2 4 2 3 4" xfId="43253" xr:uid="{00000000-0005-0000-0000-0000D6A70000}"/>
    <cellStyle name="Normal 4 2 4 2 3 4 2" xfId="43254" xr:uid="{00000000-0005-0000-0000-0000D7A70000}"/>
    <cellStyle name="Normal 4 2 4 2 3 4 2 2" xfId="43255" xr:uid="{00000000-0005-0000-0000-0000D8A70000}"/>
    <cellStyle name="Normal 4 2 4 2 3 4 2 3" xfId="43256" xr:uid="{00000000-0005-0000-0000-0000D9A70000}"/>
    <cellStyle name="Normal 4 2 4 2 3 4 3" xfId="43257" xr:uid="{00000000-0005-0000-0000-0000DAA70000}"/>
    <cellStyle name="Normal 4 2 4 2 3 4 4" xfId="43258" xr:uid="{00000000-0005-0000-0000-0000DBA70000}"/>
    <cellStyle name="Normal 4 2 4 2 3 4 5" xfId="43259" xr:uid="{00000000-0005-0000-0000-0000DCA70000}"/>
    <cellStyle name="Normal 4 2 4 2 3 4 6" xfId="43260" xr:uid="{00000000-0005-0000-0000-0000DDA70000}"/>
    <cellStyle name="Normal 4 2 4 2 3 5" xfId="43261" xr:uid="{00000000-0005-0000-0000-0000DEA70000}"/>
    <cellStyle name="Normal 4 2 4 2 3 5 2" xfId="43262" xr:uid="{00000000-0005-0000-0000-0000DFA70000}"/>
    <cellStyle name="Normal 4 2 4 2 3 5 2 2" xfId="43263" xr:uid="{00000000-0005-0000-0000-0000E0A70000}"/>
    <cellStyle name="Normal 4 2 4 2 3 5 2 3" xfId="43264" xr:uid="{00000000-0005-0000-0000-0000E1A70000}"/>
    <cellStyle name="Normal 4 2 4 2 3 5 3" xfId="43265" xr:uid="{00000000-0005-0000-0000-0000E2A70000}"/>
    <cellStyle name="Normal 4 2 4 2 3 5 4" xfId="43266" xr:uid="{00000000-0005-0000-0000-0000E3A70000}"/>
    <cellStyle name="Normal 4 2 4 2 3 5 5" xfId="43267" xr:uid="{00000000-0005-0000-0000-0000E4A70000}"/>
    <cellStyle name="Normal 4 2 4 2 3 5 6" xfId="43268" xr:uid="{00000000-0005-0000-0000-0000E5A70000}"/>
    <cellStyle name="Normal 4 2 4 2 3 6" xfId="43269" xr:uid="{00000000-0005-0000-0000-0000E6A70000}"/>
    <cellStyle name="Normal 4 2 4 2 3 6 2" xfId="43270" xr:uid="{00000000-0005-0000-0000-0000E7A70000}"/>
    <cellStyle name="Normal 4 2 4 2 3 6 3" xfId="43271" xr:uid="{00000000-0005-0000-0000-0000E8A70000}"/>
    <cellStyle name="Normal 4 2 4 2 3 7" xfId="43272" xr:uid="{00000000-0005-0000-0000-0000E9A70000}"/>
    <cellStyle name="Normal 4 2 4 2 3 8" xfId="43273" xr:uid="{00000000-0005-0000-0000-0000EAA70000}"/>
    <cellStyle name="Normal 4 2 4 2 3 9" xfId="43274" xr:uid="{00000000-0005-0000-0000-0000EBA70000}"/>
    <cellStyle name="Normal 4 2 4 2 4" xfId="43275" xr:uid="{00000000-0005-0000-0000-0000ECA70000}"/>
    <cellStyle name="Normal 4 2 4 2 4 2" xfId="43276" xr:uid="{00000000-0005-0000-0000-0000EDA70000}"/>
    <cellStyle name="Normal 4 2 4 2 4 2 2" xfId="43277" xr:uid="{00000000-0005-0000-0000-0000EEA70000}"/>
    <cellStyle name="Normal 4 2 4 2 4 2 2 2" xfId="43278" xr:uid="{00000000-0005-0000-0000-0000EFA70000}"/>
    <cellStyle name="Normal 4 2 4 2 4 2 2 2 2" xfId="43279" xr:uid="{00000000-0005-0000-0000-0000F0A70000}"/>
    <cellStyle name="Normal 4 2 4 2 4 2 2 2 3" xfId="43280" xr:uid="{00000000-0005-0000-0000-0000F1A70000}"/>
    <cellStyle name="Normal 4 2 4 2 4 2 2 3" xfId="43281" xr:uid="{00000000-0005-0000-0000-0000F2A70000}"/>
    <cellStyle name="Normal 4 2 4 2 4 2 2 4" xfId="43282" xr:uid="{00000000-0005-0000-0000-0000F3A70000}"/>
    <cellStyle name="Normal 4 2 4 2 4 2 2 5" xfId="43283" xr:uid="{00000000-0005-0000-0000-0000F4A70000}"/>
    <cellStyle name="Normal 4 2 4 2 4 2 2 6" xfId="43284" xr:uid="{00000000-0005-0000-0000-0000F5A70000}"/>
    <cellStyle name="Normal 4 2 4 2 4 2 3" xfId="43285" xr:uid="{00000000-0005-0000-0000-0000F6A70000}"/>
    <cellStyle name="Normal 4 2 4 2 4 2 3 2" xfId="43286" xr:uid="{00000000-0005-0000-0000-0000F7A70000}"/>
    <cellStyle name="Normal 4 2 4 2 4 2 3 3" xfId="43287" xr:uid="{00000000-0005-0000-0000-0000F8A70000}"/>
    <cellStyle name="Normal 4 2 4 2 4 2 4" xfId="43288" xr:uid="{00000000-0005-0000-0000-0000F9A70000}"/>
    <cellStyle name="Normal 4 2 4 2 4 2 5" xfId="43289" xr:uid="{00000000-0005-0000-0000-0000FAA70000}"/>
    <cellStyle name="Normal 4 2 4 2 4 2 6" xfId="43290" xr:uid="{00000000-0005-0000-0000-0000FBA70000}"/>
    <cellStyle name="Normal 4 2 4 2 4 2 7" xfId="43291" xr:uid="{00000000-0005-0000-0000-0000FCA70000}"/>
    <cellStyle name="Normal 4 2 4 2 4 3" xfId="43292" xr:uid="{00000000-0005-0000-0000-0000FDA70000}"/>
    <cellStyle name="Normal 4 2 4 2 4 3 2" xfId="43293" xr:uid="{00000000-0005-0000-0000-0000FEA70000}"/>
    <cellStyle name="Normal 4 2 4 2 4 3 2 2" xfId="43294" xr:uid="{00000000-0005-0000-0000-0000FFA70000}"/>
    <cellStyle name="Normal 4 2 4 2 4 3 2 3" xfId="43295" xr:uid="{00000000-0005-0000-0000-000000A80000}"/>
    <cellStyle name="Normal 4 2 4 2 4 3 3" xfId="43296" xr:uid="{00000000-0005-0000-0000-000001A80000}"/>
    <cellStyle name="Normal 4 2 4 2 4 3 4" xfId="43297" xr:uid="{00000000-0005-0000-0000-000002A80000}"/>
    <cellStyle name="Normal 4 2 4 2 4 3 5" xfId="43298" xr:uid="{00000000-0005-0000-0000-000003A80000}"/>
    <cellStyle name="Normal 4 2 4 2 4 3 6" xfId="43299" xr:uid="{00000000-0005-0000-0000-000004A80000}"/>
    <cellStyle name="Normal 4 2 4 2 4 4" xfId="43300" xr:uid="{00000000-0005-0000-0000-000005A80000}"/>
    <cellStyle name="Normal 4 2 4 2 4 4 2" xfId="43301" xr:uid="{00000000-0005-0000-0000-000006A80000}"/>
    <cellStyle name="Normal 4 2 4 2 4 4 2 2" xfId="43302" xr:uid="{00000000-0005-0000-0000-000007A80000}"/>
    <cellStyle name="Normal 4 2 4 2 4 4 2 3" xfId="43303" xr:uid="{00000000-0005-0000-0000-000008A80000}"/>
    <cellStyle name="Normal 4 2 4 2 4 4 3" xfId="43304" xr:uid="{00000000-0005-0000-0000-000009A80000}"/>
    <cellStyle name="Normal 4 2 4 2 4 4 4" xfId="43305" xr:uid="{00000000-0005-0000-0000-00000AA80000}"/>
    <cellStyle name="Normal 4 2 4 2 4 4 5" xfId="43306" xr:uid="{00000000-0005-0000-0000-00000BA80000}"/>
    <cellStyle name="Normal 4 2 4 2 4 4 6" xfId="43307" xr:uid="{00000000-0005-0000-0000-00000CA80000}"/>
    <cellStyle name="Normal 4 2 4 2 4 5" xfId="43308" xr:uid="{00000000-0005-0000-0000-00000DA80000}"/>
    <cellStyle name="Normal 4 2 4 2 4 5 2" xfId="43309" xr:uid="{00000000-0005-0000-0000-00000EA80000}"/>
    <cellStyle name="Normal 4 2 4 2 4 5 3" xfId="43310" xr:uid="{00000000-0005-0000-0000-00000FA80000}"/>
    <cellStyle name="Normal 4 2 4 2 4 6" xfId="43311" xr:uid="{00000000-0005-0000-0000-000010A80000}"/>
    <cellStyle name="Normal 4 2 4 2 4 7" xfId="43312" xr:uid="{00000000-0005-0000-0000-000011A80000}"/>
    <cellStyle name="Normal 4 2 4 2 4 8" xfId="43313" xr:uid="{00000000-0005-0000-0000-000012A80000}"/>
    <cellStyle name="Normal 4 2 4 2 4 9" xfId="43314" xr:uid="{00000000-0005-0000-0000-000013A80000}"/>
    <cellStyle name="Normal 4 2 4 2 5" xfId="43315" xr:uid="{00000000-0005-0000-0000-000014A80000}"/>
    <cellStyle name="Normal 4 2 4 2 5 2" xfId="43316" xr:uid="{00000000-0005-0000-0000-000015A80000}"/>
    <cellStyle name="Normal 4 2 4 2 5 2 2" xfId="43317" xr:uid="{00000000-0005-0000-0000-000016A80000}"/>
    <cellStyle name="Normal 4 2 4 2 5 2 2 2" xfId="43318" xr:uid="{00000000-0005-0000-0000-000017A80000}"/>
    <cellStyle name="Normal 4 2 4 2 5 2 2 3" xfId="43319" xr:uid="{00000000-0005-0000-0000-000018A80000}"/>
    <cellStyle name="Normal 4 2 4 2 5 2 3" xfId="43320" xr:uid="{00000000-0005-0000-0000-000019A80000}"/>
    <cellStyle name="Normal 4 2 4 2 5 2 4" xfId="43321" xr:uid="{00000000-0005-0000-0000-00001AA80000}"/>
    <cellStyle name="Normal 4 2 4 2 5 2 5" xfId="43322" xr:uid="{00000000-0005-0000-0000-00001BA80000}"/>
    <cellStyle name="Normal 4 2 4 2 5 2 6" xfId="43323" xr:uid="{00000000-0005-0000-0000-00001CA80000}"/>
    <cellStyle name="Normal 4 2 4 2 5 3" xfId="43324" xr:uid="{00000000-0005-0000-0000-00001DA80000}"/>
    <cellStyle name="Normal 4 2 4 2 5 3 2" xfId="43325" xr:uid="{00000000-0005-0000-0000-00001EA80000}"/>
    <cellStyle name="Normal 4 2 4 2 5 3 3" xfId="43326" xr:uid="{00000000-0005-0000-0000-00001FA80000}"/>
    <cellStyle name="Normal 4 2 4 2 5 4" xfId="43327" xr:uid="{00000000-0005-0000-0000-000020A80000}"/>
    <cellStyle name="Normal 4 2 4 2 5 5" xfId="43328" xr:uid="{00000000-0005-0000-0000-000021A80000}"/>
    <cellStyle name="Normal 4 2 4 2 5 6" xfId="43329" xr:uid="{00000000-0005-0000-0000-000022A80000}"/>
    <cellStyle name="Normal 4 2 4 2 5 7" xfId="43330" xr:uid="{00000000-0005-0000-0000-000023A80000}"/>
    <cellStyle name="Normal 4 2 4 2 6" xfId="43331" xr:uid="{00000000-0005-0000-0000-000024A80000}"/>
    <cellStyle name="Normal 4 2 4 2 6 2" xfId="43332" xr:uid="{00000000-0005-0000-0000-000025A80000}"/>
    <cellStyle name="Normal 4 2 4 2 6 2 2" xfId="43333" xr:uid="{00000000-0005-0000-0000-000026A80000}"/>
    <cellStyle name="Normal 4 2 4 2 6 2 3" xfId="43334" xr:uid="{00000000-0005-0000-0000-000027A80000}"/>
    <cellStyle name="Normal 4 2 4 2 6 3" xfId="43335" xr:uid="{00000000-0005-0000-0000-000028A80000}"/>
    <cellStyle name="Normal 4 2 4 2 6 4" xfId="43336" xr:uid="{00000000-0005-0000-0000-000029A80000}"/>
    <cellStyle name="Normal 4 2 4 2 6 5" xfId="43337" xr:uid="{00000000-0005-0000-0000-00002AA80000}"/>
    <cellStyle name="Normal 4 2 4 2 6 6" xfId="43338" xr:uid="{00000000-0005-0000-0000-00002BA80000}"/>
    <cellStyle name="Normal 4 2 4 2 7" xfId="43339" xr:uid="{00000000-0005-0000-0000-00002CA80000}"/>
    <cellStyle name="Normal 4 2 4 2 7 2" xfId="43340" xr:uid="{00000000-0005-0000-0000-00002DA80000}"/>
    <cellStyle name="Normal 4 2 4 2 7 2 2" xfId="43341" xr:uid="{00000000-0005-0000-0000-00002EA80000}"/>
    <cellStyle name="Normal 4 2 4 2 7 2 3" xfId="43342" xr:uid="{00000000-0005-0000-0000-00002FA80000}"/>
    <cellStyle name="Normal 4 2 4 2 7 3" xfId="43343" xr:uid="{00000000-0005-0000-0000-000030A80000}"/>
    <cellStyle name="Normal 4 2 4 2 7 4" xfId="43344" xr:uid="{00000000-0005-0000-0000-000031A80000}"/>
    <cellStyle name="Normal 4 2 4 2 7 5" xfId="43345" xr:uid="{00000000-0005-0000-0000-000032A80000}"/>
    <cellStyle name="Normal 4 2 4 2 7 6" xfId="43346" xr:uid="{00000000-0005-0000-0000-000033A80000}"/>
    <cellStyle name="Normal 4 2 4 2 8" xfId="43347" xr:uid="{00000000-0005-0000-0000-000034A80000}"/>
    <cellStyle name="Normal 4 2 4 2 8 2" xfId="43348" xr:uid="{00000000-0005-0000-0000-000035A80000}"/>
    <cellStyle name="Normal 4 2 4 2 8 2 2" xfId="43349" xr:uid="{00000000-0005-0000-0000-000036A80000}"/>
    <cellStyle name="Normal 4 2 4 2 8 2 3" xfId="43350" xr:uid="{00000000-0005-0000-0000-000037A80000}"/>
    <cellStyle name="Normal 4 2 4 2 8 3" xfId="43351" xr:uid="{00000000-0005-0000-0000-000038A80000}"/>
    <cellStyle name="Normal 4 2 4 2 8 4" xfId="43352" xr:uid="{00000000-0005-0000-0000-000039A80000}"/>
    <cellStyle name="Normal 4 2 4 2 8 5" xfId="43353" xr:uid="{00000000-0005-0000-0000-00003AA80000}"/>
    <cellStyle name="Normal 4 2 4 2 8 6" xfId="43354" xr:uid="{00000000-0005-0000-0000-00003BA80000}"/>
    <cellStyle name="Normal 4 2 4 2 9" xfId="43355" xr:uid="{00000000-0005-0000-0000-00003CA80000}"/>
    <cellStyle name="Normal 4 2 4 2 9 2" xfId="43356" xr:uid="{00000000-0005-0000-0000-00003DA80000}"/>
    <cellStyle name="Normal 4 2 4 2 9 2 2" xfId="43357" xr:uid="{00000000-0005-0000-0000-00003EA80000}"/>
    <cellStyle name="Normal 4 2 4 2 9 2 3" xfId="43358" xr:uid="{00000000-0005-0000-0000-00003FA80000}"/>
    <cellStyle name="Normal 4 2 4 2 9 3" xfId="43359" xr:uid="{00000000-0005-0000-0000-000040A80000}"/>
    <cellStyle name="Normal 4 2 4 2 9 4" xfId="43360" xr:uid="{00000000-0005-0000-0000-000041A80000}"/>
    <cellStyle name="Normal 4 2 4 2 9 5" xfId="43361" xr:uid="{00000000-0005-0000-0000-000042A80000}"/>
    <cellStyle name="Normal 4 2 4 2 9 6" xfId="43362" xr:uid="{00000000-0005-0000-0000-000043A80000}"/>
    <cellStyle name="Normal 4 2 4 3" xfId="43363" xr:uid="{00000000-0005-0000-0000-000044A80000}"/>
    <cellStyle name="Normal 4 2 4 3 10" xfId="43364" xr:uid="{00000000-0005-0000-0000-000045A80000}"/>
    <cellStyle name="Normal 4 2 4 3 11" xfId="43365" xr:uid="{00000000-0005-0000-0000-000046A80000}"/>
    <cellStyle name="Normal 4 2 4 3 12" xfId="43366" xr:uid="{00000000-0005-0000-0000-000047A80000}"/>
    <cellStyle name="Normal 4 2 4 3 13" xfId="43367" xr:uid="{00000000-0005-0000-0000-000048A80000}"/>
    <cellStyle name="Normal 4 2 4 3 2" xfId="43368" xr:uid="{00000000-0005-0000-0000-000049A80000}"/>
    <cellStyle name="Normal 4 2 4 3 2 10" xfId="43369" xr:uid="{00000000-0005-0000-0000-00004AA80000}"/>
    <cellStyle name="Normal 4 2 4 3 2 2" xfId="43370" xr:uid="{00000000-0005-0000-0000-00004BA80000}"/>
    <cellStyle name="Normal 4 2 4 3 2 2 2" xfId="43371" xr:uid="{00000000-0005-0000-0000-00004CA80000}"/>
    <cellStyle name="Normal 4 2 4 3 2 2 2 2" xfId="43372" xr:uid="{00000000-0005-0000-0000-00004DA80000}"/>
    <cellStyle name="Normal 4 2 4 3 2 2 2 2 2" xfId="43373" xr:uid="{00000000-0005-0000-0000-00004EA80000}"/>
    <cellStyle name="Normal 4 2 4 3 2 2 2 2 3" xfId="43374" xr:uid="{00000000-0005-0000-0000-00004FA80000}"/>
    <cellStyle name="Normal 4 2 4 3 2 2 2 3" xfId="43375" xr:uid="{00000000-0005-0000-0000-000050A80000}"/>
    <cellStyle name="Normal 4 2 4 3 2 2 2 4" xfId="43376" xr:uid="{00000000-0005-0000-0000-000051A80000}"/>
    <cellStyle name="Normal 4 2 4 3 2 2 2 5" xfId="43377" xr:uid="{00000000-0005-0000-0000-000052A80000}"/>
    <cellStyle name="Normal 4 2 4 3 2 2 2 6" xfId="43378" xr:uid="{00000000-0005-0000-0000-000053A80000}"/>
    <cellStyle name="Normal 4 2 4 3 2 2 3" xfId="43379" xr:uid="{00000000-0005-0000-0000-000054A80000}"/>
    <cellStyle name="Normal 4 2 4 3 2 2 3 2" xfId="43380" xr:uid="{00000000-0005-0000-0000-000055A80000}"/>
    <cellStyle name="Normal 4 2 4 3 2 2 3 2 2" xfId="43381" xr:uid="{00000000-0005-0000-0000-000056A80000}"/>
    <cellStyle name="Normal 4 2 4 3 2 2 3 2 3" xfId="43382" xr:uid="{00000000-0005-0000-0000-000057A80000}"/>
    <cellStyle name="Normal 4 2 4 3 2 2 3 3" xfId="43383" xr:uid="{00000000-0005-0000-0000-000058A80000}"/>
    <cellStyle name="Normal 4 2 4 3 2 2 3 4" xfId="43384" xr:uid="{00000000-0005-0000-0000-000059A80000}"/>
    <cellStyle name="Normal 4 2 4 3 2 2 3 5" xfId="43385" xr:uid="{00000000-0005-0000-0000-00005AA80000}"/>
    <cellStyle name="Normal 4 2 4 3 2 2 3 6" xfId="43386" xr:uid="{00000000-0005-0000-0000-00005BA80000}"/>
    <cellStyle name="Normal 4 2 4 3 2 2 4" xfId="43387" xr:uid="{00000000-0005-0000-0000-00005CA80000}"/>
    <cellStyle name="Normal 4 2 4 3 2 2 4 2" xfId="43388" xr:uid="{00000000-0005-0000-0000-00005DA80000}"/>
    <cellStyle name="Normal 4 2 4 3 2 2 4 3" xfId="43389" xr:uid="{00000000-0005-0000-0000-00005EA80000}"/>
    <cellStyle name="Normal 4 2 4 3 2 2 5" xfId="43390" xr:uid="{00000000-0005-0000-0000-00005FA80000}"/>
    <cellStyle name="Normal 4 2 4 3 2 2 6" xfId="43391" xr:uid="{00000000-0005-0000-0000-000060A80000}"/>
    <cellStyle name="Normal 4 2 4 3 2 2 7" xfId="43392" xr:uid="{00000000-0005-0000-0000-000061A80000}"/>
    <cellStyle name="Normal 4 2 4 3 2 2 8" xfId="43393" xr:uid="{00000000-0005-0000-0000-000062A80000}"/>
    <cellStyle name="Normal 4 2 4 3 2 3" xfId="43394" xr:uid="{00000000-0005-0000-0000-000063A80000}"/>
    <cellStyle name="Normal 4 2 4 3 2 3 2" xfId="43395" xr:uid="{00000000-0005-0000-0000-000064A80000}"/>
    <cellStyle name="Normal 4 2 4 3 2 3 2 2" xfId="43396" xr:uid="{00000000-0005-0000-0000-000065A80000}"/>
    <cellStyle name="Normal 4 2 4 3 2 3 2 2 2" xfId="43397" xr:uid="{00000000-0005-0000-0000-000066A80000}"/>
    <cellStyle name="Normal 4 2 4 3 2 3 2 2 3" xfId="43398" xr:uid="{00000000-0005-0000-0000-000067A80000}"/>
    <cellStyle name="Normal 4 2 4 3 2 3 2 3" xfId="43399" xr:uid="{00000000-0005-0000-0000-000068A80000}"/>
    <cellStyle name="Normal 4 2 4 3 2 3 2 4" xfId="43400" xr:uid="{00000000-0005-0000-0000-000069A80000}"/>
    <cellStyle name="Normal 4 2 4 3 2 3 2 5" xfId="43401" xr:uid="{00000000-0005-0000-0000-00006AA80000}"/>
    <cellStyle name="Normal 4 2 4 3 2 3 2 6" xfId="43402" xr:uid="{00000000-0005-0000-0000-00006BA80000}"/>
    <cellStyle name="Normal 4 2 4 3 2 3 3" xfId="43403" xr:uid="{00000000-0005-0000-0000-00006CA80000}"/>
    <cellStyle name="Normal 4 2 4 3 2 3 3 2" xfId="43404" xr:uid="{00000000-0005-0000-0000-00006DA80000}"/>
    <cellStyle name="Normal 4 2 4 3 2 3 3 3" xfId="43405" xr:uid="{00000000-0005-0000-0000-00006EA80000}"/>
    <cellStyle name="Normal 4 2 4 3 2 3 4" xfId="43406" xr:uid="{00000000-0005-0000-0000-00006FA80000}"/>
    <cellStyle name="Normal 4 2 4 3 2 3 5" xfId="43407" xr:uid="{00000000-0005-0000-0000-000070A80000}"/>
    <cellStyle name="Normal 4 2 4 3 2 3 6" xfId="43408" xr:uid="{00000000-0005-0000-0000-000071A80000}"/>
    <cellStyle name="Normal 4 2 4 3 2 3 7" xfId="43409" xr:uid="{00000000-0005-0000-0000-000072A80000}"/>
    <cellStyle name="Normal 4 2 4 3 2 4" xfId="43410" xr:uid="{00000000-0005-0000-0000-000073A80000}"/>
    <cellStyle name="Normal 4 2 4 3 2 4 2" xfId="43411" xr:uid="{00000000-0005-0000-0000-000074A80000}"/>
    <cellStyle name="Normal 4 2 4 3 2 4 2 2" xfId="43412" xr:uid="{00000000-0005-0000-0000-000075A80000}"/>
    <cellStyle name="Normal 4 2 4 3 2 4 2 3" xfId="43413" xr:uid="{00000000-0005-0000-0000-000076A80000}"/>
    <cellStyle name="Normal 4 2 4 3 2 4 3" xfId="43414" xr:uid="{00000000-0005-0000-0000-000077A80000}"/>
    <cellStyle name="Normal 4 2 4 3 2 4 4" xfId="43415" xr:uid="{00000000-0005-0000-0000-000078A80000}"/>
    <cellStyle name="Normal 4 2 4 3 2 4 5" xfId="43416" xr:uid="{00000000-0005-0000-0000-000079A80000}"/>
    <cellStyle name="Normal 4 2 4 3 2 4 6" xfId="43417" xr:uid="{00000000-0005-0000-0000-00007AA80000}"/>
    <cellStyle name="Normal 4 2 4 3 2 5" xfId="43418" xr:uid="{00000000-0005-0000-0000-00007BA80000}"/>
    <cellStyle name="Normal 4 2 4 3 2 5 2" xfId="43419" xr:uid="{00000000-0005-0000-0000-00007CA80000}"/>
    <cellStyle name="Normal 4 2 4 3 2 5 2 2" xfId="43420" xr:uid="{00000000-0005-0000-0000-00007DA80000}"/>
    <cellStyle name="Normal 4 2 4 3 2 5 2 3" xfId="43421" xr:uid="{00000000-0005-0000-0000-00007EA80000}"/>
    <cellStyle name="Normal 4 2 4 3 2 5 3" xfId="43422" xr:uid="{00000000-0005-0000-0000-00007FA80000}"/>
    <cellStyle name="Normal 4 2 4 3 2 5 4" xfId="43423" xr:uid="{00000000-0005-0000-0000-000080A80000}"/>
    <cellStyle name="Normal 4 2 4 3 2 5 5" xfId="43424" xr:uid="{00000000-0005-0000-0000-000081A80000}"/>
    <cellStyle name="Normal 4 2 4 3 2 5 6" xfId="43425" xr:uid="{00000000-0005-0000-0000-000082A80000}"/>
    <cellStyle name="Normal 4 2 4 3 2 6" xfId="43426" xr:uid="{00000000-0005-0000-0000-000083A80000}"/>
    <cellStyle name="Normal 4 2 4 3 2 6 2" xfId="43427" xr:uid="{00000000-0005-0000-0000-000084A80000}"/>
    <cellStyle name="Normal 4 2 4 3 2 6 3" xfId="43428" xr:uid="{00000000-0005-0000-0000-000085A80000}"/>
    <cellStyle name="Normal 4 2 4 3 2 7" xfId="43429" xr:uid="{00000000-0005-0000-0000-000086A80000}"/>
    <cellStyle name="Normal 4 2 4 3 2 8" xfId="43430" xr:uid="{00000000-0005-0000-0000-000087A80000}"/>
    <cellStyle name="Normal 4 2 4 3 2 9" xfId="43431" xr:uid="{00000000-0005-0000-0000-000088A80000}"/>
    <cellStyle name="Normal 4 2 4 3 3" xfId="43432" xr:uid="{00000000-0005-0000-0000-000089A80000}"/>
    <cellStyle name="Normal 4 2 4 3 3 2" xfId="43433" xr:uid="{00000000-0005-0000-0000-00008AA80000}"/>
    <cellStyle name="Normal 4 2 4 3 3 2 2" xfId="43434" xr:uid="{00000000-0005-0000-0000-00008BA80000}"/>
    <cellStyle name="Normal 4 2 4 3 3 2 2 2" xfId="43435" xr:uid="{00000000-0005-0000-0000-00008CA80000}"/>
    <cellStyle name="Normal 4 2 4 3 3 2 2 2 2" xfId="43436" xr:uid="{00000000-0005-0000-0000-00008DA80000}"/>
    <cellStyle name="Normal 4 2 4 3 3 2 2 2 3" xfId="43437" xr:uid="{00000000-0005-0000-0000-00008EA80000}"/>
    <cellStyle name="Normal 4 2 4 3 3 2 2 3" xfId="43438" xr:uid="{00000000-0005-0000-0000-00008FA80000}"/>
    <cellStyle name="Normal 4 2 4 3 3 2 2 4" xfId="43439" xr:uid="{00000000-0005-0000-0000-000090A80000}"/>
    <cellStyle name="Normal 4 2 4 3 3 2 2 5" xfId="43440" xr:uid="{00000000-0005-0000-0000-000091A80000}"/>
    <cellStyle name="Normal 4 2 4 3 3 2 2 6" xfId="43441" xr:uid="{00000000-0005-0000-0000-000092A80000}"/>
    <cellStyle name="Normal 4 2 4 3 3 2 3" xfId="43442" xr:uid="{00000000-0005-0000-0000-000093A80000}"/>
    <cellStyle name="Normal 4 2 4 3 3 2 3 2" xfId="43443" xr:uid="{00000000-0005-0000-0000-000094A80000}"/>
    <cellStyle name="Normal 4 2 4 3 3 2 3 3" xfId="43444" xr:uid="{00000000-0005-0000-0000-000095A80000}"/>
    <cellStyle name="Normal 4 2 4 3 3 2 4" xfId="43445" xr:uid="{00000000-0005-0000-0000-000096A80000}"/>
    <cellStyle name="Normal 4 2 4 3 3 2 5" xfId="43446" xr:uid="{00000000-0005-0000-0000-000097A80000}"/>
    <cellStyle name="Normal 4 2 4 3 3 2 6" xfId="43447" xr:uid="{00000000-0005-0000-0000-000098A80000}"/>
    <cellStyle name="Normal 4 2 4 3 3 2 7" xfId="43448" xr:uid="{00000000-0005-0000-0000-000099A80000}"/>
    <cellStyle name="Normal 4 2 4 3 3 3" xfId="43449" xr:uid="{00000000-0005-0000-0000-00009AA80000}"/>
    <cellStyle name="Normal 4 2 4 3 3 3 2" xfId="43450" xr:uid="{00000000-0005-0000-0000-00009BA80000}"/>
    <cellStyle name="Normal 4 2 4 3 3 3 2 2" xfId="43451" xr:uid="{00000000-0005-0000-0000-00009CA80000}"/>
    <cellStyle name="Normal 4 2 4 3 3 3 2 3" xfId="43452" xr:uid="{00000000-0005-0000-0000-00009DA80000}"/>
    <cellStyle name="Normal 4 2 4 3 3 3 3" xfId="43453" xr:uid="{00000000-0005-0000-0000-00009EA80000}"/>
    <cellStyle name="Normal 4 2 4 3 3 3 4" xfId="43454" xr:uid="{00000000-0005-0000-0000-00009FA80000}"/>
    <cellStyle name="Normal 4 2 4 3 3 3 5" xfId="43455" xr:uid="{00000000-0005-0000-0000-0000A0A80000}"/>
    <cellStyle name="Normal 4 2 4 3 3 3 6" xfId="43456" xr:uid="{00000000-0005-0000-0000-0000A1A80000}"/>
    <cellStyle name="Normal 4 2 4 3 3 4" xfId="43457" xr:uid="{00000000-0005-0000-0000-0000A2A80000}"/>
    <cellStyle name="Normal 4 2 4 3 3 4 2" xfId="43458" xr:uid="{00000000-0005-0000-0000-0000A3A80000}"/>
    <cellStyle name="Normal 4 2 4 3 3 4 2 2" xfId="43459" xr:uid="{00000000-0005-0000-0000-0000A4A80000}"/>
    <cellStyle name="Normal 4 2 4 3 3 4 2 3" xfId="43460" xr:uid="{00000000-0005-0000-0000-0000A5A80000}"/>
    <cellStyle name="Normal 4 2 4 3 3 4 3" xfId="43461" xr:uid="{00000000-0005-0000-0000-0000A6A80000}"/>
    <cellStyle name="Normal 4 2 4 3 3 4 4" xfId="43462" xr:uid="{00000000-0005-0000-0000-0000A7A80000}"/>
    <cellStyle name="Normal 4 2 4 3 3 4 5" xfId="43463" xr:uid="{00000000-0005-0000-0000-0000A8A80000}"/>
    <cellStyle name="Normal 4 2 4 3 3 4 6" xfId="43464" xr:uid="{00000000-0005-0000-0000-0000A9A80000}"/>
    <cellStyle name="Normal 4 2 4 3 3 5" xfId="43465" xr:uid="{00000000-0005-0000-0000-0000AAA80000}"/>
    <cellStyle name="Normal 4 2 4 3 3 5 2" xfId="43466" xr:uid="{00000000-0005-0000-0000-0000ABA80000}"/>
    <cellStyle name="Normal 4 2 4 3 3 5 3" xfId="43467" xr:uid="{00000000-0005-0000-0000-0000ACA80000}"/>
    <cellStyle name="Normal 4 2 4 3 3 6" xfId="43468" xr:uid="{00000000-0005-0000-0000-0000ADA80000}"/>
    <cellStyle name="Normal 4 2 4 3 3 7" xfId="43469" xr:uid="{00000000-0005-0000-0000-0000AEA80000}"/>
    <cellStyle name="Normal 4 2 4 3 3 8" xfId="43470" xr:uid="{00000000-0005-0000-0000-0000AFA80000}"/>
    <cellStyle name="Normal 4 2 4 3 3 9" xfId="43471" xr:uid="{00000000-0005-0000-0000-0000B0A80000}"/>
    <cellStyle name="Normal 4 2 4 3 4" xfId="43472" xr:uid="{00000000-0005-0000-0000-0000B1A80000}"/>
    <cellStyle name="Normal 4 2 4 3 4 2" xfId="43473" xr:uid="{00000000-0005-0000-0000-0000B2A80000}"/>
    <cellStyle name="Normal 4 2 4 3 4 2 2" xfId="43474" xr:uid="{00000000-0005-0000-0000-0000B3A80000}"/>
    <cellStyle name="Normal 4 2 4 3 4 2 2 2" xfId="43475" xr:uid="{00000000-0005-0000-0000-0000B4A80000}"/>
    <cellStyle name="Normal 4 2 4 3 4 2 2 3" xfId="43476" xr:uid="{00000000-0005-0000-0000-0000B5A80000}"/>
    <cellStyle name="Normal 4 2 4 3 4 2 3" xfId="43477" xr:uid="{00000000-0005-0000-0000-0000B6A80000}"/>
    <cellStyle name="Normal 4 2 4 3 4 2 4" xfId="43478" xr:uid="{00000000-0005-0000-0000-0000B7A80000}"/>
    <cellStyle name="Normal 4 2 4 3 4 2 5" xfId="43479" xr:uid="{00000000-0005-0000-0000-0000B8A80000}"/>
    <cellStyle name="Normal 4 2 4 3 4 2 6" xfId="43480" xr:uid="{00000000-0005-0000-0000-0000B9A80000}"/>
    <cellStyle name="Normal 4 2 4 3 4 3" xfId="43481" xr:uid="{00000000-0005-0000-0000-0000BAA80000}"/>
    <cellStyle name="Normal 4 2 4 3 4 3 2" xfId="43482" xr:uid="{00000000-0005-0000-0000-0000BBA80000}"/>
    <cellStyle name="Normal 4 2 4 3 4 3 3" xfId="43483" xr:uid="{00000000-0005-0000-0000-0000BCA80000}"/>
    <cellStyle name="Normal 4 2 4 3 4 4" xfId="43484" xr:uid="{00000000-0005-0000-0000-0000BDA80000}"/>
    <cellStyle name="Normal 4 2 4 3 4 5" xfId="43485" xr:uid="{00000000-0005-0000-0000-0000BEA80000}"/>
    <cellStyle name="Normal 4 2 4 3 4 6" xfId="43486" xr:uid="{00000000-0005-0000-0000-0000BFA80000}"/>
    <cellStyle name="Normal 4 2 4 3 4 7" xfId="43487" xr:uid="{00000000-0005-0000-0000-0000C0A80000}"/>
    <cellStyle name="Normal 4 2 4 3 5" xfId="43488" xr:uid="{00000000-0005-0000-0000-0000C1A80000}"/>
    <cellStyle name="Normal 4 2 4 3 5 2" xfId="43489" xr:uid="{00000000-0005-0000-0000-0000C2A80000}"/>
    <cellStyle name="Normal 4 2 4 3 5 2 2" xfId="43490" xr:uid="{00000000-0005-0000-0000-0000C3A80000}"/>
    <cellStyle name="Normal 4 2 4 3 5 2 3" xfId="43491" xr:uid="{00000000-0005-0000-0000-0000C4A80000}"/>
    <cellStyle name="Normal 4 2 4 3 5 3" xfId="43492" xr:uid="{00000000-0005-0000-0000-0000C5A80000}"/>
    <cellStyle name="Normal 4 2 4 3 5 4" xfId="43493" xr:uid="{00000000-0005-0000-0000-0000C6A80000}"/>
    <cellStyle name="Normal 4 2 4 3 5 5" xfId="43494" xr:uid="{00000000-0005-0000-0000-0000C7A80000}"/>
    <cellStyle name="Normal 4 2 4 3 5 6" xfId="43495" xr:uid="{00000000-0005-0000-0000-0000C8A80000}"/>
    <cellStyle name="Normal 4 2 4 3 6" xfId="43496" xr:uid="{00000000-0005-0000-0000-0000C9A80000}"/>
    <cellStyle name="Normal 4 2 4 3 6 2" xfId="43497" xr:uid="{00000000-0005-0000-0000-0000CAA80000}"/>
    <cellStyle name="Normal 4 2 4 3 6 2 2" xfId="43498" xr:uid="{00000000-0005-0000-0000-0000CBA80000}"/>
    <cellStyle name="Normal 4 2 4 3 6 2 3" xfId="43499" xr:uid="{00000000-0005-0000-0000-0000CCA80000}"/>
    <cellStyle name="Normal 4 2 4 3 6 3" xfId="43500" xr:uid="{00000000-0005-0000-0000-0000CDA80000}"/>
    <cellStyle name="Normal 4 2 4 3 6 4" xfId="43501" xr:uid="{00000000-0005-0000-0000-0000CEA80000}"/>
    <cellStyle name="Normal 4 2 4 3 6 5" xfId="43502" xr:uid="{00000000-0005-0000-0000-0000CFA80000}"/>
    <cellStyle name="Normal 4 2 4 3 6 6" xfId="43503" xr:uid="{00000000-0005-0000-0000-0000D0A80000}"/>
    <cellStyle name="Normal 4 2 4 3 7" xfId="43504" xr:uid="{00000000-0005-0000-0000-0000D1A80000}"/>
    <cellStyle name="Normal 4 2 4 3 7 2" xfId="43505" xr:uid="{00000000-0005-0000-0000-0000D2A80000}"/>
    <cellStyle name="Normal 4 2 4 3 7 2 2" xfId="43506" xr:uid="{00000000-0005-0000-0000-0000D3A80000}"/>
    <cellStyle name="Normal 4 2 4 3 7 2 3" xfId="43507" xr:uid="{00000000-0005-0000-0000-0000D4A80000}"/>
    <cellStyle name="Normal 4 2 4 3 7 3" xfId="43508" xr:uid="{00000000-0005-0000-0000-0000D5A80000}"/>
    <cellStyle name="Normal 4 2 4 3 7 4" xfId="43509" xr:uid="{00000000-0005-0000-0000-0000D6A80000}"/>
    <cellStyle name="Normal 4 2 4 3 7 5" xfId="43510" xr:uid="{00000000-0005-0000-0000-0000D7A80000}"/>
    <cellStyle name="Normal 4 2 4 3 7 6" xfId="43511" xr:uid="{00000000-0005-0000-0000-0000D8A80000}"/>
    <cellStyle name="Normal 4 2 4 3 8" xfId="43512" xr:uid="{00000000-0005-0000-0000-0000D9A80000}"/>
    <cellStyle name="Normal 4 2 4 3 8 2" xfId="43513" xr:uid="{00000000-0005-0000-0000-0000DAA80000}"/>
    <cellStyle name="Normal 4 2 4 3 8 2 2" xfId="43514" xr:uid="{00000000-0005-0000-0000-0000DBA80000}"/>
    <cellStyle name="Normal 4 2 4 3 8 2 3" xfId="43515" xr:uid="{00000000-0005-0000-0000-0000DCA80000}"/>
    <cellStyle name="Normal 4 2 4 3 8 3" xfId="43516" xr:uid="{00000000-0005-0000-0000-0000DDA80000}"/>
    <cellStyle name="Normal 4 2 4 3 8 4" xfId="43517" xr:uid="{00000000-0005-0000-0000-0000DEA80000}"/>
    <cellStyle name="Normal 4 2 4 3 8 5" xfId="43518" xr:uid="{00000000-0005-0000-0000-0000DFA80000}"/>
    <cellStyle name="Normal 4 2 4 3 8 6" xfId="43519" xr:uid="{00000000-0005-0000-0000-0000E0A80000}"/>
    <cellStyle name="Normal 4 2 4 3 9" xfId="43520" xr:uid="{00000000-0005-0000-0000-0000E1A80000}"/>
    <cellStyle name="Normal 4 2 4 3 9 2" xfId="43521" xr:uid="{00000000-0005-0000-0000-0000E2A80000}"/>
    <cellStyle name="Normal 4 2 4 3 9 3" xfId="43522" xr:uid="{00000000-0005-0000-0000-0000E3A80000}"/>
    <cellStyle name="Normal 4 2 4 4" xfId="43523" xr:uid="{00000000-0005-0000-0000-0000E4A80000}"/>
    <cellStyle name="Normal 4 2 4 4 10" xfId="43524" xr:uid="{00000000-0005-0000-0000-0000E5A80000}"/>
    <cellStyle name="Normal 4 2 4 4 2" xfId="43525" xr:uid="{00000000-0005-0000-0000-0000E6A80000}"/>
    <cellStyle name="Normal 4 2 4 4 2 2" xfId="43526" xr:uid="{00000000-0005-0000-0000-0000E7A80000}"/>
    <cellStyle name="Normal 4 2 4 4 2 2 2" xfId="43527" xr:uid="{00000000-0005-0000-0000-0000E8A80000}"/>
    <cellStyle name="Normal 4 2 4 4 2 2 2 2" xfId="43528" xr:uid="{00000000-0005-0000-0000-0000E9A80000}"/>
    <cellStyle name="Normal 4 2 4 4 2 2 2 3" xfId="43529" xr:uid="{00000000-0005-0000-0000-0000EAA80000}"/>
    <cellStyle name="Normal 4 2 4 4 2 2 3" xfId="43530" xr:uid="{00000000-0005-0000-0000-0000EBA80000}"/>
    <cellStyle name="Normal 4 2 4 4 2 2 4" xfId="43531" xr:uid="{00000000-0005-0000-0000-0000ECA80000}"/>
    <cellStyle name="Normal 4 2 4 4 2 2 5" xfId="43532" xr:uid="{00000000-0005-0000-0000-0000EDA80000}"/>
    <cellStyle name="Normal 4 2 4 4 2 2 6" xfId="43533" xr:uid="{00000000-0005-0000-0000-0000EEA80000}"/>
    <cellStyle name="Normal 4 2 4 4 2 3" xfId="43534" xr:uid="{00000000-0005-0000-0000-0000EFA80000}"/>
    <cellStyle name="Normal 4 2 4 4 2 3 2" xfId="43535" xr:uid="{00000000-0005-0000-0000-0000F0A80000}"/>
    <cellStyle name="Normal 4 2 4 4 2 3 2 2" xfId="43536" xr:uid="{00000000-0005-0000-0000-0000F1A80000}"/>
    <cellStyle name="Normal 4 2 4 4 2 3 2 3" xfId="43537" xr:uid="{00000000-0005-0000-0000-0000F2A80000}"/>
    <cellStyle name="Normal 4 2 4 4 2 3 3" xfId="43538" xr:uid="{00000000-0005-0000-0000-0000F3A80000}"/>
    <cellStyle name="Normal 4 2 4 4 2 3 4" xfId="43539" xr:uid="{00000000-0005-0000-0000-0000F4A80000}"/>
    <cellStyle name="Normal 4 2 4 4 2 3 5" xfId="43540" xr:uid="{00000000-0005-0000-0000-0000F5A80000}"/>
    <cellStyle name="Normal 4 2 4 4 2 3 6" xfId="43541" xr:uid="{00000000-0005-0000-0000-0000F6A80000}"/>
    <cellStyle name="Normal 4 2 4 4 2 4" xfId="43542" xr:uid="{00000000-0005-0000-0000-0000F7A80000}"/>
    <cellStyle name="Normal 4 2 4 4 2 4 2" xfId="43543" xr:uid="{00000000-0005-0000-0000-0000F8A80000}"/>
    <cellStyle name="Normal 4 2 4 4 2 4 3" xfId="43544" xr:uid="{00000000-0005-0000-0000-0000F9A80000}"/>
    <cellStyle name="Normal 4 2 4 4 2 5" xfId="43545" xr:uid="{00000000-0005-0000-0000-0000FAA80000}"/>
    <cellStyle name="Normal 4 2 4 4 2 6" xfId="43546" xr:uid="{00000000-0005-0000-0000-0000FBA80000}"/>
    <cellStyle name="Normal 4 2 4 4 2 7" xfId="43547" xr:uid="{00000000-0005-0000-0000-0000FCA80000}"/>
    <cellStyle name="Normal 4 2 4 4 2 8" xfId="43548" xr:uid="{00000000-0005-0000-0000-0000FDA80000}"/>
    <cellStyle name="Normal 4 2 4 4 3" xfId="43549" xr:uid="{00000000-0005-0000-0000-0000FEA80000}"/>
    <cellStyle name="Normal 4 2 4 4 3 2" xfId="43550" xr:uid="{00000000-0005-0000-0000-0000FFA80000}"/>
    <cellStyle name="Normal 4 2 4 4 3 2 2" xfId="43551" xr:uid="{00000000-0005-0000-0000-000000A90000}"/>
    <cellStyle name="Normal 4 2 4 4 3 2 2 2" xfId="43552" xr:uid="{00000000-0005-0000-0000-000001A90000}"/>
    <cellStyle name="Normal 4 2 4 4 3 2 2 3" xfId="43553" xr:uid="{00000000-0005-0000-0000-000002A90000}"/>
    <cellStyle name="Normal 4 2 4 4 3 2 3" xfId="43554" xr:uid="{00000000-0005-0000-0000-000003A90000}"/>
    <cellStyle name="Normal 4 2 4 4 3 2 4" xfId="43555" xr:uid="{00000000-0005-0000-0000-000004A90000}"/>
    <cellStyle name="Normal 4 2 4 4 3 2 5" xfId="43556" xr:uid="{00000000-0005-0000-0000-000005A90000}"/>
    <cellStyle name="Normal 4 2 4 4 3 2 6" xfId="43557" xr:uid="{00000000-0005-0000-0000-000006A90000}"/>
    <cellStyle name="Normal 4 2 4 4 3 3" xfId="43558" xr:uid="{00000000-0005-0000-0000-000007A90000}"/>
    <cellStyle name="Normal 4 2 4 4 3 3 2" xfId="43559" xr:uid="{00000000-0005-0000-0000-000008A90000}"/>
    <cellStyle name="Normal 4 2 4 4 3 3 3" xfId="43560" xr:uid="{00000000-0005-0000-0000-000009A90000}"/>
    <cellStyle name="Normal 4 2 4 4 3 4" xfId="43561" xr:uid="{00000000-0005-0000-0000-00000AA90000}"/>
    <cellStyle name="Normal 4 2 4 4 3 5" xfId="43562" xr:uid="{00000000-0005-0000-0000-00000BA90000}"/>
    <cellStyle name="Normal 4 2 4 4 3 6" xfId="43563" xr:uid="{00000000-0005-0000-0000-00000CA90000}"/>
    <cellStyle name="Normal 4 2 4 4 3 7" xfId="43564" xr:uid="{00000000-0005-0000-0000-00000DA90000}"/>
    <cellStyle name="Normal 4 2 4 4 4" xfId="43565" xr:uid="{00000000-0005-0000-0000-00000EA90000}"/>
    <cellStyle name="Normal 4 2 4 4 4 2" xfId="43566" xr:uid="{00000000-0005-0000-0000-00000FA90000}"/>
    <cellStyle name="Normal 4 2 4 4 4 2 2" xfId="43567" xr:uid="{00000000-0005-0000-0000-000010A90000}"/>
    <cellStyle name="Normal 4 2 4 4 4 2 3" xfId="43568" xr:uid="{00000000-0005-0000-0000-000011A90000}"/>
    <cellStyle name="Normal 4 2 4 4 4 3" xfId="43569" xr:uid="{00000000-0005-0000-0000-000012A90000}"/>
    <cellStyle name="Normal 4 2 4 4 4 4" xfId="43570" xr:uid="{00000000-0005-0000-0000-000013A90000}"/>
    <cellStyle name="Normal 4 2 4 4 4 5" xfId="43571" xr:uid="{00000000-0005-0000-0000-000014A90000}"/>
    <cellStyle name="Normal 4 2 4 4 4 6" xfId="43572" xr:uid="{00000000-0005-0000-0000-000015A90000}"/>
    <cellStyle name="Normal 4 2 4 4 5" xfId="43573" xr:uid="{00000000-0005-0000-0000-000016A90000}"/>
    <cellStyle name="Normal 4 2 4 4 5 2" xfId="43574" xr:uid="{00000000-0005-0000-0000-000017A90000}"/>
    <cellStyle name="Normal 4 2 4 4 5 2 2" xfId="43575" xr:uid="{00000000-0005-0000-0000-000018A90000}"/>
    <cellStyle name="Normal 4 2 4 4 5 2 3" xfId="43576" xr:uid="{00000000-0005-0000-0000-000019A90000}"/>
    <cellStyle name="Normal 4 2 4 4 5 3" xfId="43577" xr:uid="{00000000-0005-0000-0000-00001AA90000}"/>
    <cellStyle name="Normal 4 2 4 4 5 4" xfId="43578" xr:uid="{00000000-0005-0000-0000-00001BA90000}"/>
    <cellStyle name="Normal 4 2 4 4 5 5" xfId="43579" xr:uid="{00000000-0005-0000-0000-00001CA90000}"/>
    <cellStyle name="Normal 4 2 4 4 5 6" xfId="43580" xr:uid="{00000000-0005-0000-0000-00001DA90000}"/>
    <cellStyle name="Normal 4 2 4 4 6" xfId="43581" xr:uid="{00000000-0005-0000-0000-00001EA90000}"/>
    <cellStyle name="Normal 4 2 4 4 6 2" xfId="43582" xr:uid="{00000000-0005-0000-0000-00001FA90000}"/>
    <cellStyle name="Normal 4 2 4 4 6 3" xfId="43583" xr:uid="{00000000-0005-0000-0000-000020A90000}"/>
    <cellStyle name="Normal 4 2 4 4 7" xfId="43584" xr:uid="{00000000-0005-0000-0000-000021A90000}"/>
    <cellStyle name="Normal 4 2 4 4 8" xfId="43585" xr:uid="{00000000-0005-0000-0000-000022A90000}"/>
    <cellStyle name="Normal 4 2 4 4 9" xfId="43586" xr:uid="{00000000-0005-0000-0000-000023A90000}"/>
    <cellStyle name="Normal 4 2 4 5" xfId="43587" xr:uid="{00000000-0005-0000-0000-000024A90000}"/>
    <cellStyle name="Normal 4 2 4 5 2" xfId="43588" xr:uid="{00000000-0005-0000-0000-000025A90000}"/>
    <cellStyle name="Normal 4 2 4 5 2 2" xfId="43589" xr:uid="{00000000-0005-0000-0000-000026A90000}"/>
    <cellStyle name="Normal 4 2 4 5 2 2 2" xfId="43590" xr:uid="{00000000-0005-0000-0000-000027A90000}"/>
    <cellStyle name="Normal 4 2 4 5 2 2 2 2" xfId="43591" xr:uid="{00000000-0005-0000-0000-000028A90000}"/>
    <cellStyle name="Normal 4 2 4 5 2 2 2 3" xfId="43592" xr:uid="{00000000-0005-0000-0000-000029A90000}"/>
    <cellStyle name="Normal 4 2 4 5 2 2 3" xfId="43593" xr:uid="{00000000-0005-0000-0000-00002AA90000}"/>
    <cellStyle name="Normal 4 2 4 5 2 2 4" xfId="43594" xr:uid="{00000000-0005-0000-0000-00002BA90000}"/>
    <cellStyle name="Normal 4 2 4 5 2 2 5" xfId="43595" xr:uid="{00000000-0005-0000-0000-00002CA90000}"/>
    <cellStyle name="Normal 4 2 4 5 2 2 6" xfId="43596" xr:uid="{00000000-0005-0000-0000-00002DA90000}"/>
    <cellStyle name="Normal 4 2 4 5 2 3" xfId="43597" xr:uid="{00000000-0005-0000-0000-00002EA90000}"/>
    <cellStyle name="Normal 4 2 4 5 2 3 2" xfId="43598" xr:uid="{00000000-0005-0000-0000-00002FA90000}"/>
    <cellStyle name="Normal 4 2 4 5 2 3 3" xfId="43599" xr:uid="{00000000-0005-0000-0000-000030A90000}"/>
    <cellStyle name="Normal 4 2 4 5 2 4" xfId="43600" xr:uid="{00000000-0005-0000-0000-000031A90000}"/>
    <cellStyle name="Normal 4 2 4 5 2 5" xfId="43601" xr:uid="{00000000-0005-0000-0000-000032A90000}"/>
    <cellStyle name="Normal 4 2 4 5 2 6" xfId="43602" xr:uid="{00000000-0005-0000-0000-000033A90000}"/>
    <cellStyle name="Normal 4 2 4 5 2 7" xfId="43603" xr:uid="{00000000-0005-0000-0000-000034A90000}"/>
    <cellStyle name="Normal 4 2 4 5 3" xfId="43604" xr:uid="{00000000-0005-0000-0000-000035A90000}"/>
    <cellStyle name="Normal 4 2 4 5 3 2" xfId="43605" xr:uid="{00000000-0005-0000-0000-000036A90000}"/>
    <cellStyle name="Normal 4 2 4 5 3 2 2" xfId="43606" xr:uid="{00000000-0005-0000-0000-000037A90000}"/>
    <cellStyle name="Normal 4 2 4 5 3 2 3" xfId="43607" xr:uid="{00000000-0005-0000-0000-000038A90000}"/>
    <cellStyle name="Normal 4 2 4 5 3 3" xfId="43608" xr:uid="{00000000-0005-0000-0000-000039A90000}"/>
    <cellStyle name="Normal 4 2 4 5 3 4" xfId="43609" xr:uid="{00000000-0005-0000-0000-00003AA90000}"/>
    <cellStyle name="Normal 4 2 4 5 3 5" xfId="43610" xr:uid="{00000000-0005-0000-0000-00003BA90000}"/>
    <cellStyle name="Normal 4 2 4 5 3 6" xfId="43611" xr:uid="{00000000-0005-0000-0000-00003CA90000}"/>
    <cellStyle name="Normal 4 2 4 5 4" xfId="43612" xr:uid="{00000000-0005-0000-0000-00003DA90000}"/>
    <cellStyle name="Normal 4 2 4 5 4 2" xfId="43613" xr:uid="{00000000-0005-0000-0000-00003EA90000}"/>
    <cellStyle name="Normal 4 2 4 5 4 2 2" xfId="43614" xr:uid="{00000000-0005-0000-0000-00003FA90000}"/>
    <cellStyle name="Normal 4 2 4 5 4 2 3" xfId="43615" xr:uid="{00000000-0005-0000-0000-000040A90000}"/>
    <cellStyle name="Normal 4 2 4 5 4 3" xfId="43616" xr:uid="{00000000-0005-0000-0000-000041A90000}"/>
    <cellStyle name="Normal 4 2 4 5 4 4" xfId="43617" xr:uid="{00000000-0005-0000-0000-000042A90000}"/>
    <cellStyle name="Normal 4 2 4 5 4 5" xfId="43618" xr:uid="{00000000-0005-0000-0000-000043A90000}"/>
    <cellStyle name="Normal 4 2 4 5 4 6" xfId="43619" xr:uid="{00000000-0005-0000-0000-000044A90000}"/>
    <cellStyle name="Normal 4 2 4 5 5" xfId="43620" xr:uid="{00000000-0005-0000-0000-000045A90000}"/>
    <cellStyle name="Normal 4 2 4 5 5 2" xfId="43621" xr:uid="{00000000-0005-0000-0000-000046A90000}"/>
    <cellStyle name="Normal 4 2 4 5 5 3" xfId="43622" xr:uid="{00000000-0005-0000-0000-000047A90000}"/>
    <cellStyle name="Normal 4 2 4 5 6" xfId="43623" xr:uid="{00000000-0005-0000-0000-000048A90000}"/>
    <cellStyle name="Normal 4 2 4 5 7" xfId="43624" xr:uid="{00000000-0005-0000-0000-000049A90000}"/>
    <cellStyle name="Normal 4 2 4 5 8" xfId="43625" xr:uid="{00000000-0005-0000-0000-00004AA90000}"/>
    <cellStyle name="Normal 4 2 4 5 9" xfId="43626" xr:uid="{00000000-0005-0000-0000-00004BA90000}"/>
    <cellStyle name="Normal 4 2 4 6" xfId="43627" xr:uid="{00000000-0005-0000-0000-00004CA90000}"/>
    <cellStyle name="Normal 4 2 4 6 2" xfId="43628" xr:uid="{00000000-0005-0000-0000-00004DA90000}"/>
    <cellStyle name="Normal 4 2 4 6 2 2" xfId="43629" xr:uid="{00000000-0005-0000-0000-00004EA90000}"/>
    <cellStyle name="Normal 4 2 4 6 2 2 2" xfId="43630" xr:uid="{00000000-0005-0000-0000-00004FA90000}"/>
    <cellStyle name="Normal 4 2 4 6 2 2 3" xfId="43631" xr:uid="{00000000-0005-0000-0000-000050A90000}"/>
    <cellStyle name="Normal 4 2 4 6 2 3" xfId="43632" xr:uid="{00000000-0005-0000-0000-000051A90000}"/>
    <cellStyle name="Normal 4 2 4 6 2 4" xfId="43633" xr:uid="{00000000-0005-0000-0000-000052A90000}"/>
    <cellStyle name="Normal 4 2 4 6 2 5" xfId="43634" xr:uid="{00000000-0005-0000-0000-000053A90000}"/>
    <cellStyle name="Normal 4 2 4 6 2 6" xfId="43635" xr:uid="{00000000-0005-0000-0000-000054A90000}"/>
    <cellStyle name="Normal 4 2 4 6 3" xfId="43636" xr:uid="{00000000-0005-0000-0000-000055A90000}"/>
    <cellStyle name="Normal 4 2 4 6 3 2" xfId="43637" xr:uid="{00000000-0005-0000-0000-000056A90000}"/>
    <cellStyle name="Normal 4 2 4 6 3 3" xfId="43638" xr:uid="{00000000-0005-0000-0000-000057A90000}"/>
    <cellStyle name="Normal 4 2 4 6 4" xfId="43639" xr:uid="{00000000-0005-0000-0000-000058A90000}"/>
    <cellStyle name="Normal 4 2 4 6 5" xfId="43640" xr:uid="{00000000-0005-0000-0000-000059A90000}"/>
    <cellStyle name="Normal 4 2 4 6 6" xfId="43641" xr:uid="{00000000-0005-0000-0000-00005AA90000}"/>
    <cellStyle name="Normal 4 2 4 6 7" xfId="43642" xr:uid="{00000000-0005-0000-0000-00005BA90000}"/>
    <cellStyle name="Normal 4 2 4 7" xfId="43643" xr:uid="{00000000-0005-0000-0000-00005CA90000}"/>
    <cellStyle name="Normal 4 2 4 7 2" xfId="43644" xr:uid="{00000000-0005-0000-0000-00005DA90000}"/>
    <cellStyle name="Normal 4 2 4 7 2 2" xfId="43645" xr:uid="{00000000-0005-0000-0000-00005EA90000}"/>
    <cellStyle name="Normal 4 2 4 7 2 3" xfId="43646" xr:uid="{00000000-0005-0000-0000-00005FA90000}"/>
    <cellStyle name="Normal 4 2 4 7 3" xfId="43647" xr:uid="{00000000-0005-0000-0000-000060A90000}"/>
    <cellStyle name="Normal 4 2 4 7 4" xfId="43648" xr:uid="{00000000-0005-0000-0000-000061A90000}"/>
    <cellStyle name="Normal 4 2 4 7 5" xfId="43649" xr:uid="{00000000-0005-0000-0000-000062A90000}"/>
    <cellStyle name="Normal 4 2 4 7 6" xfId="43650" xr:uid="{00000000-0005-0000-0000-000063A90000}"/>
    <cellStyle name="Normal 4 2 4 8" xfId="43651" xr:uid="{00000000-0005-0000-0000-000064A90000}"/>
    <cellStyle name="Normal 4 2 4 8 2" xfId="43652" xr:uid="{00000000-0005-0000-0000-000065A90000}"/>
    <cellStyle name="Normal 4 2 4 8 2 2" xfId="43653" xr:uid="{00000000-0005-0000-0000-000066A90000}"/>
    <cellStyle name="Normal 4 2 4 8 2 3" xfId="43654" xr:uid="{00000000-0005-0000-0000-000067A90000}"/>
    <cellStyle name="Normal 4 2 4 8 3" xfId="43655" xr:uid="{00000000-0005-0000-0000-000068A90000}"/>
    <cellStyle name="Normal 4 2 4 8 4" xfId="43656" xr:uid="{00000000-0005-0000-0000-000069A90000}"/>
    <cellStyle name="Normal 4 2 4 8 5" xfId="43657" xr:uid="{00000000-0005-0000-0000-00006AA90000}"/>
    <cellStyle name="Normal 4 2 4 8 6" xfId="43658" xr:uid="{00000000-0005-0000-0000-00006BA90000}"/>
    <cellStyle name="Normal 4 2 4 9" xfId="43659" xr:uid="{00000000-0005-0000-0000-00006CA90000}"/>
    <cellStyle name="Normal 4 2 4 9 2" xfId="43660" xr:uid="{00000000-0005-0000-0000-00006DA90000}"/>
    <cellStyle name="Normal 4 2 4 9 2 2" xfId="43661" xr:uid="{00000000-0005-0000-0000-00006EA90000}"/>
    <cellStyle name="Normal 4 2 4 9 2 3" xfId="43662" xr:uid="{00000000-0005-0000-0000-00006FA90000}"/>
    <cellStyle name="Normal 4 2 4 9 3" xfId="43663" xr:uid="{00000000-0005-0000-0000-000070A90000}"/>
    <cellStyle name="Normal 4 2 4 9 4" xfId="43664" xr:uid="{00000000-0005-0000-0000-000071A90000}"/>
    <cellStyle name="Normal 4 2 4 9 5" xfId="43665" xr:uid="{00000000-0005-0000-0000-000072A90000}"/>
    <cellStyle name="Normal 4 2 4 9 6" xfId="43666" xr:uid="{00000000-0005-0000-0000-000073A90000}"/>
    <cellStyle name="Normal 4 2 5" xfId="43667" xr:uid="{00000000-0005-0000-0000-000074A90000}"/>
    <cellStyle name="Normal 4 2 5 10" xfId="43668" xr:uid="{00000000-0005-0000-0000-000075A90000}"/>
    <cellStyle name="Normal 4 2 5 10 2" xfId="43669" xr:uid="{00000000-0005-0000-0000-000076A90000}"/>
    <cellStyle name="Normal 4 2 5 10 3" xfId="43670" xr:uid="{00000000-0005-0000-0000-000077A90000}"/>
    <cellStyle name="Normal 4 2 5 11" xfId="43671" xr:uid="{00000000-0005-0000-0000-000078A90000}"/>
    <cellStyle name="Normal 4 2 5 12" xfId="43672" xr:uid="{00000000-0005-0000-0000-000079A90000}"/>
    <cellStyle name="Normal 4 2 5 13" xfId="43673" xr:uid="{00000000-0005-0000-0000-00007AA90000}"/>
    <cellStyle name="Normal 4 2 5 14" xfId="43674" xr:uid="{00000000-0005-0000-0000-00007BA90000}"/>
    <cellStyle name="Normal 4 2 5 2" xfId="43675" xr:uid="{00000000-0005-0000-0000-00007CA90000}"/>
    <cellStyle name="Normal 4 2 5 2 10" xfId="43676" xr:uid="{00000000-0005-0000-0000-00007DA90000}"/>
    <cellStyle name="Normal 4 2 5 2 10 2" xfId="43677" xr:uid="{00000000-0005-0000-0000-00007EA90000}"/>
    <cellStyle name="Normal 4 2 5 2 10 3" xfId="43678" xr:uid="{00000000-0005-0000-0000-00007FA90000}"/>
    <cellStyle name="Normal 4 2 5 2 11" xfId="43679" xr:uid="{00000000-0005-0000-0000-000080A90000}"/>
    <cellStyle name="Normal 4 2 5 2 12" xfId="43680" xr:uid="{00000000-0005-0000-0000-000081A90000}"/>
    <cellStyle name="Normal 4 2 5 2 13" xfId="43681" xr:uid="{00000000-0005-0000-0000-000082A90000}"/>
    <cellStyle name="Normal 4 2 5 2 14" xfId="43682" xr:uid="{00000000-0005-0000-0000-000083A90000}"/>
    <cellStyle name="Normal 4 2 5 2 2" xfId="43683" xr:uid="{00000000-0005-0000-0000-000084A90000}"/>
    <cellStyle name="Normal 4 2 5 2 2 10" xfId="43684" xr:uid="{00000000-0005-0000-0000-000085A90000}"/>
    <cellStyle name="Normal 4 2 5 2 2 2" xfId="43685" xr:uid="{00000000-0005-0000-0000-000086A90000}"/>
    <cellStyle name="Normal 4 2 5 2 2 2 2" xfId="43686" xr:uid="{00000000-0005-0000-0000-000087A90000}"/>
    <cellStyle name="Normal 4 2 5 2 2 2 2 2" xfId="43687" xr:uid="{00000000-0005-0000-0000-000088A90000}"/>
    <cellStyle name="Normal 4 2 5 2 2 2 2 2 2" xfId="43688" xr:uid="{00000000-0005-0000-0000-000089A90000}"/>
    <cellStyle name="Normal 4 2 5 2 2 2 2 2 3" xfId="43689" xr:uid="{00000000-0005-0000-0000-00008AA90000}"/>
    <cellStyle name="Normal 4 2 5 2 2 2 2 3" xfId="43690" xr:uid="{00000000-0005-0000-0000-00008BA90000}"/>
    <cellStyle name="Normal 4 2 5 2 2 2 2 4" xfId="43691" xr:uid="{00000000-0005-0000-0000-00008CA90000}"/>
    <cellStyle name="Normal 4 2 5 2 2 2 2 5" xfId="43692" xr:uid="{00000000-0005-0000-0000-00008DA90000}"/>
    <cellStyle name="Normal 4 2 5 2 2 2 2 6" xfId="43693" xr:uid="{00000000-0005-0000-0000-00008EA90000}"/>
    <cellStyle name="Normal 4 2 5 2 2 2 3" xfId="43694" xr:uid="{00000000-0005-0000-0000-00008FA90000}"/>
    <cellStyle name="Normal 4 2 5 2 2 2 3 2" xfId="43695" xr:uid="{00000000-0005-0000-0000-000090A90000}"/>
    <cellStyle name="Normal 4 2 5 2 2 2 3 2 2" xfId="43696" xr:uid="{00000000-0005-0000-0000-000091A90000}"/>
    <cellStyle name="Normal 4 2 5 2 2 2 3 2 3" xfId="43697" xr:uid="{00000000-0005-0000-0000-000092A90000}"/>
    <cellStyle name="Normal 4 2 5 2 2 2 3 3" xfId="43698" xr:uid="{00000000-0005-0000-0000-000093A90000}"/>
    <cellStyle name="Normal 4 2 5 2 2 2 3 4" xfId="43699" xr:uid="{00000000-0005-0000-0000-000094A90000}"/>
    <cellStyle name="Normal 4 2 5 2 2 2 3 5" xfId="43700" xr:uid="{00000000-0005-0000-0000-000095A90000}"/>
    <cellStyle name="Normal 4 2 5 2 2 2 3 6" xfId="43701" xr:uid="{00000000-0005-0000-0000-000096A90000}"/>
    <cellStyle name="Normal 4 2 5 2 2 2 4" xfId="43702" xr:uid="{00000000-0005-0000-0000-000097A90000}"/>
    <cellStyle name="Normal 4 2 5 2 2 2 4 2" xfId="43703" xr:uid="{00000000-0005-0000-0000-000098A90000}"/>
    <cellStyle name="Normal 4 2 5 2 2 2 4 3" xfId="43704" xr:uid="{00000000-0005-0000-0000-000099A90000}"/>
    <cellStyle name="Normal 4 2 5 2 2 2 5" xfId="43705" xr:uid="{00000000-0005-0000-0000-00009AA90000}"/>
    <cellStyle name="Normal 4 2 5 2 2 2 6" xfId="43706" xr:uid="{00000000-0005-0000-0000-00009BA90000}"/>
    <cellStyle name="Normal 4 2 5 2 2 2 7" xfId="43707" xr:uid="{00000000-0005-0000-0000-00009CA90000}"/>
    <cellStyle name="Normal 4 2 5 2 2 2 8" xfId="43708" xr:uid="{00000000-0005-0000-0000-00009DA90000}"/>
    <cellStyle name="Normal 4 2 5 2 2 3" xfId="43709" xr:uid="{00000000-0005-0000-0000-00009EA90000}"/>
    <cellStyle name="Normal 4 2 5 2 2 3 2" xfId="43710" xr:uid="{00000000-0005-0000-0000-00009FA90000}"/>
    <cellStyle name="Normal 4 2 5 2 2 3 2 2" xfId="43711" xr:uid="{00000000-0005-0000-0000-0000A0A90000}"/>
    <cellStyle name="Normal 4 2 5 2 2 3 2 2 2" xfId="43712" xr:uid="{00000000-0005-0000-0000-0000A1A90000}"/>
    <cellStyle name="Normal 4 2 5 2 2 3 2 2 3" xfId="43713" xr:uid="{00000000-0005-0000-0000-0000A2A90000}"/>
    <cellStyle name="Normal 4 2 5 2 2 3 2 3" xfId="43714" xr:uid="{00000000-0005-0000-0000-0000A3A90000}"/>
    <cellStyle name="Normal 4 2 5 2 2 3 2 4" xfId="43715" xr:uid="{00000000-0005-0000-0000-0000A4A90000}"/>
    <cellStyle name="Normal 4 2 5 2 2 3 2 5" xfId="43716" xr:uid="{00000000-0005-0000-0000-0000A5A90000}"/>
    <cellStyle name="Normal 4 2 5 2 2 3 2 6" xfId="43717" xr:uid="{00000000-0005-0000-0000-0000A6A90000}"/>
    <cellStyle name="Normal 4 2 5 2 2 3 3" xfId="43718" xr:uid="{00000000-0005-0000-0000-0000A7A90000}"/>
    <cellStyle name="Normal 4 2 5 2 2 3 3 2" xfId="43719" xr:uid="{00000000-0005-0000-0000-0000A8A90000}"/>
    <cellStyle name="Normal 4 2 5 2 2 3 3 3" xfId="43720" xr:uid="{00000000-0005-0000-0000-0000A9A90000}"/>
    <cellStyle name="Normal 4 2 5 2 2 3 4" xfId="43721" xr:uid="{00000000-0005-0000-0000-0000AAA90000}"/>
    <cellStyle name="Normal 4 2 5 2 2 3 5" xfId="43722" xr:uid="{00000000-0005-0000-0000-0000ABA90000}"/>
    <cellStyle name="Normal 4 2 5 2 2 3 6" xfId="43723" xr:uid="{00000000-0005-0000-0000-0000ACA90000}"/>
    <cellStyle name="Normal 4 2 5 2 2 3 7" xfId="43724" xr:uid="{00000000-0005-0000-0000-0000ADA90000}"/>
    <cellStyle name="Normal 4 2 5 2 2 4" xfId="43725" xr:uid="{00000000-0005-0000-0000-0000AEA90000}"/>
    <cellStyle name="Normal 4 2 5 2 2 4 2" xfId="43726" xr:uid="{00000000-0005-0000-0000-0000AFA90000}"/>
    <cellStyle name="Normal 4 2 5 2 2 4 2 2" xfId="43727" xr:uid="{00000000-0005-0000-0000-0000B0A90000}"/>
    <cellStyle name="Normal 4 2 5 2 2 4 2 3" xfId="43728" xr:uid="{00000000-0005-0000-0000-0000B1A90000}"/>
    <cellStyle name="Normal 4 2 5 2 2 4 3" xfId="43729" xr:uid="{00000000-0005-0000-0000-0000B2A90000}"/>
    <cellStyle name="Normal 4 2 5 2 2 4 4" xfId="43730" xr:uid="{00000000-0005-0000-0000-0000B3A90000}"/>
    <cellStyle name="Normal 4 2 5 2 2 4 5" xfId="43731" xr:uid="{00000000-0005-0000-0000-0000B4A90000}"/>
    <cellStyle name="Normal 4 2 5 2 2 4 6" xfId="43732" xr:uid="{00000000-0005-0000-0000-0000B5A90000}"/>
    <cellStyle name="Normal 4 2 5 2 2 5" xfId="43733" xr:uid="{00000000-0005-0000-0000-0000B6A90000}"/>
    <cellStyle name="Normal 4 2 5 2 2 5 2" xfId="43734" xr:uid="{00000000-0005-0000-0000-0000B7A90000}"/>
    <cellStyle name="Normal 4 2 5 2 2 5 2 2" xfId="43735" xr:uid="{00000000-0005-0000-0000-0000B8A90000}"/>
    <cellStyle name="Normal 4 2 5 2 2 5 2 3" xfId="43736" xr:uid="{00000000-0005-0000-0000-0000B9A90000}"/>
    <cellStyle name="Normal 4 2 5 2 2 5 3" xfId="43737" xr:uid="{00000000-0005-0000-0000-0000BAA90000}"/>
    <cellStyle name="Normal 4 2 5 2 2 5 4" xfId="43738" xr:uid="{00000000-0005-0000-0000-0000BBA90000}"/>
    <cellStyle name="Normal 4 2 5 2 2 5 5" xfId="43739" xr:uid="{00000000-0005-0000-0000-0000BCA90000}"/>
    <cellStyle name="Normal 4 2 5 2 2 5 6" xfId="43740" xr:uid="{00000000-0005-0000-0000-0000BDA90000}"/>
    <cellStyle name="Normal 4 2 5 2 2 6" xfId="43741" xr:uid="{00000000-0005-0000-0000-0000BEA90000}"/>
    <cellStyle name="Normal 4 2 5 2 2 6 2" xfId="43742" xr:uid="{00000000-0005-0000-0000-0000BFA90000}"/>
    <cellStyle name="Normal 4 2 5 2 2 6 3" xfId="43743" xr:uid="{00000000-0005-0000-0000-0000C0A90000}"/>
    <cellStyle name="Normal 4 2 5 2 2 7" xfId="43744" xr:uid="{00000000-0005-0000-0000-0000C1A90000}"/>
    <cellStyle name="Normal 4 2 5 2 2 8" xfId="43745" xr:uid="{00000000-0005-0000-0000-0000C2A90000}"/>
    <cellStyle name="Normal 4 2 5 2 2 9" xfId="43746" xr:uid="{00000000-0005-0000-0000-0000C3A90000}"/>
    <cellStyle name="Normal 4 2 5 2 3" xfId="43747" xr:uid="{00000000-0005-0000-0000-0000C4A90000}"/>
    <cellStyle name="Normal 4 2 5 2 3 2" xfId="43748" xr:uid="{00000000-0005-0000-0000-0000C5A90000}"/>
    <cellStyle name="Normal 4 2 5 2 3 2 2" xfId="43749" xr:uid="{00000000-0005-0000-0000-0000C6A90000}"/>
    <cellStyle name="Normal 4 2 5 2 3 2 2 2" xfId="43750" xr:uid="{00000000-0005-0000-0000-0000C7A90000}"/>
    <cellStyle name="Normal 4 2 5 2 3 2 2 2 2" xfId="43751" xr:uid="{00000000-0005-0000-0000-0000C8A90000}"/>
    <cellStyle name="Normal 4 2 5 2 3 2 2 2 3" xfId="43752" xr:uid="{00000000-0005-0000-0000-0000C9A90000}"/>
    <cellStyle name="Normal 4 2 5 2 3 2 2 3" xfId="43753" xr:uid="{00000000-0005-0000-0000-0000CAA90000}"/>
    <cellStyle name="Normal 4 2 5 2 3 2 2 4" xfId="43754" xr:uid="{00000000-0005-0000-0000-0000CBA90000}"/>
    <cellStyle name="Normal 4 2 5 2 3 2 2 5" xfId="43755" xr:uid="{00000000-0005-0000-0000-0000CCA90000}"/>
    <cellStyle name="Normal 4 2 5 2 3 2 2 6" xfId="43756" xr:uid="{00000000-0005-0000-0000-0000CDA90000}"/>
    <cellStyle name="Normal 4 2 5 2 3 2 3" xfId="43757" xr:uid="{00000000-0005-0000-0000-0000CEA90000}"/>
    <cellStyle name="Normal 4 2 5 2 3 2 3 2" xfId="43758" xr:uid="{00000000-0005-0000-0000-0000CFA90000}"/>
    <cellStyle name="Normal 4 2 5 2 3 2 3 3" xfId="43759" xr:uid="{00000000-0005-0000-0000-0000D0A90000}"/>
    <cellStyle name="Normal 4 2 5 2 3 2 4" xfId="43760" xr:uid="{00000000-0005-0000-0000-0000D1A90000}"/>
    <cellStyle name="Normal 4 2 5 2 3 2 5" xfId="43761" xr:uid="{00000000-0005-0000-0000-0000D2A90000}"/>
    <cellStyle name="Normal 4 2 5 2 3 2 6" xfId="43762" xr:uid="{00000000-0005-0000-0000-0000D3A90000}"/>
    <cellStyle name="Normal 4 2 5 2 3 2 7" xfId="43763" xr:uid="{00000000-0005-0000-0000-0000D4A90000}"/>
    <cellStyle name="Normal 4 2 5 2 3 3" xfId="43764" xr:uid="{00000000-0005-0000-0000-0000D5A90000}"/>
    <cellStyle name="Normal 4 2 5 2 3 3 2" xfId="43765" xr:uid="{00000000-0005-0000-0000-0000D6A90000}"/>
    <cellStyle name="Normal 4 2 5 2 3 3 2 2" xfId="43766" xr:uid="{00000000-0005-0000-0000-0000D7A90000}"/>
    <cellStyle name="Normal 4 2 5 2 3 3 2 3" xfId="43767" xr:uid="{00000000-0005-0000-0000-0000D8A90000}"/>
    <cellStyle name="Normal 4 2 5 2 3 3 3" xfId="43768" xr:uid="{00000000-0005-0000-0000-0000D9A90000}"/>
    <cellStyle name="Normal 4 2 5 2 3 3 4" xfId="43769" xr:uid="{00000000-0005-0000-0000-0000DAA90000}"/>
    <cellStyle name="Normal 4 2 5 2 3 3 5" xfId="43770" xr:uid="{00000000-0005-0000-0000-0000DBA90000}"/>
    <cellStyle name="Normal 4 2 5 2 3 3 6" xfId="43771" xr:uid="{00000000-0005-0000-0000-0000DCA90000}"/>
    <cellStyle name="Normal 4 2 5 2 3 4" xfId="43772" xr:uid="{00000000-0005-0000-0000-0000DDA90000}"/>
    <cellStyle name="Normal 4 2 5 2 3 4 2" xfId="43773" xr:uid="{00000000-0005-0000-0000-0000DEA90000}"/>
    <cellStyle name="Normal 4 2 5 2 3 4 2 2" xfId="43774" xr:uid="{00000000-0005-0000-0000-0000DFA90000}"/>
    <cellStyle name="Normal 4 2 5 2 3 4 2 3" xfId="43775" xr:uid="{00000000-0005-0000-0000-0000E0A90000}"/>
    <cellStyle name="Normal 4 2 5 2 3 4 3" xfId="43776" xr:uid="{00000000-0005-0000-0000-0000E1A90000}"/>
    <cellStyle name="Normal 4 2 5 2 3 4 4" xfId="43777" xr:uid="{00000000-0005-0000-0000-0000E2A90000}"/>
    <cellStyle name="Normal 4 2 5 2 3 4 5" xfId="43778" xr:uid="{00000000-0005-0000-0000-0000E3A90000}"/>
    <cellStyle name="Normal 4 2 5 2 3 4 6" xfId="43779" xr:uid="{00000000-0005-0000-0000-0000E4A90000}"/>
    <cellStyle name="Normal 4 2 5 2 3 5" xfId="43780" xr:uid="{00000000-0005-0000-0000-0000E5A90000}"/>
    <cellStyle name="Normal 4 2 5 2 3 5 2" xfId="43781" xr:uid="{00000000-0005-0000-0000-0000E6A90000}"/>
    <cellStyle name="Normal 4 2 5 2 3 5 3" xfId="43782" xr:uid="{00000000-0005-0000-0000-0000E7A90000}"/>
    <cellStyle name="Normal 4 2 5 2 3 6" xfId="43783" xr:uid="{00000000-0005-0000-0000-0000E8A90000}"/>
    <cellStyle name="Normal 4 2 5 2 3 7" xfId="43784" xr:uid="{00000000-0005-0000-0000-0000E9A90000}"/>
    <cellStyle name="Normal 4 2 5 2 3 8" xfId="43785" xr:uid="{00000000-0005-0000-0000-0000EAA90000}"/>
    <cellStyle name="Normal 4 2 5 2 3 9" xfId="43786" xr:uid="{00000000-0005-0000-0000-0000EBA90000}"/>
    <cellStyle name="Normal 4 2 5 2 4" xfId="43787" xr:uid="{00000000-0005-0000-0000-0000ECA90000}"/>
    <cellStyle name="Normal 4 2 5 2 5" xfId="43788" xr:uid="{00000000-0005-0000-0000-0000EDA90000}"/>
    <cellStyle name="Normal 4 2 5 2 5 2" xfId="43789" xr:uid="{00000000-0005-0000-0000-0000EEA90000}"/>
    <cellStyle name="Normal 4 2 5 2 5 2 2" xfId="43790" xr:uid="{00000000-0005-0000-0000-0000EFA90000}"/>
    <cellStyle name="Normal 4 2 5 2 5 2 2 2" xfId="43791" xr:uid="{00000000-0005-0000-0000-0000F0A90000}"/>
    <cellStyle name="Normal 4 2 5 2 5 2 2 3" xfId="43792" xr:uid="{00000000-0005-0000-0000-0000F1A90000}"/>
    <cellStyle name="Normal 4 2 5 2 5 2 3" xfId="43793" xr:uid="{00000000-0005-0000-0000-0000F2A90000}"/>
    <cellStyle name="Normal 4 2 5 2 5 2 4" xfId="43794" xr:uid="{00000000-0005-0000-0000-0000F3A90000}"/>
    <cellStyle name="Normal 4 2 5 2 5 2 5" xfId="43795" xr:uid="{00000000-0005-0000-0000-0000F4A90000}"/>
    <cellStyle name="Normal 4 2 5 2 5 2 6" xfId="43796" xr:uid="{00000000-0005-0000-0000-0000F5A90000}"/>
    <cellStyle name="Normal 4 2 5 2 5 3" xfId="43797" xr:uid="{00000000-0005-0000-0000-0000F6A90000}"/>
    <cellStyle name="Normal 4 2 5 2 5 3 2" xfId="43798" xr:uid="{00000000-0005-0000-0000-0000F7A90000}"/>
    <cellStyle name="Normal 4 2 5 2 5 3 3" xfId="43799" xr:uid="{00000000-0005-0000-0000-0000F8A90000}"/>
    <cellStyle name="Normal 4 2 5 2 5 4" xfId="43800" xr:uid="{00000000-0005-0000-0000-0000F9A90000}"/>
    <cellStyle name="Normal 4 2 5 2 5 5" xfId="43801" xr:uid="{00000000-0005-0000-0000-0000FAA90000}"/>
    <cellStyle name="Normal 4 2 5 2 5 6" xfId="43802" xr:uid="{00000000-0005-0000-0000-0000FBA90000}"/>
    <cellStyle name="Normal 4 2 5 2 5 7" xfId="43803" xr:uid="{00000000-0005-0000-0000-0000FCA90000}"/>
    <cellStyle name="Normal 4 2 5 2 6" xfId="43804" xr:uid="{00000000-0005-0000-0000-0000FDA90000}"/>
    <cellStyle name="Normal 4 2 5 2 6 2" xfId="43805" xr:uid="{00000000-0005-0000-0000-0000FEA90000}"/>
    <cellStyle name="Normal 4 2 5 2 6 2 2" xfId="43806" xr:uid="{00000000-0005-0000-0000-0000FFA90000}"/>
    <cellStyle name="Normal 4 2 5 2 6 2 3" xfId="43807" xr:uid="{00000000-0005-0000-0000-000000AA0000}"/>
    <cellStyle name="Normal 4 2 5 2 6 3" xfId="43808" xr:uid="{00000000-0005-0000-0000-000001AA0000}"/>
    <cellStyle name="Normal 4 2 5 2 6 4" xfId="43809" xr:uid="{00000000-0005-0000-0000-000002AA0000}"/>
    <cellStyle name="Normal 4 2 5 2 6 5" xfId="43810" xr:uid="{00000000-0005-0000-0000-000003AA0000}"/>
    <cellStyle name="Normal 4 2 5 2 6 6" xfId="43811" xr:uid="{00000000-0005-0000-0000-000004AA0000}"/>
    <cellStyle name="Normal 4 2 5 2 7" xfId="43812" xr:uid="{00000000-0005-0000-0000-000005AA0000}"/>
    <cellStyle name="Normal 4 2 5 2 7 2" xfId="43813" xr:uid="{00000000-0005-0000-0000-000006AA0000}"/>
    <cellStyle name="Normal 4 2 5 2 7 2 2" xfId="43814" xr:uid="{00000000-0005-0000-0000-000007AA0000}"/>
    <cellStyle name="Normal 4 2 5 2 7 2 3" xfId="43815" xr:uid="{00000000-0005-0000-0000-000008AA0000}"/>
    <cellStyle name="Normal 4 2 5 2 7 3" xfId="43816" xr:uid="{00000000-0005-0000-0000-000009AA0000}"/>
    <cellStyle name="Normal 4 2 5 2 7 4" xfId="43817" xr:uid="{00000000-0005-0000-0000-00000AAA0000}"/>
    <cellStyle name="Normal 4 2 5 2 7 5" xfId="43818" xr:uid="{00000000-0005-0000-0000-00000BAA0000}"/>
    <cellStyle name="Normal 4 2 5 2 7 6" xfId="43819" xr:uid="{00000000-0005-0000-0000-00000CAA0000}"/>
    <cellStyle name="Normal 4 2 5 2 8" xfId="43820" xr:uid="{00000000-0005-0000-0000-00000DAA0000}"/>
    <cellStyle name="Normal 4 2 5 2 8 2" xfId="43821" xr:uid="{00000000-0005-0000-0000-00000EAA0000}"/>
    <cellStyle name="Normal 4 2 5 2 8 2 2" xfId="43822" xr:uid="{00000000-0005-0000-0000-00000FAA0000}"/>
    <cellStyle name="Normal 4 2 5 2 8 2 3" xfId="43823" xr:uid="{00000000-0005-0000-0000-000010AA0000}"/>
    <cellStyle name="Normal 4 2 5 2 8 3" xfId="43824" xr:uid="{00000000-0005-0000-0000-000011AA0000}"/>
    <cellStyle name="Normal 4 2 5 2 8 4" xfId="43825" xr:uid="{00000000-0005-0000-0000-000012AA0000}"/>
    <cellStyle name="Normal 4 2 5 2 8 5" xfId="43826" xr:uid="{00000000-0005-0000-0000-000013AA0000}"/>
    <cellStyle name="Normal 4 2 5 2 8 6" xfId="43827" xr:uid="{00000000-0005-0000-0000-000014AA0000}"/>
    <cellStyle name="Normal 4 2 5 2 9" xfId="43828" xr:uid="{00000000-0005-0000-0000-000015AA0000}"/>
    <cellStyle name="Normal 4 2 5 2 9 2" xfId="43829" xr:uid="{00000000-0005-0000-0000-000016AA0000}"/>
    <cellStyle name="Normal 4 2 5 2 9 2 2" xfId="43830" xr:uid="{00000000-0005-0000-0000-000017AA0000}"/>
    <cellStyle name="Normal 4 2 5 2 9 2 3" xfId="43831" xr:uid="{00000000-0005-0000-0000-000018AA0000}"/>
    <cellStyle name="Normal 4 2 5 2 9 3" xfId="43832" xr:uid="{00000000-0005-0000-0000-000019AA0000}"/>
    <cellStyle name="Normal 4 2 5 2 9 4" xfId="43833" xr:uid="{00000000-0005-0000-0000-00001AAA0000}"/>
    <cellStyle name="Normal 4 2 5 2 9 5" xfId="43834" xr:uid="{00000000-0005-0000-0000-00001BAA0000}"/>
    <cellStyle name="Normal 4 2 5 2 9 6" xfId="43835" xr:uid="{00000000-0005-0000-0000-00001CAA0000}"/>
    <cellStyle name="Normal 4 2 5 3" xfId="43836" xr:uid="{00000000-0005-0000-0000-00001DAA0000}"/>
    <cellStyle name="Normal 4 2 5 3 10" xfId="43837" xr:uid="{00000000-0005-0000-0000-00001EAA0000}"/>
    <cellStyle name="Normal 4 2 5 3 2" xfId="43838" xr:uid="{00000000-0005-0000-0000-00001FAA0000}"/>
    <cellStyle name="Normal 4 2 5 3 2 2" xfId="43839" xr:uid="{00000000-0005-0000-0000-000020AA0000}"/>
    <cellStyle name="Normal 4 2 5 3 2 2 2" xfId="43840" xr:uid="{00000000-0005-0000-0000-000021AA0000}"/>
    <cellStyle name="Normal 4 2 5 3 2 2 2 2" xfId="43841" xr:uid="{00000000-0005-0000-0000-000022AA0000}"/>
    <cellStyle name="Normal 4 2 5 3 2 2 2 3" xfId="43842" xr:uid="{00000000-0005-0000-0000-000023AA0000}"/>
    <cellStyle name="Normal 4 2 5 3 2 2 3" xfId="43843" xr:uid="{00000000-0005-0000-0000-000024AA0000}"/>
    <cellStyle name="Normal 4 2 5 3 2 2 4" xfId="43844" xr:uid="{00000000-0005-0000-0000-000025AA0000}"/>
    <cellStyle name="Normal 4 2 5 3 2 2 5" xfId="43845" xr:uid="{00000000-0005-0000-0000-000026AA0000}"/>
    <cellStyle name="Normal 4 2 5 3 2 2 6" xfId="43846" xr:uid="{00000000-0005-0000-0000-000027AA0000}"/>
    <cellStyle name="Normal 4 2 5 3 2 3" xfId="43847" xr:uid="{00000000-0005-0000-0000-000028AA0000}"/>
    <cellStyle name="Normal 4 2 5 3 2 3 2" xfId="43848" xr:uid="{00000000-0005-0000-0000-000029AA0000}"/>
    <cellStyle name="Normal 4 2 5 3 2 3 2 2" xfId="43849" xr:uid="{00000000-0005-0000-0000-00002AAA0000}"/>
    <cellStyle name="Normal 4 2 5 3 2 3 2 3" xfId="43850" xr:uid="{00000000-0005-0000-0000-00002BAA0000}"/>
    <cellStyle name="Normal 4 2 5 3 2 3 3" xfId="43851" xr:uid="{00000000-0005-0000-0000-00002CAA0000}"/>
    <cellStyle name="Normal 4 2 5 3 2 3 4" xfId="43852" xr:uid="{00000000-0005-0000-0000-00002DAA0000}"/>
    <cellStyle name="Normal 4 2 5 3 2 3 5" xfId="43853" xr:uid="{00000000-0005-0000-0000-00002EAA0000}"/>
    <cellStyle name="Normal 4 2 5 3 2 3 6" xfId="43854" xr:uid="{00000000-0005-0000-0000-00002FAA0000}"/>
    <cellStyle name="Normal 4 2 5 3 2 4" xfId="43855" xr:uid="{00000000-0005-0000-0000-000030AA0000}"/>
    <cellStyle name="Normal 4 2 5 3 2 4 2" xfId="43856" xr:uid="{00000000-0005-0000-0000-000031AA0000}"/>
    <cellStyle name="Normal 4 2 5 3 2 4 3" xfId="43857" xr:uid="{00000000-0005-0000-0000-000032AA0000}"/>
    <cellStyle name="Normal 4 2 5 3 2 5" xfId="43858" xr:uid="{00000000-0005-0000-0000-000033AA0000}"/>
    <cellStyle name="Normal 4 2 5 3 2 6" xfId="43859" xr:uid="{00000000-0005-0000-0000-000034AA0000}"/>
    <cellStyle name="Normal 4 2 5 3 2 7" xfId="43860" xr:uid="{00000000-0005-0000-0000-000035AA0000}"/>
    <cellStyle name="Normal 4 2 5 3 2 8" xfId="43861" xr:uid="{00000000-0005-0000-0000-000036AA0000}"/>
    <cellStyle name="Normal 4 2 5 3 3" xfId="43862" xr:uid="{00000000-0005-0000-0000-000037AA0000}"/>
    <cellStyle name="Normal 4 2 5 3 3 2" xfId="43863" xr:uid="{00000000-0005-0000-0000-000038AA0000}"/>
    <cellStyle name="Normal 4 2 5 3 3 2 2" xfId="43864" xr:uid="{00000000-0005-0000-0000-000039AA0000}"/>
    <cellStyle name="Normal 4 2 5 3 3 2 2 2" xfId="43865" xr:uid="{00000000-0005-0000-0000-00003AAA0000}"/>
    <cellStyle name="Normal 4 2 5 3 3 2 2 3" xfId="43866" xr:uid="{00000000-0005-0000-0000-00003BAA0000}"/>
    <cellStyle name="Normal 4 2 5 3 3 2 3" xfId="43867" xr:uid="{00000000-0005-0000-0000-00003CAA0000}"/>
    <cellStyle name="Normal 4 2 5 3 3 2 4" xfId="43868" xr:uid="{00000000-0005-0000-0000-00003DAA0000}"/>
    <cellStyle name="Normal 4 2 5 3 3 2 5" xfId="43869" xr:uid="{00000000-0005-0000-0000-00003EAA0000}"/>
    <cellStyle name="Normal 4 2 5 3 3 2 6" xfId="43870" xr:uid="{00000000-0005-0000-0000-00003FAA0000}"/>
    <cellStyle name="Normal 4 2 5 3 3 3" xfId="43871" xr:uid="{00000000-0005-0000-0000-000040AA0000}"/>
    <cellStyle name="Normal 4 2 5 3 3 3 2" xfId="43872" xr:uid="{00000000-0005-0000-0000-000041AA0000}"/>
    <cellStyle name="Normal 4 2 5 3 3 3 3" xfId="43873" xr:uid="{00000000-0005-0000-0000-000042AA0000}"/>
    <cellStyle name="Normal 4 2 5 3 3 4" xfId="43874" xr:uid="{00000000-0005-0000-0000-000043AA0000}"/>
    <cellStyle name="Normal 4 2 5 3 3 5" xfId="43875" xr:uid="{00000000-0005-0000-0000-000044AA0000}"/>
    <cellStyle name="Normal 4 2 5 3 3 6" xfId="43876" xr:uid="{00000000-0005-0000-0000-000045AA0000}"/>
    <cellStyle name="Normal 4 2 5 3 3 7" xfId="43877" xr:uid="{00000000-0005-0000-0000-000046AA0000}"/>
    <cellStyle name="Normal 4 2 5 3 4" xfId="43878" xr:uid="{00000000-0005-0000-0000-000047AA0000}"/>
    <cellStyle name="Normal 4 2 5 3 4 2" xfId="43879" xr:uid="{00000000-0005-0000-0000-000048AA0000}"/>
    <cellStyle name="Normal 4 2 5 3 4 2 2" xfId="43880" xr:uid="{00000000-0005-0000-0000-000049AA0000}"/>
    <cellStyle name="Normal 4 2 5 3 4 2 3" xfId="43881" xr:uid="{00000000-0005-0000-0000-00004AAA0000}"/>
    <cellStyle name="Normal 4 2 5 3 4 3" xfId="43882" xr:uid="{00000000-0005-0000-0000-00004BAA0000}"/>
    <cellStyle name="Normal 4 2 5 3 4 4" xfId="43883" xr:uid="{00000000-0005-0000-0000-00004CAA0000}"/>
    <cellStyle name="Normal 4 2 5 3 4 5" xfId="43884" xr:uid="{00000000-0005-0000-0000-00004DAA0000}"/>
    <cellStyle name="Normal 4 2 5 3 4 6" xfId="43885" xr:uid="{00000000-0005-0000-0000-00004EAA0000}"/>
    <cellStyle name="Normal 4 2 5 3 5" xfId="43886" xr:uid="{00000000-0005-0000-0000-00004FAA0000}"/>
    <cellStyle name="Normal 4 2 5 3 5 2" xfId="43887" xr:uid="{00000000-0005-0000-0000-000050AA0000}"/>
    <cellStyle name="Normal 4 2 5 3 5 2 2" xfId="43888" xr:uid="{00000000-0005-0000-0000-000051AA0000}"/>
    <cellStyle name="Normal 4 2 5 3 5 2 3" xfId="43889" xr:uid="{00000000-0005-0000-0000-000052AA0000}"/>
    <cellStyle name="Normal 4 2 5 3 5 3" xfId="43890" xr:uid="{00000000-0005-0000-0000-000053AA0000}"/>
    <cellStyle name="Normal 4 2 5 3 5 4" xfId="43891" xr:uid="{00000000-0005-0000-0000-000054AA0000}"/>
    <cellStyle name="Normal 4 2 5 3 5 5" xfId="43892" xr:uid="{00000000-0005-0000-0000-000055AA0000}"/>
    <cellStyle name="Normal 4 2 5 3 5 6" xfId="43893" xr:uid="{00000000-0005-0000-0000-000056AA0000}"/>
    <cellStyle name="Normal 4 2 5 3 6" xfId="43894" xr:uid="{00000000-0005-0000-0000-000057AA0000}"/>
    <cellStyle name="Normal 4 2 5 3 6 2" xfId="43895" xr:uid="{00000000-0005-0000-0000-000058AA0000}"/>
    <cellStyle name="Normal 4 2 5 3 6 3" xfId="43896" xr:uid="{00000000-0005-0000-0000-000059AA0000}"/>
    <cellStyle name="Normal 4 2 5 3 7" xfId="43897" xr:uid="{00000000-0005-0000-0000-00005AAA0000}"/>
    <cellStyle name="Normal 4 2 5 3 8" xfId="43898" xr:uid="{00000000-0005-0000-0000-00005BAA0000}"/>
    <cellStyle name="Normal 4 2 5 3 9" xfId="43899" xr:uid="{00000000-0005-0000-0000-00005CAA0000}"/>
    <cellStyle name="Normal 4 2 5 4" xfId="43900" xr:uid="{00000000-0005-0000-0000-00005DAA0000}"/>
    <cellStyle name="Normal 4 2 5 4 2" xfId="43901" xr:uid="{00000000-0005-0000-0000-00005EAA0000}"/>
    <cellStyle name="Normal 4 2 5 4 2 2" xfId="43902" xr:uid="{00000000-0005-0000-0000-00005FAA0000}"/>
    <cellStyle name="Normal 4 2 5 4 2 2 2" xfId="43903" xr:uid="{00000000-0005-0000-0000-000060AA0000}"/>
    <cellStyle name="Normal 4 2 5 4 2 2 2 2" xfId="43904" xr:uid="{00000000-0005-0000-0000-000061AA0000}"/>
    <cellStyle name="Normal 4 2 5 4 2 2 2 3" xfId="43905" xr:uid="{00000000-0005-0000-0000-000062AA0000}"/>
    <cellStyle name="Normal 4 2 5 4 2 2 3" xfId="43906" xr:uid="{00000000-0005-0000-0000-000063AA0000}"/>
    <cellStyle name="Normal 4 2 5 4 2 2 4" xfId="43907" xr:uid="{00000000-0005-0000-0000-000064AA0000}"/>
    <cellStyle name="Normal 4 2 5 4 2 2 5" xfId="43908" xr:uid="{00000000-0005-0000-0000-000065AA0000}"/>
    <cellStyle name="Normal 4 2 5 4 2 2 6" xfId="43909" xr:uid="{00000000-0005-0000-0000-000066AA0000}"/>
    <cellStyle name="Normal 4 2 5 4 2 3" xfId="43910" xr:uid="{00000000-0005-0000-0000-000067AA0000}"/>
    <cellStyle name="Normal 4 2 5 4 2 3 2" xfId="43911" xr:uid="{00000000-0005-0000-0000-000068AA0000}"/>
    <cellStyle name="Normal 4 2 5 4 2 3 3" xfId="43912" xr:uid="{00000000-0005-0000-0000-000069AA0000}"/>
    <cellStyle name="Normal 4 2 5 4 2 4" xfId="43913" xr:uid="{00000000-0005-0000-0000-00006AAA0000}"/>
    <cellStyle name="Normal 4 2 5 4 2 5" xfId="43914" xr:uid="{00000000-0005-0000-0000-00006BAA0000}"/>
    <cellStyle name="Normal 4 2 5 4 2 6" xfId="43915" xr:uid="{00000000-0005-0000-0000-00006CAA0000}"/>
    <cellStyle name="Normal 4 2 5 4 2 7" xfId="43916" xr:uid="{00000000-0005-0000-0000-00006DAA0000}"/>
    <cellStyle name="Normal 4 2 5 4 3" xfId="43917" xr:uid="{00000000-0005-0000-0000-00006EAA0000}"/>
    <cellStyle name="Normal 4 2 5 4 3 2" xfId="43918" xr:uid="{00000000-0005-0000-0000-00006FAA0000}"/>
    <cellStyle name="Normal 4 2 5 4 3 2 2" xfId="43919" xr:uid="{00000000-0005-0000-0000-000070AA0000}"/>
    <cellStyle name="Normal 4 2 5 4 3 2 3" xfId="43920" xr:uid="{00000000-0005-0000-0000-000071AA0000}"/>
    <cellStyle name="Normal 4 2 5 4 3 3" xfId="43921" xr:uid="{00000000-0005-0000-0000-000072AA0000}"/>
    <cellStyle name="Normal 4 2 5 4 3 4" xfId="43922" xr:uid="{00000000-0005-0000-0000-000073AA0000}"/>
    <cellStyle name="Normal 4 2 5 4 3 5" xfId="43923" xr:uid="{00000000-0005-0000-0000-000074AA0000}"/>
    <cellStyle name="Normal 4 2 5 4 3 6" xfId="43924" xr:uid="{00000000-0005-0000-0000-000075AA0000}"/>
    <cellStyle name="Normal 4 2 5 4 4" xfId="43925" xr:uid="{00000000-0005-0000-0000-000076AA0000}"/>
    <cellStyle name="Normal 4 2 5 4 4 2" xfId="43926" xr:uid="{00000000-0005-0000-0000-000077AA0000}"/>
    <cellStyle name="Normal 4 2 5 4 4 2 2" xfId="43927" xr:uid="{00000000-0005-0000-0000-000078AA0000}"/>
    <cellStyle name="Normal 4 2 5 4 4 2 3" xfId="43928" xr:uid="{00000000-0005-0000-0000-000079AA0000}"/>
    <cellStyle name="Normal 4 2 5 4 4 3" xfId="43929" xr:uid="{00000000-0005-0000-0000-00007AAA0000}"/>
    <cellStyle name="Normal 4 2 5 4 4 4" xfId="43930" xr:uid="{00000000-0005-0000-0000-00007BAA0000}"/>
    <cellStyle name="Normal 4 2 5 4 4 5" xfId="43931" xr:uid="{00000000-0005-0000-0000-00007CAA0000}"/>
    <cellStyle name="Normal 4 2 5 4 4 6" xfId="43932" xr:uid="{00000000-0005-0000-0000-00007DAA0000}"/>
    <cellStyle name="Normal 4 2 5 4 5" xfId="43933" xr:uid="{00000000-0005-0000-0000-00007EAA0000}"/>
    <cellStyle name="Normal 4 2 5 4 5 2" xfId="43934" xr:uid="{00000000-0005-0000-0000-00007FAA0000}"/>
    <cellStyle name="Normal 4 2 5 4 5 3" xfId="43935" xr:uid="{00000000-0005-0000-0000-000080AA0000}"/>
    <cellStyle name="Normal 4 2 5 4 6" xfId="43936" xr:uid="{00000000-0005-0000-0000-000081AA0000}"/>
    <cellStyle name="Normal 4 2 5 4 7" xfId="43937" xr:uid="{00000000-0005-0000-0000-000082AA0000}"/>
    <cellStyle name="Normal 4 2 5 4 8" xfId="43938" xr:uid="{00000000-0005-0000-0000-000083AA0000}"/>
    <cellStyle name="Normal 4 2 5 4 9" xfId="43939" xr:uid="{00000000-0005-0000-0000-000084AA0000}"/>
    <cellStyle name="Normal 4 2 5 5" xfId="43940" xr:uid="{00000000-0005-0000-0000-000085AA0000}"/>
    <cellStyle name="Normal 4 2 5 5 2" xfId="43941" xr:uid="{00000000-0005-0000-0000-000086AA0000}"/>
    <cellStyle name="Normal 4 2 5 5 2 2" xfId="43942" xr:uid="{00000000-0005-0000-0000-000087AA0000}"/>
    <cellStyle name="Normal 4 2 5 5 2 2 2" xfId="43943" xr:uid="{00000000-0005-0000-0000-000088AA0000}"/>
    <cellStyle name="Normal 4 2 5 5 2 2 3" xfId="43944" xr:uid="{00000000-0005-0000-0000-000089AA0000}"/>
    <cellStyle name="Normal 4 2 5 5 2 3" xfId="43945" xr:uid="{00000000-0005-0000-0000-00008AAA0000}"/>
    <cellStyle name="Normal 4 2 5 5 2 4" xfId="43946" xr:uid="{00000000-0005-0000-0000-00008BAA0000}"/>
    <cellStyle name="Normal 4 2 5 5 2 5" xfId="43947" xr:uid="{00000000-0005-0000-0000-00008CAA0000}"/>
    <cellStyle name="Normal 4 2 5 5 2 6" xfId="43948" xr:uid="{00000000-0005-0000-0000-00008DAA0000}"/>
    <cellStyle name="Normal 4 2 5 5 3" xfId="43949" xr:uid="{00000000-0005-0000-0000-00008EAA0000}"/>
    <cellStyle name="Normal 4 2 5 5 3 2" xfId="43950" xr:uid="{00000000-0005-0000-0000-00008FAA0000}"/>
    <cellStyle name="Normal 4 2 5 5 3 3" xfId="43951" xr:uid="{00000000-0005-0000-0000-000090AA0000}"/>
    <cellStyle name="Normal 4 2 5 5 4" xfId="43952" xr:uid="{00000000-0005-0000-0000-000091AA0000}"/>
    <cellStyle name="Normal 4 2 5 5 5" xfId="43953" xr:uid="{00000000-0005-0000-0000-000092AA0000}"/>
    <cellStyle name="Normal 4 2 5 5 6" xfId="43954" xr:uid="{00000000-0005-0000-0000-000093AA0000}"/>
    <cellStyle name="Normal 4 2 5 5 7" xfId="43955" xr:uid="{00000000-0005-0000-0000-000094AA0000}"/>
    <cellStyle name="Normal 4 2 5 6" xfId="43956" xr:uid="{00000000-0005-0000-0000-000095AA0000}"/>
    <cellStyle name="Normal 4 2 5 6 2" xfId="43957" xr:uid="{00000000-0005-0000-0000-000096AA0000}"/>
    <cellStyle name="Normal 4 2 5 6 2 2" xfId="43958" xr:uid="{00000000-0005-0000-0000-000097AA0000}"/>
    <cellStyle name="Normal 4 2 5 6 2 3" xfId="43959" xr:uid="{00000000-0005-0000-0000-000098AA0000}"/>
    <cellStyle name="Normal 4 2 5 6 3" xfId="43960" xr:uid="{00000000-0005-0000-0000-000099AA0000}"/>
    <cellStyle name="Normal 4 2 5 6 4" xfId="43961" xr:uid="{00000000-0005-0000-0000-00009AAA0000}"/>
    <cellStyle name="Normal 4 2 5 6 5" xfId="43962" xr:uid="{00000000-0005-0000-0000-00009BAA0000}"/>
    <cellStyle name="Normal 4 2 5 6 6" xfId="43963" xr:uid="{00000000-0005-0000-0000-00009CAA0000}"/>
    <cellStyle name="Normal 4 2 5 7" xfId="43964" xr:uid="{00000000-0005-0000-0000-00009DAA0000}"/>
    <cellStyle name="Normal 4 2 5 7 2" xfId="43965" xr:uid="{00000000-0005-0000-0000-00009EAA0000}"/>
    <cellStyle name="Normal 4 2 5 7 2 2" xfId="43966" xr:uid="{00000000-0005-0000-0000-00009FAA0000}"/>
    <cellStyle name="Normal 4 2 5 7 2 3" xfId="43967" xr:uid="{00000000-0005-0000-0000-0000A0AA0000}"/>
    <cellStyle name="Normal 4 2 5 7 3" xfId="43968" xr:uid="{00000000-0005-0000-0000-0000A1AA0000}"/>
    <cellStyle name="Normal 4 2 5 7 4" xfId="43969" xr:uid="{00000000-0005-0000-0000-0000A2AA0000}"/>
    <cellStyle name="Normal 4 2 5 7 5" xfId="43970" xr:uid="{00000000-0005-0000-0000-0000A3AA0000}"/>
    <cellStyle name="Normal 4 2 5 7 6" xfId="43971" xr:uid="{00000000-0005-0000-0000-0000A4AA0000}"/>
    <cellStyle name="Normal 4 2 5 8" xfId="43972" xr:uid="{00000000-0005-0000-0000-0000A5AA0000}"/>
    <cellStyle name="Normal 4 2 5 8 2" xfId="43973" xr:uid="{00000000-0005-0000-0000-0000A6AA0000}"/>
    <cellStyle name="Normal 4 2 5 8 2 2" xfId="43974" xr:uid="{00000000-0005-0000-0000-0000A7AA0000}"/>
    <cellStyle name="Normal 4 2 5 8 2 3" xfId="43975" xr:uid="{00000000-0005-0000-0000-0000A8AA0000}"/>
    <cellStyle name="Normal 4 2 5 8 3" xfId="43976" xr:uid="{00000000-0005-0000-0000-0000A9AA0000}"/>
    <cellStyle name="Normal 4 2 5 8 4" xfId="43977" xr:uid="{00000000-0005-0000-0000-0000AAAA0000}"/>
    <cellStyle name="Normal 4 2 5 8 5" xfId="43978" xr:uid="{00000000-0005-0000-0000-0000ABAA0000}"/>
    <cellStyle name="Normal 4 2 5 8 6" xfId="43979" xr:uid="{00000000-0005-0000-0000-0000ACAA0000}"/>
    <cellStyle name="Normal 4 2 5 9" xfId="43980" xr:uid="{00000000-0005-0000-0000-0000ADAA0000}"/>
    <cellStyle name="Normal 4 2 5 9 2" xfId="43981" xr:uid="{00000000-0005-0000-0000-0000AEAA0000}"/>
    <cellStyle name="Normal 4 2 5 9 2 2" xfId="43982" xr:uid="{00000000-0005-0000-0000-0000AFAA0000}"/>
    <cellStyle name="Normal 4 2 5 9 2 3" xfId="43983" xr:uid="{00000000-0005-0000-0000-0000B0AA0000}"/>
    <cellStyle name="Normal 4 2 5 9 3" xfId="43984" xr:uid="{00000000-0005-0000-0000-0000B1AA0000}"/>
    <cellStyle name="Normal 4 2 5 9 4" xfId="43985" xr:uid="{00000000-0005-0000-0000-0000B2AA0000}"/>
    <cellStyle name="Normal 4 2 5 9 5" xfId="43986" xr:uid="{00000000-0005-0000-0000-0000B3AA0000}"/>
    <cellStyle name="Normal 4 2 5 9 6" xfId="43987" xr:uid="{00000000-0005-0000-0000-0000B4AA0000}"/>
    <cellStyle name="Normal 4 2 6" xfId="43988" xr:uid="{00000000-0005-0000-0000-0000B5AA0000}"/>
    <cellStyle name="Normal 4 2 6 10" xfId="43989" xr:uid="{00000000-0005-0000-0000-0000B6AA0000}"/>
    <cellStyle name="Normal 4 2 6 10 2" xfId="43990" xr:uid="{00000000-0005-0000-0000-0000B7AA0000}"/>
    <cellStyle name="Normal 4 2 6 10 2 2" xfId="43991" xr:uid="{00000000-0005-0000-0000-0000B8AA0000}"/>
    <cellStyle name="Normal 4 2 6 10 2 3" xfId="43992" xr:uid="{00000000-0005-0000-0000-0000B9AA0000}"/>
    <cellStyle name="Normal 4 2 6 10 3" xfId="43993" xr:uid="{00000000-0005-0000-0000-0000BAAA0000}"/>
    <cellStyle name="Normal 4 2 6 10 4" xfId="43994" xr:uid="{00000000-0005-0000-0000-0000BBAA0000}"/>
    <cellStyle name="Normal 4 2 6 10 5" xfId="43995" xr:uid="{00000000-0005-0000-0000-0000BCAA0000}"/>
    <cellStyle name="Normal 4 2 6 10 6" xfId="43996" xr:uid="{00000000-0005-0000-0000-0000BDAA0000}"/>
    <cellStyle name="Normal 4 2 6 11" xfId="43997" xr:uid="{00000000-0005-0000-0000-0000BEAA0000}"/>
    <cellStyle name="Normal 4 2 6 11 2" xfId="43998" xr:uid="{00000000-0005-0000-0000-0000BFAA0000}"/>
    <cellStyle name="Normal 4 2 6 11 3" xfId="43999" xr:uid="{00000000-0005-0000-0000-0000C0AA0000}"/>
    <cellStyle name="Normal 4 2 6 12" xfId="44000" xr:uid="{00000000-0005-0000-0000-0000C1AA0000}"/>
    <cellStyle name="Normal 4 2 6 13" xfId="44001" xr:uid="{00000000-0005-0000-0000-0000C2AA0000}"/>
    <cellStyle name="Normal 4 2 6 14" xfId="44002" xr:uid="{00000000-0005-0000-0000-0000C3AA0000}"/>
    <cellStyle name="Normal 4 2 6 15" xfId="44003" xr:uid="{00000000-0005-0000-0000-0000C4AA0000}"/>
    <cellStyle name="Normal 4 2 6 2" xfId="44004" xr:uid="{00000000-0005-0000-0000-0000C5AA0000}"/>
    <cellStyle name="Normal 4 2 6 2 10" xfId="44005" xr:uid="{00000000-0005-0000-0000-0000C6AA0000}"/>
    <cellStyle name="Normal 4 2 6 2 11" xfId="44006" xr:uid="{00000000-0005-0000-0000-0000C7AA0000}"/>
    <cellStyle name="Normal 4 2 6 2 12" xfId="44007" xr:uid="{00000000-0005-0000-0000-0000C8AA0000}"/>
    <cellStyle name="Normal 4 2 6 2 13" xfId="44008" xr:uid="{00000000-0005-0000-0000-0000C9AA0000}"/>
    <cellStyle name="Normal 4 2 6 2 2" xfId="44009" xr:uid="{00000000-0005-0000-0000-0000CAAA0000}"/>
    <cellStyle name="Normal 4 2 6 2 2 10" xfId="44010" xr:uid="{00000000-0005-0000-0000-0000CBAA0000}"/>
    <cellStyle name="Normal 4 2 6 2 2 2" xfId="44011" xr:uid="{00000000-0005-0000-0000-0000CCAA0000}"/>
    <cellStyle name="Normal 4 2 6 2 2 2 2" xfId="44012" xr:uid="{00000000-0005-0000-0000-0000CDAA0000}"/>
    <cellStyle name="Normal 4 2 6 2 2 2 2 2" xfId="44013" xr:uid="{00000000-0005-0000-0000-0000CEAA0000}"/>
    <cellStyle name="Normal 4 2 6 2 2 2 2 2 2" xfId="44014" xr:uid="{00000000-0005-0000-0000-0000CFAA0000}"/>
    <cellStyle name="Normal 4 2 6 2 2 2 2 2 3" xfId="44015" xr:uid="{00000000-0005-0000-0000-0000D0AA0000}"/>
    <cellStyle name="Normal 4 2 6 2 2 2 2 3" xfId="44016" xr:uid="{00000000-0005-0000-0000-0000D1AA0000}"/>
    <cellStyle name="Normal 4 2 6 2 2 2 2 4" xfId="44017" xr:uid="{00000000-0005-0000-0000-0000D2AA0000}"/>
    <cellStyle name="Normal 4 2 6 2 2 2 2 5" xfId="44018" xr:uid="{00000000-0005-0000-0000-0000D3AA0000}"/>
    <cellStyle name="Normal 4 2 6 2 2 2 2 6" xfId="44019" xr:uid="{00000000-0005-0000-0000-0000D4AA0000}"/>
    <cellStyle name="Normal 4 2 6 2 2 2 3" xfId="44020" xr:uid="{00000000-0005-0000-0000-0000D5AA0000}"/>
    <cellStyle name="Normal 4 2 6 2 2 2 3 2" xfId="44021" xr:uid="{00000000-0005-0000-0000-0000D6AA0000}"/>
    <cellStyle name="Normal 4 2 6 2 2 2 3 2 2" xfId="44022" xr:uid="{00000000-0005-0000-0000-0000D7AA0000}"/>
    <cellStyle name="Normal 4 2 6 2 2 2 3 2 3" xfId="44023" xr:uid="{00000000-0005-0000-0000-0000D8AA0000}"/>
    <cellStyle name="Normal 4 2 6 2 2 2 3 3" xfId="44024" xr:uid="{00000000-0005-0000-0000-0000D9AA0000}"/>
    <cellStyle name="Normal 4 2 6 2 2 2 3 4" xfId="44025" xr:uid="{00000000-0005-0000-0000-0000DAAA0000}"/>
    <cellStyle name="Normal 4 2 6 2 2 2 3 5" xfId="44026" xr:uid="{00000000-0005-0000-0000-0000DBAA0000}"/>
    <cellStyle name="Normal 4 2 6 2 2 2 3 6" xfId="44027" xr:uid="{00000000-0005-0000-0000-0000DCAA0000}"/>
    <cellStyle name="Normal 4 2 6 2 2 2 4" xfId="44028" xr:uid="{00000000-0005-0000-0000-0000DDAA0000}"/>
    <cellStyle name="Normal 4 2 6 2 2 2 4 2" xfId="44029" xr:uid="{00000000-0005-0000-0000-0000DEAA0000}"/>
    <cellStyle name="Normal 4 2 6 2 2 2 4 3" xfId="44030" xr:uid="{00000000-0005-0000-0000-0000DFAA0000}"/>
    <cellStyle name="Normal 4 2 6 2 2 2 5" xfId="44031" xr:uid="{00000000-0005-0000-0000-0000E0AA0000}"/>
    <cellStyle name="Normal 4 2 6 2 2 2 6" xfId="44032" xr:uid="{00000000-0005-0000-0000-0000E1AA0000}"/>
    <cellStyle name="Normal 4 2 6 2 2 2 7" xfId="44033" xr:uid="{00000000-0005-0000-0000-0000E2AA0000}"/>
    <cellStyle name="Normal 4 2 6 2 2 2 8" xfId="44034" xr:uid="{00000000-0005-0000-0000-0000E3AA0000}"/>
    <cellStyle name="Normal 4 2 6 2 2 3" xfId="44035" xr:uid="{00000000-0005-0000-0000-0000E4AA0000}"/>
    <cellStyle name="Normal 4 2 6 2 2 3 2" xfId="44036" xr:uid="{00000000-0005-0000-0000-0000E5AA0000}"/>
    <cellStyle name="Normal 4 2 6 2 2 3 2 2" xfId="44037" xr:uid="{00000000-0005-0000-0000-0000E6AA0000}"/>
    <cellStyle name="Normal 4 2 6 2 2 3 2 2 2" xfId="44038" xr:uid="{00000000-0005-0000-0000-0000E7AA0000}"/>
    <cellStyle name="Normal 4 2 6 2 2 3 2 2 3" xfId="44039" xr:uid="{00000000-0005-0000-0000-0000E8AA0000}"/>
    <cellStyle name="Normal 4 2 6 2 2 3 2 3" xfId="44040" xr:uid="{00000000-0005-0000-0000-0000E9AA0000}"/>
    <cellStyle name="Normal 4 2 6 2 2 3 2 4" xfId="44041" xr:uid="{00000000-0005-0000-0000-0000EAAA0000}"/>
    <cellStyle name="Normal 4 2 6 2 2 3 2 5" xfId="44042" xr:uid="{00000000-0005-0000-0000-0000EBAA0000}"/>
    <cellStyle name="Normal 4 2 6 2 2 3 2 6" xfId="44043" xr:uid="{00000000-0005-0000-0000-0000ECAA0000}"/>
    <cellStyle name="Normal 4 2 6 2 2 3 3" xfId="44044" xr:uid="{00000000-0005-0000-0000-0000EDAA0000}"/>
    <cellStyle name="Normal 4 2 6 2 2 3 3 2" xfId="44045" xr:uid="{00000000-0005-0000-0000-0000EEAA0000}"/>
    <cellStyle name="Normal 4 2 6 2 2 3 3 3" xfId="44046" xr:uid="{00000000-0005-0000-0000-0000EFAA0000}"/>
    <cellStyle name="Normal 4 2 6 2 2 3 4" xfId="44047" xr:uid="{00000000-0005-0000-0000-0000F0AA0000}"/>
    <cellStyle name="Normal 4 2 6 2 2 3 5" xfId="44048" xr:uid="{00000000-0005-0000-0000-0000F1AA0000}"/>
    <cellStyle name="Normal 4 2 6 2 2 3 6" xfId="44049" xr:uid="{00000000-0005-0000-0000-0000F2AA0000}"/>
    <cellStyle name="Normal 4 2 6 2 2 3 7" xfId="44050" xr:uid="{00000000-0005-0000-0000-0000F3AA0000}"/>
    <cellStyle name="Normal 4 2 6 2 2 4" xfId="44051" xr:uid="{00000000-0005-0000-0000-0000F4AA0000}"/>
    <cellStyle name="Normal 4 2 6 2 2 4 2" xfId="44052" xr:uid="{00000000-0005-0000-0000-0000F5AA0000}"/>
    <cellStyle name="Normal 4 2 6 2 2 4 2 2" xfId="44053" xr:uid="{00000000-0005-0000-0000-0000F6AA0000}"/>
    <cellStyle name="Normal 4 2 6 2 2 4 2 3" xfId="44054" xr:uid="{00000000-0005-0000-0000-0000F7AA0000}"/>
    <cellStyle name="Normal 4 2 6 2 2 4 3" xfId="44055" xr:uid="{00000000-0005-0000-0000-0000F8AA0000}"/>
    <cellStyle name="Normal 4 2 6 2 2 4 4" xfId="44056" xr:uid="{00000000-0005-0000-0000-0000F9AA0000}"/>
    <cellStyle name="Normal 4 2 6 2 2 4 5" xfId="44057" xr:uid="{00000000-0005-0000-0000-0000FAAA0000}"/>
    <cellStyle name="Normal 4 2 6 2 2 4 6" xfId="44058" xr:uid="{00000000-0005-0000-0000-0000FBAA0000}"/>
    <cellStyle name="Normal 4 2 6 2 2 5" xfId="44059" xr:uid="{00000000-0005-0000-0000-0000FCAA0000}"/>
    <cellStyle name="Normal 4 2 6 2 2 5 2" xfId="44060" xr:uid="{00000000-0005-0000-0000-0000FDAA0000}"/>
    <cellStyle name="Normal 4 2 6 2 2 5 2 2" xfId="44061" xr:uid="{00000000-0005-0000-0000-0000FEAA0000}"/>
    <cellStyle name="Normal 4 2 6 2 2 5 2 3" xfId="44062" xr:uid="{00000000-0005-0000-0000-0000FFAA0000}"/>
    <cellStyle name="Normal 4 2 6 2 2 5 3" xfId="44063" xr:uid="{00000000-0005-0000-0000-000000AB0000}"/>
    <cellStyle name="Normal 4 2 6 2 2 5 4" xfId="44064" xr:uid="{00000000-0005-0000-0000-000001AB0000}"/>
    <cellStyle name="Normal 4 2 6 2 2 5 5" xfId="44065" xr:uid="{00000000-0005-0000-0000-000002AB0000}"/>
    <cellStyle name="Normal 4 2 6 2 2 5 6" xfId="44066" xr:uid="{00000000-0005-0000-0000-000003AB0000}"/>
    <cellStyle name="Normal 4 2 6 2 2 6" xfId="44067" xr:uid="{00000000-0005-0000-0000-000004AB0000}"/>
    <cellStyle name="Normal 4 2 6 2 2 6 2" xfId="44068" xr:uid="{00000000-0005-0000-0000-000005AB0000}"/>
    <cellStyle name="Normal 4 2 6 2 2 6 3" xfId="44069" xr:uid="{00000000-0005-0000-0000-000006AB0000}"/>
    <cellStyle name="Normal 4 2 6 2 2 7" xfId="44070" xr:uid="{00000000-0005-0000-0000-000007AB0000}"/>
    <cellStyle name="Normal 4 2 6 2 2 8" xfId="44071" xr:uid="{00000000-0005-0000-0000-000008AB0000}"/>
    <cellStyle name="Normal 4 2 6 2 2 9" xfId="44072" xr:uid="{00000000-0005-0000-0000-000009AB0000}"/>
    <cellStyle name="Normal 4 2 6 2 3" xfId="44073" xr:uid="{00000000-0005-0000-0000-00000AAB0000}"/>
    <cellStyle name="Normal 4 2 6 2 3 2" xfId="44074" xr:uid="{00000000-0005-0000-0000-00000BAB0000}"/>
    <cellStyle name="Normal 4 2 6 2 3 2 2" xfId="44075" xr:uid="{00000000-0005-0000-0000-00000CAB0000}"/>
    <cellStyle name="Normal 4 2 6 2 3 2 2 2" xfId="44076" xr:uid="{00000000-0005-0000-0000-00000DAB0000}"/>
    <cellStyle name="Normal 4 2 6 2 3 2 2 2 2" xfId="44077" xr:uid="{00000000-0005-0000-0000-00000EAB0000}"/>
    <cellStyle name="Normal 4 2 6 2 3 2 2 2 3" xfId="44078" xr:uid="{00000000-0005-0000-0000-00000FAB0000}"/>
    <cellStyle name="Normal 4 2 6 2 3 2 2 3" xfId="44079" xr:uid="{00000000-0005-0000-0000-000010AB0000}"/>
    <cellStyle name="Normal 4 2 6 2 3 2 2 4" xfId="44080" xr:uid="{00000000-0005-0000-0000-000011AB0000}"/>
    <cellStyle name="Normal 4 2 6 2 3 2 2 5" xfId="44081" xr:uid="{00000000-0005-0000-0000-000012AB0000}"/>
    <cellStyle name="Normal 4 2 6 2 3 2 2 6" xfId="44082" xr:uid="{00000000-0005-0000-0000-000013AB0000}"/>
    <cellStyle name="Normal 4 2 6 2 3 2 3" xfId="44083" xr:uid="{00000000-0005-0000-0000-000014AB0000}"/>
    <cellStyle name="Normal 4 2 6 2 3 2 3 2" xfId="44084" xr:uid="{00000000-0005-0000-0000-000015AB0000}"/>
    <cellStyle name="Normal 4 2 6 2 3 2 3 3" xfId="44085" xr:uid="{00000000-0005-0000-0000-000016AB0000}"/>
    <cellStyle name="Normal 4 2 6 2 3 2 4" xfId="44086" xr:uid="{00000000-0005-0000-0000-000017AB0000}"/>
    <cellStyle name="Normal 4 2 6 2 3 2 5" xfId="44087" xr:uid="{00000000-0005-0000-0000-000018AB0000}"/>
    <cellStyle name="Normal 4 2 6 2 3 2 6" xfId="44088" xr:uid="{00000000-0005-0000-0000-000019AB0000}"/>
    <cellStyle name="Normal 4 2 6 2 3 2 7" xfId="44089" xr:uid="{00000000-0005-0000-0000-00001AAB0000}"/>
    <cellStyle name="Normal 4 2 6 2 3 3" xfId="44090" xr:uid="{00000000-0005-0000-0000-00001BAB0000}"/>
    <cellStyle name="Normal 4 2 6 2 3 3 2" xfId="44091" xr:uid="{00000000-0005-0000-0000-00001CAB0000}"/>
    <cellStyle name="Normal 4 2 6 2 3 3 2 2" xfId="44092" xr:uid="{00000000-0005-0000-0000-00001DAB0000}"/>
    <cellStyle name="Normal 4 2 6 2 3 3 2 3" xfId="44093" xr:uid="{00000000-0005-0000-0000-00001EAB0000}"/>
    <cellStyle name="Normal 4 2 6 2 3 3 3" xfId="44094" xr:uid="{00000000-0005-0000-0000-00001FAB0000}"/>
    <cellStyle name="Normal 4 2 6 2 3 3 4" xfId="44095" xr:uid="{00000000-0005-0000-0000-000020AB0000}"/>
    <cellStyle name="Normal 4 2 6 2 3 3 5" xfId="44096" xr:uid="{00000000-0005-0000-0000-000021AB0000}"/>
    <cellStyle name="Normal 4 2 6 2 3 3 6" xfId="44097" xr:uid="{00000000-0005-0000-0000-000022AB0000}"/>
    <cellStyle name="Normal 4 2 6 2 3 4" xfId="44098" xr:uid="{00000000-0005-0000-0000-000023AB0000}"/>
    <cellStyle name="Normal 4 2 6 2 3 4 2" xfId="44099" xr:uid="{00000000-0005-0000-0000-000024AB0000}"/>
    <cellStyle name="Normal 4 2 6 2 3 4 2 2" xfId="44100" xr:uid="{00000000-0005-0000-0000-000025AB0000}"/>
    <cellStyle name="Normal 4 2 6 2 3 4 2 3" xfId="44101" xr:uid="{00000000-0005-0000-0000-000026AB0000}"/>
    <cellStyle name="Normal 4 2 6 2 3 4 3" xfId="44102" xr:uid="{00000000-0005-0000-0000-000027AB0000}"/>
    <cellStyle name="Normal 4 2 6 2 3 4 4" xfId="44103" xr:uid="{00000000-0005-0000-0000-000028AB0000}"/>
    <cellStyle name="Normal 4 2 6 2 3 4 5" xfId="44104" xr:uid="{00000000-0005-0000-0000-000029AB0000}"/>
    <cellStyle name="Normal 4 2 6 2 3 4 6" xfId="44105" xr:uid="{00000000-0005-0000-0000-00002AAB0000}"/>
    <cellStyle name="Normal 4 2 6 2 3 5" xfId="44106" xr:uid="{00000000-0005-0000-0000-00002BAB0000}"/>
    <cellStyle name="Normal 4 2 6 2 3 5 2" xfId="44107" xr:uid="{00000000-0005-0000-0000-00002CAB0000}"/>
    <cellStyle name="Normal 4 2 6 2 3 5 3" xfId="44108" xr:uid="{00000000-0005-0000-0000-00002DAB0000}"/>
    <cellStyle name="Normal 4 2 6 2 3 6" xfId="44109" xr:uid="{00000000-0005-0000-0000-00002EAB0000}"/>
    <cellStyle name="Normal 4 2 6 2 3 7" xfId="44110" xr:uid="{00000000-0005-0000-0000-00002FAB0000}"/>
    <cellStyle name="Normal 4 2 6 2 3 8" xfId="44111" xr:uid="{00000000-0005-0000-0000-000030AB0000}"/>
    <cellStyle name="Normal 4 2 6 2 3 9" xfId="44112" xr:uid="{00000000-0005-0000-0000-000031AB0000}"/>
    <cellStyle name="Normal 4 2 6 2 4" xfId="44113" xr:uid="{00000000-0005-0000-0000-000032AB0000}"/>
    <cellStyle name="Normal 4 2 6 2 4 2" xfId="44114" xr:uid="{00000000-0005-0000-0000-000033AB0000}"/>
    <cellStyle name="Normal 4 2 6 2 4 2 2" xfId="44115" xr:uid="{00000000-0005-0000-0000-000034AB0000}"/>
    <cellStyle name="Normal 4 2 6 2 4 2 2 2" xfId="44116" xr:uid="{00000000-0005-0000-0000-000035AB0000}"/>
    <cellStyle name="Normal 4 2 6 2 4 2 2 3" xfId="44117" xr:uid="{00000000-0005-0000-0000-000036AB0000}"/>
    <cellStyle name="Normal 4 2 6 2 4 2 3" xfId="44118" xr:uid="{00000000-0005-0000-0000-000037AB0000}"/>
    <cellStyle name="Normal 4 2 6 2 4 2 4" xfId="44119" xr:uid="{00000000-0005-0000-0000-000038AB0000}"/>
    <cellStyle name="Normal 4 2 6 2 4 2 5" xfId="44120" xr:uid="{00000000-0005-0000-0000-000039AB0000}"/>
    <cellStyle name="Normal 4 2 6 2 4 2 6" xfId="44121" xr:uid="{00000000-0005-0000-0000-00003AAB0000}"/>
    <cellStyle name="Normal 4 2 6 2 4 3" xfId="44122" xr:uid="{00000000-0005-0000-0000-00003BAB0000}"/>
    <cellStyle name="Normal 4 2 6 2 4 3 2" xfId="44123" xr:uid="{00000000-0005-0000-0000-00003CAB0000}"/>
    <cellStyle name="Normal 4 2 6 2 4 3 3" xfId="44124" xr:uid="{00000000-0005-0000-0000-00003DAB0000}"/>
    <cellStyle name="Normal 4 2 6 2 4 4" xfId="44125" xr:uid="{00000000-0005-0000-0000-00003EAB0000}"/>
    <cellStyle name="Normal 4 2 6 2 4 5" xfId="44126" xr:uid="{00000000-0005-0000-0000-00003FAB0000}"/>
    <cellStyle name="Normal 4 2 6 2 4 6" xfId="44127" xr:uid="{00000000-0005-0000-0000-000040AB0000}"/>
    <cellStyle name="Normal 4 2 6 2 4 7" xfId="44128" xr:uid="{00000000-0005-0000-0000-000041AB0000}"/>
    <cellStyle name="Normal 4 2 6 2 5" xfId="44129" xr:uid="{00000000-0005-0000-0000-000042AB0000}"/>
    <cellStyle name="Normal 4 2 6 2 5 2" xfId="44130" xr:uid="{00000000-0005-0000-0000-000043AB0000}"/>
    <cellStyle name="Normal 4 2 6 2 5 2 2" xfId="44131" xr:uid="{00000000-0005-0000-0000-000044AB0000}"/>
    <cellStyle name="Normal 4 2 6 2 5 2 3" xfId="44132" xr:uid="{00000000-0005-0000-0000-000045AB0000}"/>
    <cellStyle name="Normal 4 2 6 2 5 3" xfId="44133" xr:uid="{00000000-0005-0000-0000-000046AB0000}"/>
    <cellStyle name="Normal 4 2 6 2 5 4" xfId="44134" xr:uid="{00000000-0005-0000-0000-000047AB0000}"/>
    <cellStyle name="Normal 4 2 6 2 5 5" xfId="44135" xr:uid="{00000000-0005-0000-0000-000048AB0000}"/>
    <cellStyle name="Normal 4 2 6 2 5 6" xfId="44136" xr:uid="{00000000-0005-0000-0000-000049AB0000}"/>
    <cellStyle name="Normal 4 2 6 2 6" xfId="44137" xr:uid="{00000000-0005-0000-0000-00004AAB0000}"/>
    <cellStyle name="Normal 4 2 6 2 6 2" xfId="44138" xr:uid="{00000000-0005-0000-0000-00004BAB0000}"/>
    <cellStyle name="Normal 4 2 6 2 6 2 2" xfId="44139" xr:uid="{00000000-0005-0000-0000-00004CAB0000}"/>
    <cellStyle name="Normal 4 2 6 2 6 2 3" xfId="44140" xr:uid="{00000000-0005-0000-0000-00004DAB0000}"/>
    <cellStyle name="Normal 4 2 6 2 6 3" xfId="44141" xr:uid="{00000000-0005-0000-0000-00004EAB0000}"/>
    <cellStyle name="Normal 4 2 6 2 6 4" xfId="44142" xr:uid="{00000000-0005-0000-0000-00004FAB0000}"/>
    <cellStyle name="Normal 4 2 6 2 6 5" xfId="44143" xr:uid="{00000000-0005-0000-0000-000050AB0000}"/>
    <cellStyle name="Normal 4 2 6 2 6 6" xfId="44144" xr:uid="{00000000-0005-0000-0000-000051AB0000}"/>
    <cellStyle name="Normal 4 2 6 2 7" xfId="44145" xr:uid="{00000000-0005-0000-0000-000052AB0000}"/>
    <cellStyle name="Normal 4 2 6 2 7 2" xfId="44146" xr:uid="{00000000-0005-0000-0000-000053AB0000}"/>
    <cellStyle name="Normal 4 2 6 2 7 2 2" xfId="44147" xr:uid="{00000000-0005-0000-0000-000054AB0000}"/>
    <cellStyle name="Normal 4 2 6 2 7 2 3" xfId="44148" xr:uid="{00000000-0005-0000-0000-000055AB0000}"/>
    <cellStyle name="Normal 4 2 6 2 7 3" xfId="44149" xr:uid="{00000000-0005-0000-0000-000056AB0000}"/>
    <cellStyle name="Normal 4 2 6 2 7 4" xfId="44150" xr:uid="{00000000-0005-0000-0000-000057AB0000}"/>
    <cellStyle name="Normal 4 2 6 2 7 5" xfId="44151" xr:uid="{00000000-0005-0000-0000-000058AB0000}"/>
    <cellStyle name="Normal 4 2 6 2 7 6" xfId="44152" xr:uid="{00000000-0005-0000-0000-000059AB0000}"/>
    <cellStyle name="Normal 4 2 6 2 8" xfId="44153" xr:uid="{00000000-0005-0000-0000-00005AAB0000}"/>
    <cellStyle name="Normal 4 2 6 2 8 2" xfId="44154" xr:uid="{00000000-0005-0000-0000-00005BAB0000}"/>
    <cellStyle name="Normal 4 2 6 2 8 2 2" xfId="44155" xr:uid="{00000000-0005-0000-0000-00005CAB0000}"/>
    <cellStyle name="Normal 4 2 6 2 8 2 3" xfId="44156" xr:uid="{00000000-0005-0000-0000-00005DAB0000}"/>
    <cellStyle name="Normal 4 2 6 2 8 3" xfId="44157" xr:uid="{00000000-0005-0000-0000-00005EAB0000}"/>
    <cellStyle name="Normal 4 2 6 2 8 4" xfId="44158" xr:uid="{00000000-0005-0000-0000-00005FAB0000}"/>
    <cellStyle name="Normal 4 2 6 2 8 5" xfId="44159" xr:uid="{00000000-0005-0000-0000-000060AB0000}"/>
    <cellStyle name="Normal 4 2 6 2 8 6" xfId="44160" xr:uid="{00000000-0005-0000-0000-000061AB0000}"/>
    <cellStyle name="Normal 4 2 6 2 9" xfId="44161" xr:uid="{00000000-0005-0000-0000-000062AB0000}"/>
    <cellStyle name="Normal 4 2 6 2 9 2" xfId="44162" xr:uid="{00000000-0005-0000-0000-000063AB0000}"/>
    <cellStyle name="Normal 4 2 6 2 9 3" xfId="44163" xr:uid="{00000000-0005-0000-0000-000064AB0000}"/>
    <cellStyle name="Normal 4 2 6 3" xfId="44164" xr:uid="{00000000-0005-0000-0000-000065AB0000}"/>
    <cellStyle name="Normal 4 2 6 3 10" xfId="44165" xr:uid="{00000000-0005-0000-0000-000066AB0000}"/>
    <cellStyle name="Normal 4 2 6 3 2" xfId="44166" xr:uid="{00000000-0005-0000-0000-000067AB0000}"/>
    <cellStyle name="Normal 4 2 6 3 2 2" xfId="44167" xr:uid="{00000000-0005-0000-0000-000068AB0000}"/>
    <cellStyle name="Normal 4 2 6 3 2 2 2" xfId="44168" xr:uid="{00000000-0005-0000-0000-000069AB0000}"/>
    <cellStyle name="Normal 4 2 6 3 2 2 2 2" xfId="44169" xr:uid="{00000000-0005-0000-0000-00006AAB0000}"/>
    <cellStyle name="Normal 4 2 6 3 2 2 2 3" xfId="44170" xr:uid="{00000000-0005-0000-0000-00006BAB0000}"/>
    <cellStyle name="Normal 4 2 6 3 2 2 3" xfId="44171" xr:uid="{00000000-0005-0000-0000-00006CAB0000}"/>
    <cellStyle name="Normal 4 2 6 3 2 2 4" xfId="44172" xr:uid="{00000000-0005-0000-0000-00006DAB0000}"/>
    <cellStyle name="Normal 4 2 6 3 2 2 5" xfId="44173" xr:uid="{00000000-0005-0000-0000-00006EAB0000}"/>
    <cellStyle name="Normal 4 2 6 3 2 2 6" xfId="44174" xr:uid="{00000000-0005-0000-0000-00006FAB0000}"/>
    <cellStyle name="Normal 4 2 6 3 2 3" xfId="44175" xr:uid="{00000000-0005-0000-0000-000070AB0000}"/>
    <cellStyle name="Normal 4 2 6 3 2 3 2" xfId="44176" xr:uid="{00000000-0005-0000-0000-000071AB0000}"/>
    <cellStyle name="Normal 4 2 6 3 2 3 2 2" xfId="44177" xr:uid="{00000000-0005-0000-0000-000072AB0000}"/>
    <cellStyle name="Normal 4 2 6 3 2 3 2 3" xfId="44178" xr:uid="{00000000-0005-0000-0000-000073AB0000}"/>
    <cellStyle name="Normal 4 2 6 3 2 3 3" xfId="44179" xr:uid="{00000000-0005-0000-0000-000074AB0000}"/>
    <cellStyle name="Normal 4 2 6 3 2 3 4" xfId="44180" xr:uid="{00000000-0005-0000-0000-000075AB0000}"/>
    <cellStyle name="Normal 4 2 6 3 2 3 5" xfId="44181" xr:uid="{00000000-0005-0000-0000-000076AB0000}"/>
    <cellStyle name="Normal 4 2 6 3 2 3 6" xfId="44182" xr:uid="{00000000-0005-0000-0000-000077AB0000}"/>
    <cellStyle name="Normal 4 2 6 3 2 4" xfId="44183" xr:uid="{00000000-0005-0000-0000-000078AB0000}"/>
    <cellStyle name="Normal 4 2 6 3 2 4 2" xfId="44184" xr:uid="{00000000-0005-0000-0000-000079AB0000}"/>
    <cellStyle name="Normal 4 2 6 3 2 4 3" xfId="44185" xr:uid="{00000000-0005-0000-0000-00007AAB0000}"/>
    <cellStyle name="Normal 4 2 6 3 2 5" xfId="44186" xr:uid="{00000000-0005-0000-0000-00007BAB0000}"/>
    <cellStyle name="Normal 4 2 6 3 2 6" xfId="44187" xr:uid="{00000000-0005-0000-0000-00007CAB0000}"/>
    <cellStyle name="Normal 4 2 6 3 2 7" xfId="44188" xr:uid="{00000000-0005-0000-0000-00007DAB0000}"/>
    <cellStyle name="Normal 4 2 6 3 2 8" xfId="44189" xr:uid="{00000000-0005-0000-0000-00007EAB0000}"/>
    <cellStyle name="Normal 4 2 6 3 3" xfId="44190" xr:uid="{00000000-0005-0000-0000-00007FAB0000}"/>
    <cellStyle name="Normal 4 2 6 3 3 2" xfId="44191" xr:uid="{00000000-0005-0000-0000-000080AB0000}"/>
    <cellStyle name="Normal 4 2 6 3 3 2 2" xfId="44192" xr:uid="{00000000-0005-0000-0000-000081AB0000}"/>
    <cellStyle name="Normal 4 2 6 3 3 2 2 2" xfId="44193" xr:uid="{00000000-0005-0000-0000-000082AB0000}"/>
    <cellStyle name="Normal 4 2 6 3 3 2 2 3" xfId="44194" xr:uid="{00000000-0005-0000-0000-000083AB0000}"/>
    <cellStyle name="Normal 4 2 6 3 3 2 3" xfId="44195" xr:uid="{00000000-0005-0000-0000-000084AB0000}"/>
    <cellStyle name="Normal 4 2 6 3 3 2 4" xfId="44196" xr:uid="{00000000-0005-0000-0000-000085AB0000}"/>
    <cellStyle name="Normal 4 2 6 3 3 2 5" xfId="44197" xr:uid="{00000000-0005-0000-0000-000086AB0000}"/>
    <cellStyle name="Normal 4 2 6 3 3 2 6" xfId="44198" xr:uid="{00000000-0005-0000-0000-000087AB0000}"/>
    <cellStyle name="Normal 4 2 6 3 3 3" xfId="44199" xr:uid="{00000000-0005-0000-0000-000088AB0000}"/>
    <cellStyle name="Normal 4 2 6 3 3 3 2" xfId="44200" xr:uid="{00000000-0005-0000-0000-000089AB0000}"/>
    <cellStyle name="Normal 4 2 6 3 3 3 3" xfId="44201" xr:uid="{00000000-0005-0000-0000-00008AAB0000}"/>
    <cellStyle name="Normal 4 2 6 3 3 4" xfId="44202" xr:uid="{00000000-0005-0000-0000-00008BAB0000}"/>
    <cellStyle name="Normal 4 2 6 3 3 5" xfId="44203" xr:uid="{00000000-0005-0000-0000-00008CAB0000}"/>
    <cellStyle name="Normal 4 2 6 3 3 6" xfId="44204" xr:uid="{00000000-0005-0000-0000-00008DAB0000}"/>
    <cellStyle name="Normal 4 2 6 3 3 7" xfId="44205" xr:uid="{00000000-0005-0000-0000-00008EAB0000}"/>
    <cellStyle name="Normal 4 2 6 3 4" xfId="44206" xr:uid="{00000000-0005-0000-0000-00008FAB0000}"/>
    <cellStyle name="Normal 4 2 6 3 4 2" xfId="44207" xr:uid="{00000000-0005-0000-0000-000090AB0000}"/>
    <cellStyle name="Normal 4 2 6 3 4 2 2" xfId="44208" xr:uid="{00000000-0005-0000-0000-000091AB0000}"/>
    <cellStyle name="Normal 4 2 6 3 4 2 3" xfId="44209" xr:uid="{00000000-0005-0000-0000-000092AB0000}"/>
    <cellStyle name="Normal 4 2 6 3 4 3" xfId="44210" xr:uid="{00000000-0005-0000-0000-000093AB0000}"/>
    <cellStyle name="Normal 4 2 6 3 4 4" xfId="44211" xr:uid="{00000000-0005-0000-0000-000094AB0000}"/>
    <cellStyle name="Normal 4 2 6 3 4 5" xfId="44212" xr:uid="{00000000-0005-0000-0000-000095AB0000}"/>
    <cellStyle name="Normal 4 2 6 3 4 6" xfId="44213" xr:uid="{00000000-0005-0000-0000-000096AB0000}"/>
    <cellStyle name="Normal 4 2 6 3 5" xfId="44214" xr:uid="{00000000-0005-0000-0000-000097AB0000}"/>
    <cellStyle name="Normal 4 2 6 3 5 2" xfId="44215" xr:uid="{00000000-0005-0000-0000-000098AB0000}"/>
    <cellStyle name="Normal 4 2 6 3 5 2 2" xfId="44216" xr:uid="{00000000-0005-0000-0000-000099AB0000}"/>
    <cellStyle name="Normal 4 2 6 3 5 2 3" xfId="44217" xr:uid="{00000000-0005-0000-0000-00009AAB0000}"/>
    <cellStyle name="Normal 4 2 6 3 5 3" xfId="44218" xr:uid="{00000000-0005-0000-0000-00009BAB0000}"/>
    <cellStyle name="Normal 4 2 6 3 5 4" xfId="44219" xr:uid="{00000000-0005-0000-0000-00009CAB0000}"/>
    <cellStyle name="Normal 4 2 6 3 5 5" xfId="44220" xr:uid="{00000000-0005-0000-0000-00009DAB0000}"/>
    <cellStyle name="Normal 4 2 6 3 5 6" xfId="44221" xr:uid="{00000000-0005-0000-0000-00009EAB0000}"/>
    <cellStyle name="Normal 4 2 6 3 6" xfId="44222" xr:uid="{00000000-0005-0000-0000-00009FAB0000}"/>
    <cellStyle name="Normal 4 2 6 3 6 2" xfId="44223" xr:uid="{00000000-0005-0000-0000-0000A0AB0000}"/>
    <cellStyle name="Normal 4 2 6 3 6 3" xfId="44224" xr:uid="{00000000-0005-0000-0000-0000A1AB0000}"/>
    <cellStyle name="Normal 4 2 6 3 7" xfId="44225" xr:uid="{00000000-0005-0000-0000-0000A2AB0000}"/>
    <cellStyle name="Normal 4 2 6 3 8" xfId="44226" xr:uid="{00000000-0005-0000-0000-0000A3AB0000}"/>
    <cellStyle name="Normal 4 2 6 3 9" xfId="44227" xr:uid="{00000000-0005-0000-0000-0000A4AB0000}"/>
    <cellStyle name="Normal 4 2 6 4" xfId="44228" xr:uid="{00000000-0005-0000-0000-0000A5AB0000}"/>
    <cellStyle name="Normal 4 2 6 4 2" xfId="44229" xr:uid="{00000000-0005-0000-0000-0000A6AB0000}"/>
    <cellStyle name="Normal 4 2 6 4 2 2" xfId="44230" xr:uid="{00000000-0005-0000-0000-0000A7AB0000}"/>
    <cellStyle name="Normal 4 2 6 4 2 2 2" xfId="44231" xr:uid="{00000000-0005-0000-0000-0000A8AB0000}"/>
    <cellStyle name="Normal 4 2 6 4 2 2 2 2" xfId="44232" xr:uid="{00000000-0005-0000-0000-0000A9AB0000}"/>
    <cellStyle name="Normal 4 2 6 4 2 2 2 3" xfId="44233" xr:uid="{00000000-0005-0000-0000-0000AAAB0000}"/>
    <cellStyle name="Normal 4 2 6 4 2 2 3" xfId="44234" xr:uid="{00000000-0005-0000-0000-0000ABAB0000}"/>
    <cellStyle name="Normal 4 2 6 4 2 2 4" xfId="44235" xr:uid="{00000000-0005-0000-0000-0000ACAB0000}"/>
    <cellStyle name="Normal 4 2 6 4 2 2 5" xfId="44236" xr:uid="{00000000-0005-0000-0000-0000ADAB0000}"/>
    <cellStyle name="Normal 4 2 6 4 2 2 6" xfId="44237" xr:uid="{00000000-0005-0000-0000-0000AEAB0000}"/>
    <cellStyle name="Normal 4 2 6 4 2 3" xfId="44238" xr:uid="{00000000-0005-0000-0000-0000AFAB0000}"/>
    <cellStyle name="Normal 4 2 6 4 2 3 2" xfId="44239" xr:uid="{00000000-0005-0000-0000-0000B0AB0000}"/>
    <cellStyle name="Normal 4 2 6 4 2 3 3" xfId="44240" xr:uid="{00000000-0005-0000-0000-0000B1AB0000}"/>
    <cellStyle name="Normal 4 2 6 4 2 4" xfId="44241" xr:uid="{00000000-0005-0000-0000-0000B2AB0000}"/>
    <cellStyle name="Normal 4 2 6 4 2 5" xfId="44242" xr:uid="{00000000-0005-0000-0000-0000B3AB0000}"/>
    <cellStyle name="Normal 4 2 6 4 2 6" xfId="44243" xr:uid="{00000000-0005-0000-0000-0000B4AB0000}"/>
    <cellStyle name="Normal 4 2 6 4 2 7" xfId="44244" xr:uid="{00000000-0005-0000-0000-0000B5AB0000}"/>
    <cellStyle name="Normal 4 2 6 4 3" xfId="44245" xr:uid="{00000000-0005-0000-0000-0000B6AB0000}"/>
    <cellStyle name="Normal 4 2 6 4 3 2" xfId="44246" xr:uid="{00000000-0005-0000-0000-0000B7AB0000}"/>
    <cellStyle name="Normal 4 2 6 4 3 2 2" xfId="44247" xr:uid="{00000000-0005-0000-0000-0000B8AB0000}"/>
    <cellStyle name="Normal 4 2 6 4 3 2 3" xfId="44248" xr:uid="{00000000-0005-0000-0000-0000B9AB0000}"/>
    <cellStyle name="Normal 4 2 6 4 3 3" xfId="44249" xr:uid="{00000000-0005-0000-0000-0000BAAB0000}"/>
    <cellStyle name="Normal 4 2 6 4 3 4" xfId="44250" xr:uid="{00000000-0005-0000-0000-0000BBAB0000}"/>
    <cellStyle name="Normal 4 2 6 4 3 5" xfId="44251" xr:uid="{00000000-0005-0000-0000-0000BCAB0000}"/>
    <cellStyle name="Normal 4 2 6 4 3 6" xfId="44252" xr:uid="{00000000-0005-0000-0000-0000BDAB0000}"/>
    <cellStyle name="Normal 4 2 6 4 4" xfId="44253" xr:uid="{00000000-0005-0000-0000-0000BEAB0000}"/>
    <cellStyle name="Normal 4 2 6 4 4 2" xfId="44254" xr:uid="{00000000-0005-0000-0000-0000BFAB0000}"/>
    <cellStyle name="Normal 4 2 6 4 4 2 2" xfId="44255" xr:uid="{00000000-0005-0000-0000-0000C0AB0000}"/>
    <cellStyle name="Normal 4 2 6 4 4 2 3" xfId="44256" xr:uid="{00000000-0005-0000-0000-0000C1AB0000}"/>
    <cellStyle name="Normal 4 2 6 4 4 3" xfId="44257" xr:uid="{00000000-0005-0000-0000-0000C2AB0000}"/>
    <cellStyle name="Normal 4 2 6 4 4 4" xfId="44258" xr:uid="{00000000-0005-0000-0000-0000C3AB0000}"/>
    <cellStyle name="Normal 4 2 6 4 4 5" xfId="44259" xr:uid="{00000000-0005-0000-0000-0000C4AB0000}"/>
    <cellStyle name="Normal 4 2 6 4 4 6" xfId="44260" xr:uid="{00000000-0005-0000-0000-0000C5AB0000}"/>
    <cellStyle name="Normal 4 2 6 4 5" xfId="44261" xr:uid="{00000000-0005-0000-0000-0000C6AB0000}"/>
    <cellStyle name="Normal 4 2 6 4 5 2" xfId="44262" xr:uid="{00000000-0005-0000-0000-0000C7AB0000}"/>
    <cellStyle name="Normal 4 2 6 4 5 3" xfId="44263" xr:uid="{00000000-0005-0000-0000-0000C8AB0000}"/>
    <cellStyle name="Normal 4 2 6 4 6" xfId="44264" xr:uid="{00000000-0005-0000-0000-0000C9AB0000}"/>
    <cellStyle name="Normal 4 2 6 4 7" xfId="44265" xr:uid="{00000000-0005-0000-0000-0000CAAB0000}"/>
    <cellStyle name="Normal 4 2 6 4 8" xfId="44266" xr:uid="{00000000-0005-0000-0000-0000CBAB0000}"/>
    <cellStyle name="Normal 4 2 6 4 9" xfId="44267" xr:uid="{00000000-0005-0000-0000-0000CCAB0000}"/>
    <cellStyle name="Normal 4 2 6 5" xfId="44268" xr:uid="{00000000-0005-0000-0000-0000CDAB0000}"/>
    <cellStyle name="Normal 4 2 6 6" xfId="44269" xr:uid="{00000000-0005-0000-0000-0000CEAB0000}"/>
    <cellStyle name="Normal 4 2 6 6 2" xfId="44270" xr:uid="{00000000-0005-0000-0000-0000CFAB0000}"/>
    <cellStyle name="Normal 4 2 6 6 2 2" xfId="44271" xr:uid="{00000000-0005-0000-0000-0000D0AB0000}"/>
    <cellStyle name="Normal 4 2 6 6 2 2 2" xfId="44272" xr:uid="{00000000-0005-0000-0000-0000D1AB0000}"/>
    <cellStyle name="Normal 4 2 6 6 2 2 3" xfId="44273" xr:uid="{00000000-0005-0000-0000-0000D2AB0000}"/>
    <cellStyle name="Normal 4 2 6 6 2 3" xfId="44274" xr:uid="{00000000-0005-0000-0000-0000D3AB0000}"/>
    <cellStyle name="Normal 4 2 6 6 2 4" xfId="44275" xr:uid="{00000000-0005-0000-0000-0000D4AB0000}"/>
    <cellStyle name="Normal 4 2 6 6 2 5" xfId="44276" xr:uid="{00000000-0005-0000-0000-0000D5AB0000}"/>
    <cellStyle name="Normal 4 2 6 6 2 6" xfId="44277" xr:uid="{00000000-0005-0000-0000-0000D6AB0000}"/>
    <cellStyle name="Normal 4 2 6 6 3" xfId="44278" xr:uid="{00000000-0005-0000-0000-0000D7AB0000}"/>
    <cellStyle name="Normal 4 2 6 6 3 2" xfId="44279" xr:uid="{00000000-0005-0000-0000-0000D8AB0000}"/>
    <cellStyle name="Normal 4 2 6 6 3 3" xfId="44280" xr:uid="{00000000-0005-0000-0000-0000D9AB0000}"/>
    <cellStyle name="Normal 4 2 6 6 4" xfId="44281" xr:uid="{00000000-0005-0000-0000-0000DAAB0000}"/>
    <cellStyle name="Normal 4 2 6 6 5" xfId="44282" xr:uid="{00000000-0005-0000-0000-0000DBAB0000}"/>
    <cellStyle name="Normal 4 2 6 6 6" xfId="44283" xr:uid="{00000000-0005-0000-0000-0000DCAB0000}"/>
    <cellStyle name="Normal 4 2 6 6 7" xfId="44284" xr:uid="{00000000-0005-0000-0000-0000DDAB0000}"/>
    <cellStyle name="Normal 4 2 6 7" xfId="44285" xr:uid="{00000000-0005-0000-0000-0000DEAB0000}"/>
    <cellStyle name="Normal 4 2 6 7 2" xfId="44286" xr:uid="{00000000-0005-0000-0000-0000DFAB0000}"/>
    <cellStyle name="Normal 4 2 6 7 2 2" xfId="44287" xr:uid="{00000000-0005-0000-0000-0000E0AB0000}"/>
    <cellStyle name="Normal 4 2 6 7 2 3" xfId="44288" xr:uid="{00000000-0005-0000-0000-0000E1AB0000}"/>
    <cellStyle name="Normal 4 2 6 7 3" xfId="44289" xr:uid="{00000000-0005-0000-0000-0000E2AB0000}"/>
    <cellStyle name="Normal 4 2 6 7 4" xfId="44290" xr:uid="{00000000-0005-0000-0000-0000E3AB0000}"/>
    <cellStyle name="Normal 4 2 6 7 5" xfId="44291" xr:uid="{00000000-0005-0000-0000-0000E4AB0000}"/>
    <cellStyle name="Normal 4 2 6 7 6" xfId="44292" xr:uid="{00000000-0005-0000-0000-0000E5AB0000}"/>
    <cellStyle name="Normal 4 2 6 8" xfId="44293" xr:uid="{00000000-0005-0000-0000-0000E6AB0000}"/>
    <cellStyle name="Normal 4 2 6 8 2" xfId="44294" xr:uid="{00000000-0005-0000-0000-0000E7AB0000}"/>
    <cellStyle name="Normal 4 2 6 8 2 2" xfId="44295" xr:uid="{00000000-0005-0000-0000-0000E8AB0000}"/>
    <cellStyle name="Normal 4 2 6 8 2 3" xfId="44296" xr:uid="{00000000-0005-0000-0000-0000E9AB0000}"/>
    <cellStyle name="Normal 4 2 6 8 3" xfId="44297" xr:uid="{00000000-0005-0000-0000-0000EAAB0000}"/>
    <cellStyle name="Normal 4 2 6 8 4" xfId="44298" xr:uid="{00000000-0005-0000-0000-0000EBAB0000}"/>
    <cellStyle name="Normal 4 2 6 8 5" xfId="44299" xr:uid="{00000000-0005-0000-0000-0000ECAB0000}"/>
    <cellStyle name="Normal 4 2 6 8 6" xfId="44300" xr:uid="{00000000-0005-0000-0000-0000EDAB0000}"/>
    <cellStyle name="Normal 4 2 6 9" xfId="44301" xr:uid="{00000000-0005-0000-0000-0000EEAB0000}"/>
    <cellStyle name="Normal 4 2 6 9 2" xfId="44302" xr:uid="{00000000-0005-0000-0000-0000EFAB0000}"/>
    <cellStyle name="Normal 4 2 6 9 2 2" xfId="44303" xr:uid="{00000000-0005-0000-0000-0000F0AB0000}"/>
    <cellStyle name="Normal 4 2 6 9 2 3" xfId="44304" xr:uid="{00000000-0005-0000-0000-0000F1AB0000}"/>
    <cellStyle name="Normal 4 2 6 9 3" xfId="44305" xr:uid="{00000000-0005-0000-0000-0000F2AB0000}"/>
    <cellStyle name="Normal 4 2 6 9 4" xfId="44306" xr:uid="{00000000-0005-0000-0000-0000F3AB0000}"/>
    <cellStyle name="Normal 4 2 6 9 5" xfId="44307" xr:uid="{00000000-0005-0000-0000-0000F4AB0000}"/>
    <cellStyle name="Normal 4 2 6 9 6" xfId="44308" xr:uid="{00000000-0005-0000-0000-0000F5AB0000}"/>
    <cellStyle name="Normal 4 2 7" xfId="44309" xr:uid="{00000000-0005-0000-0000-0000F6AB0000}"/>
    <cellStyle name="Normal 4 2 8" xfId="44310" xr:uid="{00000000-0005-0000-0000-0000F7AB0000}"/>
    <cellStyle name="Normal 4 2 9" xfId="44311" xr:uid="{00000000-0005-0000-0000-0000F8AB0000}"/>
    <cellStyle name="Normal 4 2 9 2" xfId="44312" xr:uid="{00000000-0005-0000-0000-0000F9AB0000}"/>
    <cellStyle name="Normal 4 2 9 2 2" xfId="44313" xr:uid="{00000000-0005-0000-0000-0000FAAB0000}"/>
    <cellStyle name="Normal 4 2 9 2 2 2" xfId="44314" xr:uid="{00000000-0005-0000-0000-0000FBAB0000}"/>
    <cellStyle name="Normal 4 2 9 2 2 2 2" xfId="44315" xr:uid="{00000000-0005-0000-0000-0000FCAB0000}"/>
    <cellStyle name="Normal 4 2 9 2 2 2 3" xfId="44316" xr:uid="{00000000-0005-0000-0000-0000FDAB0000}"/>
    <cellStyle name="Normal 4 2 9 2 2 3" xfId="44317" xr:uid="{00000000-0005-0000-0000-0000FEAB0000}"/>
    <cellStyle name="Normal 4 2 9 2 2 4" xfId="44318" xr:uid="{00000000-0005-0000-0000-0000FFAB0000}"/>
    <cellStyle name="Normal 4 2 9 2 2 5" xfId="44319" xr:uid="{00000000-0005-0000-0000-000000AC0000}"/>
    <cellStyle name="Normal 4 2 9 2 2 6" xfId="44320" xr:uid="{00000000-0005-0000-0000-000001AC0000}"/>
    <cellStyle name="Normal 4 2 9 2 3" xfId="44321" xr:uid="{00000000-0005-0000-0000-000002AC0000}"/>
    <cellStyle name="Normal 4 2 9 2 3 2" xfId="44322" xr:uid="{00000000-0005-0000-0000-000003AC0000}"/>
    <cellStyle name="Normal 4 2 9 2 3 3" xfId="44323" xr:uid="{00000000-0005-0000-0000-000004AC0000}"/>
    <cellStyle name="Normal 4 2 9 2 4" xfId="44324" xr:uid="{00000000-0005-0000-0000-000005AC0000}"/>
    <cellStyle name="Normal 4 2 9 2 5" xfId="44325" xr:uid="{00000000-0005-0000-0000-000006AC0000}"/>
    <cellStyle name="Normal 4 2 9 2 6" xfId="44326" xr:uid="{00000000-0005-0000-0000-000007AC0000}"/>
    <cellStyle name="Normal 4 2 9 2 7" xfId="44327" xr:uid="{00000000-0005-0000-0000-000008AC0000}"/>
    <cellStyle name="Normal 4 2 9 3" xfId="44328" xr:uid="{00000000-0005-0000-0000-000009AC0000}"/>
    <cellStyle name="Normal 4 2 9 3 2" xfId="44329" xr:uid="{00000000-0005-0000-0000-00000AAC0000}"/>
    <cellStyle name="Normal 4 2 9 3 2 2" xfId="44330" xr:uid="{00000000-0005-0000-0000-00000BAC0000}"/>
    <cellStyle name="Normal 4 2 9 3 2 3" xfId="44331" xr:uid="{00000000-0005-0000-0000-00000CAC0000}"/>
    <cellStyle name="Normal 4 2 9 3 3" xfId="44332" xr:uid="{00000000-0005-0000-0000-00000DAC0000}"/>
    <cellStyle name="Normal 4 2 9 3 4" xfId="44333" xr:uid="{00000000-0005-0000-0000-00000EAC0000}"/>
    <cellStyle name="Normal 4 2 9 3 5" xfId="44334" xr:uid="{00000000-0005-0000-0000-00000FAC0000}"/>
    <cellStyle name="Normal 4 2 9 3 6" xfId="44335" xr:uid="{00000000-0005-0000-0000-000010AC0000}"/>
    <cellStyle name="Normal 4 2 9 4" xfId="44336" xr:uid="{00000000-0005-0000-0000-000011AC0000}"/>
    <cellStyle name="Normal 4 2 9 4 2" xfId="44337" xr:uid="{00000000-0005-0000-0000-000012AC0000}"/>
    <cellStyle name="Normal 4 2 9 4 2 2" xfId="44338" xr:uid="{00000000-0005-0000-0000-000013AC0000}"/>
    <cellStyle name="Normal 4 2 9 4 2 3" xfId="44339" xr:uid="{00000000-0005-0000-0000-000014AC0000}"/>
    <cellStyle name="Normal 4 2 9 4 3" xfId="44340" xr:uid="{00000000-0005-0000-0000-000015AC0000}"/>
    <cellStyle name="Normal 4 2 9 4 4" xfId="44341" xr:uid="{00000000-0005-0000-0000-000016AC0000}"/>
    <cellStyle name="Normal 4 2 9 4 5" xfId="44342" xr:uid="{00000000-0005-0000-0000-000017AC0000}"/>
    <cellStyle name="Normal 4 2 9 4 6" xfId="44343" xr:uid="{00000000-0005-0000-0000-000018AC0000}"/>
    <cellStyle name="Normal 4 2 9 5" xfId="44344" xr:uid="{00000000-0005-0000-0000-000019AC0000}"/>
    <cellStyle name="Normal 4 2 9 5 2" xfId="44345" xr:uid="{00000000-0005-0000-0000-00001AAC0000}"/>
    <cellStyle name="Normal 4 2 9 5 3" xfId="44346" xr:uid="{00000000-0005-0000-0000-00001BAC0000}"/>
    <cellStyle name="Normal 4 2 9 6" xfId="44347" xr:uid="{00000000-0005-0000-0000-00001CAC0000}"/>
    <cellStyle name="Normal 4 2 9 7" xfId="44348" xr:uid="{00000000-0005-0000-0000-00001DAC0000}"/>
    <cellStyle name="Normal 4 2 9 8" xfId="44349" xr:uid="{00000000-0005-0000-0000-00001EAC0000}"/>
    <cellStyle name="Normal 4 2 9 9" xfId="44350" xr:uid="{00000000-0005-0000-0000-00001FAC0000}"/>
    <cellStyle name="Normal 4 3" xfId="424" xr:uid="{00000000-0005-0000-0000-000020AC0000}"/>
    <cellStyle name="Normal 4 3 10" xfId="44351" xr:uid="{00000000-0005-0000-0000-000021AC0000}"/>
    <cellStyle name="Normal 4 3 10 2" xfId="44352" xr:uid="{00000000-0005-0000-0000-000022AC0000}"/>
    <cellStyle name="Normal 4 3 10 2 2" xfId="44353" xr:uid="{00000000-0005-0000-0000-000023AC0000}"/>
    <cellStyle name="Normal 4 3 10 2 3" xfId="44354" xr:uid="{00000000-0005-0000-0000-000024AC0000}"/>
    <cellStyle name="Normal 4 3 10 3" xfId="44355" xr:uid="{00000000-0005-0000-0000-000025AC0000}"/>
    <cellStyle name="Normal 4 3 10 4" xfId="44356" xr:uid="{00000000-0005-0000-0000-000026AC0000}"/>
    <cellStyle name="Normal 4 3 10 5" xfId="44357" xr:uid="{00000000-0005-0000-0000-000027AC0000}"/>
    <cellStyle name="Normal 4 3 10 6" xfId="44358" xr:uid="{00000000-0005-0000-0000-000028AC0000}"/>
    <cellStyle name="Normal 4 3 11" xfId="44359" xr:uid="{00000000-0005-0000-0000-000029AC0000}"/>
    <cellStyle name="Normal 4 3 11 2" xfId="44360" xr:uid="{00000000-0005-0000-0000-00002AAC0000}"/>
    <cellStyle name="Normal 4 3 11 2 2" xfId="44361" xr:uid="{00000000-0005-0000-0000-00002BAC0000}"/>
    <cellStyle name="Normal 4 3 11 2 3" xfId="44362" xr:uid="{00000000-0005-0000-0000-00002CAC0000}"/>
    <cellStyle name="Normal 4 3 11 3" xfId="44363" xr:uid="{00000000-0005-0000-0000-00002DAC0000}"/>
    <cellStyle name="Normal 4 3 11 4" xfId="44364" xr:uid="{00000000-0005-0000-0000-00002EAC0000}"/>
    <cellStyle name="Normal 4 3 11 5" xfId="44365" xr:uid="{00000000-0005-0000-0000-00002FAC0000}"/>
    <cellStyle name="Normal 4 3 11 6" xfId="44366" xr:uid="{00000000-0005-0000-0000-000030AC0000}"/>
    <cellStyle name="Normal 4 3 12" xfId="44367" xr:uid="{00000000-0005-0000-0000-000031AC0000}"/>
    <cellStyle name="Normal 4 3 12 2" xfId="44368" xr:uid="{00000000-0005-0000-0000-000032AC0000}"/>
    <cellStyle name="Normal 4 3 12 2 2" xfId="44369" xr:uid="{00000000-0005-0000-0000-000033AC0000}"/>
    <cellStyle name="Normal 4 3 12 2 3" xfId="44370" xr:uid="{00000000-0005-0000-0000-000034AC0000}"/>
    <cellStyle name="Normal 4 3 12 3" xfId="44371" xr:uid="{00000000-0005-0000-0000-000035AC0000}"/>
    <cellStyle name="Normal 4 3 12 4" xfId="44372" xr:uid="{00000000-0005-0000-0000-000036AC0000}"/>
    <cellStyle name="Normal 4 3 12 5" xfId="44373" xr:uid="{00000000-0005-0000-0000-000037AC0000}"/>
    <cellStyle name="Normal 4 3 12 6" xfId="44374" xr:uid="{00000000-0005-0000-0000-000038AC0000}"/>
    <cellStyle name="Normal 4 3 13" xfId="44375" xr:uid="{00000000-0005-0000-0000-000039AC0000}"/>
    <cellStyle name="Normal 4 3 13 2" xfId="44376" xr:uid="{00000000-0005-0000-0000-00003AAC0000}"/>
    <cellStyle name="Normal 4 3 13 2 2" xfId="44377" xr:uid="{00000000-0005-0000-0000-00003BAC0000}"/>
    <cellStyle name="Normal 4 3 13 2 3" xfId="44378" xr:uid="{00000000-0005-0000-0000-00003CAC0000}"/>
    <cellStyle name="Normal 4 3 13 3" xfId="44379" xr:uid="{00000000-0005-0000-0000-00003DAC0000}"/>
    <cellStyle name="Normal 4 3 13 4" xfId="44380" xr:uid="{00000000-0005-0000-0000-00003EAC0000}"/>
    <cellStyle name="Normal 4 3 13 5" xfId="44381" xr:uid="{00000000-0005-0000-0000-00003FAC0000}"/>
    <cellStyle name="Normal 4 3 13 6" xfId="44382" xr:uid="{00000000-0005-0000-0000-000040AC0000}"/>
    <cellStyle name="Normal 4 3 14" xfId="44383" xr:uid="{00000000-0005-0000-0000-000041AC0000}"/>
    <cellStyle name="Normal 4 3 14 2" xfId="44384" xr:uid="{00000000-0005-0000-0000-000042AC0000}"/>
    <cellStyle name="Normal 4 3 14 3" xfId="44385" xr:uid="{00000000-0005-0000-0000-000043AC0000}"/>
    <cellStyle name="Normal 4 3 15" xfId="44386" xr:uid="{00000000-0005-0000-0000-000044AC0000}"/>
    <cellStyle name="Normal 4 3 16" xfId="44387" xr:uid="{00000000-0005-0000-0000-000045AC0000}"/>
    <cellStyle name="Normal 4 3 17" xfId="44388" xr:uid="{00000000-0005-0000-0000-000046AC0000}"/>
    <cellStyle name="Normal 4 3 18" xfId="44389" xr:uid="{00000000-0005-0000-0000-000047AC0000}"/>
    <cellStyle name="Normal 4 3 2" xfId="425" xr:uid="{00000000-0005-0000-0000-000048AC0000}"/>
    <cellStyle name="Normal 4 3 2 10" xfId="44390" xr:uid="{00000000-0005-0000-0000-000049AC0000}"/>
    <cellStyle name="Normal 4 3 2 10 2" xfId="44391" xr:uid="{00000000-0005-0000-0000-00004AAC0000}"/>
    <cellStyle name="Normal 4 3 2 10 2 2" xfId="44392" xr:uid="{00000000-0005-0000-0000-00004BAC0000}"/>
    <cellStyle name="Normal 4 3 2 10 2 3" xfId="44393" xr:uid="{00000000-0005-0000-0000-00004CAC0000}"/>
    <cellStyle name="Normal 4 3 2 10 3" xfId="44394" xr:uid="{00000000-0005-0000-0000-00004DAC0000}"/>
    <cellStyle name="Normal 4 3 2 10 4" xfId="44395" xr:uid="{00000000-0005-0000-0000-00004EAC0000}"/>
    <cellStyle name="Normal 4 3 2 10 5" xfId="44396" xr:uid="{00000000-0005-0000-0000-00004FAC0000}"/>
    <cellStyle name="Normal 4 3 2 10 6" xfId="44397" xr:uid="{00000000-0005-0000-0000-000050AC0000}"/>
    <cellStyle name="Normal 4 3 2 11" xfId="44398" xr:uid="{00000000-0005-0000-0000-000051AC0000}"/>
    <cellStyle name="Normal 4 3 2 11 2" xfId="44399" xr:uid="{00000000-0005-0000-0000-000052AC0000}"/>
    <cellStyle name="Normal 4 3 2 11 3" xfId="44400" xr:uid="{00000000-0005-0000-0000-000053AC0000}"/>
    <cellStyle name="Normal 4 3 2 12" xfId="44401" xr:uid="{00000000-0005-0000-0000-000054AC0000}"/>
    <cellStyle name="Normal 4 3 2 13" xfId="44402" xr:uid="{00000000-0005-0000-0000-000055AC0000}"/>
    <cellStyle name="Normal 4 3 2 14" xfId="44403" xr:uid="{00000000-0005-0000-0000-000056AC0000}"/>
    <cellStyle name="Normal 4 3 2 15" xfId="44404" xr:uid="{00000000-0005-0000-0000-000057AC0000}"/>
    <cellStyle name="Normal 4 3 2 2" xfId="44405" xr:uid="{00000000-0005-0000-0000-000058AC0000}"/>
    <cellStyle name="Normal 4 3 2 2 10" xfId="44406" xr:uid="{00000000-0005-0000-0000-000059AC0000}"/>
    <cellStyle name="Normal 4 3 2 2 10 2" xfId="44407" xr:uid="{00000000-0005-0000-0000-00005AAC0000}"/>
    <cellStyle name="Normal 4 3 2 2 10 3" xfId="44408" xr:uid="{00000000-0005-0000-0000-00005BAC0000}"/>
    <cellStyle name="Normal 4 3 2 2 11" xfId="44409" xr:uid="{00000000-0005-0000-0000-00005CAC0000}"/>
    <cellStyle name="Normal 4 3 2 2 12" xfId="44410" xr:uid="{00000000-0005-0000-0000-00005DAC0000}"/>
    <cellStyle name="Normal 4 3 2 2 13" xfId="44411" xr:uid="{00000000-0005-0000-0000-00005EAC0000}"/>
    <cellStyle name="Normal 4 3 2 2 14" xfId="44412" xr:uid="{00000000-0005-0000-0000-00005FAC0000}"/>
    <cellStyle name="Normal 4 3 2 2 2" xfId="44413" xr:uid="{00000000-0005-0000-0000-000060AC0000}"/>
    <cellStyle name="Normal 4 3 2 2 2 10" xfId="44414" xr:uid="{00000000-0005-0000-0000-000061AC0000}"/>
    <cellStyle name="Normal 4 3 2 2 2 11" xfId="44415" xr:uid="{00000000-0005-0000-0000-000062AC0000}"/>
    <cellStyle name="Normal 4 3 2 2 2 12" xfId="44416" xr:uid="{00000000-0005-0000-0000-000063AC0000}"/>
    <cellStyle name="Normal 4 3 2 2 2 13" xfId="44417" xr:uid="{00000000-0005-0000-0000-000064AC0000}"/>
    <cellStyle name="Normal 4 3 2 2 2 2" xfId="44418" xr:uid="{00000000-0005-0000-0000-000065AC0000}"/>
    <cellStyle name="Normal 4 3 2 2 2 2 10" xfId="44419" xr:uid="{00000000-0005-0000-0000-000066AC0000}"/>
    <cellStyle name="Normal 4 3 2 2 2 2 2" xfId="44420" xr:uid="{00000000-0005-0000-0000-000067AC0000}"/>
    <cellStyle name="Normal 4 3 2 2 2 2 2 2" xfId="44421" xr:uid="{00000000-0005-0000-0000-000068AC0000}"/>
    <cellStyle name="Normal 4 3 2 2 2 2 2 2 2" xfId="44422" xr:uid="{00000000-0005-0000-0000-000069AC0000}"/>
    <cellStyle name="Normal 4 3 2 2 2 2 2 2 2 2" xfId="44423" xr:uid="{00000000-0005-0000-0000-00006AAC0000}"/>
    <cellStyle name="Normal 4 3 2 2 2 2 2 2 2 3" xfId="44424" xr:uid="{00000000-0005-0000-0000-00006BAC0000}"/>
    <cellStyle name="Normal 4 3 2 2 2 2 2 2 3" xfId="44425" xr:uid="{00000000-0005-0000-0000-00006CAC0000}"/>
    <cellStyle name="Normal 4 3 2 2 2 2 2 2 4" xfId="44426" xr:uid="{00000000-0005-0000-0000-00006DAC0000}"/>
    <cellStyle name="Normal 4 3 2 2 2 2 2 2 5" xfId="44427" xr:uid="{00000000-0005-0000-0000-00006EAC0000}"/>
    <cellStyle name="Normal 4 3 2 2 2 2 2 2 6" xfId="44428" xr:uid="{00000000-0005-0000-0000-00006FAC0000}"/>
    <cellStyle name="Normal 4 3 2 2 2 2 2 3" xfId="44429" xr:uid="{00000000-0005-0000-0000-000070AC0000}"/>
    <cellStyle name="Normal 4 3 2 2 2 2 2 3 2" xfId="44430" xr:uid="{00000000-0005-0000-0000-000071AC0000}"/>
    <cellStyle name="Normal 4 3 2 2 2 2 2 3 2 2" xfId="44431" xr:uid="{00000000-0005-0000-0000-000072AC0000}"/>
    <cellStyle name="Normal 4 3 2 2 2 2 2 3 2 3" xfId="44432" xr:uid="{00000000-0005-0000-0000-000073AC0000}"/>
    <cellStyle name="Normal 4 3 2 2 2 2 2 3 3" xfId="44433" xr:uid="{00000000-0005-0000-0000-000074AC0000}"/>
    <cellStyle name="Normal 4 3 2 2 2 2 2 3 4" xfId="44434" xr:uid="{00000000-0005-0000-0000-000075AC0000}"/>
    <cellStyle name="Normal 4 3 2 2 2 2 2 3 5" xfId="44435" xr:uid="{00000000-0005-0000-0000-000076AC0000}"/>
    <cellStyle name="Normal 4 3 2 2 2 2 2 3 6" xfId="44436" xr:uid="{00000000-0005-0000-0000-000077AC0000}"/>
    <cellStyle name="Normal 4 3 2 2 2 2 2 4" xfId="44437" xr:uid="{00000000-0005-0000-0000-000078AC0000}"/>
    <cellStyle name="Normal 4 3 2 2 2 2 2 4 2" xfId="44438" xr:uid="{00000000-0005-0000-0000-000079AC0000}"/>
    <cellStyle name="Normal 4 3 2 2 2 2 2 4 3" xfId="44439" xr:uid="{00000000-0005-0000-0000-00007AAC0000}"/>
    <cellStyle name="Normal 4 3 2 2 2 2 2 5" xfId="44440" xr:uid="{00000000-0005-0000-0000-00007BAC0000}"/>
    <cellStyle name="Normal 4 3 2 2 2 2 2 6" xfId="44441" xr:uid="{00000000-0005-0000-0000-00007CAC0000}"/>
    <cellStyle name="Normal 4 3 2 2 2 2 2 7" xfId="44442" xr:uid="{00000000-0005-0000-0000-00007DAC0000}"/>
    <cellStyle name="Normal 4 3 2 2 2 2 2 8" xfId="44443" xr:uid="{00000000-0005-0000-0000-00007EAC0000}"/>
    <cellStyle name="Normal 4 3 2 2 2 2 3" xfId="44444" xr:uid="{00000000-0005-0000-0000-00007FAC0000}"/>
    <cellStyle name="Normal 4 3 2 2 2 2 3 2" xfId="44445" xr:uid="{00000000-0005-0000-0000-000080AC0000}"/>
    <cellStyle name="Normal 4 3 2 2 2 2 3 2 2" xfId="44446" xr:uid="{00000000-0005-0000-0000-000081AC0000}"/>
    <cellStyle name="Normal 4 3 2 2 2 2 3 2 2 2" xfId="44447" xr:uid="{00000000-0005-0000-0000-000082AC0000}"/>
    <cellStyle name="Normal 4 3 2 2 2 2 3 2 2 3" xfId="44448" xr:uid="{00000000-0005-0000-0000-000083AC0000}"/>
    <cellStyle name="Normal 4 3 2 2 2 2 3 2 3" xfId="44449" xr:uid="{00000000-0005-0000-0000-000084AC0000}"/>
    <cellStyle name="Normal 4 3 2 2 2 2 3 2 4" xfId="44450" xr:uid="{00000000-0005-0000-0000-000085AC0000}"/>
    <cellStyle name="Normal 4 3 2 2 2 2 3 2 5" xfId="44451" xr:uid="{00000000-0005-0000-0000-000086AC0000}"/>
    <cellStyle name="Normal 4 3 2 2 2 2 3 2 6" xfId="44452" xr:uid="{00000000-0005-0000-0000-000087AC0000}"/>
    <cellStyle name="Normal 4 3 2 2 2 2 3 3" xfId="44453" xr:uid="{00000000-0005-0000-0000-000088AC0000}"/>
    <cellStyle name="Normal 4 3 2 2 2 2 3 3 2" xfId="44454" xr:uid="{00000000-0005-0000-0000-000089AC0000}"/>
    <cellStyle name="Normal 4 3 2 2 2 2 3 3 3" xfId="44455" xr:uid="{00000000-0005-0000-0000-00008AAC0000}"/>
    <cellStyle name="Normal 4 3 2 2 2 2 3 4" xfId="44456" xr:uid="{00000000-0005-0000-0000-00008BAC0000}"/>
    <cellStyle name="Normal 4 3 2 2 2 2 3 5" xfId="44457" xr:uid="{00000000-0005-0000-0000-00008CAC0000}"/>
    <cellStyle name="Normal 4 3 2 2 2 2 3 6" xfId="44458" xr:uid="{00000000-0005-0000-0000-00008DAC0000}"/>
    <cellStyle name="Normal 4 3 2 2 2 2 3 7" xfId="44459" xr:uid="{00000000-0005-0000-0000-00008EAC0000}"/>
    <cellStyle name="Normal 4 3 2 2 2 2 4" xfId="44460" xr:uid="{00000000-0005-0000-0000-00008FAC0000}"/>
    <cellStyle name="Normal 4 3 2 2 2 2 4 2" xfId="44461" xr:uid="{00000000-0005-0000-0000-000090AC0000}"/>
    <cellStyle name="Normal 4 3 2 2 2 2 4 2 2" xfId="44462" xr:uid="{00000000-0005-0000-0000-000091AC0000}"/>
    <cellStyle name="Normal 4 3 2 2 2 2 4 2 3" xfId="44463" xr:uid="{00000000-0005-0000-0000-000092AC0000}"/>
    <cellStyle name="Normal 4 3 2 2 2 2 4 3" xfId="44464" xr:uid="{00000000-0005-0000-0000-000093AC0000}"/>
    <cellStyle name="Normal 4 3 2 2 2 2 4 4" xfId="44465" xr:uid="{00000000-0005-0000-0000-000094AC0000}"/>
    <cellStyle name="Normal 4 3 2 2 2 2 4 5" xfId="44466" xr:uid="{00000000-0005-0000-0000-000095AC0000}"/>
    <cellStyle name="Normal 4 3 2 2 2 2 4 6" xfId="44467" xr:uid="{00000000-0005-0000-0000-000096AC0000}"/>
    <cellStyle name="Normal 4 3 2 2 2 2 5" xfId="44468" xr:uid="{00000000-0005-0000-0000-000097AC0000}"/>
    <cellStyle name="Normal 4 3 2 2 2 2 5 2" xfId="44469" xr:uid="{00000000-0005-0000-0000-000098AC0000}"/>
    <cellStyle name="Normal 4 3 2 2 2 2 5 2 2" xfId="44470" xr:uid="{00000000-0005-0000-0000-000099AC0000}"/>
    <cellStyle name="Normal 4 3 2 2 2 2 5 2 3" xfId="44471" xr:uid="{00000000-0005-0000-0000-00009AAC0000}"/>
    <cellStyle name="Normal 4 3 2 2 2 2 5 3" xfId="44472" xr:uid="{00000000-0005-0000-0000-00009BAC0000}"/>
    <cellStyle name="Normal 4 3 2 2 2 2 5 4" xfId="44473" xr:uid="{00000000-0005-0000-0000-00009CAC0000}"/>
    <cellStyle name="Normal 4 3 2 2 2 2 5 5" xfId="44474" xr:uid="{00000000-0005-0000-0000-00009DAC0000}"/>
    <cellStyle name="Normal 4 3 2 2 2 2 5 6" xfId="44475" xr:uid="{00000000-0005-0000-0000-00009EAC0000}"/>
    <cellStyle name="Normal 4 3 2 2 2 2 6" xfId="44476" xr:uid="{00000000-0005-0000-0000-00009FAC0000}"/>
    <cellStyle name="Normal 4 3 2 2 2 2 6 2" xfId="44477" xr:uid="{00000000-0005-0000-0000-0000A0AC0000}"/>
    <cellStyle name="Normal 4 3 2 2 2 2 6 3" xfId="44478" xr:uid="{00000000-0005-0000-0000-0000A1AC0000}"/>
    <cellStyle name="Normal 4 3 2 2 2 2 7" xfId="44479" xr:uid="{00000000-0005-0000-0000-0000A2AC0000}"/>
    <cellStyle name="Normal 4 3 2 2 2 2 8" xfId="44480" xr:uid="{00000000-0005-0000-0000-0000A3AC0000}"/>
    <cellStyle name="Normal 4 3 2 2 2 2 9" xfId="44481" xr:uid="{00000000-0005-0000-0000-0000A4AC0000}"/>
    <cellStyle name="Normal 4 3 2 2 2 3" xfId="44482" xr:uid="{00000000-0005-0000-0000-0000A5AC0000}"/>
    <cellStyle name="Normal 4 3 2 2 2 3 2" xfId="44483" xr:uid="{00000000-0005-0000-0000-0000A6AC0000}"/>
    <cellStyle name="Normal 4 3 2 2 2 3 2 2" xfId="44484" xr:uid="{00000000-0005-0000-0000-0000A7AC0000}"/>
    <cellStyle name="Normal 4 3 2 2 2 3 2 2 2" xfId="44485" xr:uid="{00000000-0005-0000-0000-0000A8AC0000}"/>
    <cellStyle name="Normal 4 3 2 2 2 3 2 2 2 2" xfId="44486" xr:uid="{00000000-0005-0000-0000-0000A9AC0000}"/>
    <cellStyle name="Normal 4 3 2 2 2 3 2 2 2 3" xfId="44487" xr:uid="{00000000-0005-0000-0000-0000AAAC0000}"/>
    <cellStyle name="Normal 4 3 2 2 2 3 2 2 3" xfId="44488" xr:uid="{00000000-0005-0000-0000-0000ABAC0000}"/>
    <cellStyle name="Normal 4 3 2 2 2 3 2 2 4" xfId="44489" xr:uid="{00000000-0005-0000-0000-0000ACAC0000}"/>
    <cellStyle name="Normal 4 3 2 2 2 3 2 2 5" xfId="44490" xr:uid="{00000000-0005-0000-0000-0000ADAC0000}"/>
    <cellStyle name="Normal 4 3 2 2 2 3 2 2 6" xfId="44491" xr:uid="{00000000-0005-0000-0000-0000AEAC0000}"/>
    <cellStyle name="Normal 4 3 2 2 2 3 2 3" xfId="44492" xr:uid="{00000000-0005-0000-0000-0000AFAC0000}"/>
    <cellStyle name="Normal 4 3 2 2 2 3 2 3 2" xfId="44493" xr:uid="{00000000-0005-0000-0000-0000B0AC0000}"/>
    <cellStyle name="Normal 4 3 2 2 2 3 2 3 3" xfId="44494" xr:uid="{00000000-0005-0000-0000-0000B1AC0000}"/>
    <cellStyle name="Normal 4 3 2 2 2 3 2 4" xfId="44495" xr:uid="{00000000-0005-0000-0000-0000B2AC0000}"/>
    <cellStyle name="Normal 4 3 2 2 2 3 2 5" xfId="44496" xr:uid="{00000000-0005-0000-0000-0000B3AC0000}"/>
    <cellStyle name="Normal 4 3 2 2 2 3 2 6" xfId="44497" xr:uid="{00000000-0005-0000-0000-0000B4AC0000}"/>
    <cellStyle name="Normal 4 3 2 2 2 3 2 7" xfId="44498" xr:uid="{00000000-0005-0000-0000-0000B5AC0000}"/>
    <cellStyle name="Normal 4 3 2 2 2 3 3" xfId="44499" xr:uid="{00000000-0005-0000-0000-0000B6AC0000}"/>
    <cellStyle name="Normal 4 3 2 2 2 3 3 2" xfId="44500" xr:uid="{00000000-0005-0000-0000-0000B7AC0000}"/>
    <cellStyle name="Normal 4 3 2 2 2 3 3 2 2" xfId="44501" xr:uid="{00000000-0005-0000-0000-0000B8AC0000}"/>
    <cellStyle name="Normal 4 3 2 2 2 3 3 2 3" xfId="44502" xr:uid="{00000000-0005-0000-0000-0000B9AC0000}"/>
    <cellStyle name="Normal 4 3 2 2 2 3 3 3" xfId="44503" xr:uid="{00000000-0005-0000-0000-0000BAAC0000}"/>
    <cellStyle name="Normal 4 3 2 2 2 3 3 4" xfId="44504" xr:uid="{00000000-0005-0000-0000-0000BBAC0000}"/>
    <cellStyle name="Normal 4 3 2 2 2 3 3 5" xfId="44505" xr:uid="{00000000-0005-0000-0000-0000BCAC0000}"/>
    <cellStyle name="Normal 4 3 2 2 2 3 3 6" xfId="44506" xr:uid="{00000000-0005-0000-0000-0000BDAC0000}"/>
    <cellStyle name="Normal 4 3 2 2 2 3 4" xfId="44507" xr:uid="{00000000-0005-0000-0000-0000BEAC0000}"/>
    <cellStyle name="Normal 4 3 2 2 2 3 4 2" xfId="44508" xr:uid="{00000000-0005-0000-0000-0000BFAC0000}"/>
    <cellStyle name="Normal 4 3 2 2 2 3 4 2 2" xfId="44509" xr:uid="{00000000-0005-0000-0000-0000C0AC0000}"/>
    <cellStyle name="Normal 4 3 2 2 2 3 4 2 3" xfId="44510" xr:uid="{00000000-0005-0000-0000-0000C1AC0000}"/>
    <cellStyle name="Normal 4 3 2 2 2 3 4 3" xfId="44511" xr:uid="{00000000-0005-0000-0000-0000C2AC0000}"/>
    <cellStyle name="Normal 4 3 2 2 2 3 4 4" xfId="44512" xr:uid="{00000000-0005-0000-0000-0000C3AC0000}"/>
    <cellStyle name="Normal 4 3 2 2 2 3 4 5" xfId="44513" xr:uid="{00000000-0005-0000-0000-0000C4AC0000}"/>
    <cellStyle name="Normal 4 3 2 2 2 3 4 6" xfId="44514" xr:uid="{00000000-0005-0000-0000-0000C5AC0000}"/>
    <cellStyle name="Normal 4 3 2 2 2 3 5" xfId="44515" xr:uid="{00000000-0005-0000-0000-0000C6AC0000}"/>
    <cellStyle name="Normal 4 3 2 2 2 3 5 2" xfId="44516" xr:uid="{00000000-0005-0000-0000-0000C7AC0000}"/>
    <cellStyle name="Normal 4 3 2 2 2 3 5 3" xfId="44517" xr:uid="{00000000-0005-0000-0000-0000C8AC0000}"/>
    <cellStyle name="Normal 4 3 2 2 2 3 6" xfId="44518" xr:uid="{00000000-0005-0000-0000-0000C9AC0000}"/>
    <cellStyle name="Normal 4 3 2 2 2 3 7" xfId="44519" xr:uid="{00000000-0005-0000-0000-0000CAAC0000}"/>
    <cellStyle name="Normal 4 3 2 2 2 3 8" xfId="44520" xr:uid="{00000000-0005-0000-0000-0000CBAC0000}"/>
    <cellStyle name="Normal 4 3 2 2 2 3 9" xfId="44521" xr:uid="{00000000-0005-0000-0000-0000CCAC0000}"/>
    <cellStyle name="Normal 4 3 2 2 2 4" xfId="44522" xr:uid="{00000000-0005-0000-0000-0000CDAC0000}"/>
    <cellStyle name="Normal 4 3 2 2 2 4 2" xfId="44523" xr:uid="{00000000-0005-0000-0000-0000CEAC0000}"/>
    <cellStyle name="Normal 4 3 2 2 2 4 2 2" xfId="44524" xr:uid="{00000000-0005-0000-0000-0000CFAC0000}"/>
    <cellStyle name="Normal 4 3 2 2 2 4 2 2 2" xfId="44525" xr:uid="{00000000-0005-0000-0000-0000D0AC0000}"/>
    <cellStyle name="Normal 4 3 2 2 2 4 2 2 3" xfId="44526" xr:uid="{00000000-0005-0000-0000-0000D1AC0000}"/>
    <cellStyle name="Normal 4 3 2 2 2 4 2 3" xfId="44527" xr:uid="{00000000-0005-0000-0000-0000D2AC0000}"/>
    <cellStyle name="Normal 4 3 2 2 2 4 2 4" xfId="44528" xr:uid="{00000000-0005-0000-0000-0000D3AC0000}"/>
    <cellStyle name="Normal 4 3 2 2 2 4 2 5" xfId="44529" xr:uid="{00000000-0005-0000-0000-0000D4AC0000}"/>
    <cellStyle name="Normal 4 3 2 2 2 4 2 6" xfId="44530" xr:uid="{00000000-0005-0000-0000-0000D5AC0000}"/>
    <cellStyle name="Normal 4 3 2 2 2 4 3" xfId="44531" xr:uid="{00000000-0005-0000-0000-0000D6AC0000}"/>
    <cellStyle name="Normal 4 3 2 2 2 4 3 2" xfId="44532" xr:uid="{00000000-0005-0000-0000-0000D7AC0000}"/>
    <cellStyle name="Normal 4 3 2 2 2 4 3 3" xfId="44533" xr:uid="{00000000-0005-0000-0000-0000D8AC0000}"/>
    <cellStyle name="Normal 4 3 2 2 2 4 4" xfId="44534" xr:uid="{00000000-0005-0000-0000-0000D9AC0000}"/>
    <cellStyle name="Normal 4 3 2 2 2 4 5" xfId="44535" xr:uid="{00000000-0005-0000-0000-0000DAAC0000}"/>
    <cellStyle name="Normal 4 3 2 2 2 4 6" xfId="44536" xr:uid="{00000000-0005-0000-0000-0000DBAC0000}"/>
    <cellStyle name="Normal 4 3 2 2 2 4 7" xfId="44537" xr:uid="{00000000-0005-0000-0000-0000DCAC0000}"/>
    <cellStyle name="Normal 4 3 2 2 2 5" xfId="44538" xr:uid="{00000000-0005-0000-0000-0000DDAC0000}"/>
    <cellStyle name="Normal 4 3 2 2 2 5 2" xfId="44539" xr:uid="{00000000-0005-0000-0000-0000DEAC0000}"/>
    <cellStyle name="Normal 4 3 2 2 2 5 2 2" xfId="44540" xr:uid="{00000000-0005-0000-0000-0000DFAC0000}"/>
    <cellStyle name="Normal 4 3 2 2 2 5 2 3" xfId="44541" xr:uid="{00000000-0005-0000-0000-0000E0AC0000}"/>
    <cellStyle name="Normal 4 3 2 2 2 5 3" xfId="44542" xr:uid="{00000000-0005-0000-0000-0000E1AC0000}"/>
    <cellStyle name="Normal 4 3 2 2 2 5 4" xfId="44543" xr:uid="{00000000-0005-0000-0000-0000E2AC0000}"/>
    <cellStyle name="Normal 4 3 2 2 2 5 5" xfId="44544" xr:uid="{00000000-0005-0000-0000-0000E3AC0000}"/>
    <cellStyle name="Normal 4 3 2 2 2 5 6" xfId="44545" xr:uid="{00000000-0005-0000-0000-0000E4AC0000}"/>
    <cellStyle name="Normal 4 3 2 2 2 6" xfId="44546" xr:uid="{00000000-0005-0000-0000-0000E5AC0000}"/>
    <cellStyle name="Normal 4 3 2 2 2 6 2" xfId="44547" xr:uid="{00000000-0005-0000-0000-0000E6AC0000}"/>
    <cellStyle name="Normal 4 3 2 2 2 6 2 2" xfId="44548" xr:uid="{00000000-0005-0000-0000-0000E7AC0000}"/>
    <cellStyle name="Normal 4 3 2 2 2 6 2 3" xfId="44549" xr:uid="{00000000-0005-0000-0000-0000E8AC0000}"/>
    <cellStyle name="Normal 4 3 2 2 2 6 3" xfId="44550" xr:uid="{00000000-0005-0000-0000-0000E9AC0000}"/>
    <cellStyle name="Normal 4 3 2 2 2 6 4" xfId="44551" xr:uid="{00000000-0005-0000-0000-0000EAAC0000}"/>
    <cellStyle name="Normal 4 3 2 2 2 6 5" xfId="44552" xr:uid="{00000000-0005-0000-0000-0000EBAC0000}"/>
    <cellStyle name="Normal 4 3 2 2 2 6 6" xfId="44553" xr:uid="{00000000-0005-0000-0000-0000ECAC0000}"/>
    <cellStyle name="Normal 4 3 2 2 2 7" xfId="44554" xr:uid="{00000000-0005-0000-0000-0000EDAC0000}"/>
    <cellStyle name="Normal 4 3 2 2 2 7 2" xfId="44555" xr:uid="{00000000-0005-0000-0000-0000EEAC0000}"/>
    <cellStyle name="Normal 4 3 2 2 2 7 2 2" xfId="44556" xr:uid="{00000000-0005-0000-0000-0000EFAC0000}"/>
    <cellStyle name="Normal 4 3 2 2 2 7 2 3" xfId="44557" xr:uid="{00000000-0005-0000-0000-0000F0AC0000}"/>
    <cellStyle name="Normal 4 3 2 2 2 7 3" xfId="44558" xr:uid="{00000000-0005-0000-0000-0000F1AC0000}"/>
    <cellStyle name="Normal 4 3 2 2 2 7 4" xfId="44559" xr:uid="{00000000-0005-0000-0000-0000F2AC0000}"/>
    <cellStyle name="Normal 4 3 2 2 2 7 5" xfId="44560" xr:uid="{00000000-0005-0000-0000-0000F3AC0000}"/>
    <cellStyle name="Normal 4 3 2 2 2 7 6" xfId="44561" xr:uid="{00000000-0005-0000-0000-0000F4AC0000}"/>
    <cellStyle name="Normal 4 3 2 2 2 8" xfId="44562" xr:uid="{00000000-0005-0000-0000-0000F5AC0000}"/>
    <cellStyle name="Normal 4 3 2 2 2 8 2" xfId="44563" xr:uid="{00000000-0005-0000-0000-0000F6AC0000}"/>
    <cellStyle name="Normal 4 3 2 2 2 8 2 2" xfId="44564" xr:uid="{00000000-0005-0000-0000-0000F7AC0000}"/>
    <cellStyle name="Normal 4 3 2 2 2 8 2 3" xfId="44565" xr:uid="{00000000-0005-0000-0000-0000F8AC0000}"/>
    <cellStyle name="Normal 4 3 2 2 2 8 3" xfId="44566" xr:uid="{00000000-0005-0000-0000-0000F9AC0000}"/>
    <cellStyle name="Normal 4 3 2 2 2 8 4" xfId="44567" xr:uid="{00000000-0005-0000-0000-0000FAAC0000}"/>
    <cellStyle name="Normal 4 3 2 2 2 8 5" xfId="44568" xr:uid="{00000000-0005-0000-0000-0000FBAC0000}"/>
    <cellStyle name="Normal 4 3 2 2 2 8 6" xfId="44569" xr:uid="{00000000-0005-0000-0000-0000FCAC0000}"/>
    <cellStyle name="Normal 4 3 2 2 2 9" xfId="44570" xr:uid="{00000000-0005-0000-0000-0000FDAC0000}"/>
    <cellStyle name="Normal 4 3 2 2 2 9 2" xfId="44571" xr:uid="{00000000-0005-0000-0000-0000FEAC0000}"/>
    <cellStyle name="Normal 4 3 2 2 2 9 3" xfId="44572" xr:uid="{00000000-0005-0000-0000-0000FFAC0000}"/>
    <cellStyle name="Normal 4 3 2 2 3" xfId="44573" xr:uid="{00000000-0005-0000-0000-000000AD0000}"/>
    <cellStyle name="Normal 4 3 2 2 3 10" xfId="44574" xr:uid="{00000000-0005-0000-0000-000001AD0000}"/>
    <cellStyle name="Normal 4 3 2 2 3 2" xfId="44575" xr:uid="{00000000-0005-0000-0000-000002AD0000}"/>
    <cellStyle name="Normal 4 3 2 2 3 2 2" xfId="44576" xr:uid="{00000000-0005-0000-0000-000003AD0000}"/>
    <cellStyle name="Normal 4 3 2 2 3 2 2 2" xfId="44577" xr:uid="{00000000-0005-0000-0000-000004AD0000}"/>
    <cellStyle name="Normal 4 3 2 2 3 2 2 2 2" xfId="44578" xr:uid="{00000000-0005-0000-0000-000005AD0000}"/>
    <cellStyle name="Normal 4 3 2 2 3 2 2 2 3" xfId="44579" xr:uid="{00000000-0005-0000-0000-000006AD0000}"/>
    <cellStyle name="Normal 4 3 2 2 3 2 2 3" xfId="44580" xr:uid="{00000000-0005-0000-0000-000007AD0000}"/>
    <cellStyle name="Normal 4 3 2 2 3 2 2 4" xfId="44581" xr:uid="{00000000-0005-0000-0000-000008AD0000}"/>
    <cellStyle name="Normal 4 3 2 2 3 2 2 5" xfId="44582" xr:uid="{00000000-0005-0000-0000-000009AD0000}"/>
    <cellStyle name="Normal 4 3 2 2 3 2 2 6" xfId="44583" xr:uid="{00000000-0005-0000-0000-00000AAD0000}"/>
    <cellStyle name="Normal 4 3 2 2 3 2 3" xfId="44584" xr:uid="{00000000-0005-0000-0000-00000BAD0000}"/>
    <cellStyle name="Normal 4 3 2 2 3 2 3 2" xfId="44585" xr:uid="{00000000-0005-0000-0000-00000CAD0000}"/>
    <cellStyle name="Normal 4 3 2 2 3 2 3 2 2" xfId="44586" xr:uid="{00000000-0005-0000-0000-00000DAD0000}"/>
    <cellStyle name="Normal 4 3 2 2 3 2 3 2 3" xfId="44587" xr:uid="{00000000-0005-0000-0000-00000EAD0000}"/>
    <cellStyle name="Normal 4 3 2 2 3 2 3 3" xfId="44588" xr:uid="{00000000-0005-0000-0000-00000FAD0000}"/>
    <cellStyle name="Normal 4 3 2 2 3 2 3 4" xfId="44589" xr:uid="{00000000-0005-0000-0000-000010AD0000}"/>
    <cellStyle name="Normal 4 3 2 2 3 2 3 5" xfId="44590" xr:uid="{00000000-0005-0000-0000-000011AD0000}"/>
    <cellStyle name="Normal 4 3 2 2 3 2 3 6" xfId="44591" xr:uid="{00000000-0005-0000-0000-000012AD0000}"/>
    <cellStyle name="Normal 4 3 2 2 3 2 4" xfId="44592" xr:uid="{00000000-0005-0000-0000-000013AD0000}"/>
    <cellStyle name="Normal 4 3 2 2 3 2 4 2" xfId="44593" xr:uid="{00000000-0005-0000-0000-000014AD0000}"/>
    <cellStyle name="Normal 4 3 2 2 3 2 4 3" xfId="44594" xr:uid="{00000000-0005-0000-0000-000015AD0000}"/>
    <cellStyle name="Normal 4 3 2 2 3 2 5" xfId="44595" xr:uid="{00000000-0005-0000-0000-000016AD0000}"/>
    <cellStyle name="Normal 4 3 2 2 3 2 6" xfId="44596" xr:uid="{00000000-0005-0000-0000-000017AD0000}"/>
    <cellStyle name="Normal 4 3 2 2 3 2 7" xfId="44597" xr:uid="{00000000-0005-0000-0000-000018AD0000}"/>
    <cellStyle name="Normal 4 3 2 2 3 2 8" xfId="44598" xr:uid="{00000000-0005-0000-0000-000019AD0000}"/>
    <cellStyle name="Normal 4 3 2 2 3 3" xfId="44599" xr:uid="{00000000-0005-0000-0000-00001AAD0000}"/>
    <cellStyle name="Normal 4 3 2 2 3 3 2" xfId="44600" xr:uid="{00000000-0005-0000-0000-00001BAD0000}"/>
    <cellStyle name="Normal 4 3 2 2 3 3 2 2" xfId="44601" xr:uid="{00000000-0005-0000-0000-00001CAD0000}"/>
    <cellStyle name="Normal 4 3 2 2 3 3 2 2 2" xfId="44602" xr:uid="{00000000-0005-0000-0000-00001DAD0000}"/>
    <cellStyle name="Normal 4 3 2 2 3 3 2 2 3" xfId="44603" xr:uid="{00000000-0005-0000-0000-00001EAD0000}"/>
    <cellStyle name="Normal 4 3 2 2 3 3 2 3" xfId="44604" xr:uid="{00000000-0005-0000-0000-00001FAD0000}"/>
    <cellStyle name="Normal 4 3 2 2 3 3 2 4" xfId="44605" xr:uid="{00000000-0005-0000-0000-000020AD0000}"/>
    <cellStyle name="Normal 4 3 2 2 3 3 2 5" xfId="44606" xr:uid="{00000000-0005-0000-0000-000021AD0000}"/>
    <cellStyle name="Normal 4 3 2 2 3 3 2 6" xfId="44607" xr:uid="{00000000-0005-0000-0000-000022AD0000}"/>
    <cellStyle name="Normal 4 3 2 2 3 3 3" xfId="44608" xr:uid="{00000000-0005-0000-0000-000023AD0000}"/>
    <cellStyle name="Normal 4 3 2 2 3 3 3 2" xfId="44609" xr:uid="{00000000-0005-0000-0000-000024AD0000}"/>
    <cellStyle name="Normal 4 3 2 2 3 3 3 3" xfId="44610" xr:uid="{00000000-0005-0000-0000-000025AD0000}"/>
    <cellStyle name="Normal 4 3 2 2 3 3 4" xfId="44611" xr:uid="{00000000-0005-0000-0000-000026AD0000}"/>
    <cellStyle name="Normal 4 3 2 2 3 3 5" xfId="44612" xr:uid="{00000000-0005-0000-0000-000027AD0000}"/>
    <cellStyle name="Normal 4 3 2 2 3 3 6" xfId="44613" xr:uid="{00000000-0005-0000-0000-000028AD0000}"/>
    <cellStyle name="Normal 4 3 2 2 3 3 7" xfId="44614" xr:uid="{00000000-0005-0000-0000-000029AD0000}"/>
    <cellStyle name="Normal 4 3 2 2 3 4" xfId="44615" xr:uid="{00000000-0005-0000-0000-00002AAD0000}"/>
    <cellStyle name="Normal 4 3 2 2 3 4 2" xfId="44616" xr:uid="{00000000-0005-0000-0000-00002BAD0000}"/>
    <cellStyle name="Normal 4 3 2 2 3 4 2 2" xfId="44617" xr:uid="{00000000-0005-0000-0000-00002CAD0000}"/>
    <cellStyle name="Normal 4 3 2 2 3 4 2 3" xfId="44618" xr:uid="{00000000-0005-0000-0000-00002DAD0000}"/>
    <cellStyle name="Normal 4 3 2 2 3 4 3" xfId="44619" xr:uid="{00000000-0005-0000-0000-00002EAD0000}"/>
    <cellStyle name="Normal 4 3 2 2 3 4 4" xfId="44620" xr:uid="{00000000-0005-0000-0000-00002FAD0000}"/>
    <cellStyle name="Normal 4 3 2 2 3 4 5" xfId="44621" xr:uid="{00000000-0005-0000-0000-000030AD0000}"/>
    <cellStyle name="Normal 4 3 2 2 3 4 6" xfId="44622" xr:uid="{00000000-0005-0000-0000-000031AD0000}"/>
    <cellStyle name="Normal 4 3 2 2 3 5" xfId="44623" xr:uid="{00000000-0005-0000-0000-000032AD0000}"/>
    <cellStyle name="Normal 4 3 2 2 3 5 2" xfId="44624" xr:uid="{00000000-0005-0000-0000-000033AD0000}"/>
    <cellStyle name="Normal 4 3 2 2 3 5 2 2" xfId="44625" xr:uid="{00000000-0005-0000-0000-000034AD0000}"/>
    <cellStyle name="Normal 4 3 2 2 3 5 2 3" xfId="44626" xr:uid="{00000000-0005-0000-0000-000035AD0000}"/>
    <cellStyle name="Normal 4 3 2 2 3 5 3" xfId="44627" xr:uid="{00000000-0005-0000-0000-000036AD0000}"/>
    <cellStyle name="Normal 4 3 2 2 3 5 4" xfId="44628" xr:uid="{00000000-0005-0000-0000-000037AD0000}"/>
    <cellStyle name="Normal 4 3 2 2 3 5 5" xfId="44629" xr:uid="{00000000-0005-0000-0000-000038AD0000}"/>
    <cellStyle name="Normal 4 3 2 2 3 5 6" xfId="44630" xr:uid="{00000000-0005-0000-0000-000039AD0000}"/>
    <cellStyle name="Normal 4 3 2 2 3 6" xfId="44631" xr:uid="{00000000-0005-0000-0000-00003AAD0000}"/>
    <cellStyle name="Normal 4 3 2 2 3 6 2" xfId="44632" xr:uid="{00000000-0005-0000-0000-00003BAD0000}"/>
    <cellStyle name="Normal 4 3 2 2 3 6 3" xfId="44633" xr:uid="{00000000-0005-0000-0000-00003CAD0000}"/>
    <cellStyle name="Normal 4 3 2 2 3 7" xfId="44634" xr:uid="{00000000-0005-0000-0000-00003DAD0000}"/>
    <cellStyle name="Normal 4 3 2 2 3 8" xfId="44635" xr:uid="{00000000-0005-0000-0000-00003EAD0000}"/>
    <cellStyle name="Normal 4 3 2 2 3 9" xfId="44636" xr:uid="{00000000-0005-0000-0000-00003FAD0000}"/>
    <cellStyle name="Normal 4 3 2 2 4" xfId="44637" xr:uid="{00000000-0005-0000-0000-000040AD0000}"/>
    <cellStyle name="Normal 4 3 2 2 4 2" xfId="44638" xr:uid="{00000000-0005-0000-0000-000041AD0000}"/>
    <cellStyle name="Normal 4 3 2 2 4 2 2" xfId="44639" xr:uid="{00000000-0005-0000-0000-000042AD0000}"/>
    <cellStyle name="Normal 4 3 2 2 4 2 2 2" xfId="44640" xr:uid="{00000000-0005-0000-0000-000043AD0000}"/>
    <cellStyle name="Normal 4 3 2 2 4 2 2 2 2" xfId="44641" xr:uid="{00000000-0005-0000-0000-000044AD0000}"/>
    <cellStyle name="Normal 4 3 2 2 4 2 2 2 3" xfId="44642" xr:uid="{00000000-0005-0000-0000-000045AD0000}"/>
    <cellStyle name="Normal 4 3 2 2 4 2 2 3" xfId="44643" xr:uid="{00000000-0005-0000-0000-000046AD0000}"/>
    <cellStyle name="Normal 4 3 2 2 4 2 2 4" xfId="44644" xr:uid="{00000000-0005-0000-0000-000047AD0000}"/>
    <cellStyle name="Normal 4 3 2 2 4 2 2 5" xfId="44645" xr:uid="{00000000-0005-0000-0000-000048AD0000}"/>
    <cellStyle name="Normal 4 3 2 2 4 2 2 6" xfId="44646" xr:uid="{00000000-0005-0000-0000-000049AD0000}"/>
    <cellStyle name="Normal 4 3 2 2 4 2 3" xfId="44647" xr:uid="{00000000-0005-0000-0000-00004AAD0000}"/>
    <cellStyle name="Normal 4 3 2 2 4 2 3 2" xfId="44648" xr:uid="{00000000-0005-0000-0000-00004BAD0000}"/>
    <cellStyle name="Normal 4 3 2 2 4 2 3 3" xfId="44649" xr:uid="{00000000-0005-0000-0000-00004CAD0000}"/>
    <cellStyle name="Normal 4 3 2 2 4 2 4" xfId="44650" xr:uid="{00000000-0005-0000-0000-00004DAD0000}"/>
    <cellStyle name="Normal 4 3 2 2 4 2 5" xfId="44651" xr:uid="{00000000-0005-0000-0000-00004EAD0000}"/>
    <cellStyle name="Normal 4 3 2 2 4 2 6" xfId="44652" xr:uid="{00000000-0005-0000-0000-00004FAD0000}"/>
    <cellStyle name="Normal 4 3 2 2 4 2 7" xfId="44653" xr:uid="{00000000-0005-0000-0000-000050AD0000}"/>
    <cellStyle name="Normal 4 3 2 2 4 3" xfId="44654" xr:uid="{00000000-0005-0000-0000-000051AD0000}"/>
    <cellStyle name="Normal 4 3 2 2 4 3 2" xfId="44655" xr:uid="{00000000-0005-0000-0000-000052AD0000}"/>
    <cellStyle name="Normal 4 3 2 2 4 3 2 2" xfId="44656" xr:uid="{00000000-0005-0000-0000-000053AD0000}"/>
    <cellStyle name="Normal 4 3 2 2 4 3 2 3" xfId="44657" xr:uid="{00000000-0005-0000-0000-000054AD0000}"/>
    <cellStyle name="Normal 4 3 2 2 4 3 3" xfId="44658" xr:uid="{00000000-0005-0000-0000-000055AD0000}"/>
    <cellStyle name="Normal 4 3 2 2 4 3 4" xfId="44659" xr:uid="{00000000-0005-0000-0000-000056AD0000}"/>
    <cellStyle name="Normal 4 3 2 2 4 3 5" xfId="44660" xr:uid="{00000000-0005-0000-0000-000057AD0000}"/>
    <cellStyle name="Normal 4 3 2 2 4 3 6" xfId="44661" xr:uid="{00000000-0005-0000-0000-000058AD0000}"/>
    <cellStyle name="Normal 4 3 2 2 4 4" xfId="44662" xr:uid="{00000000-0005-0000-0000-000059AD0000}"/>
    <cellStyle name="Normal 4 3 2 2 4 4 2" xfId="44663" xr:uid="{00000000-0005-0000-0000-00005AAD0000}"/>
    <cellStyle name="Normal 4 3 2 2 4 4 2 2" xfId="44664" xr:uid="{00000000-0005-0000-0000-00005BAD0000}"/>
    <cellStyle name="Normal 4 3 2 2 4 4 2 3" xfId="44665" xr:uid="{00000000-0005-0000-0000-00005CAD0000}"/>
    <cellStyle name="Normal 4 3 2 2 4 4 3" xfId="44666" xr:uid="{00000000-0005-0000-0000-00005DAD0000}"/>
    <cellStyle name="Normal 4 3 2 2 4 4 4" xfId="44667" xr:uid="{00000000-0005-0000-0000-00005EAD0000}"/>
    <cellStyle name="Normal 4 3 2 2 4 4 5" xfId="44668" xr:uid="{00000000-0005-0000-0000-00005FAD0000}"/>
    <cellStyle name="Normal 4 3 2 2 4 4 6" xfId="44669" xr:uid="{00000000-0005-0000-0000-000060AD0000}"/>
    <cellStyle name="Normal 4 3 2 2 4 5" xfId="44670" xr:uid="{00000000-0005-0000-0000-000061AD0000}"/>
    <cellStyle name="Normal 4 3 2 2 4 5 2" xfId="44671" xr:uid="{00000000-0005-0000-0000-000062AD0000}"/>
    <cellStyle name="Normal 4 3 2 2 4 5 3" xfId="44672" xr:uid="{00000000-0005-0000-0000-000063AD0000}"/>
    <cellStyle name="Normal 4 3 2 2 4 6" xfId="44673" xr:uid="{00000000-0005-0000-0000-000064AD0000}"/>
    <cellStyle name="Normal 4 3 2 2 4 7" xfId="44674" xr:uid="{00000000-0005-0000-0000-000065AD0000}"/>
    <cellStyle name="Normal 4 3 2 2 4 8" xfId="44675" xr:uid="{00000000-0005-0000-0000-000066AD0000}"/>
    <cellStyle name="Normal 4 3 2 2 4 9" xfId="44676" xr:uid="{00000000-0005-0000-0000-000067AD0000}"/>
    <cellStyle name="Normal 4 3 2 2 5" xfId="44677" xr:uid="{00000000-0005-0000-0000-000068AD0000}"/>
    <cellStyle name="Normal 4 3 2 2 5 2" xfId="44678" xr:uid="{00000000-0005-0000-0000-000069AD0000}"/>
    <cellStyle name="Normal 4 3 2 2 5 2 2" xfId="44679" xr:uid="{00000000-0005-0000-0000-00006AAD0000}"/>
    <cellStyle name="Normal 4 3 2 2 5 2 2 2" xfId="44680" xr:uid="{00000000-0005-0000-0000-00006BAD0000}"/>
    <cellStyle name="Normal 4 3 2 2 5 2 2 3" xfId="44681" xr:uid="{00000000-0005-0000-0000-00006CAD0000}"/>
    <cellStyle name="Normal 4 3 2 2 5 2 3" xfId="44682" xr:uid="{00000000-0005-0000-0000-00006DAD0000}"/>
    <cellStyle name="Normal 4 3 2 2 5 2 4" xfId="44683" xr:uid="{00000000-0005-0000-0000-00006EAD0000}"/>
    <cellStyle name="Normal 4 3 2 2 5 2 5" xfId="44684" xr:uid="{00000000-0005-0000-0000-00006FAD0000}"/>
    <cellStyle name="Normal 4 3 2 2 5 2 6" xfId="44685" xr:uid="{00000000-0005-0000-0000-000070AD0000}"/>
    <cellStyle name="Normal 4 3 2 2 5 3" xfId="44686" xr:uid="{00000000-0005-0000-0000-000071AD0000}"/>
    <cellStyle name="Normal 4 3 2 2 5 3 2" xfId="44687" xr:uid="{00000000-0005-0000-0000-000072AD0000}"/>
    <cellStyle name="Normal 4 3 2 2 5 3 3" xfId="44688" xr:uid="{00000000-0005-0000-0000-000073AD0000}"/>
    <cellStyle name="Normal 4 3 2 2 5 4" xfId="44689" xr:uid="{00000000-0005-0000-0000-000074AD0000}"/>
    <cellStyle name="Normal 4 3 2 2 5 5" xfId="44690" xr:uid="{00000000-0005-0000-0000-000075AD0000}"/>
    <cellStyle name="Normal 4 3 2 2 5 6" xfId="44691" xr:uid="{00000000-0005-0000-0000-000076AD0000}"/>
    <cellStyle name="Normal 4 3 2 2 5 7" xfId="44692" xr:uid="{00000000-0005-0000-0000-000077AD0000}"/>
    <cellStyle name="Normal 4 3 2 2 6" xfId="44693" xr:uid="{00000000-0005-0000-0000-000078AD0000}"/>
    <cellStyle name="Normal 4 3 2 2 6 2" xfId="44694" xr:uid="{00000000-0005-0000-0000-000079AD0000}"/>
    <cellStyle name="Normal 4 3 2 2 6 2 2" xfId="44695" xr:uid="{00000000-0005-0000-0000-00007AAD0000}"/>
    <cellStyle name="Normal 4 3 2 2 6 2 3" xfId="44696" xr:uid="{00000000-0005-0000-0000-00007BAD0000}"/>
    <cellStyle name="Normal 4 3 2 2 6 3" xfId="44697" xr:uid="{00000000-0005-0000-0000-00007CAD0000}"/>
    <cellStyle name="Normal 4 3 2 2 6 4" xfId="44698" xr:uid="{00000000-0005-0000-0000-00007DAD0000}"/>
    <cellStyle name="Normal 4 3 2 2 6 5" xfId="44699" xr:uid="{00000000-0005-0000-0000-00007EAD0000}"/>
    <cellStyle name="Normal 4 3 2 2 6 6" xfId="44700" xr:uid="{00000000-0005-0000-0000-00007FAD0000}"/>
    <cellStyle name="Normal 4 3 2 2 7" xfId="44701" xr:uid="{00000000-0005-0000-0000-000080AD0000}"/>
    <cellStyle name="Normal 4 3 2 2 7 2" xfId="44702" xr:uid="{00000000-0005-0000-0000-000081AD0000}"/>
    <cellStyle name="Normal 4 3 2 2 7 2 2" xfId="44703" xr:uid="{00000000-0005-0000-0000-000082AD0000}"/>
    <cellStyle name="Normal 4 3 2 2 7 2 3" xfId="44704" xr:uid="{00000000-0005-0000-0000-000083AD0000}"/>
    <cellStyle name="Normal 4 3 2 2 7 3" xfId="44705" xr:uid="{00000000-0005-0000-0000-000084AD0000}"/>
    <cellStyle name="Normal 4 3 2 2 7 4" xfId="44706" xr:uid="{00000000-0005-0000-0000-000085AD0000}"/>
    <cellStyle name="Normal 4 3 2 2 7 5" xfId="44707" xr:uid="{00000000-0005-0000-0000-000086AD0000}"/>
    <cellStyle name="Normal 4 3 2 2 7 6" xfId="44708" xr:uid="{00000000-0005-0000-0000-000087AD0000}"/>
    <cellStyle name="Normal 4 3 2 2 8" xfId="44709" xr:uid="{00000000-0005-0000-0000-000088AD0000}"/>
    <cellStyle name="Normal 4 3 2 2 8 2" xfId="44710" xr:uid="{00000000-0005-0000-0000-000089AD0000}"/>
    <cellStyle name="Normal 4 3 2 2 8 2 2" xfId="44711" xr:uid="{00000000-0005-0000-0000-00008AAD0000}"/>
    <cellStyle name="Normal 4 3 2 2 8 2 3" xfId="44712" xr:uid="{00000000-0005-0000-0000-00008BAD0000}"/>
    <cellStyle name="Normal 4 3 2 2 8 3" xfId="44713" xr:uid="{00000000-0005-0000-0000-00008CAD0000}"/>
    <cellStyle name="Normal 4 3 2 2 8 4" xfId="44714" xr:uid="{00000000-0005-0000-0000-00008DAD0000}"/>
    <cellStyle name="Normal 4 3 2 2 8 5" xfId="44715" xr:uid="{00000000-0005-0000-0000-00008EAD0000}"/>
    <cellStyle name="Normal 4 3 2 2 8 6" xfId="44716" xr:uid="{00000000-0005-0000-0000-00008FAD0000}"/>
    <cellStyle name="Normal 4 3 2 2 9" xfId="44717" xr:uid="{00000000-0005-0000-0000-000090AD0000}"/>
    <cellStyle name="Normal 4 3 2 2 9 2" xfId="44718" xr:uid="{00000000-0005-0000-0000-000091AD0000}"/>
    <cellStyle name="Normal 4 3 2 2 9 2 2" xfId="44719" xr:uid="{00000000-0005-0000-0000-000092AD0000}"/>
    <cellStyle name="Normal 4 3 2 2 9 2 3" xfId="44720" xr:uid="{00000000-0005-0000-0000-000093AD0000}"/>
    <cellStyle name="Normal 4 3 2 2 9 3" xfId="44721" xr:uid="{00000000-0005-0000-0000-000094AD0000}"/>
    <cellStyle name="Normal 4 3 2 2 9 4" xfId="44722" xr:uid="{00000000-0005-0000-0000-000095AD0000}"/>
    <cellStyle name="Normal 4 3 2 2 9 5" xfId="44723" xr:uid="{00000000-0005-0000-0000-000096AD0000}"/>
    <cellStyle name="Normal 4 3 2 2 9 6" xfId="44724" xr:uid="{00000000-0005-0000-0000-000097AD0000}"/>
    <cellStyle name="Normal 4 3 2 3" xfId="44725" xr:uid="{00000000-0005-0000-0000-000098AD0000}"/>
    <cellStyle name="Normal 4 3 2 3 10" xfId="44726" xr:uid="{00000000-0005-0000-0000-000099AD0000}"/>
    <cellStyle name="Normal 4 3 2 3 11" xfId="44727" xr:uid="{00000000-0005-0000-0000-00009AAD0000}"/>
    <cellStyle name="Normal 4 3 2 3 12" xfId="44728" xr:uid="{00000000-0005-0000-0000-00009BAD0000}"/>
    <cellStyle name="Normal 4 3 2 3 13" xfId="44729" xr:uid="{00000000-0005-0000-0000-00009CAD0000}"/>
    <cellStyle name="Normal 4 3 2 3 2" xfId="44730" xr:uid="{00000000-0005-0000-0000-00009DAD0000}"/>
    <cellStyle name="Normal 4 3 2 3 2 10" xfId="44731" xr:uid="{00000000-0005-0000-0000-00009EAD0000}"/>
    <cellStyle name="Normal 4 3 2 3 2 2" xfId="44732" xr:uid="{00000000-0005-0000-0000-00009FAD0000}"/>
    <cellStyle name="Normal 4 3 2 3 2 2 2" xfId="44733" xr:uid="{00000000-0005-0000-0000-0000A0AD0000}"/>
    <cellStyle name="Normal 4 3 2 3 2 2 2 2" xfId="44734" xr:uid="{00000000-0005-0000-0000-0000A1AD0000}"/>
    <cellStyle name="Normal 4 3 2 3 2 2 2 2 2" xfId="44735" xr:uid="{00000000-0005-0000-0000-0000A2AD0000}"/>
    <cellStyle name="Normal 4 3 2 3 2 2 2 2 3" xfId="44736" xr:uid="{00000000-0005-0000-0000-0000A3AD0000}"/>
    <cellStyle name="Normal 4 3 2 3 2 2 2 3" xfId="44737" xr:uid="{00000000-0005-0000-0000-0000A4AD0000}"/>
    <cellStyle name="Normal 4 3 2 3 2 2 2 4" xfId="44738" xr:uid="{00000000-0005-0000-0000-0000A5AD0000}"/>
    <cellStyle name="Normal 4 3 2 3 2 2 2 5" xfId="44739" xr:uid="{00000000-0005-0000-0000-0000A6AD0000}"/>
    <cellStyle name="Normal 4 3 2 3 2 2 2 6" xfId="44740" xr:uid="{00000000-0005-0000-0000-0000A7AD0000}"/>
    <cellStyle name="Normal 4 3 2 3 2 2 3" xfId="44741" xr:uid="{00000000-0005-0000-0000-0000A8AD0000}"/>
    <cellStyle name="Normal 4 3 2 3 2 2 3 2" xfId="44742" xr:uid="{00000000-0005-0000-0000-0000A9AD0000}"/>
    <cellStyle name="Normal 4 3 2 3 2 2 3 2 2" xfId="44743" xr:uid="{00000000-0005-0000-0000-0000AAAD0000}"/>
    <cellStyle name="Normal 4 3 2 3 2 2 3 2 3" xfId="44744" xr:uid="{00000000-0005-0000-0000-0000ABAD0000}"/>
    <cellStyle name="Normal 4 3 2 3 2 2 3 3" xfId="44745" xr:uid="{00000000-0005-0000-0000-0000ACAD0000}"/>
    <cellStyle name="Normal 4 3 2 3 2 2 3 4" xfId="44746" xr:uid="{00000000-0005-0000-0000-0000ADAD0000}"/>
    <cellStyle name="Normal 4 3 2 3 2 2 3 5" xfId="44747" xr:uid="{00000000-0005-0000-0000-0000AEAD0000}"/>
    <cellStyle name="Normal 4 3 2 3 2 2 3 6" xfId="44748" xr:uid="{00000000-0005-0000-0000-0000AFAD0000}"/>
    <cellStyle name="Normal 4 3 2 3 2 2 4" xfId="44749" xr:uid="{00000000-0005-0000-0000-0000B0AD0000}"/>
    <cellStyle name="Normal 4 3 2 3 2 2 4 2" xfId="44750" xr:uid="{00000000-0005-0000-0000-0000B1AD0000}"/>
    <cellStyle name="Normal 4 3 2 3 2 2 4 3" xfId="44751" xr:uid="{00000000-0005-0000-0000-0000B2AD0000}"/>
    <cellStyle name="Normal 4 3 2 3 2 2 5" xfId="44752" xr:uid="{00000000-0005-0000-0000-0000B3AD0000}"/>
    <cellStyle name="Normal 4 3 2 3 2 2 6" xfId="44753" xr:uid="{00000000-0005-0000-0000-0000B4AD0000}"/>
    <cellStyle name="Normal 4 3 2 3 2 2 7" xfId="44754" xr:uid="{00000000-0005-0000-0000-0000B5AD0000}"/>
    <cellStyle name="Normal 4 3 2 3 2 2 8" xfId="44755" xr:uid="{00000000-0005-0000-0000-0000B6AD0000}"/>
    <cellStyle name="Normal 4 3 2 3 2 3" xfId="44756" xr:uid="{00000000-0005-0000-0000-0000B7AD0000}"/>
    <cellStyle name="Normal 4 3 2 3 2 3 2" xfId="44757" xr:uid="{00000000-0005-0000-0000-0000B8AD0000}"/>
    <cellStyle name="Normal 4 3 2 3 2 3 2 2" xfId="44758" xr:uid="{00000000-0005-0000-0000-0000B9AD0000}"/>
    <cellStyle name="Normal 4 3 2 3 2 3 2 2 2" xfId="44759" xr:uid="{00000000-0005-0000-0000-0000BAAD0000}"/>
    <cellStyle name="Normal 4 3 2 3 2 3 2 2 3" xfId="44760" xr:uid="{00000000-0005-0000-0000-0000BBAD0000}"/>
    <cellStyle name="Normal 4 3 2 3 2 3 2 3" xfId="44761" xr:uid="{00000000-0005-0000-0000-0000BCAD0000}"/>
    <cellStyle name="Normal 4 3 2 3 2 3 2 4" xfId="44762" xr:uid="{00000000-0005-0000-0000-0000BDAD0000}"/>
    <cellStyle name="Normal 4 3 2 3 2 3 2 5" xfId="44763" xr:uid="{00000000-0005-0000-0000-0000BEAD0000}"/>
    <cellStyle name="Normal 4 3 2 3 2 3 2 6" xfId="44764" xr:uid="{00000000-0005-0000-0000-0000BFAD0000}"/>
    <cellStyle name="Normal 4 3 2 3 2 3 3" xfId="44765" xr:uid="{00000000-0005-0000-0000-0000C0AD0000}"/>
    <cellStyle name="Normal 4 3 2 3 2 3 3 2" xfId="44766" xr:uid="{00000000-0005-0000-0000-0000C1AD0000}"/>
    <cellStyle name="Normal 4 3 2 3 2 3 3 3" xfId="44767" xr:uid="{00000000-0005-0000-0000-0000C2AD0000}"/>
    <cellStyle name="Normal 4 3 2 3 2 3 4" xfId="44768" xr:uid="{00000000-0005-0000-0000-0000C3AD0000}"/>
    <cellStyle name="Normal 4 3 2 3 2 3 5" xfId="44769" xr:uid="{00000000-0005-0000-0000-0000C4AD0000}"/>
    <cellStyle name="Normal 4 3 2 3 2 3 6" xfId="44770" xr:uid="{00000000-0005-0000-0000-0000C5AD0000}"/>
    <cellStyle name="Normal 4 3 2 3 2 3 7" xfId="44771" xr:uid="{00000000-0005-0000-0000-0000C6AD0000}"/>
    <cellStyle name="Normal 4 3 2 3 2 4" xfId="44772" xr:uid="{00000000-0005-0000-0000-0000C7AD0000}"/>
    <cellStyle name="Normal 4 3 2 3 2 4 2" xfId="44773" xr:uid="{00000000-0005-0000-0000-0000C8AD0000}"/>
    <cellStyle name="Normal 4 3 2 3 2 4 2 2" xfId="44774" xr:uid="{00000000-0005-0000-0000-0000C9AD0000}"/>
    <cellStyle name="Normal 4 3 2 3 2 4 2 3" xfId="44775" xr:uid="{00000000-0005-0000-0000-0000CAAD0000}"/>
    <cellStyle name="Normal 4 3 2 3 2 4 3" xfId="44776" xr:uid="{00000000-0005-0000-0000-0000CBAD0000}"/>
    <cellStyle name="Normal 4 3 2 3 2 4 4" xfId="44777" xr:uid="{00000000-0005-0000-0000-0000CCAD0000}"/>
    <cellStyle name="Normal 4 3 2 3 2 4 5" xfId="44778" xr:uid="{00000000-0005-0000-0000-0000CDAD0000}"/>
    <cellStyle name="Normal 4 3 2 3 2 4 6" xfId="44779" xr:uid="{00000000-0005-0000-0000-0000CEAD0000}"/>
    <cellStyle name="Normal 4 3 2 3 2 5" xfId="44780" xr:uid="{00000000-0005-0000-0000-0000CFAD0000}"/>
    <cellStyle name="Normal 4 3 2 3 2 5 2" xfId="44781" xr:uid="{00000000-0005-0000-0000-0000D0AD0000}"/>
    <cellStyle name="Normal 4 3 2 3 2 5 2 2" xfId="44782" xr:uid="{00000000-0005-0000-0000-0000D1AD0000}"/>
    <cellStyle name="Normal 4 3 2 3 2 5 2 3" xfId="44783" xr:uid="{00000000-0005-0000-0000-0000D2AD0000}"/>
    <cellStyle name="Normal 4 3 2 3 2 5 3" xfId="44784" xr:uid="{00000000-0005-0000-0000-0000D3AD0000}"/>
    <cellStyle name="Normal 4 3 2 3 2 5 4" xfId="44785" xr:uid="{00000000-0005-0000-0000-0000D4AD0000}"/>
    <cellStyle name="Normal 4 3 2 3 2 5 5" xfId="44786" xr:uid="{00000000-0005-0000-0000-0000D5AD0000}"/>
    <cellStyle name="Normal 4 3 2 3 2 5 6" xfId="44787" xr:uid="{00000000-0005-0000-0000-0000D6AD0000}"/>
    <cellStyle name="Normal 4 3 2 3 2 6" xfId="44788" xr:uid="{00000000-0005-0000-0000-0000D7AD0000}"/>
    <cellStyle name="Normal 4 3 2 3 2 6 2" xfId="44789" xr:uid="{00000000-0005-0000-0000-0000D8AD0000}"/>
    <cellStyle name="Normal 4 3 2 3 2 6 3" xfId="44790" xr:uid="{00000000-0005-0000-0000-0000D9AD0000}"/>
    <cellStyle name="Normal 4 3 2 3 2 7" xfId="44791" xr:uid="{00000000-0005-0000-0000-0000DAAD0000}"/>
    <cellStyle name="Normal 4 3 2 3 2 8" xfId="44792" xr:uid="{00000000-0005-0000-0000-0000DBAD0000}"/>
    <cellStyle name="Normal 4 3 2 3 2 9" xfId="44793" xr:uid="{00000000-0005-0000-0000-0000DCAD0000}"/>
    <cellStyle name="Normal 4 3 2 3 3" xfId="44794" xr:uid="{00000000-0005-0000-0000-0000DDAD0000}"/>
    <cellStyle name="Normal 4 3 2 3 3 2" xfId="44795" xr:uid="{00000000-0005-0000-0000-0000DEAD0000}"/>
    <cellStyle name="Normal 4 3 2 3 3 2 2" xfId="44796" xr:uid="{00000000-0005-0000-0000-0000DFAD0000}"/>
    <cellStyle name="Normal 4 3 2 3 3 2 2 2" xfId="44797" xr:uid="{00000000-0005-0000-0000-0000E0AD0000}"/>
    <cellStyle name="Normal 4 3 2 3 3 2 2 2 2" xfId="44798" xr:uid="{00000000-0005-0000-0000-0000E1AD0000}"/>
    <cellStyle name="Normal 4 3 2 3 3 2 2 2 3" xfId="44799" xr:uid="{00000000-0005-0000-0000-0000E2AD0000}"/>
    <cellStyle name="Normal 4 3 2 3 3 2 2 3" xfId="44800" xr:uid="{00000000-0005-0000-0000-0000E3AD0000}"/>
    <cellStyle name="Normal 4 3 2 3 3 2 2 4" xfId="44801" xr:uid="{00000000-0005-0000-0000-0000E4AD0000}"/>
    <cellStyle name="Normal 4 3 2 3 3 2 2 5" xfId="44802" xr:uid="{00000000-0005-0000-0000-0000E5AD0000}"/>
    <cellStyle name="Normal 4 3 2 3 3 2 2 6" xfId="44803" xr:uid="{00000000-0005-0000-0000-0000E6AD0000}"/>
    <cellStyle name="Normal 4 3 2 3 3 2 3" xfId="44804" xr:uid="{00000000-0005-0000-0000-0000E7AD0000}"/>
    <cellStyle name="Normal 4 3 2 3 3 2 3 2" xfId="44805" xr:uid="{00000000-0005-0000-0000-0000E8AD0000}"/>
    <cellStyle name="Normal 4 3 2 3 3 2 3 3" xfId="44806" xr:uid="{00000000-0005-0000-0000-0000E9AD0000}"/>
    <cellStyle name="Normal 4 3 2 3 3 2 4" xfId="44807" xr:uid="{00000000-0005-0000-0000-0000EAAD0000}"/>
    <cellStyle name="Normal 4 3 2 3 3 2 5" xfId="44808" xr:uid="{00000000-0005-0000-0000-0000EBAD0000}"/>
    <cellStyle name="Normal 4 3 2 3 3 2 6" xfId="44809" xr:uid="{00000000-0005-0000-0000-0000ECAD0000}"/>
    <cellStyle name="Normal 4 3 2 3 3 2 7" xfId="44810" xr:uid="{00000000-0005-0000-0000-0000EDAD0000}"/>
    <cellStyle name="Normal 4 3 2 3 3 3" xfId="44811" xr:uid="{00000000-0005-0000-0000-0000EEAD0000}"/>
    <cellStyle name="Normal 4 3 2 3 3 3 2" xfId="44812" xr:uid="{00000000-0005-0000-0000-0000EFAD0000}"/>
    <cellStyle name="Normal 4 3 2 3 3 3 2 2" xfId="44813" xr:uid="{00000000-0005-0000-0000-0000F0AD0000}"/>
    <cellStyle name="Normal 4 3 2 3 3 3 2 3" xfId="44814" xr:uid="{00000000-0005-0000-0000-0000F1AD0000}"/>
    <cellStyle name="Normal 4 3 2 3 3 3 3" xfId="44815" xr:uid="{00000000-0005-0000-0000-0000F2AD0000}"/>
    <cellStyle name="Normal 4 3 2 3 3 3 4" xfId="44816" xr:uid="{00000000-0005-0000-0000-0000F3AD0000}"/>
    <cellStyle name="Normal 4 3 2 3 3 3 5" xfId="44817" xr:uid="{00000000-0005-0000-0000-0000F4AD0000}"/>
    <cellStyle name="Normal 4 3 2 3 3 3 6" xfId="44818" xr:uid="{00000000-0005-0000-0000-0000F5AD0000}"/>
    <cellStyle name="Normal 4 3 2 3 3 4" xfId="44819" xr:uid="{00000000-0005-0000-0000-0000F6AD0000}"/>
    <cellStyle name="Normal 4 3 2 3 3 4 2" xfId="44820" xr:uid="{00000000-0005-0000-0000-0000F7AD0000}"/>
    <cellStyle name="Normal 4 3 2 3 3 4 2 2" xfId="44821" xr:uid="{00000000-0005-0000-0000-0000F8AD0000}"/>
    <cellStyle name="Normal 4 3 2 3 3 4 2 3" xfId="44822" xr:uid="{00000000-0005-0000-0000-0000F9AD0000}"/>
    <cellStyle name="Normal 4 3 2 3 3 4 3" xfId="44823" xr:uid="{00000000-0005-0000-0000-0000FAAD0000}"/>
    <cellStyle name="Normal 4 3 2 3 3 4 4" xfId="44824" xr:uid="{00000000-0005-0000-0000-0000FBAD0000}"/>
    <cellStyle name="Normal 4 3 2 3 3 4 5" xfId="44825" xr:uid="{00000000-0005-0000-0000-0000FCAD0000}"/>
    <cellStyle name="Normal 4 3 2 3 3 4 6" xfId="44826" xr:uid="{00000000-0005-0000-0000-0000FDAD0000}"/>
    <cellStyle name="Normal 4 3 2 3 3 5" xfId="44827" xr:uid="{00000000-0005-0000-0000-0000FEAD0000}"/>
    <cellStyle name="Normal 4 3 2 3 3 5 2" xfId="44828" xr:uid="{00000000-0005-0000-0000-0000FFAD0000}"/>
    <cellStyle name="Normal 4 3 2 3 3 5 3" xfId="44829" xr:uid="{00000000-0005-0000-0000-000000AE0000}"/>
    <cellStyle name="Normal 4 3 2 3 3 6" xfId="44830" xr:uid="{00000000-0005-0000-0000-000001AE0000}"/>
    <cellStyle name="Normal 4 3 2 3 3 7" xfId="44831" xr:uid="{00000000-0005-0000-0000-000002AE0000}"/>
    <cellStyle name="Normal 4 3 2 3 3 8" xfId="44832" xr:uid="{00000000-0005-0000-0000-000003AE0000}"/>
    <cellStyle name="Normal 4 3 2 3 3 9" xfId="44833" xr:uid="{00000000-0005-0000-0000-000004AE0000}"/>
    <cellStyle name="Normal 4 3 2 3 4" xfId="44834" xr:uid="{00000000-0005-0000-0000-000005AE0000}"/>
    <cellStyle name="Normal 4 3 2 3 4 2" xfId="44835" xr:uid="{00000000-0005-0000-0000-000006AE0000}"/>
    <cellStyle name="Normal 4 3 2 3 4 2 2" xfId="44836" xr:uid="{00000000-0005-0000-0000-000007AE0000}"/>
    <cellStyle name="Normal 4 3 2 3 4 2 2 2" xfId="44837" xr:uid="{00000000-0005-0000-0000-000008AE0000}"/>
    <cellStyle name="Normal 4 3 2 3 4 2 2 3" xfId="44838" xr:uid="{00000000-0005-0000-0000-000009AE0000}"/>
    <cellStyle name="Normal 4 3 2 3 4 2 3" xfId="44839" xr:uid="{00000000-0005-0000-0000-00000AAE0000}"/>
    <cellStyle name="Normal 4 3 2 3 4 2 4" xfId="44840" xr:uid="{00000000-0005-0000-0000-00000BAE0000}"/>
    <cellStyle name="Normal 4 3 2 3 4 2 5" xfId="44841" xr:uid="{00000000-0005-0000-0000-00000CAE0000}"/>
    <cellStyle name="Normal 4 3 2 3 4 2 6" xfId="44842" xr:uid="{00000000-0005-0000-0000-00000DAE0000}"/>
    <cellStyle name="Normal 4 3 2 3 4 3" xfId="44843" xr:uid="{00000000-0005-0000-0000-00000EAE0000}"/>
    <cellStyle name="Normal 4 3 2 3 4 3 2" xfId="44844" xr:uid="{00000000-0005-0000-0000-00000FAE0000}"/>
    <cellStyle name="Normal 4 3 2 3 4 3 3" xfId="44845" xr:uid="{00000000-0005-0000-0000-000010AE0000}"/>
    <cellStyle name="Normal 4 3 2 3 4 4" xfId="44846" xr:uid="{00000000-0005-0000-0000-000011AE0000}"/>
    <cellStyle name="Normal 4 3 2 3 4 5" xfId="44847" xr:uid="{00000000-0005-0000-0000-000012AE0000}"/>
    <cellStyle name="Normal 4 3 2 3 4 6" xfId="44848" xr:uid="{00000000-0005-0000-0000-000013AE0000}"/>
    <cellStyle name="Normal 4 3 2 3 4 7" xfId="44849" xr:uid="{00000000-0005-0000-0000-000014AE0000}"/>
    <cellStyle name="Normal 4 3 2 3 5" xfId="44850" xr:uid="{00000000-0005-0000-0000-000015AE0000}"/>
    <cellStyle name="Normal 4 3 2 3 5 2" xfId="44851" xr:uid="{00000000-0005-0000-0000-000016AE0000}"/>
    <cellStyle name="Normal 4 3 2 3 5 2 2" xfId="44852" xr:uid="{00000000-0005-0000-0000-000017AE0000}"/>
    <cellStyle name="Normal 4 3 2 3 5 2 3" xfId="44853" xr:uid="{00000000-0005-0000-0000-000018AE0000}"/>
    <cellStyle name="Normal 4 3 2 3 5 3" xfId="44854" xr:uid="{00000000-0005-0000-0000-000019AE0000}"/>
    <cellStyle name="Normal 4 3 2 3 5 4" xfId="44855" xr:uid="{00000000-0005-0000-0000-00001AAE0000}"/>
    <cellStyle name="Normal 4 3 2 3 5 5" xfId="44856" xr:uid="{00000000-0005-0000-0000-00001BAE0000}"/>
    <cellStyle name="Normal 4 3 2 3 5 6" xfId="44857" xr:uid="{00000000-0005-0000-0000-00001CAE0000}"/>
    <cellStyle name="Normal 4 3 2 3 6" xfId="44858" xr:uid="{00000000-0005-0000-0000-00001DAE0000}"/>
    <cellStyle name="Normal 4 3 2 3 6 2" xfId="44859" xr:uid="{00000000-0005-0000-0000-00001EAE0000}"/>
    <cellStyle name="Normal 4 3 2 3 6 2 2" xfId="44860" xr:uid="{00000000-0005-0000-0000-00001FAE0000}"/>
    <cellStyle name="Normal 4 3 2 3 6 2 3" xfId="44861" xr:uid="{00000000-0005-0000-0000-000020AE0000}"/>
    <cellStyle name="Normal 4 3 2 3 6 3" xfId="44862" xr:uid="{00000000-0005-0000-0000-000021AE0000}"/>
    <cellStyle name="Normal 4 3 2 3 6 4" xfId="44863" xr:uid="{00000000-0005-0000-0000-000022AE0000}"/>
    <cellStyle name="Normal 4 3 2 3 6 5" xfId="44864" xr:uid="{00000000-0005-0000-0000-000023AE0000}"/>
    <cellStyle name="Normal 4 3 2 3 6 6" xfId="44865" xr:uid="{00000000-0005-0000-0000-000024AE0000}"/>
    <cellStyle name="Normal 4 3 2 3 7" xfId="44866" xr:uid="{00000000-0005-0000-0000-000025AE0000}"/>
    <cellStyle name="Normal 4 3 2 3 7 2" xfId="44867" xr:uid="{00000000-0005-0000-0000-000026AE0000}"/>
    <cellStyle name="Normal 4 3 2 3 7 2 2" xfId="44868" xr:uid="{00000000-0005-0000-0000-000027AE0000}"/>
    <cellStyle name="Normal 4 3 2 3 7 2 3" xfId="44869" xr:uid="{00000000-0005-0000-0000-000028AE0000}"/>
    <cellStyle name="Normal 4 3 2 3 7 3" xfId="44870" xr:uid="{00000000-0005-0000-0000-000029AE0000}"/>
    <cellStyle name="Normal 4 3 2 3 7 4" xfId="44871" xr:uid="{00000000-0005-0000-0000-00002AAE0000}"/>
    <cellStyle name="Normal 4 3 2 3 7 5" xfId="44872" xr:uid="{00000000-0005-0000-0000-00002BAE0000}"/>
    <cellStyle name="Normal 4 3 2 3 7 6" xfId="44873" xr:uid="{00000000-0005-0000-0000-00002CAE0000}"/>
    <cellStyle name="Normal 4 3 2 3 8" xfId="44874" xr:uid="{00000000-0005-0000-0000-00002DAE0000}"/>
    <cellStyle name="Normal 4 3 2 3 8 2" xfId="44875" xr:uid="{00000000-0005-0000-0000-00002EAE0000}"/>
    <cellStyle name="Normal 4 3 2 3 8 2 2" xfId="44876" xr:uid="{00000000-0005-0000-0000-00002FAE0000}"/>
    <cellStyle name="Normal 4 3 2 3 8 2 3" xfId="44877" xr:uid="{00000000-0005-0000-0000-000030AE0000}"/>
    <cellStyle name="Normal 4 3 2 3 8 3" xfId="44878" xr:uid="{00000000-0005-0000-0000-000031AE0000}"/>
    <cellStyle name="Normal 4 3 2 3 8 4" xfId="44879" xr:uid="{00000000-0005-0000-0000-000032AE0000}"/>
    <cellStyle name="Normal 4 3 2 3 8 5" xfId="44880" xr:uid="{00000000-0005-0000-0000-000033AE0000}"/>
    <cellStyle name="Normal 4 3 2 3 8 6" xfId="44881" xr:uid="{00000000-0005-0000-0000-000034AE0000}"/>
    <cellStyle name="Normal 4 3 2 3 9" xfId="44882" xr:uid="{00000000-0005-0000-0000-000035AE0000}"/>
    <cellStyle name="Normal 4 3 2 3 9 2" xfId="44883" xr:uid="{00000000-0005-0000-0000-000036AE0000}"/>
    <cellStyle name="Normal 4 3 2 3 9 3" xfId="44884" xr:uid="{00000000-0005-0000-0000-000037AE0000}"/>
    <cellStyle name="Normal 4 3 2 4" xfId="44885" xr:uid="{00000000-0005-0000-0000-000038AE0000}"/>
    <cellStyle name="Normal 4 3 2 4 10" xfId="44886" xr:uid="{00000000-0005-0000-0000-000039AE0000}"/>
    <cellStyle name="Normal 4 3 2 4 2" xfId="44887" xr:uid="{00000000-0005-0000-0000-00003AAE0000}"/>
    <cellStyle name="Normal 4 3 2 4 2 2" xfId="44888" xr:uid="{00000000-0005-0000-0000-00003BAE0000}"/>
    <cellStyle name="Normal 4 3 2 4 2 2 2" xfId="44889" xr:uid="{00000000-0005-0000-0000-00003CAE0000}"/>
    <cellStyle name="Normal 4 3 2 4 2 2 2 2" xfId="44890" xr:uid="{00000000-0005-0000-0000-00003DAE0000}"/>
    <cellStyle name="Normal 4 3 2 4 2 2 2 3" xfId="44891" xr:uid="{00000000-0005-0000-0000-00003EAE0000}"/>
    <cellStyle name="Normal 4 3 2 4 2 2 3" xfId="44892" xr:uid="{00000000-0005-0000-0000-00003FAE0000}"/>
    <cellStyle name="Normal 4 3 2 4 2 2 4" xfId="44893" xr:uid="{00000000-0005-0000-0000-000040AE0000}"/>
    <cellStyle name="Normal 4 3 2 4 2 2 5" xfId="44894" xr:uid="{00000000-0005-0000-0000-000041AE0000}"/>
    <cellStyle name="Normal 4 3 2 4 2 2 6" xfId="44895" xr:uid="{00000000-0005-0000-0000-000042AE0000}"/>
    <cellStyle name="Normal 4 3 2 4 2 3" xfId="44896" xr:uid="{00000000-0005-0000-0000-000043AE0000}"/>
    <cellStyle name="Normal 4 3 2 4 2 3 2" xfId="44897" xr:uid="{00000000-0005-0000-0000-000044AE0000}"/>
    <cellStyle name="Normal 4 3 2 4 2 3 2 2" xfId="44898" xr:uid="{00000000-0005-0000-0000-000045AE0000}"/>
    <cellStyle name="Normal 4 3 2 4 2 3 2 3" xfId="44899" xr:uid="{00000000-0005-0000-0000-000046AE0000}"/>
    <cellStyle name="Normal 4 3 2 4 2 3 3" xfId="44900" xr:uid="{00000000-0005-0000-0000-000047AE0000}"/>
    <cellStyle name="Normal 4 3 2 4 2 3 4" xfId="44901" xr:uid="{00000000-0005-0000-0000-000048AE0000}"/>
    <cellStyle name="Normal 4 3 2 4 2 3 5" xfId="44902" xr:uid="{00000000-0005-0000-0000-000049AE0000}"/>
    <cellStyle name="Normal 4 3 2 4 2 3 6" xfId="44903" xr:uid="{00000000-0005-0000-0000-00004AAE0000}"/>
    <cellStyle name="Normal 4 3 2 4 2 4" xfId="44904" xr:uid="{00000000-0005-0000-0000-00004BAE0000}"/>
    <cellStyle name="Normal 4 3 2 4 2 4 2" xfId="44905" xr:uid="{00000000-0005-0000-0000-00004CAE0000}"/>
    <cellStyle name="Normal 4 3 2 4 2 4 3" xfId="44906" xr:uid="{00000000-0005-0000-0000-00004DAE0000}"/>
    <cellStyle name="Normal 4 3 2 4 2 5" xfId="44907" xr:uid="{00000000-0005-0000-0000-00004EAE0000}"/>
    <cellStyle name="Normal 4 3 2 4 2 6" xfId="44908" xr:uid="{00000000-0005-0000-0000-00004FAE0000}"/>
    <cellStyle name="Normal 4 3 2 4 2 7" xfId="44909" xr:uid="{00000000-0005-0000-0000-000050AE0000}"/>
    <cellStyle name="Normal 4 3 2 4 2 8" xfId="44910" xr:uid="{00000000-0005-0000-0000-000051AE0000}"/>
    <cellStyle name="Normal 4 3 2 4 3" xfId="44911" xr:uid="{00000000-0005-0000-0000-000052AE0000}"/>
    <cellStyle name="Normal 4 3 2 4 3 2" xfId="44912" xr:uid="{00000000-0005-0000-0000-000053AE0000}"/>
    <cellStyle name="Normal 4 3 2 4 3 2 2" xfId="44913" xr:uid="{00000000-0005-0000-0000-000054AE0000}"/>
    <cellStyle name="Normal 4 3 2 4 3 2 2 2" xfId="44914" xr:uid="{00000000-0005-0000-0000-000055AE0000}"/>
    <cellStyle name="Normal 4 3 2 4 3 2 2 3" xfId="44915" xr:uid="{00000000-0005-0000-0000-000056AE0000}"/>
    <cellStyle name="Normal 4 3 2 4 3 2 3" xfId="44916" xr:uid="{00000000-0005-0000-0000-000057AE0000}"/>
    <cellStyle name="Normal 4 3 2 4 3 2 4" xfId="44917" xr:uid="{00000000-0005-0000-0000-000058AE0000}"/>
    <cellStyle name="Normal 4 3 2 4 3 2 5" xfId="44918" xr:uid="{00000000-0005-0000-0000-000059AE0000}"/>
    <cellStyle name="Normal 4 3 2 4 3 2 6" xfId="44919" xr:uid="{00000000-0005-0000-0000-00005AAE0000}"/>
    <cellStyle name="Normal 4 3 2 4 3 3" xfId="44920" xr:uid="{00000000-0005-0000-0000-00005BAE0000}"/>
    <cellStyle name="Normal 4 3 2 4 3 3 2" xfId="44921" xr:uid="{00000000-0005-0000-0000-00005CAE0000}"/>
    <cellStyle name="Normal 4 3 2 4 3 3 3" xfId="44922" xr:uid="{00000000-0005-0000-0000-00005DAE0000}"/>
    <cellStyle name="Normal 4 3 2 4 3 4" xfId="44923" xr:uid="{00000000-0005-0000-0000-00005EAE0000}"/>
    <cellStyle name="Normal 4 3 2 4 3 5" xfId="44924" xr:uid="{00000000-0005-0000-0000-00005FAE0000}"/>
    <cellStyle name="Normal 4 3 2 4 3 6" xfId="44925" xr:uid="{00000000-0005-0000-0000-000060AE0000}"/>
    <cellStyle name="Normal 4 3 2 4 3 7" xfId="44926" xr:uid="{00000000-0005-0000-0000-000061AE0000}"/>
    <cellStyle name="Normal 4 3 2 4 4" xfId="44927" xr:uid="{00000000-0005-0000-0000-000062AE0000}"/>
    <cellStyle name="Normal 4 3 2 4 4 2" xfId="44928" xr:uid="{00000000-0005-0000-0000-000063AE0000}"/>
    <cellStyle name="Normal 4 3 2 4 4 2 2" xfId="44929" xr:uid="{00000000-0005-0000-0000-000064AE0000}"/>
    <cellStyle name="Normal 4 3 2 4 4 2 3" xfId="44930" xr:uid="{00000000-0005-0000-0000-000065AE0000}"/>
    <cellStyle name="Normal 4 3 2 4 4 3" xfId="44931" xr:uid="{00000000-0005-0000-0000-000066AE0000}"/>
    <cellStyle name="Normal 4 3 2 4 4 4" xfId="44932" xr:uid="{00000000-0005-0000-0000-000067AE0000}"/>
    <cellStyle name="Normal 4 3 2 4 4 5" xfId="44933" xr:uid="{00000000-0005-0000-0000-000068AE0000}"/>
    <cellStyle name="Normal 4 3 2 4 4 6" xfId="44934" xr:uid="{00000000-0005-0000-0000-000069AE0000}"/>
    <cellStyle name="Normal 4 3 2 4 5" xfId="44935" xr:uid="{00000000-0005-0000-0000-00006AAE0000}"/>
    <cellStyle name="Normal 4 3 2 4 5 2" xfId="44936" xr:uid="{00000000-0005-0000-0000-00006BAE0000}"/>
    <cellStyle name="Normal 4 3 2 4 5 2 2" xfId="44937" xr:uid="{00000000-0005-0000-0000-00006CAE0000}"/>
    <cellStyle name="Normal 4 3 2 4 5 2 3" xfId="44938" xr:uid="{00000000-0005-0000-0000-00006DAE0000}"/>
    <cellStyle name="Normal 4 3 2 4 5 3" xfId="44939" xr:uid="{00000000-0005-0000-0000-00006EAE0000}"/>
    <cellStyle name="Normal 4 3 2 4 5 4" xfId="44940" xr:uid="{00000000-0005-0000-0000-00006FAE0000}"/>
    <cellStyle name="Normal 4 3 2 4 5 5" xfId="44941" xr:uid="{00000000-0005-0000-0000-000070AE0000}"/>
    <cellStyle name="Normal 4 3 2 4 5 6" xfId="44942" xr:uid="{00000000-0005-0000-0000-000071AE0000}"/>
    <cellStyle name="Normal 4 3 2 4 6" xfId="44943" xr:uid="{00000000-0005-0000-0000-000072AE0000}"/>
    <cellStyle name="Normal 4 3 2 4 6 2" xfId="44944" xr:uid="{00000000-0005-0000-0000-000073AE0000}"/>
    <cellStyle name="Normal 4 3 2 4 6 3" xfId="44945" xr:uid="{00000000-0005-0000-0000-000074AE0000}"/>
    <cellStyle name="Normal 4 3 2 4 7" xfId="44946" xr:uid="{00000000-0005-0000-0000-000075AE0000}"/>
    <cellStyle name="Normal 4 3 2 4 8" xfId="44947" xr:uid="{00000000-0005-0000-0000-000076AE0000}"/>
    <cellStyle name="Normal 4 3 2 4 9" xfId="44948" xr:uid="{00000000-0005-0000-0000-000077AE0000}"/>
    <cellStyle name="Normal 4 3 2 5" xfId="44949" xr:uid="{00000000-0005-0000-0000-000078AE0000}"/>
    <cellStyle name="Normal 4 3 2 5 2" xfId="44950" xr:uid="{00000000-0005-0000-0000-000079AE0000}"/>
    <cellStyle name="Normal 4 3 2 5 2 2" xfId="44951" xr:uid="{00000000-0005-0000-0000-00007AAE0000}"/>
    <cellStyle name="Normal 4 3 2 5 2 2 2" xfId="44952" xr:uid="{00000000-0005-0000-0000-00007BAE0000}"/>
    <cellStyle name="Normal 4 3 2 5 2 2 2 2" xfId="44953" xr:uid="{00000000-0005-0000-0000-00007CAE0000}"/>
    <cellStyle name="Normal 4 3 2 5 2 2 2 3" xfId="44954" xr:uid="{00000000-0005-0000-0000-00007DAE0000}"/>
    <cellStyle name="Normal 4 3 2 5 2 2 3" xfId="44955" xr:uid="{00000000-0005-0000-0000-00007EAE0000}"/>
    <cellStyle name="Normal 4 3 2 5 2 2 4" xfId="44956" xr:uid="{00000000-0005-0000-0000-00007FAE0000}"/>
    <cellStyle name="Normal 4 3 2 5 2 2 5" xfId="44957" xr:uid="{00000000-0005-0000-0000-000080AE0000}"/>
    <cellStyle name="Normal 4 3 2 5 2 2 6" xfId="44958" xr:uid="{00000000-0005-0000-0000-000081AE0000}"/>
    <cellStyle name="Normal 4 3 2 5 2 3" xfId="44959" xr:uid="{00000000-0005-0000-0000-000082AE0000}"/>
    <cellStyle name="Normal 4 3 2 5 2 3 2" xfId="44960" xr:uid="{00000000-0005-0000-0000-000083AE0000}"/>
    <cellStyle name="Normal 4 3 2 5 2 3 3" xfId="44961" xr:uid="{00000000-0005-0000-0000-000084AE0000}"/>
    <cellStyle name="Normal 4 3 2 5 2 4" xfId="44962" xr:uid="{00000000-0005-0000-0000-000085AE0000}"/>
    <cellStyle name="Normal 4 3 2 5 2 5" xfId="44963" xr:uid="{00000000-0005-0000-0000-000086AE0000}"/>
    <cellStyle name="Normal 4 3 2 5 2 6" xfId="44964" xr:uid="{00000000-0005-0000-0000-000087AE0000}"/>
    <cellStyle name="Normal 4 3 2 5 2 7" xfId="44965" xr:uid="{00000000-0005-0000-0000-000088AE0000}"/>
    <cellStyle name="Normal 4 3 2 5 3" xfId="44966" xr:uid="{00000000-0005-0000-0000-000089AE0000}"/>
    <cellStyle name="Normal 4 3 2 5 3 2" xfId="44967" xr:uid="{00000000-0005-0000-0000-00008AAE0000}"/>
    <cellStyle name="Normal 4 3 2 5 3 2 2" xfId="44968" xr:uid="{00000000-0005-0000-0000-00008BAE0000}"/>
    <cellStyle name="Normal 4 3 2 5 3 2 3" xfId="44969" xr:uid="{00000000-0005-0000-0000-00008CAE0000}"/>
    <cellStyle name="Normal 4 3 2 5 3 3" xfId="44970" xr:uid="{00000000-0005-0000-0000-00008DAE0000}"/>
    <cellStyle name="Normal 4 3 2 5 3 4" xfId="44971" xr:uid="{00000000-0005-0000-0000-00008EAE0000}"/>
    <cellStyle name="Normal 4 3 2 5 3 5" xfId="44972" xr:uid="{00000000-0005-0000-0000-00008FAE0000}"/>
    <cellStyle name="Normal 4 3 2 5 3 6" xfId="44973" xr:uid="{00000000-0005-0000-0000-000090AE0000}"/>
    <cellStyle name="Normal 4 3 2 5 4" xfId="44974" xr:uid="{00000000-0005-0000-0000-000091AE0000}"/>
    <cellStyle name="Normal 4 3 2 5 4 2" xfId="44975" xr:uid="{00000000-0005-0000-0000-000092AE0000}"/>
    <cellStyle name="Normal 4 3 2 5 4 2 2" xfId="44976" xr:uid="{00000000-0005-0000-0000-000093AE0000}"/>
    <cellStyle name="Normal 4 3 2 5 4 2 3" xfId="44977" xr:uid="{00000000-0005-0000-0000-000094AE0000}"/>
    <cellStyle name="Normal 4 3 2 5 4 3" xfId="44978" xr:uid="{00000000-0005-0000-0000-000095AE0000}"/>
    <cellStyle name="Normal 4 3 2 5 4 4" xfId="44979" xr:uid="{00000000-0005-0000-0000-000096AE0000}"/>
    <cellStyle name="Normal 4 3 2 5 4 5" xfId="44980" xr:uid="{00000000-0005-0000-0000-000097AE0000}"/>
    <cellStyle name="Normal 4 3 2 5 4 6" xfId="44981" xr:uid="{00000000-0005-0000-0000-000098AE0000}"/>
    <cellStyle name="Normal 4 3 2 5 5" xfId="44982" xr:uid="{00000000-0005-0000-0000-000099AE0000}"/>
    <cellStyle name="Normal 4 3 2 5 5 2" xfId="44983" xr:uid="{00000000-0005-0000-0000-00009AAE0000}"/>
    <cellStyle name="Normal 4 3 2 5 5 3" xfId="44984" xr:uid="{00000000-0005-0000-0000-00009BAE0000}"/>
    <cellStyle name="Normal 4 3 2 5 6" xfId="44985" xr:uid="{00000000-0005-0000-0000-00009CAE0000}"/>
    <cellStyle name="Normal 4 3 2 5 7" xfId="44986" xr:uid="{00000000-0005-0000-0000-00009DAE0000}"/>
    <cellStyle name="Normal 4 3 2 5 8" xfId="44987" xr:uid="{00000000-0005-0000-0000-00009EAE0000}"/>
    <cellStyle name="Normal 4 3 2 5 9" xfId="44988" xr:uid="{00000000-0005-0000-0000-00009FAE0000}"/>
    <cellStyle name="Normal 4 3 2 6" xfId="44989" xr:uid="{00000000-0005-0000-0000-0000A0AE0000}"/>
    <cellStyle name="Normal 4 3 2 6 2" xfId="44990" xr:uid="{00000000-0005-0000-0000-0000A1AE0000}"/>
    <cellStyle name="Normal 4 3 2 6 2 2" xfId="44991" xr:uid="{00000000-0005-0000-0000-0000A2AE0000}"/>
    <cellStyle name="Normal 4 3 2 6 2 2 2" xfId="44992" xr:uid="{00000000-0005-0000-0000-0000A3AE0000}"/>
    <cellStyle name="Normal 4 3 2 6 2 2 3" xfId="44993" xr:uid="{00000000-0005-0000-0000-0000A4AE0000}"/>
    <cellStyle name="Normal 4 3 2 6 2 3" xfId="44994" xr:uid="{00000000-0005-0000-0000-0000A5AE0000}"/>
    <cellStyle name="Normal 4 3 2 6 2 4" xfId="44995" xr:uid="{00000000-0005-0000-0000-0000A6AE0000}"/>
    <cellStyle name="Normal 4 3 2 6 2 5" xfId="44996" xr:uid="{00000000-0005-0000-0000-0000A7AE0000}"/>
    <cellStyle name="Normal 4 3 2 6 2 6" xfId="44997" xr:uid="{00000000-0005-0000-0000-0000A8AE0000}"/>
    <cellStyle name="Normal 4 3 2 6 3" xfId="44998" xr:uid="{00000000-0005-0000-0000-0000A9AE0000}"/>
    <cellStyle name="Normal 4 3 2 6 3 2" xfId="44999" xr:uid="{00000000-0005-0000-0000-0000AAAE0000}"/>
    <cellStyle name="Normal 4 3 2 6 3 3" xfId="45000" xr:uid="{00000000-0005-0000-0000-0000ABAE0000}"/>
    <cellStyle name="Normal 4 3 2 6 4" xfId="45001" xr:uid="{00000000-0005-0000-0000-0000ACAE0000}"/>
    <cellStyle name="Normal 4 3 2 6 5" xfId="45002" xr:uid="{00000000-0005-0000-0000-0000ADAE0000}"/>
    <cellStyle name="Normal 4 3 2 6 6" xfId="45003" xr:uid="{00000000-0005-0000-0000-0000AEAE0000}"/>
    <cellStyle name="Normal 4 3 2 6 7" xfId="45004" xr:uid="{00000000-0005-0000-0000-0000AFAE0000}"/>
    <cellStyle name="Normal 4 3 2 7" xfId="45005" xr:uid="{00000000-0005-0000-0000-0000B0AE0000}"/>
    <cellStyle name="Normal 4 3 2 7 2" xfId="45006" xr:uid="{00000000-0005-0000-0000-0000B1AE0000}"/>
    <cellStyle name="Normal 4 3 2 7 2 2" xfId="45007" xr:uid="{00000000-0005-0000-0000-0000B2AE0000}"/>
    <cellStyle name="Normal 4 3 2 7 2 3" xfId="45008" xr:uid="{00000000-0005-0000-0000-0000B3AE0000}"/>
    <cellStyle name="Normal 4 3 2 7 3" xfId="45009" xr:uid="{00000000-0005-0000-0000-0000B4AE0000}"/>
    <cellStyle name="Normal 4 3 2 7 4" xfId="45010" xr:uid="{00000000-0005-0000-0000-0000B5AE0000}"/>
    <cellStyle name="Normal 4 3 2 7 5" xfId="45011" xr:uid="{00000000-0005-0000-0000-0000B6AE0000}"/>
    <cellStyle name="Normal 4 3 2 7 6" xfId="45012" xr:uid="{00000000-0005-0000-0000-0000B7AE0000}"/>
    <cellStyle name="Normal 4 3 2 8" xfId="45013" xr:uid="{00000000-0005-0000-0000-0000B8AE0000}"/>
    <cellStyle name="Normal 4 3 2 8 2" xfId="45014" xr:uid="{00000000-0005-0000-0000-0000B9AE0000}"/>
    <cellStyle name="Normal 4 3 2 8 2 2" xfId="45015" xr:uid="{00000000-0005-0000-0000-0000BAAE0000}"/>
    <cellStyle name="Normal 4 3 2 8 2 3" xfId="45016" xr:uid="{00000000-0005-0000-0000-0000BBAE0000}"/>
    <cellStyle name="Normal 4 3 2 8 3" xfId="45017" xr:uid="{00000000-0005-0000-0000-0000BCAE0000}"/>
    <cellStyle name="Normal 4 3 2 8 4" xfId="45018" xr:uid="{00000000-0005-0000-0000-0000BDAE0000}"/>
    <cellStyle name="Normal 4 3 2 8 5" xfId="45019" xr:uid="{00000000-0005-0000-0000-0000BEAE0000}"/>
    <cellStyle name="Normal 4 3 2 8 6" xfId="45020" xr:uid="{00000000-0005-0000-0000-0000BFAE0000}"/>
    <cellStyle name="Normal 4 3 2 9" xfId="45021" xr:uid="{00000000-0005-0000-0000-0000C0AE0000}"/>
    <cellStyle name="Normal 4 3 2 9 2" xfId="45022" xr:uid="{00000000-0005-0000-0000-0000C1AE0000}"/>
    <cellStyle name="Normal 4 3 2 9 2 2" xfId="45023" xr:uid="{00000000-0005-0000-0000-0000C2AE0000}"/>
    <cellStyle name="Normal 4 3 2 9 2 3" xfId="45024" xr:uid="{00000000-0005-0000-0000-0000C3AE0000}"/>
    <cellStyle name="Normal 4 3 2 9 3" xfId="45025" xr:uid="{00000000-0005-0000-0000-0000C4AE0000}"/>
    <cellStyle name="Normal 4 3 2 9 4" xfId="45026" xr:uid="{00000000-0005-0000-0000-0000C5AE0000}"/>
    <cellStyle name="Normal 4 3 2 9 5" xfId="45027" xr:uid="{00000000-0005-0000-0000-0000C6AE0000}"/>
    <cellStyle name="Normal 4 3 2 9 6" xfId="45028" xr:uid="{00000000-0005-0000-0000-0000C7AE0000}"/>
    <cellStyle name="Normal 4 3 3" xfId="45029" xr:uid="{00000000-0005-0000-0000-0000C8AE0000}"/>
    <cellStyle name="Normal 4 3 4" xfId="45030" xr:uid="{00000000-0005-0000-0000-0000C9AE0000}"/>
    <cellStyle name="Normal 4 3 4 10" xfId="45031" xr:uid="{00000000-0005-0000-0000-0000CAAE0000}"/>
    <cellStyle name="Normal 4 3 4 10 2" xfId="45032" xr:uid="{00000000-0005-0000-0000-0000CBAE0000}"/>
    <cellStyle name="Normal 4 3 4 10 3" xfId="45033" xr:uid="{00000000-0005-0000-0000-0000CCAE0000}"/>
    <cellStyle name="Normal 4 3 4 11" xfId="45034" xr:uid="{00000000-0005-0000-0000-0000CDAE0000}"/>
    <cellStyle name="Normal 4 3 4 12" xfId="45035" xr:uid="{00000000-0005-0000-0000-0000CEAE0000}"/>
    <cellStyle name="Normal 4 3 4 13" xfId="45036" xr:uid="{00000000-0005-0000-0000-0000CFAE0000}"/>
    <cellStyle name="Normal 4 3 4 14" xfId="45037" xr:uid="{00000000-0005-0000-0000-0000D0AE0000}"/>
    <cellStyle name="Normal 4 3 4 2" xfId="45038" xr:uid="{00000000-0005-0000-0000-0000D1AE0000}"/>
    <cellStyle name="Normal 4 3 4 2 10" xfId="45039" xr:uid="{00000000-0005-0000-0000-0000D2AE0000}"/>
    <cellStyle name="Normal 4 3 4 2 11" xfId="45040" xr:uid="{00000000-0005-0000-0000-0000D3AE0000}"/>
    <cellStyle name="Normal 4 3 4 2 12" xfId="45041" xr:uid="{00000000-0005-0000-0000-0000D4AE0000}"/>
    <cellStyle name="Normal 4 3 4 2 13" xfId="45042" xr:uid="{00000000-0005-0000-0000-0000D5AE0000}"/>
    <cellStyle name="Normal 4 3 4 2 2" xfId="45043" xr:uid="{00000000-0005-0000-0000-0000D6AE0000}"/>
    <cellStyle name="Normal 4 3 4 2 2 10" xfId="45044" xr:uid="{00000000-0005-0000-0000-0000D7AE0000}"/>
    <cellStyle name="Normal 4 3 4 2 2 2" xfId="45045" xr:uid="{00000000-0005-0000-0000-0000D8AE0000}"/>
    <cellStyle name="Normal 4 3 4 2 2 2 2" xfId="45046" xr:uid="{00000000-0005-0000-0000-0000D9AE0000}"/>
    <cellStyle name="Normal 4 3 4 2 2 2 2 2" xfId="45047" xr:uid="{00000000-0005-0000-0000-0000DAAE0000}"/>
    <cellStyle name="Normal 4 3 4 2 2 2 2 2 2" xfId="45048" xr:uid="{00000000-0005-0000-0000-0000DBAE0000}"/>
    <cellStyle name="Normal 4 3 4 2 2 2 2 2 3" xfId="45049" xr:uid="{00000000-0005-0000-0000-0000DCAE0000}"/>
    <cellStyle name="Normal 4 3 4 2 2 2 2 3" xfId="45050" xr:uid="{00000000-0005-0000-0000-0000DDAE0000}"/>
    <cellStyle name="Normal 4 3 4 2 2 2 2 4" xfId="45051" xr:uid="{00000000-0005-0000-0000-0000DEAE0000}"/>
    <cellStyle name="Normal 4 3 4 2 2 2 2 5" xfId="45052" xr:uid="{00000000-0005-0000-0000-0000DFAE0000}"/>
    <cellStyle name="Normal 4 3 4 2 2 2 2 6" xfId="45053" xr:uid="{00000000-0005-0000-0000-0000E0AE0000}"/>
    <cellStyle name="Normal 4 3 4 2 2 2 3" xfId="45054" xr:uid="{00000000-0005-0000-0000-0000E1AE0000}"/>
    <cellStyle name="Normal 4 3 4 2 2 2 3 2" xfId="45055" xr:uid="{00000000-0005-0000-0000-0000E2AE0000}"/>
    <cellStyle name="Normal 4 3 4 2 2 2 3 2 2" xfId="45056" xr:uid="{00000000-0005-0000-0000-0000E3AE0000}"/>
    <cellStyle name="Normal 4 3 4 2 2 2 3 2 3" xfId="45057" xr:uid="{00000000-0005-0000-0000-0000E4AE0000}"/>
    <cellStyle name="Normal 4 3 4 2 2 2 3 3" xfId="45058" xr:uid="{00000000-0005-0000-0000-0000E5AE0000}"/>
    <cellStyle name="Normal 4 3 4 2 2 2 3 4" xfId="45059" xr:uid="{00000000-0005-0000-0000-0000E6AE0000}"/>
    <cellStyle name="Normal 4 3 4 2 2 2 3 5" xfId="45060" xr:uid="{00000000-0005-0000-0000-0000E7AE0000}"/>
    <cellStyle name="Normal 4 3 4 2 2 2 3 6" xfId="45061" xr:uid="{00000000-0005-0000-0000-0000E8AE0000}"/>
    <cellStyle name="Normal 4 3 4 2 2 2 4" xfId="45062" xr:uid="{00000000-0005-0000-0000-0000E9AE0000}"/>
    <cellStyle name="Normal 4 3 4 2 2 2 4 2" xfId="45063" xr:uid="{00000000-0005-0000-0000-0000EAAE0000}"/>
    <cellStyle name="Normal 4 3 4 2 2 2 4 3" xfId="45064" xr:uid="{00000000-0005-0000-0000-0000EBAE0000}"/>
    <cellStyle name="Normal 4 3 4 2 2 2 5" xfId="45065" xr:uid="{00000000-0005-0000-0000-0000ECAE0000}"/>
    <cellStyle name="Normal 4 3 4 2 2 2 6" xfId="45066" xr:uid="{00000000-0005-0000-0000-0000EDAE0000}"/>
    <cellStyle name="Normal 4 3 4 2 2 2 7" xfId="45067" xr:uid="{00000000-0005-0000-0000-0000EEAE0000}"/>
    <cellStyle name="Normal 4 3 4 2 2 2 8" xfId="45068" xr:uid="{00000000-0005-0000-0000-0000EFAE0000}"/>
    <cellStyle name="Normal 4 3 4 2 2 3" xfId="45069" xr:uid="{00000000-0005-0000-0000-0000F0AE0000}"/>
    <cellStyle name="Normal 4 3 4 2 2 3 2" xfId="45070" xr:uid="{00000000-0005-0000-0000-0000F1AE0000}"/>
    <cellStyle name="Normal 4 3 4 2 2 3 2 2" xfId="45071" xr:uid="{00000000-0005-0000-0000-0000F2AE0000}"/>
    <cellStyle name="Normal 4 3 4 2 2 3 2 2 2" xfId="45072" xr:uid="{00000000-0005-0000-0000-0000F3AE0000}"/>
    <cellStyle name="Normal 4 3 4 2 2 3 2 2 3" xfId="45073" xr:uid="{00000000-0005-0000-0000-0000F4AE0000}"/>
    <cellStyle name="Normal 4 3 4 2 2 3 2 3" xfId="45074" xr:uid="{00000000-0005-0000-0000-0000F5AE0000}"/>
    <cellStyle name="Normal 4 3 4 2 2 3 2 4" xfId="45075" xr:uid="{00000000-0005-0000-0000-0000F6AE0000}"/>
    <cellStyle name="Normal 4 3 4 2 2 3 2 5" xfId="45076" xr:uid="{00000000-0005-0000-0000-0000F7AE0000}"/>
    <cellStyle name="Normal 4 3 4 2 2 3 2 6" xfId="45077" xr:uid="{00000000-0005-0000-0000-0000F8AE0000}"/>
    <cellStyle name="Normal 4 3 4 2 2 3 3" xfId="45078" xr:uid="{00000000-0005-0000-0000-0000F9AE0000}"/>
    <cellStyle name="Normal 4 3 4 2 2 3 3 2" xfId="45079" xr:uid="{00000000-0005-0000-0000-0000FAAE0000}"/>
    <cellStyle name="Normal 4 3 4 2 2 3 3 3" xfId="45080" xr:uid="{00000000-0005-0000-0000-0000FBAE0000}"/>
    <cellStyle name="Normal 4 3 4 2 2 3 4" xfId="45081" xr:uid="{00000000-0005-0000-0000-0000FCAE0000}"/>
    <cellStyle name="Normal 4 3 4 2 2 3 5" xfId="45082" xr:uid="{00000000-0005-0000-0000-0000FDAE0000}"/>
    <cellStyle name="Normal 4 3 4 2 2 3 6" xfId="45083" xr:uid="{00000000-0005-0000-0000-0000FEAE0000}"/>
    <cellStyle name="Normal 4 3 4 2 2 3 7" xfId="45084" xr:uid="{00000000-0005-0000-0000-0000FFAE0000}"/>
    <cellStyle name="Normal 4 3 4 2 2 4" xfId="45085" xr:uid="{00000000-0005-0000-0000-000000AF0000}"/>
    <cellStyle name="Normal 4 3 4 2 2 4 2" xfId="45086" xr:uid="{00000000-0005-0000-0000-000001AF0000}"/>
    <cellStyle name="Normal 4 3 4 2 2 4 2 2" xfId="45087" xr:uid="{00000000-0005-0000-0000-000002AF0000}"/>
    <cellStyle name="Normal 4 3 4 2 2 4 2 3" xfId="45088" xr:uid="{00000000-0005-0000-0000-000003AF0000}"/>
    <cellStyle name="Normal 4 3 4 2 2 4 3" xfId="45089" xr:uid="{00000000-0005-0000-0000-000004AF0000}"/>
    <cellStyle name="Normal 4 3 4 2 2 4 4" xfId="45090" xr:uid="{00000000-0005-0000-0000-000005AF0000}"/>
    <cellStyle name="Normal 4 3 4 2 2 4 5" xfId="45091" xr:uid="{00000000-0005-0000-0000-000006AF0000}"/>
    <cellStyle name="Normal 4 3 4 2 2 4 6" xfId="45092" xr:uid="{00000000-0005-0000-0000-000007AF0000}"/>
    <cellStyle name="Normal 4 3 4 2 2 5" xfId="45093" xr:uid="{00000000-0005-0000-0000-000008AF0000}"/>
    <cellStyle name="Normal 4 3 4 2 2 5 2" xfId="45094" xr:uid="{00000000-0005-0000-0000-000009AF0000}"/>
    <cellStyle name="Normal 4 3 4 2 2 5 2 2" xfId="45095" xr:uid="{00000000-0005-0000-0000-00000AAF0000}"/>
    <cellStyle name="Normal 4 3 4 2 2 5 2 3" xfId="45096" xr:uid="{00000000-0005-0000-0000-00000BAF0000}"/>
    <cellStyle name="Normal 4 3 4 2 2 5 3" xfId="45097" xr:uid="{00000000-0005-0000-0000-00000CAF0000}"/>
    <cellStyle name="Normal 4 3 4 2 2 5 4" xfId="45098" xr:uid="{00000000-0005-0000-0000-00000DAF0000}"/>
    <cellStyle name="Normal 4 3 4 2 2 5 5" xfId="45099" xr:uid="{00000000-0005-0000-0000-00000EAF0000}"/>
    <cellStyle name="Normal 4 3 4 2 2 5 6" xfId="45100" xr:uid="{00000000-0005-0000-0000-00000FAF0000}"/>
    <cellStyle name="Normal 4 3 4 2 2 6" xfId="45101" xr:uid="{00000000-0005-0000-0000-000010AF0000}"/>
    <cellStyle name="Normal 4 3 4 2 2 6 2" xfId="45102" xr:uid="{00000000-0005-0000-0000-000011AF0000}"/>
    <cellStyle name="Normal 4 3 4 2 2 6 3" xfId="45103" xr:uid="{00000000-0005-0000-0000-000012AF0000}"/>
    <cellStyle name="Normal 4 3 4 2 2 7" xfId="45104" xr:uid="{00000000-0005-0000-0000-000013AF0000}"/>
    <cellStyle name="Normal 4 3 4 2 2 8" xfId="45105" xr:uid="{00000000-0005-0000-0000-000014AF0000}"/>
    <cellStyle name="Normal 4 3 4 2 2 9" xfId="45106" xr:uid="{00000000-0005-0000-0000-000015AF0000}"/>
    <cellStyle name="Normal 4 3 4 2 3" xfId="45107" xr:uid="{00000000-0005-0000-0000-000016AF0000}"/>
    <cellStyle name="Normal 4 3 4 2 3 2" xfId="45108" xr:uid="{00000000-0005-0000-0000-000017AF0000}"/>
    <cellStyle name="Normal 4 3 4 2 3 2 2" xfId="45109" xr:uid="{00000000-0005-0000-0000-000018AF0000}"/>
    <cellStyle name="Normal 4 3 4 2 3 2 2 2" xfId="45110" xr:uid="{00000000-0005-0000-0000-000019AF0000}"/>
    <cellStyle name="Normal 4 3 4 2 3 2 2 2 2" xfId="45111" xr:uid="{00000000-0005-0000-0000-00001AAF0000}"/>
    <cellStyle name="Normal 4 3 4 2 3 2 2 2 3" xfId="45112" xr:uid="{00000000-0005-0000-0000-00001BAF0000}"/>
    <cellStyle name="Normal 4 3 4 2 3 2 2 3" xfId="45113" xr:uid="{00000000-0005-0000-0000-00001CAF0000}"/>
    <cellStyle name="Normal 4 3 4 2 3 2 2 4" xfId="45114" xr:uid="{00000000-0005-0000-0000-00001DAF0000}"/>
    <cellStyle name="Normal 4 3 4 2 3 2 2 5" xfId="45115" xr:uid="{00000000-0005-0000-0000-00001EAF0000}"/>
    <cellStyle name="Normal 4 3 4 2 3 2 2 6" xfId="45116" xr:uid="{00000000-0005-0000-0000-00001FAF0000}"/>
    <cellStyle name="Normal 4 3 4 2 3 2 3" xfId="45117" xr:uid="{00000000-0005-0000-0000-000020AF0000}"/>
    <cellStyle name="Normal 4 3 4 2 3 2 3 2" xfId="45118" xr:uid="{00000000-0005-0000-0000-000021AF0000}"/>
    <cellStyle name="Normal 4 3 4 2 3 2 3 3" xfId="45119" xr:uid="{00000000-0005-0000-0000-000022AF0000}"/>
    <cellStyle name="Normal 4 3 4 2 3 2 4" xfId="45120" xr:uid="{00000000-0005-0000-0000-000023AF0000}"/>
    <cellStyle name="Normal 4 3 4 2 3 2 5" xfId="45121" xr:uid="{00000000-0005-0000-0000-000024AF0000}"/>
    <cellStyle name="Normal 4 3 4 2 3 2 6" xfId="45122" xr:uid="{00000000-0005-0000-0000-000025AF0000}"/>
    <cellStyle name="Normal 4 3 4 2 3 2 7" xfId="45123" xr:uid="{00000000-0005-0000-0000-000026AF0000}"/>
    <cellStyle name="Normal 4 3 4 2 3 3" xfId="45124" xr:uid="{00000000-0005-0000-0000-000027AF0000}"/>
    <cellStyle name="Normal 4 3 4 2 3 3 2" xfId="45125" xr:uid="{00000000-0005-0000-0000-000028AF0000}"/>
    <cellStyle name="Normal 4 3 4 2 3 3 2 2" xfId="45126" xr:uid="{00000000-0005-0000-0000-000029AF0000}"/>
    <cellStyle name="Normal 4 3 4 2 3 3 2 3" xfId="45127" xr:uid="{00000000-0005-0000-0000-00002AAF0000}"/>
    <cellStyle name="Normal 4 3 4 2 3 3 3" xfId="45128" xr:uid="{00000000-0005-0000-0000-00002BAF0000}"/>
    <cellStyle name="Normal 4 3 4 2 3 3 4" xfId="45129" xr:uid="{00000000-0005-0000-0000-00002CAF0000}"/>
    <cellStyle name="Normal 4 3 4 2 3 3 5" xfId="45130" xr:uid="{00000000-0005-0000-0000-00002DAF0000}"/>
    <cellStyle name="Normal 4 3 4 2 3 3 6" xfId="45131" xr:uid="{00000000-0005-0000-0000-00002EAF0000}"/>
    <cellStyle name="Normal 4 3 4 2 3 4" xfId="45132" xr:uid="{00000000-0005-0000-0000-00002FAF0000}"/>
    <cellStyle name="Normal 4 3 4 2 3 4 2" xfId="45133" xr:uid="{00000000-0005-0000-0000-000030AF0000}"/>
    <cellStyle name="Normal 4 3 4 2 3 4 2 2" xfId="45134" xr:uid="{00000000-0005-0000-0000-000031AF0000}"/>
    <cellStyle name="Normal 4 3 4 2 3 4 2 3" xfId="45135" xr:uid="{00000000-0005-0000-0000-000032AF0000}"/>
    <cellStyle name="Normal 4 3 4 2 3 4 3" xfId="45136" xr:uid="{00000000-0005-0000-0000-000033AF0000}"/>
    <cellStyle name="Normal 4 3 4 2 3 4 4" xfId="45137" xr:uid="{00000000-0005-0000-0000-000034AF0000}"/>
    <cellStyle name="Normal 4 3 4 2 3 4 5" xfId="45138" xr:uid="{00000000-0005-0000-0000-000035AF0000}"/>
    <cellStyle name="Normal 4 3 4 2 3 4 6" xfId="45139" xr:uid="{00000000-0005-0000-0000-000036AF0000}"/>
    <cellStyle name="Normal 4 3 4 2 3 5" xfId="45140" xr:uid="{00000000-0005-0000-0000-000037AF0000}"/>
    <cellStyle name="Normal 4 3 4 2 3 5 2" xfId="45141" xr:uid="{00000000-0005-0000-0000-000038AF0000}"/>
    <cellStyle name="Normal 4 3 4 2 3 5 3" xfId="45142" xr:uid="{00000000-0005-0000-0000-000039AF0000}"/>
    <cellStyle name="Normal 4 3 4 2 3 6" xfId="45143" xr:uid="{00000000-0005-0000-0000-00003AAF0000}"/>
    <cellStyle name="Normal 4 3 4 2 3 7" xfId="45144" xr:uid="{00000000-0005-0000-0000-00003BAF0000}"/>
    <cellStyle name="Normal 4 3 4 2 3 8" xfId="45145" xr:uid="{00000000-0005-0000-0000-00003CAF0000}"/>
    <cellStyle name="Normal 4 3 4 2 3 9" xfId="45146" xr:uid="{00000000-0005-0000-0000-00003DAF0000}"/>
    <cellStyle name="Normal 4 3 4 2 4" xfId="45147" xr:uid="{00000000-0005-0000-0000-00003EAF0000}"/>
    <cellStyle name="Normal 4 3 4 2 4 2" xfId="45148" xr:uid="{00000000-0005-0000-0000-00003FAF0000}"/>
    <cellStyle name="Normal 4 3 4 2 4 2 2" xfId="45149" xr:uid="{00000000-0005-0000-0000-000040AF0000}"/>
    <cellStyle name="Normal 4 3 4 2 4 2 2 2" xfId="45150" xr:uid="{00000000-0005-0000-0000-000041AF0000}"/>
    <cellStyle name="Normal 4 3 4 2 4 2 2 3" xfId="45151" xr:uid="{00000000-0005-0000-0000-000042AF0000}"/>
    <cellStyle name="Normal 4 3 4 2 4 2 3" xfId="45152" xr:uid="{00000000-0005-0000-0000-000043AF0000}"/>
    <cellStyle name="Normal 4 3 4 2 4 2 4" xfId="45153" xr:uid="{00000000-0005-0000-0000-000044AF0000}"/>
    <cellStyle name="Normal 4 3 4 2 4 2 5" xfId="45154" xr:uid="{00000000-0005-0000-0000-000045AF0000}"/>
    <cellStyle name="Normal 4 3 4 2 4 2 6" xfId="45155" xr:uid="{00000000-0005-0000-0000-000046AF0000}"/>
    <cellStyle name="Normal 4 3 4 2 4 3" xfId="45156" xr:uid="{00000000-0005-0000-0000-000047AF0000}"/>
    <cellStyle name="Normal 4 3 4 2 4 3 2" xfId="45157" xr:uid="{00000000-0005-0000-0000-000048AF0000}"/>
    <cellStyle name="Normal 4 3 4 2 4 3 3" xfId="45158" xr:uid="{00000000-0005-0000-0000-000049AF0000}"/>
    <cellStyle name="Normal 4 3 4 2 4 4" xfId="45159" xr:uid="{00000000-0005-0000-0000-00004AAF0000}"/>
    <cellStyle name="Normal 4 3 4 2 4 5" xfId="45160" xr:uid="{00000000-0005-0000-0000-00004BAF0000}"/>
    <cellStyle name="Normal 4 3 4 2 4 6" xfId="45161" xr:uid="{00000000-0005-0000-0000-00004CAF0000}"/>
    <cellStyle name="Normal 4 3 4 2 4 7" xfId="45162" xr:uid="{00000000-0005-0000-0000-00004DAF0000}"/>
    <cellStyle name="Normal 4 3 4 2 5" xfId="45163" xr:uid="{00000000-0005-0000-0000-00004EAF0000}"/>
    <cellStyle name="Normal 4 3 4 2 5 2" xfId="45164" xr:uid="{00000000-0005-0000-0000-00004FAF0000}"/>
    <cellStyle name="Normal 4 3 4 2 5 2 2" xfId="45165" xr:uid="{00000000-0005-0000-0000-000050AF0000}"/>
    <cellStyle name="Normal 4 3 4 2 5 2 3" xfId="45166" xr:uid="{00000000-0005-0000-0000-000051AF0000}"/>
    <cellStyle name="Normal 4 3 4 2 5 3" xfId="45167" xr:uid="{00000000-0005-0000-0000-000052AF0000}"/>
    <cellStyle name="Normal 4 3 4 2 5 4" xfId="45168" xr:uid="{00000000-0005-0000-0000-000053AF0000}"/>
    <cellStyle name="Normal 4 3 4 2 5 5" xfId="45169" xr:uid="{00000000-0005-0000-0000-000054AF0000}"/>
    <cellStyle name="Normal 4 3 4 2 5 6" xfId="45170" xr:uid="{00000000-0005-0000-0000-000055AF0000}"/>
    <cellStyle name="Normal 4 3 4 2 6" xfId="45171" xr:uid="{00000000-0005-0000-0000-000056AF0000}"/>
    <cellStyle name="Normal 4 3 4 2 6 2" xfId="45172" xr:uid="{00000000-0005-0000-0000-000057AF0000}"/>
    <cellStyle name="Normal 4 3 4 2 6 2 2" xfId="45173" xr:uid="{00000000-0005-0000-0000-000058AF0000}"/>
    <cellStyle name="Normal 4 3 4 2 6 2 3" xfId="45174" xr:uid="{00000000-0005-0000-0000-000059AF0000}"/>
    <cellStyle name="Normal 4 3 4 2 6 3" xfId="45175" xr:uid="{00000000-0005-0000-0000-00005AAF0000}"/>
    <cellStyle name="Normal 4 3 4 2 6 4" xfId="45176" xr:uid="{00000000-0005-0000-0000-00005BAF0000}"/>
    <cellStyle name="Normal 4 3 4 2 6 5" xfId="45177" xr:uid="{00000000-0005-0000-0000-00005CAF0000}"/>
    <cellStyle name="Normal 4 3 4 2 6 6" xfId="45178" xr:uid="{00000000-0005-0000-0000-00005DAF0000}"/>
    <cellStyle name="Normal 4 3 4 2 7" xfId="45179" xr:uid="{00000000-0005-0000-0000-00005EAF0000}"/>
    <cellStyle name="Normal 4 3 4 2 7 2" xfId="45180" xr:uid="{00000000-0005-0000-0000-00005FAF0000}"/>
    <cellStyle name="Normal 4 3 4 2 7 2 2" xfId="45181" xr:uid="{00000000-0005-0000-0000-000060AF0000}"/>
    <cellStyle name="Normal 4 3 4 2 7 2 3" xfId="45182" xr:uid="{00000000-0005-0000-0000-000061AF0000}"/>
    <cellStyle name="Normal 4 3 4 2 7 3" xfId="45183" xr:uid="{00000000-0005-0000-0000-000062AF0000}"/>
    <cellStyle name="Normal 4 3 4 2 7 4" xfId="45184" xr:uid="{00000000-0005-0000-0000-000063AF0000}"/>
    <cellStyle name="Normal 4 3 4 2 7 5" xfId="45185" xr:uid="{00000000-0005-0000-0000-000064AF0000}"/>
    <cellStyle name="Normal 4 3 4 2 7 6" xfId="45186" xr:uid="{00000000-0005-0000-0000-000065AF0000}"/>
    <cellStyle name="Normal 4 3 4 2 8" xfId="45187" xr:uid="{00000000-0005-0000-0000-000066AF0000}"/>
    <cellStyle name="Normal 4 3 4 2 8 2" xfId="45188" xr:uid="{00000000-0005-0000-0000-000067AF0000}"/>
    <cellStyle name="Normal 4 3 4 2 8 2 2" xfId="45189" xr:uid="{00000000-0005-0000-0000-000068AF0000}"/>
    <cellStyle name="Normal 4 3 4 2 8 2 3" xfId="45190" xr:uid="{00000000-0005-0000-0000-000069AF0000}"/>
    <cellStyle name="Normal 4 3 4 2 8 3" xfId="45191" xr:uid="{00000000-0005-0000-0000-00006AAF0000}"/>
    <cellStyle name="Normal 4 3 4 2 8 4" xfId="45192" xr:uid="{00000000-0005-0000-0000-00006BAF0000}"/>
    <cellStyle name="Normal 4 3 4 2 8 5" xfId="45193" xr:uid="{00000000-0005-0000-0000-00006CAF0000}"/>
    <cellStyle name="Normal 4 3 4 2 8 6" xfId="45194" xr:uid="{00000000-0005-0000-0000-00006DAF0000}"/>
    <cellStyle name="Normal 4 3 4 2 9" xfId="45195" xr:uid="{00000000-0005-0000-0000-00006EAF0000}"/>
    <cellStyle name="Normal 4 3 4 2 9 2" xfId="45196" xr:uid="{00000000-0005-0000-0000-00006FAF0000}"/>
    <cellStyle name="Normal 4 3 4 2 9 3" xfId="45197" xr:uid="{00000000-0005-0000-0000-000070AF0000}"/>
    <cellStyle name="Normal 4 3 4 3" xfId="45198" xr:uid="{00000000-0005-0000-0000-000071AF0000}"/>
    <cellStyle name="Normal 4 3 4 3 10" xfId="45199" xr:uid="{00000000-0005-0000-0000-000072AF0000}"/>
    <cellStyle name="Normal 4 3 4 3 2" xfId="45200" xr:uid="{00000000-0005-0000-0000-000073AF0000}"/>
    <cellStyle name="Normal 4 3 4 3 2 2" xfId="45201" xr:uid="{00000000-0005-0000-0000-000074AF0000}"/>
    <cellStyle name="Normal 4 3 4 3 2 2 2" xfId="45202" xr:uid="{00000000-0005-0000-0000-000075AF0000}"/>
    <cellStyle name="Normal 4 3 4 3 2 2 2 2" xfId="45203" xr:uid="{00000000-0005-0000-0000-000076AF0000}"/>
    <cellStyle name="Normal 4 3 4 3 2 2 2 3" xfId="45204" xr:uid="{00000000-0005-0000-0000-000077AF0000}"/>
    <cellStyle name="Normal 4 3 4 3 2 2 3" xfId="45205" xr:uid="{00000000-0005-0000-0000-000078AF0000}"/>
    <cellStyle name="Normal 4 3 4 3 2 2 4" xfId="45206" xr:uid="{00000000-0005-0000-0000-000079AF0000}"/>
    <cellStyle name="Normal 4 3 4 3 2 2 5" xfId="45207" xr:uid="{00000000-0005-0000-0000-00007AAF0000}"/>
    <cellStyle name="Normal 4 3 4 3 2 2 6" xfId="45208" xr:uid="{00000000-0005-0000-0000-00007BAF0000}"/>
    <cellStyle name="Normal 4 3 4 3 2 3" xfId="45209" xr:uid="{00000000-0005-0000-0000-00007CAF0000}"/>
    <cellStyle name="Normal 4 3 4 3 2 3 2" xfId="45210" xr:uid="{00000000-0005-0000-0000-00007DAF0000}"/>
    <cellStyle name="Normal 4 3 4 3 2 3 2 2" xfId="45211" xr:uid="{00000000-0005-0000-0000-00007EAF0000}"/>
    <cellStyle name="Normal 4 3 4 3 2 3 2 3" xfId="45212" xr:uid="{00000000-0005-0000-0000-00007FAF0000}"/>
    <cellStyle name="Normal 4 3 4 3 2 3 3" xfId="45213" xr:uid="{00000000-0005-0000-0000-000080AF0000}"/>
    <cellStyle name="Normal 4 3 4 3 2 3 4" xfId="45214" xr:uid="{00000000-0005-0000-0000-000081AF0000}"/>
    <cellStyle name="Normal 4 3 4 3 2 3 5" xfId="45215" xr:uid="{00000000-0005-0000-0000-000082AF0000}"/>
    <cellStyle name="Normal 4 3 4 3 2 3 6" xfId="45216" xr:uid="{00000000-0005-0000-0000-000083AF0000}"/>
    <cellStyle name="Normal 4 3 4 3 2 4" xfId="45217" xr:uid="{00000000-0005-0000-0000-000084AF0000}"/>
    <cellStyle name="Normal 4 3 4 3 2 4 2" xfId="45218" xr:uid="{00000000-0005-0000-0000-000085AF0000}"/>
    <cellStyle name="Normal 4 3 4 3 2 4 3" xfId="45219" xr:uid="{00000000-0005-0000-0000-000086AF0000}"/>
    <cellStyle name="Normal 4 3 4 3 2 5" xfId="45220" xr:uid="{00000000-0005-0000-0000-000087AF0000}"/>
    <cellStyle name="Normal 4 3 4 3 2 6" xfId="45221" xr:uid="{00000000-0005-0000-0000-000088AF0000}"/>
    <cellStyle name="Normal 4 3 4 3 2 7" xfId="45222" xr:uid="{00000000-0005-0000-0000-000089AF0000}"/>
    <cellStyle name="Normal 4 3 4 3 2 8" xfId="45223" xr:uid="{00000000-0005-0000-0000-00008AAF0000}"/>
    <cellStyle name="Normal 4 3 4 3 3" xfId="45224" xr:uid="{00000000-0005-0000-0000-00008BAF0000}"/>
    <cellStyle name="Normal 4 3 4 3 3 2" xfId="45225" xr:uid="{00000000-0005-0000-0000-00008CAF0000}"/>
    <cellStyle name="Normal 4 3 4 3 3 2 2" xfId="45226" xr:uid="{00000000-0005-0000-0000-00008DAF0000}"/>
    <cellStyle name="Normal 4 3 4 3 3 2 2 2" xfId="45227" xr:uid="{00000000-0005-0000-0000-00008EAF0000}"/>
    <cellStyle name="Normal 4 3 4 3 3 2 2 3" xfId="45228" xr:uid="{00000000-0005-0000-0000-00008FAF0000}"/>
    <cellStyle name="Normal 4 3 4 3 3 2 3" xfId="45229" xr:uid="{00000000-0005-0000-0000-000090AF0000}"/>
    <cellStyle name="Normal 4 3 4 3 3 2 4" xfId="45230" xr:uid="{00000000-0005-0000-0000-000091AF0000}"/>
    <cellStyle name="Normal 4 3 4 3 3 2 5" xfId="45231" xr:uid="{00000000-0005-0000-0000-000092AF0000}"/>
    <cellStyle name="Normal 4 3 4 3 3 2 6" xfId="45232" xr:uid="{00000000-0005-0000-0000-000093AF0000}"/>
    <cellStyle name="Normal 4 3 4 3 3 3" xfId="45233" xr:uid="{00000000-0005-0000-0000-000094AF0000}"/>
    <cellStyle name="Normal 4 3 4 3 3 3 2" xfId="45234" xr:uid="{00000000-0005-0000-0000-000095AF0000}"/>
    <cellStyle name="Normal 4 3 4 3 3 3 3" xfId="45235" xr:uid="{00000000-0005-0000-0000-000096AF0000}"/>
    <cellStyle name="Normal 4 3 4 3 3 4" xfId="45236" xr:uid="{00000000-0005-0000-0000-000097AF0000}"/>
    <cellStyle name="Normal 4 3 4 3 3 5" xfId="45237" xr:uid="{00000000-0005-0000-0000-000098AF0000}"/>
    <cellStyle name="Normal 4 3 4 3 3 6" xfId="45238" xr:uid="{00000000-0005-0000-0000-000099AF0000}"/>
    <cellStyle name="Normal 4 3 4 3 3 7" xfId="45239" xr:uid="{00000000-0005-0000-0000-00009AAF0000}"/>
    <cellStyle name="Normal 4 3 4 3 4" xfId="45240" xr:uid="{00000000-0005-0000-0000-00009BAF0000}"/>
    <cellStyle name="Normal 4 3 4 3 4 2" xfId="45241" xr:uid="{00000000-0005-0000-0000-00009CAF0000}"/>
    <cellStyle name="Normal 4 3 4 3 4 2 2" xfId="45242" xr:uid="{00000000-0005-0000-0000-00009DAF0000}"/>
    <cellStyle name="Normal 4 3 4 3 4 2 3" xfId="45243" xr:uid="{00000000-0005-0000-0000-00009EAF0000}"/>
    <cellStyle name="Normal 4 3 4 3 4 3" xfId="45244" xr:uid="{00000000-0005-0000-0000-00009FAF0000}"/>
    <cellStyle name="Normal 4 3 4 3 4 4" xfId="45245" xr:uid="{00000000-0005-0000-0000-0000A0AF0000}"/>
    <cellStyle name="Normal 4 3 4 3 4 5" xfId="45246" xr:uid="{00000000-0005-0000-0000-0000A1AF0000}"/>
    <cellStyle name="Normal 4 3 4 3 4 6" xfId="45247" xr:uid="{00000000-0005-0000-0000-0000A2AF0000}"/>
    <cellStyle name="Normal 4 3 4 3 5" xfId="45248" xr:uid="{00000000-0005-0000-0000-0000A3AF0000}"/>
    <cellStyle name="Normal 4 3 4 3 5 2" xfId="45249" xr:uid="{00000000-0005-0000-0000-0000A4AF0000}"/>
    <cellStyle name="Normal 4 3 4 3 5 2 2" xfId="45250" xr:uid="{00000000-0005-0000-0000-0000A5AF0000}"/>
    <cellStyle name="Normal 4 3 4 3 5 2 3" xfId="45251" xr:uid="{00000000-0005-0000-0000-0000A6AF0000}"/>
    <cellStyle name="Normal 4 3 4 3 5 3" xfId="45252" xr:uid="{00000000-0005-0000-0000-0000A7AF0000}"/>
    <cellStyle name="Normal 4 3 4 3 5 4" xfId="45253" xr:uid="{00000000-0005-0000-0000-0000A8AF0000}"/>
    <cellStyle name="Normal 4 3 4 3 5 5" xfId="45254" xr:uid="{00000000-0005-0000-0000-0000A9AF0000}"/>
    <cellStyle name="Normal 4 3 4 3 5 6" xfId="45255" xr:uid="{00000000-0005-0000-0000-0000AAAF0000}"/>
    <cellStyle name="Normal 4 3 4 3 6" xfId="45256" xr:uid="{00000000-0005-0000-0000-0000ABAF0000}"/>
    <cellStyle name="Normal 4 3 4 3 6 2" xfId="45257" xr:uid="{00000000-0005-0000-0000-0000ACAF0000}"/>
    <cellStyle name="Normal 4 3 4 3 6 3" xfId="45258" xr:uid="{00000000-0005-0000-0000-0000ADAF0000}"/>
    <cellStyle name="Normal 4 3 4 3 7" xfId="45259" xr:uid="{00000000-0005-0000-0000-0000AEAF0000}"/>
    <cellStyle name="Normal 4 3 4 3 8" xfId="45260" xr:uid="{00000000-0005-0000-0000-0000AFAF0000}"/>
    <cellStyle name="Normal 4 3 4 3 9" xfId="45261" xr:uid="{00000000-0005-0000-0000-0000B0AF0000}"/>
    <cellStyle name="Normal 4 3 4 4" xfId="45262" xr:uid="{00000000-0005-0000-0000-0000B1AF0000}"/>
    <cellStyle name="Normal 4 3 4 4 2" xfId="45263" xr:uid="{00000000-0005-0000-0000-0000B2AF0000}"/>
    <cellStyle name="Normal 4 3 4 4 2 2" xfId="45264" xr:uid="{00000000-0005-0000-0000-0000B3AF0000}"/>
    <cellStyle name="Normal 4 3 4 4 2 2 2" xfId="45265" xr:uid="{00000000-0005-0000-0000-0000B4AF0000}"/>
    <cellStyle name="Normal 4 3 4 4 2 2 2 2" xfId="45266" xr:uid="{00000000-0005-0000-0000-0000B5AF0000}"/>
    <cellStyle name="Normal 4 3 4 4 2 2 2 3" xfId="45267" xr:uid="{00000000-0005-0000-0000-0000B6AF0000}"/>
    <cellStyle name="Normal 4 3 4 4 2 2 3" xfId="45268" xr:uid="{00000000-0005-0000-0000-0000B7AF0000}"/>
    <cellStyle name="Normal 4 3 4 4 2 2 4" xfId="45269" xr:uid="{00000000-0005-0000-0000-0000B8AF0000}"/>
    <cellStyle name="Normal 4 3 4 4 2 2 5" xfId="45270" xr:uid="{00000000-0005-0000-0000-0000B9AF0000}"/>
    <cellStyle name="Normal 4 3 4 4 2 2 6" xfId="45271" xr:uid="{00000000-0005-0000-0000-0000BAAF0000}"/>
    <cellStyle name="Normal 4 3 4 4 2 3" xfId="45272" xr:uid="{00000000-0005-0000-0000-0000BBAF0000}"/>
    <cellStyle name="Normal 4 3 4 4 2 3 2" xfId="45273" xr:uid="{00000000-0005-0000-0000-0000BCAF0000}"/>
    <cellStyle name="Normal 4 3 4 4 2 3 3" xfId="45274" xr:uid="{00000000-0005-0000-0000-0000BDAF0000}"/>
    <cellStyle name="Normal 4 3 4 4 2 4" xfId="45275" xr:uid="{00000000-0005-0000-0000-0000BEAF0000}"/>
    <cellStyle name="Normal 4 3 4 4 2 5" xfId="45276" xr:uid="{00000000-0005-0000-0000-0000BFAF0000}"/>
    <cellStyle name="Normal 4 3 4 4 2 6" xfId="45277" xr:uid="{00000000-0005-0000-0000-0000C0AF0000}"/>
    <cellStyle name="Normal 4 3 4 4 2 7" xfId="45278" xr:uid="{00000000-0005-0000-0000-0000C1AF0000}"/>
    <cellStyle name="Normal 4 3 4 4 3" xfId="45279" xr:uid="{00000000-0005-0000-0000-0000C2AF0000}"/>
    <cellStyle name="Normal 4 3 4 4 3 2" xfId="45280" xr:uid="{00000000-0005-0000-0000-0000C3AF0000}"/>
    <cellStyle name="Normal 4 3 4 4 3 2 2" xfId="45281" xr:uid="{00000000-0005-0000-0000-0000C4AF0000}"/>
    <cellStyle name="Normal 4 3 4 4 3 2 3" xfId="45282" xr:uid="{00000000-0005-0000-0000-0000C5AF0000}"/>
    <cellStyle name="Normal 4 3 4 4 3 3" xfId="45283" xr:uid="{00000000-0005-0000-0000-0000C6AF0000}"/>
    <cellStyle name="Normal 4 3 4 4 3 4" xfId="45284" xr:uid="{00000000-0005-0000-0000-0000C7AF0000}"/>
    <cellStyle name="Normal 4 3 4 4 3 5" xfId="45285" xr:uid="{00000000-0005-0000-0000-0000C8AF0000}"/>
    <cellStyle name="Normal 4 3 4 4 3 6" xfId="45286" xr:uid="{00000000-0005-0000-0000-0000C9AF0000}"/>
    <cellStyle name="Normal 4 3 4 4 4" xfId="45287" xr:uid="{00000000-0005-0000-0000-0000CAAF0000}"/>
    <cellStyle name="Normal 4 3 4 4 4 2" xfId="45288" xr:uid="{00000000-0005-0000-0000-0000CBAF0000}"/>
    <cellStyle name="Normal 4 3 4 4 4 2 2" xfId="45289" xr:uid="{00000000-0005-0000-0000-0000CCAF0000}"/>
    <cellStyle name="Normal 4 3 4 4 4 2 3" xfId="45290" xr:uid="{00000000-0005-0000-0000-0000CDAF0000}"/>
    <cellStyle name="Normal 4 3 4 4 4 3" xfId="45291" xr:uid="{00000000-0005-0000-0000-0000CEAF0000}"/>
    <cellStyle name="Normal 4 3 4 4 4 4" xfId="45292" xr:uid="{00000000-0005-0000-0000-0000CFAF0000}"/>
    <cellStyle name="Normal 4 3 4 4 4 5" xfId="45293" xr:uid="{00000000-0005-0000-0000-0000D0AF0000}"/>
    <cellStyle name="Normal 4 3 4 4 4 6" xfId="45294" xr:uid="{00000000-0005-0000-0000-0000D1AF0000}"/>
    <cellStyle name="Normal 4 3 4 4 5" xfId="45295" xr:uid="{00000000-0005-0000-0000-0000D2AF0000}"/>
    <cellStyle name="Normal 4 3 4 4 5 2" xfId="45296" xr:uid="{00000000-0005-0000-0000-0000D3AF0000}"/>
    <cellStyle name="Normal 4 3 4 4 5 3" xfId="45297" xr:uid="{00000000-0005-0000-0000-0000D4AF0000}"/>
    <cellStyle name="Normal 4 3 4 4 6" xfId="45298" xr:uid="{00000000-0005-0000-0000-0000D5AF0000}"/>
    <cellStyle name="Normal 4 3 4 4 7" xfId="45299" xr:uid="{00000000-0005-0000-0000-0000D6AF0000}"/>
    <cellStyle name="Normal 4 3 4 4 8" xfId="45300" xr:uid="{00000000-0005-0000-0000-0000D7AF0000}"/>
    <cellStyle name="Normal 4 3 4 4 9" xfId="45301" xr:uid="{00000000-0005-0000-0000-0000D8AF0000}"/>
    <cellStyle name="Normal 4 3 4 5" xfId="45302" xr:uid="{00000000-0005-0000-0000-0000D9AF0000}"/>
    <cellStyle name="Normal 4 3 4 5 2" xfId="45303" xr:uid="{00000000-0005-0000-0000-0000DAAF0000}"/>
    <cellStyle name="Normal 4 3 4 5 2 2" xfId="45304" xr:uid="{00000000-0005-0000-0000-0000DBAF0000}"/>
    <cellStyle name="Normal 4 3 4 5 2 2 2" xfId="45305" xr:uid="{00000000-0005-0000-0000-0000DCAF0000}"/>
    <cellStyle name="Normal 4 3 4 5 2 2 3" xfId="45306" xr:uid="{00000000-0005-0000-0000-0000DDAF0000}"/>
    <cellStyle name="Normal 4 3 4 5 2 3" xfId="45307" xr:uid="{00000000-0005-0000-0000-0000DEAF0000}"/>
    <cellStyle name="Normal 4 3 4 5 2 4" xfId="45308" xr:uid="{00000000-0005-0000-0000-0000DFAF0000}"/>
    <cellStyle name="Normal 4 3 4 5 2 5" xfId="45309" xr:uid="{00000000-0005-0000-0000-0000E0AF0000}"/>
    <cellStyle name="Normal 4 3 4 5 2 6" xfId="45310" xr:uid="{00000000-0005-0000-0000-0000E1AF0000}"/>
    <cellStyle name="Normal 4 3 4 5 3" xfId="45311" xr:uid="{00000000-0005-0000-0000-0000E2AF0000}"/>
    <cellStyle name="Normal 4 3 4 5 3 2" xfId="45312" xr:uid="{00000000-0005-0000-0000-0000E3AF0000}"/>
    <cellStyle name="Normal 4 3 4 5 3 3" xfId="45313" xr:uid="{00000000-0005-0000-0000-0000E4AF0000}"/>
    <cellStyle name="Normal 4 3 4 5 4" xfId="45314" xr:uid="{00000000-0005-0000-0000-0000E5AF0000}"/>
    <cellStyle name="Normal 4 3 4 5 5" xfId="45315" xr:uid="{00000000-0005-0000-0000-0000E6AF0000}"/>
    <cellStyle name="Normal 4 3 4 5 6" xfId="45316" xr:uid="{00000000-0005-0000-0000-0000E7AF0000}"/>
    <cellStyle name="Normal 4 3 4 5 7" xfId="45317" xr:uid="{00000000-0005-0000-0000-0000E8AF0000}"/>
    <cellStyle name="Normal 4 3 4 6" xfId="45318" xr:uid="{00000000-0005-0000-0000-0000E9AF0000}"/>
    <cellStyle name="Normal 4 3 4 6 2" xfId="45319" xr:uid="{00000000-0005-0000-0000-0000EAAF0000}"/>
    <cellStyle name="Normal 4 3 4 6 2 2" xfId="45320" xr:uid="{00000000-0005-0000-0000-0000EBAF0000}"/>
    <cellStyle name="Normal 4 3 4 6 2 3" xfId="45321" xr:uid="{00000000-0005-0000-0000-0000ECAF0000}"/>
    <cellStyle name="Normal 4 3 4 6 3" xfId="45322" xr:uid="{00000000-0005-0000-0000-0000EDAF0000}"/>
    <cellStyle name="Normal 4 3 4 6 4" xfId="45323" xr:uid="{00000000-0005-0000-0000-0000EEAF0000}"/>
    <cellStyle name="Normal 4 3 4 6 5" xfId="45324" xr:uid="{00000000-0005-0000-0000-0000EFAF0000}"/>
    <cellStyle name="Normal 4 3 4 6 6" xfId="45325" xr:uid="{00000000-0005-0000-0000-0000F0AF0000}"/>
    <cellStyle name="Normal 4 3 4 7" xfId="45326" xr:uid="{00000000-0005-0000-0000-0000F1AF0000}"/>
    <cellStyle name="Normal 4 3 4 7 2" xfId="45327" xr:uid="{00000000-0005-0000-0000-0000F2AF0000}"/>
    <cellStyle name="Normal 4 3 4 7 2 2" xfId="45328" xr:uid="{00000000-0005-0000-0000-0000F3AF0000}"/>
    <cellStyle name="Normal 4 3 4 7 2 3" xfId="45329" xr:uid="{00000000-0005-0000-0000-0000F4AF0000}"/>
    <cellStyle name="Normal 4 3 4 7 3" xfId="45330" xr:uid="{00000000-0005-0000-0000-0000F5AF0000}"/>
    <cellStyle name="Normal 4 3 4 7 4" xfId="45331" xr:uid="{00000000-0005-0000-0000-0000F6AF0000}"/>
    <cellStyle name="Normal 4 3 4 7 5" xfId="45332" xr:uid="{00000000-0005-0000-0000-0000F7AF0000}"/>
    <cellStyle name="Normal 4 3 4 7 6" xfId="45333" xr:uid="{00000000-0005-0000-0000-0000F8AF0000}"/>
    <cellStyle name="Normal 4 3 4 8" xfId="45334" xr:uid="{00000000-0005-0000-0000-0000F9AF0000}"/>
    <cellStyle name="Normal 4 3 4 8 2" xfId="45335" xr:uid="{00000000-0005-0000-0000-0000FAAF0000}"/>
    <cellStyle name="Normal 4 3 4 8 2 2" xfId="45336" xr:uid="{00000000-0005-0000-0000-0000FBAF0000}"/>
    <cellStyle name="Normal 4 3 4 8 2 3" xfId="45337" xr:uid="{00000000-0005-0000-0000-0000FCAF0000}"/>
    <cellStyle name="Normal 4 3 4 8 3" xfId="45338" xr:uid="{00000000-0005-0000-0000-0000FDAF0000}"/>
    <cellStyle name="Normal 4 3 4 8 4" xfId="45339" xr:uid="{00000000-0005-0000-0000-0000FEAF0000}"/>
    <cellStyle name="Normal 4 3 4 8 5" xfId="45340" xr:uid="{00000000-0005-0000-0000-0000FFAF0000}"/>
    <cellStyle name="Normal 4 3 4 8 6" xfId="45341" xr:uid="{00000000-0005-0000-0000-000000B00000}"/>
    <cellStyle name="Normal 4 3 4 9" xfId="45342" xr:uid="{00000000-0005-0000-0000-000001B00000}"/>
    <cellStyle name="Normal 4 3 4 9 2" xfId="45343" xr:uid="{00000000-0005-0000-0000-000002B00000}"/>
    <cellStyle name="Normal 4 3 4 9 2 2" xfId="45344" xr:uid="{00000000-0005-0000-0000-000003B00000}"/>
    <cellStyle name="Normal 4 3 4 9 2 3" xfId="45345" xr:uid="{00000000-0005-0000-0000-000004B00000}"/>
    <cellStyle name="Normal 4 3 4 9 3" xfId="45346" xr:uid="{00000000-0005-0000-0000-000005B00000}"/>
    <cellStyle name="Normal 4 3 4 9 4" xfId="45347" xr:uid="{00000000-0005-0000-0000-000006B00000}"/>
    <cellStyle name="Normal 4 3 4 9 5" xfId="45348" xr:uid="{00000000-0005-0000-0000-000007B00000}"/>
    <cellStyle name="Normal 4 3 4 9 6" xfId="45349" xr:uid="{00000000-0005-0000-0000-000008B00000}"/>
    <cellStyle name="Normal 4 3 5" xfId="45350" xr:uid="{00000000-0005-0000-0000-000009B00000}"/>
    <cellStyle name="Normal 4 3 5 10" xfId="45351" xr:uid="{00000000-0005-0000-0000-00000AB00000}"/>
    <cellStyle name="Normal 4 3 5 10 2" xfId="45352" xr:uid="{00000000-0005-0000-0000-00000BB00000}"/>
    <cellStyle name="Normal 4 3 5 10 3" xfId="45353" xr:uid="{00000000-0005-0000-0000-00000CB00000}"/>
    <cellStyle name="Normal 4 3 5 11" xfId="45354" xr:uid="{00000000-0005-0000-0000-00000DB00000}"/>
    <cellStyle name="Normal 4 3 5 12" xfId="45355" xr:uid="{00000000-0005-0000-0000-00000EB00000}"/>
    <cellStyle name="Normal 4 3 5 13" xfId="45356" xr:uid="{00000000-0005-0000-0000-00000FB00000}"/>
    <cellStyle name="Normal 4 3 5 14" xfId="45357" xr:uid="{00000000-0005-0000-0000-000010B00000}"/>
    <cellStyle name="Normal 4 3 5 2" xfId="45358" xr:uid="{00000000-0005-0000-0000-000011B00000}"/>
    <cellStyle name="Normal 4 3 5 2 10" xfId="45359" xr:uid="{00000000-0005-0000-0000-000012B00000}"/>
    <cellStyle name="Normal 4 3 5 2 11" xfId="45360" xr:uid="{00000000-0005-0000-0000-000013B00000}"/>
    <cellStyle name="Normal 4 3 5 2 12" xfId="45361" xr:uid="{00000000-0005-0000-0000-000014B00000}"/>
    <cellStyle name="Normal 4 3 5 2 13" xfId="45362" xr:uid="{00000000-0005-0000-0000-000015B00000}"/>
    <cellStyle name="Normal 4 3 5 2 2" xfId="45363" xr:uid="{00000000-0005-0000-0000-000016B00000}"/>
    <cellStyle name="Normal 4 3 5 2 2 10" xfId="45364" xr:uid="{00000000-0005-0000-0000-000017B00000}"/>
    <cellStyle name="Normal 4 3 5 2 2 2" xfId="45365" xr:uid="{00000000-0005-0000-0000-000018B00000}"/>
    <cellStyle name="Normal 4 3 5 2 2 2 2" xfId="45366" xr:uid="{00000000-0005-0000-0000-000019B00000}"/>
    <cellStyle name="Normal 4 3 5 2 2 2 2 2" xfId="45367" xr:uid="{00000000-0005-0000-0000-00001AB00000}"/>
    <cellStyle name="Normal 4 3 5 2 2 2 2 2 2" xfId="45368" xr:uid="{00000000-0005-0000-0000-00001BB00000}"/>
    <cellStyle name="Normal 4 3 5 2 2 2 2 2 3" xfId="45369" xr:uid="{00000000-0005-0000-0000-00001CB00000}"/>
    <cellStyle name="Normal 4 3 5 2 2 2 2 3" xfId="45370" xr:uid="{00000000-0005-0000-0000-00001DB00000}"/>
    <cellStyle name="Normal 4 3 5 2 2 2 2 4" xfId="45371" xr:uid="{00000000-0005-0000-0000-00001EB00000}"/>
    <cellStyle name="Normal 4 3 5 2 2 2 2 5" xfId="45372" xr:uid="{00000000-0005-0000-0000-00001FB00000}"/>
    <cellStyle name="Normal 4 3 5 2 2 2 2 6" xfId="45373" xr:uid="{00000000-0005-0000-0000-000020B00000}"/>
    <cellStyle name="Normal 4 3 5 2 2 2 3" xfId="45374" xr:uid="{00000000-0005-0000-0000-000021B00000}"/>
    <cellStyle name="Normal 4 3 5 2 2 2 3 2" xfId="45375" xr:uid="{00000000-0005-0000-0000-000022B00000}"/>
    <cellStyle name="Normal 4 3 5 2 2 2 3 2 2" xfId="45376" xr:uid="{00000000-0005-0000-0000-000023B00000}"/>
    <cellStyle name="Normal 4 3 5 2 2 2 3 2 3" xfId="45377" xr:uid="{00000000-0005-0000-0000-000024B00000}"/>
    <cellStyle name="Normal 4 3 5 2 2 2 3 3" xfId="45378" xr:uid="{00000000-0005-0000-0000-000025B00000}"/>
    <cellStyle name="Normal 4 3 5 2 2 2 3 4" xfId="45379" xr:uid="{00000000-0005-0000-0000-000026B00000}"/>
    <cellStyle name="Normal 4 3 5 2 2 2 3 5" xfId="45380" xr:uid="{00000000-0005-0000-0000-000027B00000}"/>
    <cellStyle name="Normal 4 3 5 2 2 2 3 6" xfId="45381" xr:uid="{00000000-0005-0000-0000-000028B00000}"/>
    <cellStyle name="Normal 4 3 5 2 2 2 4" xfId="45382" xr:uid="{00000000-0005-0000-0000-000029B00000}"/>
    <cellStyle name="Normal 4 3 5 2 2 2 4 2" xfId="45383" xr:uid="{00000000-0005-0000-0000-00002AB00000}"/>
    <cellStyle name="Normal 4 3 5 2 2 2 4 3" xfId="45384" xr:uid="{00000000-0005-0000-0000-00002BB00000}"/>
    <cellStyle name="Normal 4 3 5 2 2 2 5" xfId="45385" xr:uid="{00000000-0005-0000-0000-00002CB00000}"/>
    <cellStyle name="Normal 4 3 5 2 2 2 6" xfId="45386" xr:uid="{00000000-0005-0000-0000-00002DB00000}"/>
    <cellStyle name="Normal 4 3 5 2 2 2 7" xfId="45387" xr:uid="{00000000-0005-0000-0000-00002EB00000}"/>
    <cellStyle name="Normal 4 3 5 2 2 2 8" xfId="45388" xr:uid="{00000000-0005-0000-0000-00002FB00000}"/>
    <cellStyle name="Normal 4 3 5 2 2 3" xfId="45389" xr:uid="{00000000-0005-0000-0000-000030B00000}"/>
    <cellStyle name="Normal 4 3 5 2 2 3 2" xfId="45390" xr:uid="{00000000-0005-0000-0000-000031B00000}"/>
    <cellStyle name="Normal 4 3 5 2 2 3 2 2" xfId="45391" xr:uid="{00000000-0005-0000-0000-000032B00000}"/>
    <cellStyle name="Normal 4 3 5 2 2 3 2 2 2" xfId="45392" xr:uid="{00000000-0005-0000-0000-000033B00000}"/>
    <cellStyle name="Normal 4 3 5 2 2 3 2 2 3" xfId="45393" xr:uid="{00000000-0005-0000-0000-000034B00000}"/>
    <cellStyle name="Normal 4 3 5 2 2 3 2 3" xfId="45394" xr:uid="{00000000-0005-0000-0000-000035B00000}"/>
    <cellStyle name="Normal 4 3 5 2 2 3 2 4" xfId="45395" xr:uid="{00000000-0005-0000-0000-000036B00000}"/>
    <cellStyle name="Normal 4 3 5 2 2 3 2 5" xfId="45396" xr:uid="{00000000-0005-0000-0000-000037B00000}"/>
    <cellStyle name="Normal 4 3 5 2 2 3 2 6" xfId="45397" xr:uid="{00000000-0005-0000-0000-000038B00000}"/>
    <cellStyle name="Normal 4 3 5 2 2 3 3" xfId="45398" xr:uid="{00000000-0005-0000-0000-000039B00000}"/>
    <cellStyle name="Normal 4 3 5 2 2 3 3 2" xfId="45399" xr:uid="{00000000-0005-0000-0000-00003AB00000}"/>
    <cellStyle name="Normal 4 3 5 2 2 3 3 3" xfId="45400" xr:uid="{00000000-0005-0000-0000-00003BB00000}"/>
    <cellStyle name="Normal 4 3 5 2 2 3 4" xfId="45401" xr:uid="{00000000-0005-0000-0000-00003CB00000}"/>
    <cellStyle name="Normal 4 3 5 2 2 3 5" xfId="45402" xr:uid="{00000000-0005-0000-0000-00003DB00000}"/>
    <cellStyle name="Normal 4 3 5 2 2 3 6" xfId="45403" xr:uid="{00000000-0005-0000-0000-00003EB00000}"/>
    <cellStyle name="Normal 4 3 5 2 2 3 7" xfId="45404" xr:uid="{00000000-0005-0000-0000-00003FB00000}"/>
    <cellStyle name="Normal 4 3 5 2 2 4" xfId="45405" xr:uid="{00000000-0005-0000-0000-000040B00000}"/>
    <cellStyle name="Normal 4 3 5 2 2 4 2" xfId="45406" xr:uid="{00000000-0005-0000-0000-000041B00000}"/>
    <cellStyle name="Normal 4 3 5 2 2 4 2 2" xfId="45407" xr:uid="{00000000-0005-0000-0000-000042B00000}"/>
    <cellStyle name="Normal 4 3 5 2 2 4 2 3" xfId="45408" xr:uid="{00000000-0005-0000-0000-000043B00000}"/>
    <cellStyle name="Normal 4 3 5 2 2 4 3" xfId="45409" xr:uid="{00000000-0005-0000-0000-000044B00000}"/>
    <cellStyle name="Normal 4 3 5 2 2 4 4" xfId="45410" xr:uid="{00000000-0005-0000-0000-000045B00000}"/>
    <cellStyle name="Normal 4 3 5 2 2 4 5" xfId="45411" xr:uid="{00000000-0005-0000-0000-000046B00000}"/>
    <cellStyle name="Normal 4 3 5 2 2 4 6" xfId="45412" xr:uid="{00000000-0005-0000-0000-000047B00000}"/>
    <cellStyle name="Normal 4 3 5 2 2 5" xfId="45413" xr:uid="{00000000-0005-0000-0000-000048B00000}"/>
    <cellStyle name="Normal 4 3 5 2 2 5 2" xfId="45414" xr:uid="{00000000-0005-0000-0000-000049B00000}"/>
    <cellStyle name="Normal 4 3 5 2 2 5 2 2" xfId="45415" xr:uid="{00000000-0005-0000-0000-00004AB00000}"/>
    <cellStyle name="Normal 4 3 5 2 2 5 2 3" xfId="45416" xr:uid="{00000000-0005-0000-0000-00004BB00000}"/>
    <cellStyle name="Normal 4 3 5 2 2 5 3" xfId="45417" xr:uid="{00000000-0005-0000-0000-00004CB00000}"/>
    <cellStyle name="Normal 4 3 5 2 2 5 4" xfId="45418" xr:uid="{00000000-0005-0000-0000-00004DB00000}"/>
    <cellStyle name="Normal 4 3 5 2 2 5 5" xfId="45419" xr:uid="{00000000-0005-0000-0000-00004EB00000}"/>
    <cellStyle name="Normal 4 3 5 2 2 5 6" xfId="45420" xr:uid="{00000000-0005-0000-0000-00004FB00000}"/>
    <cellStyle name="Normal 4 3 5 2 2 6" xfId="45421" xr:uid="{00000000-0005-0000-0000-000050B00000}"/>
    <cellStyle name="Normal 4 3 5 2 2 6 2" xfId="45422" xr:uid="{00000000-0005-0000-0000-000051B00000}"/>
    <cellStyle name="Normal 4 3 5 2 2 6 3" xfId="45423" xr:uid="{00000000-0005-0000-0000-000052B00000}"/>
    <cellStyle name="Normal 4 3 5 2 2 7" xfId="45424" xr:uid="{00000000-0005-0000-0000-000053B00000}"/>
    <cellStyle name="Normal 4 3 5 2 2 8" xfId="45425" xr:uid="{00000000-0005-0000-0000-000054B00000}"/>
    <cellStyle name="Normal 4 3 5 2 2 9" xfId="45426" xr:uid="{00000000-0005-0000-0000-000055B00000}"/>
    <cellStyle name="Normal 4 3 5 2 3" xfId="45427" xr:uid="{00000000-0005-0000-0000-000056B00000}"/>
    <cellStyle name="Normal 4 3 5 2 3 2" xfId="45428" xr:uid="{00000000-0005-0000-0000-000057B00000}"/>
    <cellStyle name="Normal 4 3 5 2 3 2 2" xfId="45429" xr:uid="{00000000-0005-0000-0000-000058B00000}"/>
    <cellStyle name="Normal 4 3 5 2 3 2 2 2" xfId="45430" xr:uid="{00000000-0005-0000-0000-000059B00000}"/>
    <cellStyle name="Normal 4 3 5 2 3 2 2 2 2" xfId="45431" xr:uid="{00000000-0005-0000-0000-00005AB00000}"/>
    <cellStyle name="Normal 4 3 5 2 3 2 2 2 3" xfId="45432" xr:uid="{00000000-0005-0000-0000-00005BB00000}"/>
    <cellStyle name="Normal 4 3 5 2 3 2 2 3" xfId="45433" xr:uid="{00000000-0005-0000-0000-00005CB00000}"/>
    <cellStyle name="Normal 4 3 5 2 3 2 2 4" xfId="45434" xr:uid="{00000000-0005-0000-0000-00005DB00000}"/>
    <cellStyle name="Normal 4 3 5 2 3 2 2 5" xfId="45435" xr:uid="{00000000-0005-0000-0000-00005EB00000}"/>
    <cellStyle name="Normal 4 3 5 2 3 2 2 6" xfId="45436" xr:uid="{00000000-0005-0000-0000-00005FB00000}"/>
    <cellStyle name="Normal 4 3 5 2 3 2 3" xfId="45437" xr:uid="{00000000-0005-0000-0000-000060B00000}"/>
    <cellStyle name="Normal 4 3 5 2 3 2 3 2" xfId="45438" xr:uid="{00000000-0005-0000-0000-000061B00000}"/>
    <cellStyle name="Normal 4 3 5 2 3 2 3 3" xfId="45439" xr:uid="{00000000-0005-0000-0000-000062B00000}"/>
    <cellStyle name="Normal 4 3 5 2 3 2 4" xfId="45440" xr:uid="{00000000-0005-0000-0000-000063B00000}"/>
    <cellStyle name="Normal 4 3 5 2 3 2 5" xfId="45441" xr:uid="{00000000-0005-0000-0000-000064B00000}"/>
    <cellStyle name="Normal 4 3 5 2 3 2 6" xfId="45442" xr:uid="{00000000-0005-0000-0000-000065B00000}"/>
    <cellStyle name="Normal 4 3 5 2 3 2 7" xfId="45443" xr:uid="{00000000-0005-0000-0000-000066B00000}"/>
    <cellStyle name="Normal 4 3 5 2 3 3" xfId="45444" xr:uid="{00000000-0005-0000-0000-000067B00000}"/>
    <cellStyle name="Normal 4 3 5 2 3 3 2" xfId="45445" xr:uid="{00000000-0005-0000-0000-000068B00000}"/>
    <cellStyle name="Normal 4 3 5 2 3 3 2 2" xfId="45446" xr:uid="{00000000-0005-0000-0000-000069B00000}"/>
    <cellStyle name="Normal 4 3 5 2 3 3 2 3" xfId="45447" xr:uid="{00000000-0005-0000-0000-00006AB00000}"/>
    <cellStyle name="Normal 4 3 5 2 3 3 3" xfId="45448" xr:uid="{00000000-0005-0000-0000-00006BB00000}"/>
    <cellStyle name="Normal 4 3 5 2 3 3 4" xfId="45449" xr:uid="{00000000-0005-0000-0000-00006CB00000}"/>
    <cellStyle name="Normal 4 3 5 2 3 3 5" xfId="45450" xr:uid="{00000000-0005-0000-0000-00006DB00000}"/>
    <cellStyle name="Normal 4 3 5 2 3 3 6" xfId="45451" xr:uid="{00000000-0005-0000-0000-00006EB00000}"/>
    <cellStyle name="Normal 4 3 5 2 3 4" xfId="45452" xr:uid="{00000000-0005-0000-0000-00006FB00000}"/>
    <cellStyle name="Normal 4 3 5 2 3 4 2" xfId="45453" xr:uid="{00000000-0005-0000-0000-000070B00000}"/>
    <cellStyle name="Normal 4 3 5 2 3 4 2 2" xfId="45454" xr:uid="{00000000-0005-0000-0000-000071B00000}"/>
    <cellStyle name="Normal 4 3 5 2 3 4 2 3" xfId="45455" xr:uid="{00000000-0005-0000-0000-000072B00000}"/>
    <cellStyle name="Normal 4 3 5 2 3 4 3" xfId="45456" xr:uid="{00000000-0005-0000-0000-000073B00000}"/>
    <cellStyle name="Normal 4 3 5 2 3 4 4" xfId="45457" xr:uid="{00000000-0005-0000-0000-000074B00000}"/>
    <cellStyle name="Normal 4 3 5 2 3 4 5" xfId="45458" xr:uid="{00000000-0005-0000-0000-000075B00000}"/>
    <cellStyle name="Normal 4 3 5 2 3 4 6" xfId="45459" xr:uid="{00000000-0005-0000-0000-000076B00000}"/>
    <cellStyle name="Normal 4 3 5 2 3 5" xfId="45460" xr:uid="{00000000-0005-0000-0000-000077B00000}"/>
    <cellStyle name="Normal 4 3 5 2 3 5 2" xfId="45461" xr:uid="{00000000-0005-0000-0000-000078B00000}"/>
    <cellStyle name="Normal 4 3 5 2 3 5 3" xfId="45462" xr:uid="{00000000-0005-0000-0000-000079B00000}"/>
    <cellStyle name="Normal 4 3 5 2 3 6" xfId="45463" xr:uid="{00000000-0005-0000-0000-00007AB00000}"/>
    <cellStyle name="Normal 4 3 5 2 3 7" xfId="45464" xr:uid="{00000000-0005-0000-0000-00007BB00000}"/>
    <cellStyle name="Normal 4 3 5 2 3 8" xfId="45465" xr:uid="{00000000-0005-0000-0000-00007CB00000}"/>
    <cellStyle name="Normal 4 3 5 2 3 9" xfId="45466" xr:uid="{00000000-0005-0000-0000-00007DB00000}"/>
    <cellStyle name="Normal 4 3 5 2 4" xfId="45467" xr:uid="{00000000-0005-0000-0000-00007EB00000}"/>
    <cellStyle name="Normal 4 3 5 2 4 2" xfId="45468" xr:uid="{00000000-0005-0000-0000-00007FB00000}"/>
    <cellStyle name="Normal 4 3 5 2 4 2 2" xfId="45469" xr:uid="{00000000-0005-0000-0000-000080B00000}"/>
    <cellStyle name="Normal 4 3 5 2 4 2 2 2" xfId="45470" xr:uid="{00000000-0005-0000-0000-000081B00000}"/>
    <cellStyle name="Normal 4 3 5 2 4 2 2 3" xfId="45471" xr:uid="{00000000-0005-0000-0000-000082B00000}"/>
    <cellStyle name="Normal 4 3 5 2 4 2 3" xfId="45472" xr:uid="{00000000-0005-0000-0000-000083B00000}"/>
    <cellStyle name="Normal 4 3 5 2 4 2 4" xfId="45473" xr:uid="{00000000-0005-0000-0000-000084B00000}"/>
    <cellStyle name="Normal 4 3 5 2 4 2 5" xfId="45474" xr:uid="{00000000-0005-0000-0000-000085B00000}"/>
    <cellStyle name="Normal 4 3 5 2 4 2 6" xfId="45475" xr:uid="{00000000-0005-0000-0000-000086B00000}"/>
    <cellStyle name="Normal 4 3 5 2 4 3" xfId="45476" xr:uid="{00000000-0005-0000-0000-000087B00000}"/>
    <cellStyle name="Normal 4 3 5 2 4 3 2" xfId="45477" xr:uid="{00000000-0005-0000-0000-000088B00000}"/>
    <cellStyle name="Normal 4 3 5 2 4 3 3" xfId="45478" xr:uid="{00000000-0005-0000-0000-000089B00000}"/>
    <cellStyle name="Normal 4 3 5 2 4 4" xfId="45479" xr:uid="{00000000-0005-0000-0000-00008AB00000}"/>
    <cellStyle name="Normal 4 3 5 2 4 5" xfId="45480" xr:uid="{00000000-0005-0000-0000-00008BB00000}"/>
    <cellStyle name="Normal 4 3 5 2 4 6" xfId="45481" xr:uid="{00000000-0005-0000-0000-00008CB00000}"/>
    <cellStyle name="Normal 4 3 5 2 4 7" xfId="45482" xr:uid="{00000000-0005-0000-0000-00008DB00000}"/>
    <cellStyle name="Normal 4 3 5 2 5" xfId="45483" xr:uid="{00000000-0005-0000-0000-00008EB00000}"/>
    <cellStyle name="Normal 4 3 5 2 5 2" xfId="45484" xr:uid="{00000000-0005-0000-0000-00008FB00000}"/>
    <cellStyle name="Normal 4 3 5 2 5 2 2" xfId="45485" xr:uid="{00000000-0005-0000-0000-000090B00000}"/>
    <cellStyle name="Normal 4 3 5 2 5 2 3" xfId="45486" xr:uid="{00000000-0005-0000-0000-000091B00000}"/>
    <cellStyle name="Normal 4 3 5 2 5 3" xfId="45487" xr:uid="{00000000-0005-0000-0000-000092B00000}"/>
    <cellStyle name="Normal 4 3 5 2 5 4" xfId="45488" xr:uid="{00000000-0005-0000-0000-000093B00000}"/>
    <cellStyle name="Normal 4 3 5 2 5 5" xfId="45489" xr:uid="{00000000-0005-0000-0000-000094B00000}"/>
    <cellStyle name="Normal 4 3 5 2 5 6" xfId="45490" xr:uid="{00000000-0005-0000-0000-000095B00000}"/>
    <cellStyle name="Normal 4 3 5 2 6" xfId="45491" xr:uid="{00000000-0005-0000-0000-000096B00000}"/>
    <cellStyle name="Normal 4 3 5 2 6 2" xfId="45492" xr:uid="{00000000-0005-0000-0000-000097B00000}"/>
    <cellStyle name="Normal 4 3 5 2 6 2 2" xfId="45493" xr:uid="{00000000-0005-0000-0000-000098B00000}"/>
    <cellStyle name="Normal 4 3 5 2 6 2 3" xfId="45494" xr:uid="{00000000-0005-0000-0000-000099B00000}"/>
    <cellStyle name="Normal 4 3 5 2 6 3" xfId="45495" xr:uid="{00000000-0005-0000-0000-00009AB00000}"/>
    <cellStyle name="Normal 4 3 5 2 6 4" xfId="45496" xr:uid="{00000000-0005-0000-0000-00009BB00000}"/>
    <cellStyle name="Normal 4 3 5 2 6 5" xfId="45497" xr:uid="{00000000-0005-0000-0000-00009CB00000}"/>
    <cellStyle name="Normal 4 3 5 2 6 6" xfId="45498" xr:uid="{00000000-0005-0000-0000-00009DB00000}"/>
    <cellStyle name="Normal 4 3 5 2 7" xfId="45499" xr:uid="{00000000-0005-0000-0000-00009EB00000}"/>
    <cellStyle name="Normal 4 3 5 2 7 2" xfId="45500" xr:uid="{00000000-0005-0000-0000-00009FB00000}"/>
    <cellStyle name="Normal 4 3 5 2 7 2 2" xfId="45501" xr:uid="{00000000-0005-0000-0000-0000A0B00000}"/>
    <cellStyle name="Normal 4 3 5 2 7 2 3" xfId="45502" xr:uid="{00000000-0005-0000-0000-0000A1B00000}"/>
    <cellStyle name="Normal 4 3 5 2 7 3" xfId="45503" xr:uid="{00000000-0005-0000-0000-0000A2B00000}"/>
    <cellStyle name="Normal 4 3 5 2 7 4" xfId="45504" xr:uid="{00000000-0005-0000-0000-0000A3B00000}"/>
    <cellStyle name="Normal 4 3 5 2 7 5" xfId="45505" xr:uid="{00000000-0005-0000-0000-0000A4B00000}"/>
    <cellStyle name="Normal 4 3 5 2 7 6" xfId="45506" xr:uid="{00000000-0005-0000-0000-0000A5B00000}"/>
    <cellStyle name="Normal 4 3 5 2 8" xfId="45507" xr:uid="{00000000-0005-0000-0000-0000A6B00000}"/>
    <cellStyle name="Normal 4 3 5 2 8 2" xfId="45508" xr:uid="{00000000-0005-0000-0000-0000A7B00000}"/>
    <cellStyle name="Normal 4 3 5 2 8 2 2" xfId="45509" xr:uid="{00000000-0005-0000-0000-0000A8B00000}"/>
    <cellStyle name="Normal 4 3 5 2 8 2 3" xfId="45510" xr:uid="{00000000-0005-0000-0000-0000A9B00000}"/>
    <cellStyle name="Normal 4 3 5 2 8 3" xfId="45511" xr:uid="{00000000-0005-0000-0000-0000AAB00000}"/>
    <cellStyle name="Normal 4 3 5 2 8 4" xfId="45512" xr:uid="{00000000-0005-0000-0000-0000ABB00000}"/>
    <cellStyle name="Normal 4 3 5 2 8 5" xfId="45513" xr:uid="{00000000-0005-0000-0000-0000ACB00000}"/>
    <cellStyle name="Normal 4 3 5 2 8 6" xfId="45514" xr:uid="{00000000-0005-0000-0000-0000ADB00000}"/>
    <cellStyle name="Normal 4 3 5 2 9" xfId="45515" xr:uid="{00000000-0005-0000-0000-0000AEB00000}"/>
    <cellStyle name="Normal 4 3 5 2 9 2" xfId="45516" xr:uid="{00000000-0005-0000-0000-0000AFB00000}"/>
    <cellStyle name="Normal 4 3 5 2 9 3" xfId="45517" xr:uid="{00000000-0005-0000-0000-0000B0B00000}"/>
    <cellStyle name="Normal 4 3 5 3" xfId="45518" xr:uid="{00000000-0005-0000-0000-0000B1B00000}"/>
    <cellStyle name="Normal 4 3 5 3 10" xfId="45519" xr:uid="{00000000-0005-0000-0000-0000B2B00000}"/>
    <cellStyle name="Normal 4 3 5 3 2" xfId="45520" xr:uid="{00000000-0005-0000-0000-0000B3B00000}"/>
    <cellStyle name="Normal 4 3 5 3 2 2" xfId="45521" xr:uid="{00000000-0005-0000-0000-0000B4B00000}"/>
    <cellStyle name="Normal 4 3 5 3 2 2 2" xfId="45522" xr:uid="{00000000-0005-0000-0000-0000B5B00000}"/>
    <cellStyle name="Normal 4 3 5 3 2 2 2 2" xfId="45523" xr:uid="{00000000-0005-0000-0000-0000B6B00000}"/>
    <cellStyle name="Normal 4 3 5 3 2 2 2 3" xfId="45524" xr:uid="{00000000-0005-0000-0000-0000B7B00000}"/>
    <cellStyle name="Normal 4 3 5 3 2 2 3" xfId="45525" xr:uid="{00000000-0005-0000-0000-0000B8B00000}"/>
    <cellStyle name="Normal 4 3 5 3 2 2 4" xfId="45526" xr:uid="{00000000-0005-0000-0000-0000B9B00000}"/>
    <cellStyle name="Normal 4 3 5 3 2 2 5" xfId="45527" xr:uid="{00000000-0005-0000-0000-0000BAB00000}"/>
    <cellStyle name="Normal 4 3 5 3 2 2 6" xfId="45528" xr:uid="{00000000-0005-0000-0000-0000BBB00000}"/>
    <cellStyle name="Normal 4 3 5 3 2 3" xfId="45529" xr:uid="{00000000-0005-0000-0000-0000BCB00000}"/>
    <cellStyle name="Normal 4 3 5 3 2 3 2" xfId="45530" xr:uid="{00000000-0005-0000-0000-0000BDB00000}"/>
    <cellStyle name="Normal 4 3 5 3 2 3 2 2" xfId="45531" xr:uid="{00000000-0005-0000-0000-0000BEB00000}"/>
    <cellStyle name="Normal 4 3 5 3 2 3 2 3" xfId="45532" xr:uid="{00000000-0005-0000-0000-0000BFB00000}"/>
    <cellStyle name="Normal 4 3 5 3 2 3 3" xfId="45533" xr:uid="{00000000-0005-0000-0000-0000C0B00000}"/>
    <cellStyle name="Normal 4 3 5 3 2 3 4" xfId="45534" xr:uid="{00000000-0005-0000-0000-0000C1B00000}"/>
    <cellStyle name="Normal 4 3 5 3 2 3 5" xfId="45535" xr:uid="{00000000-0005-0000-0000-0000C2B00000}"/>
    <cellStyle name="Normal 4 3 5 3 2 3 6" xfId="45536" xr:uid="{00000000-0005-0000-0000-0000C3B00000}"/>
    <cellStyle name="Normal 4 3 5 3 2 4" xfId="45537" xr:uid="{00000000-0005-0000-0000-0000C4B00000}"/>
    <cellStyle name="Normal 4 3 5 3 2 4 2" xfId="45538" xr:uid="{00000000-0005-0000-0000-0000C5B00000}"/>
    <cellStyle name="Normal 4 3 5 3 2 4 3" xfId="45539" xr:uid="{00000000-0005-0000-0000-0000C6B00000}"/>
    <cellStyle name="Normal 4 3 5 3 2 5" xfId="45540" xr:uid="{00000000-0005-0000-0000-0000C7B00000}"/>
    <cellStyle name="Normal 4 3 5 3 2 6" xfId="45541" xr:uid="{00000000-0005-0000-0000-0000C8B00000}"/>
    <cellStyle name="Normal 4 3 5 3 2 7" xfId="45542" xr:uid="{00000000-0005-0000-0000-0000C9B00000}"/>
    <cellStyle name="Normal 4 3 5 3 2 8" xfId="45543" xr:uid="{00000000-0005-0000-0000-0000CAB00000}"/>
    <cellStyle name="Normal 4 3 5 3 3" xfId="45544" xr:uid="{00000000-0005-0000-0000-0000CBB00000}"/>
    <cellStyle name="Normal 4 3 5 3 3 2" xfId="45545" xr:uid="{00000000-0005-0000-0000-0000CCB00000}"/>
    <cellStyle name="Normal 4 3 5 3 3 2 2" xfId="45546" xr:uid="{00000000-0005-0000-0000-0000CDB00000}"/>
    <cellStyle name="Normal 4 3 5 3 3 2 2 2" xfId="45547" xr:uid="{00000000-0005-0000-0000-0000CEB00000}"/>
    <cellStyle name="Normal 4 3 5 3 3 2 2 3" xfId="45548" xr:uid="{00000000-0005-0000-0000-0000CFB00000}"/>
    <cellStyle name="Normal 4 3 5 3 3 2 3" xfId="45549" xr:uid="{00000000-0005-0000-0000-0000D0B00000}"/>
    <cellStyle name="Normal 4 3 5 3 3 2 4" xfId="45550" xr:uid="{00000000-0005-0000-0000-0000D1B00000}"/>
    <cellStyle name="Normal 4 3 5 3 3 2 5" xfId="45551" xr:uid="{00000000-0005-0000-0000-0000D2B00000}"/>
    <cellStyle name="Normal 4 3 5 3 3 2 6" xfId="45552" xr:uid="{00000000-0005-0000-0000-0000D3B00000}"/>
    <cellStyle name="Normal 4 3 5 3 3 3" xfId="45553" xr:uid="{00000000-0005-0000-0000-0000D4B00000}"/>
    <cellStyle name="Normal 4 3 5 3 3 3 2" xfId="45554" xr:uid="{00000000-0005-0000-0000-0000D5B00000}"/>
    <cellStyle name="Normal 4 3 5 3 3 3 3" xfId="45555" xr:uid="{00000000-0005-0000-0000-0000D6B00000}"/>
    <cellStyle name="Normal 4 3 5 3 3 4" xfId="45556" xr:uid="{00000000-0005-0000-0000-0000D7B00000}"/>
    <cellStyle name="Normal 4 3 5 3 3 5" xfId="45557" xr:uid="{00000000-0005-0000-0000-0000D8B00000}"/>
    <cellStyle name="Normal 4 3 5 3 3 6" xfId="45558" xr:uid="{00000000-0005-0000-0000-0000D9B00000}"/>
    <cellStyle name="Normal 4 3 5 3 3 7" xfId="45559" xr:uid="{00000000-0005-0000-0000-0000DAB00000}"/>
    <cellStyle name="Normal 4 3 5 3 4" xfId="45560" xr:uid="{00000000-0005-0000-0000-0000DBB00000}"/>
    <cellStyle name="Normal 4 3 5 3 4 2" xfId="45561" xr:uid="{00000000-0005-0000-0000-0000DCB00000}"/>
    <cellStyle name="Normal 4 3 5 3 4 2 2" xfId="45562" xr:uid="{00000000-0005-0000-0000-0000DDB00000}"/>
    <cellStyle name="Normal 4 3 5 3 4 2 3" xfId="45563" xr:uid="{00000000-0005-0000-0000-0000DEB00000}"/>
    <cellStyle name="Normal 4 3 5 3 4 3" xfId="45564" xr:uid="{00000000-0005-0000-0000-0000DFB00000}"/>
    <cellStyle name="Normal 4 3 5 3 4 4" xfId="45565" xr:uid="{00000000-0005-0000-0000-0000E0B00000}"/>
    <cellStyle name="Normal 4 3 5 3 4 5" xfId="45566" xr:uid="{00000000-0005-0000-0000-0000E1B00000}"/>
    <cellStyle name="Normal 4 3 5 3 4 6" xfId="45567" xr:uid="{00000000-0005-0000-0000-0000E2B00000}"/>
    <cellStyle name="Normal 4 3 5 3 5" xfId="45568" xr:uid="{00000000-0005-0000-0000-0000E3B00000}"/>
    <cellStyle name="Normal 4 3 5 3 5 2" xfId="45569" xr:uid="{00000000-0005-0000-0000-0000E4B00000}"/>
    <cellStyle name="Normal 4 3 5 3 5 2 2" xfId="45570" xr:uid="{00000000-0005-0000-0000-0000E5B00000}"/>
    <cellStyle name="Normal 4 3 5 3 5 2 3" xfId="45571" xr:uid="{00000000-0005-0000-0000-0000E6B00000}"/>
    <cellStyle name="Normal 4 3 5 3 5 3" xfId="45572" xr:uid="{00000000-0005-0000-0000-0000E7B00000}"/>
    <cellStyle name="Normal 4 3 5 3 5 4" xfId="45573" xr:uid="{00000000-0005-0000-0000-0000E8B00000}"/>
    <cellStyle name="Normal 4 3 5 3 5 5" xfId="45574" xr:uid="{00000000-0005-0000-0000-0000E9B00000}"/>
    <cellStyle name="Normal 4 3 5 3 5 6" xfId="45575" xr:uid="{00000000-0005-0000-0000-0000EAB00000}"/>
    <cellStyle name="Normal 4 3 5 3 6" xfId="45576" xr:uid="{00000000-0005-0000-0000-0000EBB00000}"/>
    <cellStyle name="Normal 4 3 5 3 6 2" xfId="45577" xr:uid="{00000000-0005-0000-0000-0000ECB00000}"/>
    <cellStyle name="Normal 4 3 5 3 6 3" xfId="45578" xr:uid="{00000000-0005-0000-0000-0000EDB00000}"/>
    <cellStyle name="Normal 4 3 5 3 7" xfId="45579" xr:uid="{00000000-0005-0000-0000-0000EEB00000}"/>
    <cellStyle name="Normal 4 3 5 3 8" xfId="45580" xr:uid="{00000000-0005-0000-0000-0000EFB00000}"/>
    <cellStyle name="Normal 4 3 5 3 9" xfId="45581" xr:uid="{00000000-0005-0000-0000-0000F0B00000}"/>
    <cellStyle name="Normal 4 3 5 4" xfId="45582" xr:uid="{00000000-0005-0000-0000-0000F1B00000}"/>
    <cellStyle name="Normal 4 3 5 4 2" xfId="45583" xr:uid="{00000000-0005-0000-0000-0000F2B00000}"/>
    <cellStyle name="Normal 4 3 5 4 2 2" xfId="45584" xr:uid="{00000000-0005-0000-0000-0000F3B00000}"/>
    <cellStyle name="Normal 4 3 5 4 2 2 2" xfId="45585" xr:uid="{00000000-0005-0000-0000-0000F4B00000}"/>
    <cellStyle name="Normal 4 3 5 4 2 2 2 2" xfId="45586" xr:uid="{00000000-0005-0000-0000-0000F5B00000}"/>
    <cellStyle name="Normal 4 3 5 4 2 2 2 3" xfId="45587" xr:uid="{00000000-0005-0000-0000-0000F6B00000}"/>
    <cellStyle name="Normal 4 3 5 4 2 2 3" xfId="45588" xr:uid="{00000000-0005-0000-0000-0000F7B00000}"/>
    <cellStyle name="Normal 4 3 5 4 2 2 4" xfId="45589" xr:uid="{00000000-0005-0000-0000-0000F8B00000}"/>
    <cellStyle name="Normal 4 3 5 4 2 2 5" xfId="45590" xr:uid="{00000000-0005-0000-0000-0000F9B00000}"/>
    <cellStyle name="Normal 4 3 5 4 2 2 6" xfId="45591" xr:uid="{00000000-0005-0000-0000-0000FAB00000}"/>
    <cellStyle name="Normal 4 3 5 4 2 3" xfId="45592" xr:uid="{00000000-0005-0000-0000-0000FBB00000}"/>
    <cellStyle name="Normal 4 3 5 4 2 3 2" xfId="45593" xr:uid="{00000000-0005-0000-0000-0000FCB00000}"/>
    <cellStyle name="Normal 4 3 5 4 2 3 3" xfId="45594" xr:uid="{00000000-0005-0000-0000-0000FDB00000}"/>
    <cellStyle name="Normal 4 3 5 4 2 4" xfId="45595" xr:uid="{00000000-0005-0000-0000-0000FEB00000}"/>
    <cellStyle name="Normal 4 3 5 4 2 5" xfId="45596" xr:uid="{00000000-0005-0000-0000-0000FFB00000}"/>
    <cellStyle name="Normal 4 3 5 4 2 6" xfId="45597" xr:uid="{00000000-0005-0000-0000-000000B10000}"/>
    <cellStyle name="Normal 4 3 5 4 2 7" xfId="45598" xr:uid="{00000000-0005-0000-0000-000001B10000}"/>
    <cellStyle name="Normal 4 3 5 4 3" xfId="45599" xr:uid="{00000000-0005-0000-0000-000002B10000}"/>
    <cellStyle name="Normal 4 3 5 4 3 2" xfId="45600" xr:uid="{00000000-0005-0000-0000-000003B10000}"/>
    <cellStyle name="Normal 4 3 5 4 3 2 2" xfId="45601" xr:uid="{00000000-0005-0000-0000-000004B10000}"/>
    <cellStyle name="Normal 4 3 5 4 3 2 3" xfId="45602" xr:uid="{00000000-0005-0000-0000-000005B10000}"/>
    <cellStyle name="Normal 4 3 5 4 3 3" xfId="45603" xr:uid="{00000000-0005-0000-0000-000006B10000}"/>
    <cellStyle name="Normal 4 3 5 4 3 4" xfId="45604" xr:uid="{00000000-0005-0000-0000-000007B10000}"/>
    <cellStyle name="Normal 4 3 5 4 3 5" xfId="45605" xr:uid="{00000000-0005-0000-0000-000008B10000}"/>
    <cellStyle name="Normal 4 3 5 4 3 6" xfId="45606" xr:uid="{00000000-0005-0000-0000-000009B10000}"/>
    <cellStyle name="Normal 4 3 5 4 4" xfId="45607" xr:uid="{00000000-0005-0000-0000-00000AB10000}"/>
    <cellStyle name="Normal 4 3 5 4 4 2" xfId="45608" xr:uid="{00000000-0005-0000-0000-00000BB10000}"/>
    <cellStyle name="Normal 4 3 5 4 4 2 2" xfId="45609" xr:uid="{00000000-0005-0000-0000-00000CB10000}"/>
    <cellStyle name="Normal 4 3 5 4 4 2 3" xfId="45610" xr:uid="{00000000-0005-0000-0000-00000DB10000}"/>
    <cellStyle name="Normal 4 3 5 4 4 3" xfId="45611" xr:uid="{00000000-0005-0000-0000-00000EB10000}"/>
    <cellStyle name="Normal 4 3 5 4 4 4" xfId="45612" xr:uid="{00000000-0005-0000-0000-00000FB10000}"/>
    <cellStyle name="Normal 4 3 5 4 4 5" xfId="45613" xr:uid="{00000000-0005-0000-0000-000010B10000}"/>
    <cellStyle name="Normal 4 3 5 4 4 6" xfId="45614" xr:uid="{00000000-0005-0000-0000-000011B10000}"/>
    <cellStyle name="Normal 4 3 5 4 5" xfId="45615" xr:uid="{00000000-0005-0000-0000-000012B10000}"/>
    <cellStyle name="Normal 4 3 5 4 5 2" xfId="45616" xr:uid="{00000000-0005-0000-0000-000013B10000}"/>
    <cellStyle name="Normal 4 3 5 4 5 3" xfId="45617" xr:uid="{00000000-0005-0000-0000-000014B10000}"/>
    <cellStyle name="Normal 4 3 5 4 6" xfId="45618" xr:uid="{00000000-0005-0000-0000-000015B10000}"/>
    <cellStyle name="Normal 4 3 5 4 7" xfId="45619" xr:uid="{00000000-0005-0000-0000-000016B10000}"/>
    <cellStyle name="Normal 4 3 5 4 8" xfId="45620" xr:uid="{00000000-0005-0000-0000-000017B10000}"/>
    <cellStyle name="Normal 4 3 5 4 9" xfId="45621" xr:uid="{00000000-0005-0000-0000-000018B10000}"/>
    <cellStyle name="Normal 4 3 5 5" xfId="45622" xr:uid="{00000000-0005-0000-0000-000019B10000}"/>
    <cellStyle name="Normal 4 3 5 5 2" xfId="45623" xr:uid="{00000000-0005-0000-0000-00001AB10000}"/>
    <cellStyle name="Normal 4 3 5 5 2 2" xfId="45624" xr:uid="{00000000-0005-0000-0000-00001BB10000}"/>
    <cellStyle name="Normal 4 3 5 5 2 2 2" xfId="45625" xr:uid="{00000000-0005-0000-0000-00001CB10000}"/>
    <cellStyle name="Normal 4 3 5 5 2 2 3" xfId="45626" xr:uid="{00000000-0005-0000-0000-00001DB10000}"/>
    <cellStyle name="Normal 4 3 5 5 2 3" xfId="45627" xr:uid="{00000000-0005-0000-0000-00001EB10000}"/>
    <cellStyle name="Normal 4 3 5 5 2 4" xfId="45628" xr:uid="{00000000-0005-0000-0000-00001FB10000}"/>
    <cellStyle name="Normal 4 3 5 5 2 5" xfId="45629" xr:uid="{00000000-0005-0000-0000-000020B10000}"/>
    <cellStyle name="Normal 4 3 5 5 2 6" xfId="45630" xr:uid="{00000000-0005-0000-0000-000021B10000}"/>
    <cellStyle name="Normal 4 3 5 5 3" xfId="45631" xr:uid="{00000000-0005-0000-0000-000022B10000}"/>
    <cellStyle name="Normal 4 3 5 5 3 2" xfId="45632" xr:uid="{00000000-0005-0000-0000-000023B10000}"/>
    <cellStyle name="Normal 4 3 5 5 3 3" xfId="45633" xr:uid="{00000000-0005-0000-0000-000024B10000}"/>
    <cellStyle name="Normal 4 3 5 5 4" xfId="45634" xr:uid="{00000000-0005-0000-0000-000025B10000}"/>
    <cellStyle name="Normal 4 3 5 5 5" xfId="45635" xr:uid="{00000000-0005-0000-0000-000026B10000}"/>
    <cellStyle name="Normal 4 3 5 5 6" xfId="45636" xr:uid="{00000000-0005-0000-0000-000027B10000}"/>
    <cellStyle name="Normal 4 3 5 5 7" xfId="45637" xr:uid="{00000000-0005-0000-0000-000028B10000}"/>
    <cellStyle name="Normal 4 3 5 6" xfId="45638" xr:uid="{00000000-0005-0000-0000-000029B10000}"/>
    <cellStyle name="Normal 4 3 5 6 2" xfId="45639" xr:uid="{00000000-0005-0000-0000-00002AB10000}"/>
    <cellStyle name="Normal 4 3 5 6 2 2" xfId="45640" xr:uid="{00000000-0005-0000-0000-00002BB10000}"/>
    <cellStyle name="Normal 4 3 5 6 2 3" xfId="45641" xr:uid="{00000000-0005-0000-0000-00002CB10000}"/>
    <cellStyle name="Normal 4 3 5 6 3" xfId="45642" xr:uid="{00000000-0005-0000-0000-00002DB10000}"/>
    <cellStyle name="Normal 4 3 5 6 4" xfId="45643" xr:uid="{00000000-0005-0000-0000-00002EB10000}"/>
    <cellStyle name="Normal 4 3 5 6 5" xfId="45644" xr:uid="{00000000-0005-0000-0000-00002FB10000}"/>
    <cellStyle name="Normal 4 3 5 6 6" xfId="45645" xr:uid="{00000000-0005-0000-0000-000030B10000}"/>
    <cellStyle name="Normal 4 3 5 7" xfId="45646" xr:uid="{00000000-0005-0000-0000-000031B10000}"/>
    <cellStyle name="Normal 4 3 5 7 2" xfId="45647" xr:uid="{00000000-0005-0000-0000-000032B10000}"/>
    <cellStyle name="Normal 4 3 5 7 2 2" xfId="45648" xr:uid="{00000000-0005-0000-0000-000033B10000}"/>
    <cellStyle name="Normal 4 3 5 7 2 3" xfId="45649" xr:uid="{00000000-0005-0000-0000-000034B10000}"/>
    <cellStyle name="Normal 4 3 5 7 3" xfId="45650" xr:uid="{00000000-0005-0000-0000-000035B10000}"/>
    <cellStyle name="Normal 4 3 5 7 4" xfId="45651" xr:uid="{00000000-0005-0000-0000-000036B10000}"/>
    <cellStyle name="Normal 4 3 5 7 5" xfId="45652" xr:uid="{00000000-0005-0000-0000-000037B10000}"/>
    <cellStyle name="Normal 4 3 5 7 6" xfId="45653" xr:uid="{00000000-0005-0000-0000-000038B10000}"/>
    <cellStyle name="Normal 4 3 5 8" xfId="45654" xr:uid="{00000000-0005-0000-0000-000039B10000}"/>
    <cellStyle name="Normal 4 3 5 8 2" xfId="45655" xr:uid="{00000000-0005-0000-0000-00003AB10000}"/>
    <cellStyle name="Normal 4 3 5 8 2 2" xfId="45656" xr:uid="{00000000-0005-0000-0000-00003BB10000}"/>
    <cellStyle name="Normal 4 3 5 8 2 3" xfId="45657" xr:uid="{00000000-0005-0000-0000-00003CB10000}"/>
    <cellStyle name="Normal 4 3 5 8 3" xfId="45658" xr:uid="{00000000-0005-0000-0000-00003DB10000}"/>
    <cellStyle name="Normal 4 3 5 8 4" xfId="45659" xr:uid="{00000000-0005-0000-0000-00003EB10000}"/>
    <cellStyle name="Normal 4 3 5 8 5" xfId="45660" xr:uid="{00000000-0005-0000-0000-00003FB10000}"/>
    <cellStyle name="Normal 4 3 5 8 6" xfId="45661" xr:uid="{00000000-0005-0000-0000-000040B10000}"/>
    <cellStyle name="Normal 4 3 5 9" xfId="45662" xr:uid="{00000000-0005-0000-0000-000041B10000}"/>
    <cellStyle name="Normal 4 3 5 9 2" xfId="45663" xr:uid="{00000000-0005-0000-0000-000042B10000}"/>
    <cellStyle name="Normal 4 3 5 9 2 2" xfId="45664" xr:uid="{00000000-0005-0000-0000-000043B10000}"/>
    <cellStyle name="Normal 4 3 5 9 2 3" xfId="45665" xr:uid="{00000000-0005-0000-0000-000044B10000}"/>
    <cellStyle name="Normal 4 3 5 9 3" xfId="45666" xr:uid="{00000000-0005-0000-0000-000045B10000}"/>
    <cellStyle name="Normal 4 3 5 9 4" xfId="45667" xr:uid="{00000000-0005-0000-0000-000046B10000}"/>
    <cellStyle name="Normal 4 3 5 9 5" xfId="45668" xr:uid="{00000000-0005-0000-0000-000047B10000}"/>
    <cellStyle name="Normal 4 3 5 9 6" xfId="45669" xr:uid="{00000000-0005-0000-0000-000048B10000}"/>
    <cellStyle name="Normal 4 3 6" xfId="45670" xr:uid="{00000000-0005-0000-0000-000049B10000}"/>
    <cellStyle name="Normal 4 3 6 10" xfId="45671" xr:uid="{00000000-0005-0000-0000-00004AB10000}"/>
    <cellStyle name="Normal 4 3 6 11" xfId="45672" xr:uid="{00000000-0005-0000-0000-00004BB10000}"/>
    <cellStyle name="Normal 4 3 6 12" xfId="45673" xr:uid="{00000000-0005-0000-0000-00004CB10000}"/>
    <cellStyle name="Normal 4 3 6 13" xfId="45674" xr:uid="{00000000-0005-0000-0000-00004DB10000}"/>
    <cellStyle name="Normal 4 3 6 2" xfId="45675" xr:uid="{00000000-0005-0000-0000-00004EB10000}"/>
    <cellStyle name="Normal 4 3 6 2 10" xfId="45676" xr:uid="{00000000-0005-0000-0000-00004FB10000}"/>
    <cellStyle name="Normal 4 3 6 2 2" xfId="45677" xr:uid="{00000000-0005-0000-0000-000050B10000}"/>
    <cellStyle name="Normal 4 3 6 2 2 2" xfId="45678" xr:uid="{00000000-0005-0000-0000-000051B10000}"/>
    <cellStyle name="Normal 4 3 6 2 2 2 2" xfId="45679" xr:uid="{00000000-0005-0000-0000-000052B10000}"/>
    <cellStyle name="Normal 4 3 6 2 2 2 2 2" xfId="45680" xr:uid="{00000000-0005-0000-0000-000053B10000}"/>
    <cellStyle name="Normal 4 3 6 2 2 2 2 3" xfId="45681" xr:uid="{00000000-0005-0000-0000-000054B10000}"/>
    <cellStyle name="Normal 4 3 6 2 2 2 3" xfId="45682" xr:uid="{00000000-0005-0000-0000-000055B10000}"/>
    <cellStyle name="Normal 4 3 6 2 2 2 4" xfId="45683" xr:uid="{00000000-0005-0000-0000-000056B10000}"/>
    <cellStyle name="Normal 4 3 6 2 2 2 5" xfId="45684" xr:uid="{00000000-0005-0000-0000-000057B10000}"/>
    <cellStyle name="Normal 4 3 6 2 2 2 6" xfId="45685" xr:uid="{00000000-0005-0000-0000-000058B10000}"/>
    <cellStyle name="Normal 4 3 6 2 2 3" xfId="45686" xr:uid="{00000000-0005-0000-0000-000059B10000}"/>
    <cellStyle name="Normal 4 3 6 2 2 3 2" xfId="45687" xr:uid="{00000000-0005-0000-0000-00005AB10000}"/>
    <cellStyle name="Normal 4 3 6 2 2 3 2 2" xfId="45688" xr:uid="{00000000-0005-0000-0000-00005BB10000}"/>
    <cellStyle name="Normal 4 3 6 2 2 3 2 3" xfId="45689" xr:uid="{00000000-0005-0000-0000-00005CB10000}"/>
    <cellStyle name="Normal 4 3 6 2 2 3 3" xfId="45690" xr:uid="{00000000-0005-0000-0000-00005DB10000}"/>
    <cellStyle name="Normal 4 3 6 2 2 3 4" xfId="45691" xr:uid="{00000000-0005-0000-0000-00005EB10000}"/>
    <cellStyle name="Normal 4 3 6 2 2 3 5" xfId="45692" xr:uid="{00000000-0005-0000-0000-00005FB10000}"/>
    <cellStyle name="Normal 4 3 6 2 2 3 6" xfId="45693" xr:uid="{00000000-0005-0000-0000-000060B10000}"/>
    <cellStyle name="Normal 4 3 6 2 2 4" xfId="45694" xr:uid="{00000000-0005-0000-0000-000061B10000}"/>
    <cellStyle name="Normal 4 3 6 2 2 4 2" xfId="45695" xr:uid="{00000000-0005-0000-0000-000062B10000}"/>
    <cellStyle name="Normal 4 3 6 2 2 4 3" xfId="45696" xr:uid="{00000000-0005-0000-0000-000063B10000}"/>
    <cellStyle name="Normal 4 3 6 2 2 5" xfId="45697" xr:uid="{00000000-0005-0000-0000-000064B10000}"/>
    <cellStyle name="Normal 4 3 6 2 2 6" xfId="45698" xr:uid="{00000000-0005-0000-0000-000065B10000}"/>
    <cellStyle name="Normal 4 3 6 2 2 7" xfId="45699" xr:uid="{00000000-0005-0000-0000-000066B10000}"/>
    <cellStyle name="Normal 4 3 6 2 2 8" xfId="45700" xr:uid="{00000000-0005-0000-0000-000067B10000}"/>
    <cellStyle name="Normal 4 3 6 2 3" xfId="45701" xr:uid="{00000000-0005-0000-0000-000068B10000}"/>
    <cellStyle name="Normal 4 3 6 2 3 2" xfId="45702" xr:uid="{00000000-0005-0000-0000-000069B10000}"/>
    <cellStyle name="Normal 4 3 6 2 3 2 2" xfId="45703" xr:uid="{00000000-0005-0000-0000-00006AB10000}"/>
    <cellStyle name="Normal 4 3 6 2 3 2 2 2" xfId="45704" xr:uid="{00000000-0005-0000-0000-00006BB10000}"/>
    <cellStyle name="Normal 4 3 6 2 3 2 2 3" xfId="45705" xr:uid="{00000000-0005-0000-0000-00006CB10000}"/>
    <cellStyle name="Normal 4 3 6 2 3 2 3" xfId="45706" xr:uid="{00000000-0005-0000-0000-00006DB10000}"/>
    <cellStyle name="Normal 4 3 6 2 3 2 4" xfId="45707" xr:uid="{00000000-0005-0000-0000-00006EB10000}"/>
    <cellStyle name="Normal 4 3 6 2 3 2 5" xfId="45708" xr:uid="{00000000-0005-0000-0000-00006FB10000}"/>
    <cellStyle name="Normal 4 3 6 2 3 2 6" xfId="45709" xr:uid="{00000000-0005-0000-0000-000070B10000}"/>
    <cellStyle name="Normal 4 3 6 2 3 3" xfId="45710" xr:uid="{00000000-0005-0000-0000-000071B10000}"/>
    <cellStyle name="Normal 4 3 6 2 3 3 2" xfId="45711" xr:uid="{00000000-0005-0000-0000-000072B10000}"/>
    <cellStyle name="Normal 4 3 6 2 3 3 3" xfId="45712" xr:uid="{00000000-0005-0000-0000-000073B10000}"/>
    <cellStyle name="Normal 4 3 6 2 3 4" xfId="45713" xr:uid="{00000000-0005-0000-0000-000074B10000}"/>
    <cellStyle name="Normal 4 3 6 2 3 5" xfId="45714" xr:uid="{00000000-0005-0000-0000-000075B10000}"/>
    <cellStyle name="Normal 4 3 6 2 3 6" xfId="45715" xr:uid="{00000000-0005-0000-0000-000076B10000}"/>
    <cellStyle name="Normal 4 3 6 2 3 7" xfId="45716" xr:uid="{00000000-0005-0000-0000-000077B10000}"/>
    <cellStyle name="Normal 4 3 6 2 4" xfId="45717" xr:uid="{00000000-0005-0000-0000-000078B10000}"/>
    <cellStyle name="Normal 4 3 6 2 4 2" xfId="45718" xr:uid="{00000000-0005-0000-0000-000079B10000}"/>
    <cellStyle name="Normal 4 3 6 2 4 2 2" xfId="45719" xr:uid="{00000000-0005-0000-0000-00007AB10000}"/>
    <cellStyle name="Normal 4 3 6 2 4 2 3" xfId="45720" xr:uid="{00000000-0005-0000-0000-00007BB10000}"/>
    <cellStyle name="Normal 4 3 6 2 4 3" xfId="45721" xr:uid="{00000000-0005-0000-0000-00007CB10000}"/>
    <cellStyle name="Normal 4 3 6 2 4 4" xfId="45722" xr:uid="{00000000-0005-0000-0000-00007DB10000}"/>
    <cellStyle name="Normal 4 3 6 2 4 5" xfId="45723" xr:uid="{00000000-0005-0000-0000-00007EB10000}"/>
    <cellStyle name="Normal 4 3 6 2 4 6" xfId="45724" xr:uid="{00000000-0005-0000-0000-00007FB10000}"/>
    <cellStyle name="Normal 4 3 6 2 5" xfId="45725" xr:uid="{00000000-0005-0000-0000-000080B10000}"/>
    <cellStyle name="Normal 4 3 6 2 5 2" xfId="45726" xr:uid="{00000000-0005-0000-0000-000081B10000}"/>
    <cellStyle name="Normal 4 3 6 2 5 2 2" xfId="45727" xr:uid="{00000000-0005-0000-0000-000082B10000}"/>
    <cellStyle name="Normal 4 3 6 2 5 2 3" xfId="45728" xr:uid="{00000000-0005-0000-0000-000083B10000}"/>
    <cellStyle name="Normal 4 3 6 2 5 3" xfId="45729" xr:uid="{00000000-0005-0000-0000-000084B10000}"/>
    <cellStyle name="Normal 4 3 6 2 5 4" xfId="45730" xr:uid="{00000000-0005-0000-0000-000085B10000}"/>
    <cellStyle name="Normal 4 3 6 2 5 5" xfId="45731" xr:uid="{00000000-0005-0000-0000-000086B10000}"/>
    <cellStyle name="Normal 4 3 6 2 5 6" xfId="45732" xr:uid="{00000000-0005-0000-0000-000087B10000}"/>
    <cellStyle name="Normal 4 3 6 2 6" xfId="45733" xr:uid="{00000000-0005-0000-0000-000088B10000}"/>
    <cellStyle name="Normal 4 3 6 2 6 2" xfId="45734" xr:uid="{00000000-0005-0000-0000-000089B10000}"/>
    <cellStyle name="Normal 4 3 6 2 6 3" xfId="45735" xr:uid="{00000000-0005-0000-0000-00008AB10000}"/>
    <cellStyle name="Normal 4 3 6 2 7" xfId="45736" xr:uid="{00000000-0005-0000-0000-00008BB10000}"/>
    <cellStyle name="Normal 4 3 6 2 8" xfId="45737" xr:uid="{00000000-0005-0000-0000-00008CB10000}"/>
    <cellStyle name="Normal 4 3 6 2 9" xfId="45738" xr:uid="{00000000-0005-0000-0000-00008DB10000}"/>
    <cellStyle name="Normal 4 3 6 3" xfId="45739" xr:uid="{00000000-0005-0000-0000-00008EB10000}"/>
    <cellStyle name="Normal 4 3 6 3 2" xfId="45740" xr:uid="{00000000-0005-0000-0000-00008FB10000}"/>
    <cellStyle name="Normal 4 3 6 3 2 2" xfId="45741" xr:uid="{00000000-0005-0000-0000-000090B10000}"/>
    <cellStyle name="Normal 4 3 6 3 2 2 2" xfId="45742" xr:uid="{00000000-0005-0000-0000-000091B10000}"/>
    <cellStyle name="Normal 4 3 6 3 2 2 2 2" xfId="45743" xr:uid="{00000000-0005-0000-0000-000092B10000}"/>
    <cellStyle name="Normal 4 3 6 3 2 2 2 3" xfId="45744" xr:uid="{00000000-0005-0000-0000-000093B10000}"/>
    <cellStyle name="Normal 4 3 6 3 2 2 3" xfId="45745" xr:uid="{00000000-0005-0000-0000-000094B10000}"/>
    <cellStyle name="Normal 4 3 6 3 2 2 4" xfId="45746" xr:uid="{00000000-0005-0000-0000-000095B10000}"/>
    <cellStyle name="Normal 4 3 6 3 2 2 5" xfId="45747" xr:uid="{00000000-0005-0000-0000-000096B10000}"/>
    <cellStyle name="Normal 4 3 6 3 2 2 6" xfId="45748" xr:uid="{00000000-0005-0000-0000-000097B10000}"/>
    <cellStyle name="Normal 4 3 6 3 2 3" xfId="45749" xr:uid="{00000000-0005-0000-0000-000098B10000}"/>
    <cellStyle name="Normal 4 3 6 3 2 3 2" xfId="45750" xr:uid="{00000000-0005-0000-0000-000099B10000}"/>
    <cellStyle name="Normal 4 3 6 3 2 3 3" xfId="45751" xr:uid="{00000000-0005-0000-0000-00009AB10000}"/>
    <cellStyle name="Normal 4 3 6 3 2 4" xfId="45752" xr:uid="{00000000-0005-0000-0000-00009BB10000}"/>
    <cellStyle name="Normal 4 3 6 3 2 5" xfId="45753" xr:uid="{00000000-0005-0000-0000-00009CB10000}"/>
    <cellStyle name="Normal 4 3 6 3 2 6" xfId="45754" xr:uid="{00000000-0005-0000-0000-00009DB10000}"/>
    <cellStyle name="Normal 4 3 6 3 2 7" xfId="45755" xr:uid="{00000000-0005-0000-0000-00009EB10000}"/>
    <cellStyle name="Normal 4 3 6 3 3" xfId="45756" xr:uid="{00000000-0005-0000-0000-00009FB10000}"/>
    <cellStyle name="Normal 4 3 6 3 3 2" xfId="45757" xr:uid="{00000000-0005-0000-0000-0000A0B10000}"/>
    <cellStyle name="Normal 4 3 6 3 3 2 2" xfId="45758" xr:uid="{00000000-0005-0000-0000-0000A1B10000}"/>
    <cellStyle name="Normal 4 3 6 3 3 2 3" xfId="45759" xr:uid="{00000000-0005-0000-0000-0000A2B10000}"/>
    <cellStyle name="Normal 4 3 6 3 3 3" xfId="45760" xr:uid="{00000000-0005-0000-0000-0000A3B10000}"/>
    <cellStyle name="Normal 4 3 6 3 3 4" xfId="45761" xr:uid="{00000000-0005-0000-0000-0000A4B10000}"/>
    <cellStyle name="Normal 4 3 6 3 3 5" xfId="45762" xr:uid="{00000000-0005-0000-0000-0000A5B10000}"/>
    <cellStyle name="Normal 4 3 6 3 3 6" xfId="45763" xr:uid="{00000000-0005-0000-0000-0000A6B10000}"/>
    <cellStyle name="Normal 4 3 6 3 4" xfId="45764" xr:uid="{00000000-0005-0000-0000-0000A7B10000}"/>
    <cellStyle name="Normal 4 3 6 3 4 2" xfId="45765" xr:uid="{00000000-0005-0000-0000-0000A8B10000}"/>
    <cellStyle name="Normal 4 3 6 3 4 2 2" xfId="45766" xr:uid="{00000000-0005-0000-0000-0000A9B10000}"/>
    <cellStyle name="Normal 4 3 6 3 4 2 3" xfId="45767" xr:uid="{00000000-0005-0000-0000-0000AAB10000}"/>
    <cellStyle name="Normal 4 3 6 3 4 3" xfId="45768" xr:uid="{00000000-0005-0000-0000-0000ABB10000}"/>
    <cellStyle name="Normal 4 3 6 3 4 4" xfId="45769" xr:uid="{00000000-0005-0000-0000-0000ACB10000}"/>
    <cellStyle name="Normal 4 3 6 3 4 5" xfId="45770" xr:uid="{00000000-0005-0000-0000-0000ADB10000}"/>
    <cellStyle name="Normal 4 3 6 3 4 6" xfId="45771" xr:uid="{00000000-0005-0000-0000-0000AEB10000}"/>
    <cellStyle name="Normal 4 3 6 3 5" xfId="45772" xr:uid="{00000000-0005-0000-0000-0000AFB10000}"/>
    <cellStyle name="Normal 4 3 6 3 5 2" xfId="45773" xr:uid="{00000000-0005-0000-0000-0000B0B10000}"/>
    <cellStyle name="Normal 4 3 6 3 5 3" xfId="45774" xr:uid="{00000000-0005-0000-0000-0000B1B10000}"/>
    <cellStyle name="Normal 4 3 6 3 6" xfId="45775" xr:uid="{00000000-0005-0000-0000-0000B2B10000}"/>
    <cellStyle name="Normal 4 3 6 3 7" xfId="45776" xr:uid="{00000000-0005-0000-0000-0000B3B10000}"/>
    <cellStyle name="Normal 4 3 6 3 8" xfId="45777" xr:uid="{00000000-0005-0000-0000-0000B4B10000}"/>
    <cellStyle name="Normal 4 3 6 3 9" xfId="45778" xr:uid="{00000000-0005-0000-0000-0000B5B10000}"/>
    <cellStyle name="Normal 4 3 6 4" xfId="45779" xr:uid="{00000000-0005-0000-0000-0000B6B10000}"/>
    <cellStyle name="Normal 4 3 6 4 2" xfId="45780" xr:uid="{00000000-0005-0000-0000-0000B7B10000}"/>
    <cellStyle name="Normal 4 3 6 4 2 2" xfId="45781" xr:uid="{00000000-0005-0000-0000-0000B8B10000}"/>
    <cellStyle name="Normal 4 3 6 4 2 2 2" xfId="45782" xr:uid="{00000000-0005-0000-0000-0000B9B10000}"/>
    <cellStyle name="Normal 4 3 6 4 2 2 3" xfId="45783" xr:uid="{00000000-0005-0000-0000-0000BAB10000}"/>
    <cellStyle name="Normal 4 3 6 4 2 3" xfId="45784" xr:uid="{00000000-0005-0000-0000-0000BBB10000}"/>
    <cellStyle name="Normal 4 3 6 4 2 4" xfId="45785" xr:uid="{00000000-0005-0000-0000-0000BCB10000}"/>
    <cellStyle name="Normal 4 3 6 4 2 5" xfId="45786" xr:uid="{00000000-0005-0000-0000-0000BDB10000}"/>
    <cellStyle name="Normal 4 3 6 4 2 6" xfId="45787" xr:uid="{00000000-0005-0000-0000-0000BEB10000}"/>
    <cellStyle name="Normal 4 3 6 4 3" xfId="45788" xr:uid="{00000000-0005-0000-0000-0000BFB10000}"/>
    <cellStyle name="Normal 4 3 6 4 3 2" xfId="45789" xr:uid="{00000000-0005-0000-0000-0000C0B10000}"/>
    <cellStyle name="Normal 4 3 6 4 3 3" xfId="45790" xr:uid="{00000000-0005-0000-0000-0000C1B10000}"/>
    <cellStyle name="Normal 4 3 6 4 4" xfId="45791" xr:uid="{00000000-0005-0000-0000-0000C2B10000}"/>
    <cellStyle name="Normal 4 3 6 4 5" xfId="45792" xr:uid="{00000000-0005-0000-0000-0000C3B10000}"/>
    <cellStyle name="Normal 4 3 6 4 6" xfId="45793" xr:uid="{00000000-0005-0000-0000-0000C4B10000}"/>
    <cellStyle name="Normal 4 3 6 4 7" xfId="45794" xr:uid="{00000000-0005-0000-0000-0000C5B10000}"/>
    <cellStyle name="Normal 4 3 6 5" xfId="45795" xr:uid="{00000000-0005-0000-0000-0000C6B10000}"/>
    <cellStyle name="Normal 4 3 6 5 2" xfId="45796" xr:uid="{00000000-0005-0000-0000-0000C7B10000}"/>
    <cellStyle name="Normal 4 3 6 5 2 2" xfId="45797" xr:uid="{00000000-0005-0000-0000-0000C8B10000}"/>
    <cellStyle name="Normal 4 3 6 5 2 3" xfId="45798" xr:uid="{00000000-0005-0000-0000-0000C9B10000}"/>
    <cellStyle name="Normal 4 3 6 5 3" xfId="45799" xr:uid="{00000000-0005-0000-0000-0000CAB10000}"/>
    <cellStyle name="Normal 4 3 6 5 4" xfId="45800" xr:uid="{00000000-0005-0000-0000-0000CBB10000}"/>
    <cellStyle name="Normal 4 3 6 5 5" xfId="45801" xr:uid="{00000000-0005-0000-0000-0000CCB10000}"/>
    <cellStyle name="Normal 4 3 6 5 6" xfId="45802" xr:uid="{00000000-0005-0000-0000-0000CDB10000}"/>
    <cellStyle name="Normal 4 3 6 6" xfId="45803" xr:uid="{00000000-0005-0000-0000-0000CEB10000}"/>
    <cellStyle name="Normal 4 3 6 6 2" xfId="45804" xr:uid="{00000000-0005-0000-0000-0000CFB10000}"/>
    <cellStyle name="Normal 4 3 6 6 2 2" xfId="45805" xr:uid="{00000000-0005-0000-0000-0000D0B10000}"/>
    <cellStyle name="Normal 4 3 6 6 2 3" xfId="45806" xr:uid="{00000000-0005-0000-0000-0000D1B10000}"/>
    <cellStyle name="Normal 4 3 6 6 3" xfId="45807" xr:uid="{00000000-0005-0000-0000-0000D2B10000}"/>
    <cellStyle name="Normal 4 3 6 6 4" xfId="45808" xr:uid="{00000000-0005-0000-0000-0000D3B10000}"/>
    <cellStyle name="Normal 4 3 6 6 5" xfId="45809" xr:uid="{00000000-0005-0000-0000-0000D4B10000}"/>
    <cellStyle name="Normal 4 3 6 6 6" xfId="45810" xr:uid="{00000000-0005-0000-0000-0000D5B10000}"/>
    <cellStyle name="Normal 4 3 6 7" xfId="45811" xr:uid="{00000000-0005-0000-0000-0000D6B10000}"/>
    <cellStyle name="Normal 4 3 6 7 2" xfId="45812" xr:uid="{00000000-0005-0000-0000-0000D7B10000}"/>
    <cellStyle name="Normal 4 3 6 7 2 2" xfId="45813" xr:uid="{00000000-0005-0000-0000-0000D8B10000}"/>
    <cellStyle name="Normal 4 3 6 7 2 3" xfId="45814" xr:uid="{00000000-0005-0000-0000-0000D9B10000}"/>
    <cellStyle name="Normal 4 3 6 7 3" xfId="45815" xr:uid="{00000000-0005-0000-0000-0000DAB10000}"/>
    <cellStyle name="Normal 4 3 6 7 4" xfId="45816" xr:uid="{00000000-0005-0000-0000-0000DBB10000}"/>
    <cellStyle name="Normal 4 3 6 7 5" xfId="45817" xr:uid="{00000000-0005-0000-0000-0000DCB10000}"/>
    <cellStyle name="Normal 4 3 6 7 6" xfId="45818" xr:uid="{00000000-0005-0000-0000-0000DDB10000}"/>
    <cellStyle name="Normal 4 3 6 8" xfId="45819" xr:uid="{00000000-0005-0000-0000-0000DEB10000}"/>
    <cellStyle name="Normal 4 3 6 8 2" xfId="45820" xr:uid="{00000000-0005-0000-0000-0000DFB10000}"/>
    <cellStyle name="Normal 4 3 6 8 2 2" xfId="45821" xr:uid="{00000000-0005-0000-0000-0000E0B10000}"/>
    <cellStyle name="Normal 4 3 6 8 2 3" xfId="45822" xr:uid="{00000000-0005-0000-0000-0000E1B10000}"/>
    <cellStyle name="Normal 4 3 6 8 3" xfId="45823" xr:uid="{00000000-0005-0000-0000-0000E2B10000}"/>
    <cellStyle name="Normal 4 3 6 8 4" xfId="45824" xr:uid="{00000000-0005-0000-0000-0000E3B10000}"/>
    <cellStyle name="Normal 4 3 6 8 5" xfId="45825" xr:uid="{00000000-0005-0000-0000-0000E4B10000}"/>
    <cellStyle name="Normal 4 3 6 8 6" xfId="45826" xr:uid="{00000000-0005-0000-0000-0000E5B10000}"/>
    <cellStyle name="Normal 4 3 6 9" xfId="45827" xr:uid="{00000000-0005-0000-0000-0000E6B10000}"/>
    <cellStyle name="Normal 4 3 6 9 2" xfId="45828" xr:uid="{00000000-0005-0000-0000-0000E7B10000}"/>
    <cellStyle name="Normal 4 3 6 9 3" xfId="45829" xr:uid="{00000000-0005-0000-0000-0000E8B10000}"/>
    <cellStyle name="Normal 4 3 7" xfId="45830" xr:uid="{00000000-0005-0000-0000-0000E9B10000}"/>
    <cellStyle name="Normal 4 3 7 10" xfId="45831" xr:uid="{00000000-0005-0000-0000-0000EAB10000}"/>
    <cellStyle name="Normal 4 3 7 2" xfId="45832" xr:uid="{00000000-0005-0000-0000-0000EBB10000}"/>
    <cellStyle name="Normal 4 3 7 2 2" xfId="45833" xr:uid="{00000000-0005-0000-0000-0000ECB10000}"/>
    <cellStyle name="Normal 4 3 7 2 2 2" xfId="45834" xr:uid="{00000000-0005-0000-0000-0000EDB10000}"/>
    <cellStyle name="Normal 4 3 7 2 2 2 2" xfId="45835" xr:uid="{00000000-0005-0000-0000-0000EEB10000}"/>
    <cellStyle name="Normal 4 3 7 2 2 2 3" xfId="45836" xr:uid="{00000000-0005-0000-0000-0000EFB10000}"/>
    <cellStyle name="Normal 4 3 7 2 2 3" xfId="45837" xr:uid="{00000000-0005-0000-0000-0000F0B10000}"/>
    <cellStyle name="Normal 4 3 7 2 2 4" xfId="45838" xr:uid="{00000000-0005-0000-0000-0000F1B10000}"/>
    <cellStyle name="Normal 4 3 7 2 2 5" xfId="45839" xr:uid="{00000000-0005-0000-0000-0000F2B10000}"/>
    <cellStyle name="Normal 4 3 7 2 2 6" xfId="45840" xr:uid="{00000000-0005-0000-0000-0000F3B10000}"/>
    <cellStyle name="Normal 4 3 7 2 3" xfId="45841" xr:uid="{00000000-0005-0000-0000-0000F4B10000}"/>
    <cellStyle name="Normal 4 3 7 2 3 2" xfId="45842" xr:uid="{00000000-0005-0000-0000-0000F5B10000}"/>
    <cellStyle name="Normal 4 3 7 2 3 2 2" xfId="45843" xr:uid="{00000000-0005-0000-0000-0000F6B10000}"/>
    <cellStyle name="Normal 4 3 7 2 3 2 3" xfId="45844" xr:uid="{00000000-0005-0000-0000-0000F7B10000}"/>
    <cellStyle name="Normal 4 3 7 2 3 3" xfId="45845" xr:uid="{00000000-0005-0000-0000-0000F8B10000}"/>
    <cellStyle name="Normal 4 3 7 2 3 4" xfId="45846" xr:uid="{00000000-0005-0000-0000-0000F9B10000}"/>
    <cellStyle name="Normal 4 3 7 2 3 5" xfId="45847" xr:uid="{00000000-0005-0000-0000-0000FAB10000}"/>
    <cellStyle name="Normal 4 3 7 2 3 6" xfId="45848" xr:uid="{00000000-0005-0000-0000-0000FBB10000}"/>
    <cellStyle name="Normal 4 3 7 2 4" xfId="45849" xr:uid="{00000000-0005-0000-0000-0000FCB10000}"/>
    <cellStyle name="Normal 4 3 7 2 4 2" xfId="45850" xr:uid="{00000000-0005-0000-0000-0000FDB10000}"/>
    <cellStyle name="Normal 4 3 7 2 4 3" xfId="45851" xr:uid="{00000000-0005-0000-0000-0000FEB10000}"/>
    <cellStyle name="Normal 4 3 7 2 5" xfId="45852" xr:uid="{00000000-0005-0000-0000-0000FFB10000}"/>
    <cellStyle name="Normal 4 3 7 2 6" xfId="45853" xr:uid="{00000000-0005-0000-0000-000000B20000}"/>
    <cellStyle name="Normal 4 3 7 2 7" xfId="45854" xr:uid="{00000000-0005-0000-0000-000001B20000}"/>
    <cellStyle name="Normal 4 3 7 2 8" xfId="45855" xr:uid="{00000000-0005-0000-0000-000002B20000}"/>
    <cellStyle name="Normal 4 3 7 3" xfId="45856" xr:uid="{00000000-0005-0000-0000-000003B20000}"/>
    <cellStyle name="Normal 4 3 7 3 2" xfId="45857" xr:uid="{00000000-0005-0000-0000-000004B20000}"/>
    <cellStyle name="Normal 4 3 7 3 2 2" xfId="45858" xr:uid="{00000000-0005-0000-0000-000005B20000}"/>
    <cellStyle name="Normal 4 3 7 3 2 2 2" xfId="45859" xr:uid="{00000000-0005-0000-0000-000006B20000}"/>
    <cellStyle name="Normal 4 3 7 3 2 2 3" xfId="45860" xr:uid="{00000000-0005-0000-0000-000007B20000}"/>
    <cellStyle name="Normal 4 3 7 3 2 3" xfId="45861" xr:uid="{00000000-0005-0000-0000-000008B20000}"/>
    <cellStyle name="Normal 4 3 7 3 2 4" xfId="45862" xr:uid="{00000000-0005-0000-0000-000009B20000}"/>
    <cellStyle name="Normal 4 3 7 3 2 5" xfId="45863" xr:uid="{00000000-0005-0000-0000-00000AB20000}"/>
    <cellStyle name="Normal 4 3 7 3 2 6" xfId="45864" xr:uid="{00000000-0005-0000-0000-00000BB20000}"/>
    <cellStyle name="Normal 4 3 7 3 3" xfId="45865" xr:uid="{00000000-0005-0000-0000-00000CB20000}"/>
    <cellStyle name="Normal 4 3 7 3 3 2" xfId="45866" xr:uid="{00000000-0005-0000-0000-00000DB20000}"/>
    <cellStyle name="Normal 4 3 7 3 3 3" xfId="45867" xr:uid="{00000000-0005-0000-0000-00000EB20000}"/>
    <cellStyle name="Normal 4 3 7 3 4" xfId="45868" xr:uid="{00000000-0005-0000-0000-00000FB20000}"/>
    <cellStyle name="Normal 4 3 7 3 5" xfId="45869" xr:uid="{00000000-0005-0000-0000-000010B20000}"/>
    <cellStyle name="Normal 4 3 7 3 6" xfId="45870" xr:uid="{00000000-0005-0000-0000-000011B20000}"/>
    <cellStyle name="Normal 4 3 7 3 7" xfId="45871" xr:uid="{00000000-0005-0000-0000-000012B20000}"/>
    <cellStyle name="Normal 4 3 7 4" xfId="45872" xr:uid="{00000000-0005-0000-0000-000013B20000}"/>
    <cellStyle name="Normal 4 3 7 4 2" xfId="45873" xr:uid="{00000000-0005-0000-0000-000014B20000}"/>
    <cellStyle name="Normal 4 3 7 4 2 2" xfId="45874" xr:uid="{00000000-0005-0000-0000-000015B20000}"/>
    <cellStyle name="Normal 4 3 7 4 2 3" xfId="45875" xr:uid="{00000000-0005-0000-0000-000016B20000}"/>
    <cellStyle name="Normal 4 3 7 4 3" xfId="45876" xr:uid="{00000000-0005-0000-0000-000017B20000}"/>
    <cellStyle name="Normal 4 3 7 4 4" xfId="45877" xr:uid="{00000000-0005-0000-0000-000018B20000}"/>
    <cellStyle name="Normal 4 3 7 4 5" xfId="45878" xr:uid="{00000000-0005-0000-0000-000019B20000}"/>
    <cellStyle name="Normal 4 3 7 4 6" xfId="45879" xr:uid="{00000000-0005-0000-0000-00001AB20000}"/>
    <cellStyle name="Normal 4 3 7 5" xfId="45880" xr:uid="{00000000-0005-0000-0000-00001BB20000}"/>
    <cellStyle name="Normal 4 3 7 5 2" xfId="45881" xr:uid="{00000000-0005-0000-0000-00001CB20000}"/>
    <cellStyle name="Normal 4 3 7 5 2 2" xfId="45882" xr:uid="{00000000-0005-0000-0000-00001DB20000}"/>
    <cellStyle name="Normal 4 3 7 5 2 3" xfId="45883" xr:uid="{00000000-0005-0000-0000-00001EB20000}"/>
    <cellStyle name="Normal 4 3 7 5 3" xfId="45884" xr:uid="{00000000-0005-0000-0000-00001FB20000}"/>
    <cellStyle name="Normal 4 3 7 5 4" xfId="45885" xr:uid="{00000000-0005-0000-0000-000020B20000}"/>
    <cellStyle name="Normal 4 3 7 5 5" xfId="45886" xr:uid="{00000000-0005-0000-0000-000021B20000}"/>
    <cellStyle name="Normal 4 3 7 5 6" xfId="45887" xr:uid="{00000000-0005-0000-0000-000022B20000}"/>
    <cellStyle name="Normal 4 3 7 6" xfId="45888" xr:uid="{00000000-0005-0000-0000-000023B20000}"/>
    <cellStyle name="Normal 4 3 7 6 2" xfId="45889" xr:uid="{00000000-0005-0000-0000-000024B20000}"/>
    <cellStyle name="Normal 4 3 7 6 3" xfId="45890" xr:uid="{00000000-0005-0000-0000-000025B20000}"/>
    <cellStyle name="Normal 4 3 7 7" xfId="45891" xr:uid="{00000000-0005-0000-0000-000026B20000}"/>
    <cellStyle name="Normal 4 3 7 8" xfId="45892" xr:uid="{00000000-0005-0000-0000-000027B20000}"/>
    <cellStyle name="Normal 4 3 7 9" xfId="45893" xr:uid="{00000000-0005-0000-0000-000028B20000}"/>
    <cellStyle name="Normal 4 3 8" xfId="45894" xr:uid="{00000000-0005-0000-0000-000029B20000}"/>
    <cellStyle name="Normal 4 3 8 2" xfId="45895" xr:uid="{00000000-0005-0000-0000-00002AB20000}"/>
    <cellStyle name="Normal 4 3 8 2 2" xfId="45896" xr:uid="{00000000-0005-0000-0000-00002BB20000}"/>
    <cellStyle name="Normal 4 3 8 2 2 2" xfId="45897" xr:uid="{00000000-0005-0000-0000-00002CB20000}"/>
    <cellStyle name="Normal 4 3 8 2 2 2 2" xfId="45898" xr:uid="{00000000-0005-0000-0000-00002DB20000}"/>
    <cellStyle name="Normal 4 3 8 2 2 2 3" xfId="45899" xr:uid="{00000000-0005-0000-0000-00002EB20000}"/>
    <cellStyle name="Normal 4 3 8 2 2 3" xfId="45900" xr:uid="{00000000-0005-0000-0000-00002FB20000}"/>
    <cellStyle name="Normal 4 3 8 2 2 4" xfId="45901" xr:uid="{00000000-0005-0000-0000-000030B20000}"/>
    <cellStyle name="Normal 4 3 8 2 2 5" xfId="45902" xr:uid="{00000000-0005-0000-0000-000031B20000}"/>
    <cellStyle name="Normal 4 3 8 2 2 6" xfId="45903" xr:uid="{00000000-0005-0000-0000-000032B20000}"/>
    <cellStyle name="Normal 4 3 8 2 3" xfId="45904" xr:uid="{00000000-0005-0000-0000-000033B20000}"/>
    <cellStyle name="Normal 4 3 8 2 3 2" xfId="45905" xr:uid="{00000000-0005-0000-0000-000034B20000}"/>
    <cellStyle name="Normal 4 3 8 2 3 3" xfId="45906" xr:uid="{00000000-0005-0000-0000-000035B20000}"/>
    <cellStyle name="Normal 4 3 8 2 4" xfId="45907" xr:uid="{00000000-0005-0000-0000-000036B20000}"/>
    <cellStyle name="Normal 4 3 8 2 5" xfId="45908" xr:uid="{00000000-0005-0000-0000-000037B20000}"/>
    <cellStyle name="Normal 4 3 8 2 6" xfId="45909" xr:uid="{00000000-0005-0000-0000-000038B20000}"/>
    <cellStyle name="Normal 4 3 8 2 7" xfId="45910" xr:uid="{00000000-0005-0000-0000-000039B20000}"/>
    <cellStyle name="Normal 4 3 8 3" xfId="45911" xr:uid="{00000000-0005-0000-0000-00003AB20000}"/>
    <cellStyle name="Normal 4 3 8 3 2" xfId="45912" xr:uid="{00000000-0005-0000-0000-00003BB20000}"/>
    <cellStyle name="Normal 4 3 8 3 2 2" xfId="45913" xr:uid="{00000000-0005-0000-0000-00003CB20000}"/>
    <cellStyle name="Normal 4 3 8 3 2 3" xfId="45914" xr:uid="{00000000-0005-0000-0000-00003DB20000}"/>
    <cellStyle name="Normal 4 3 8 3 3" xfId="45915" xr:uid="{00000000-0005-0000-0000-00003EB20000}"/>
    <cellStyle name="Normal 4 3 8 3 4" xfId="45916" xr:uid="{00000000-0005-0000-0000-00003FB20000}"/>
    <cellStyle name="Normal 4 3 8 3 5" xfId="45917" xr:uid="{00000000-0005-0000-0000-000040B20000}"/>
    <cellStyle name="Normal 4 3 8 3 6" xfId="45918" xr:uid="{00000000-0005-0000-0000-000041B20000}"/>
    <cellStyle name="Normal 4 3 8 4" xfId="45919" xr:uid="{00000000-0005-0000-0000-000042B20000}"/>
    <cellStyle name="Normal 4 3 8 4 2" xfId="45920" xr:uid="{00000000-0005-0000-0000-000043B20000}"/>
    <cellStyle name="Normal 4 3 8 4 2 2" xfId="45921" xr:uid="{00000000-0005-0000-0000-000044B20000}"/>
    <cellStyle name="Normal 4 3 8 4 2 3" xfId="45922" xr:uid="{00000000-0005-0000-0000-000045B20000}"/>
    <cellStyle name="Normal 4 3 8 4 3" xfId="45923" xr:uid="{00000000-0005-0000-0000-000046B20000}"/>
    <cellStyle name="Normal 4 3 8 4 4" xfId="45924" xr:uid="{00000000-0005-0000-0000-000047B20000}"/>
    <cellStyle name="Normal 4 3 8 4 5" xfId="45925" xr:uid="{00000000-0005-0000-0000-000048B20000}"/>
    <cellStyle name="Normal 4 3 8 4 6" xfId="45926" xr:uid="{00000000-0005-0000-0000-000049B20000}"/>
    <cellStyle name="Normal 4 3 8 5" xfId="45927" xr:uid="{00000000-0005-0000-0000-00004AB20000}"/>
    <cellStyle name="Normal 4 3 8 5 2" xfId="45928" xr:uid="{00000000-0005-0000-0000-00004BB20000}"/>
    <cellStyle name="Normal 4 3 8 5 3" xfId="45929" xr:uid="{00000000-0005-0000-0000-00004CB20000}"/>
    <cellStyle name="Normal 4 3 8 6" xfId="45930" xr:uid="{00000000-0005-0000-0000-00004DB20000}"/>
    <cellStyle name="Normal 4 3 8 7" xfId="45931" xr:uid="{00000000-0005-0000-0000-00004EB20000}"/>
    <cellStyle name="Normal 4 3 8 8" xfId="45932" xr:uid="{00000000-0005-0000-0000-00004FB20000}"/>
    <cellStyle name="Normal 4 3 8 9" xfId="45933" xr:uid="{00000000-0005-0000-0000-000050B20000}"/>
    <cellStyle name="Normal 4 3 9" xfId="45934" xr:uid="{00000000-0005-0000-0000-000051B20000}"/>
    <cellStyle name="Normal 4 3 9 2" xfId="45935" xr:uid="{00000000-0005-0000-0000-000052B20000}"/>
    <cellStyle name="Normal 4 3 9 2 2" xfId="45936" xr:uid="{00000000-0005-0000-0000-000053B20000}"/>
    <cellStyle name="Normal 4 3 9 2 2 2" xfId="45937" xr:uid="{00000000-0005-0000-0000-000054B20000}"/>
    <cellStyle name="Normal 4 3 9 2 2 3" xfId="45938" xr:uid="{00000000-0005-0000-0000-000055B20000}"/>
    <cellStyle name="Normal 4 3 9 2 3" xfId="45939" xr:uid="{00000000-0005-0000-0000-000056B20000}"/>
    <cellStyle name="Normal 4 3 9 2 4" xfId="45940" xr:uid="{00000000-0005-0000-0000-000057B20000}"/>
    <cellStyle name="Normal 4 3 9 2 5" xfId="45941" xr:uid="{00000000-0005-0000-0000-000058B20000}"/>
    <cellStyle name="Normal 4 3 9 2 6" xfId="45942" xr:uid="{00000000-0005-0000-0000-000059B20000}"/>
    <cellStyle name="Normal 4 3 9 3" xfId="45943" xr:uid="{00000000-0005-0000-0000-00005AB20000}"/>
    <cellStyle name="Normal 4 3 9 3 2" xfId="45944" xr:uid="{00000000-0005-0000-0000-00005BB20000}"/>
    <cellStyle name="Normal 4 3 9 3 3" xfId="45945" xr:uid="{00000000-0005-0000-0000-00005CB20000}"/>
    <cellStyle name="Normal 4 3 9 4" xfId="45946" xr:uid="{00000000-0005-0000-0000-00005DB20000}"/>
    <cellStyle name="Normal 4 3 9 5" xfId="45947" xr:uid="{00000000-0005-0000-0000-00005EB20000}"/>
    <cellStyle name="Normal 4 3 9 6" xfId="45948" xr:uid="{00000000-0005-0000-0000-00005FB20000}"/>
    <cellStyle name="Normal 4 3 9 7" xfId="45949" xr:uid="{00000000-0005-0000-0000-000060B20000}"/>
    <cellStyle name="Normal 4 4" xfId="426" xr:uid="{00000000-0005-0000-0000-000061B20000}"/>
    <cellStyle name="Normal 4 4 10" xfId="45950" xr:uid="{00000000-0005-0000-0000-000062B20000}"/>
    <cellStyle name="Normal 4 4 11" xfId="45951" xr:uid="{00000000-0005-0000-0000-000063B20000}"/>
    <cellStyle name="Normal 4 4 12" xfId="45952" xr:uid="{00000000-0005-0000-0000-000064B20000}"/>
    <cellStyle name="Normal 4 4 13" xfId="45953" xr:uid="{00000000-0005-0000-0000-000065B20000}"/>
    <cellStyle name="Normal 4 4 2" xfId="427" xr:uid="{00000000-0005-0000-0000-000066B20000}"/>
    <cellStyle name="Normal 4 4 2 10" xfId="45954" xr:uid="{00000000-0005-0000-0000-000067B20000}"/>
    <cellStyle name="Normal 4 4 2 2" xfId="45955" xr:uid="{00000000-0005-0000-0000-000068B20000}"/>
    <cellStyle name="Normal 4 4 2 2 2" xfId="45956" xr:uid="{00000000-0005-0000-0000-000069B20000}"/>
    <cellStyle name="Normal 4 4 2 2 2 2" xfId="45957" xr:uid="{00000000-0005-0000-0000-00006AB20000}"/>
    <cellStyle name="Normal 4 4 2 2 2 2 2" xfId="45958" xr:uid="{00000000-0005-0000-0000-00006BB20000}"/>
    <cellStyle name="Normal 4 4 2 2 2 2 3" xfId="45959" xr:uid="{00000000-0005-0000-0000-00006CB20000}"/>
    <cellStyle name="Normal 4 4 2 2 2 3" xfId="45960" xr:uid="{00000000-0005-0000-0000-00006DB20000}"/>
    <cellStyle name="Normal 4 4 2 2 2 4" xfId="45961" xr:uid="{00000000-0005-0000-0000-00006EB20000}"/>
    <cellStyle name="Normal 4 4 2 2 2 5" xfId="45962" xr:uid="{00000000-0005-0000-0000-00006FB20000}"/>
    <cellStyle name="Normal 4 4 2 2 2 6" xfId="45963" xr:uid="{00000000-0005-0000-0000-000070B20000}"/>
    <cellStyle name="Normal 4 4 2 2 3" xfId="45964" xr:uid="{00000000-0005-0000-0000-000071B20000}"/>
    <cellStyle name="Normal 4 4 2 2 3 2" xfId="45965" xr:uid="{00000000-0005-0000-0000-000072B20000}"/>
    <cellStyle name="Normal 4 4 2 2 3 2 2" xfId="45966" xr:uid="{00000000-0005-0000-0000-000073B20000}"/>
    <cellStyle name="Normal 4 4 2 2 3 2 3" xfId="45967" xr:uid="{00000000-0005-0000-0000-000074B20000}"/>
    <cellStyle name="Normal 4 4 2 2 3 3" xfId="45968" xr:uid="{00000000-0005-0000-0000-000075B20000}"/>
    <cellStyle name="Normal 4 4 2 2 3 4" xfId="45969" xr:uid="{00000000-0005-0000-0000-000076B20000}"/>
    <cellStyle name="Normal 4 4 2 2 3 5" xfId="45970" xr:uid="{00000000-0005-0000-0000-000077B20000}"/>
    <cellStyle name="Normal 4 4 2 2 3 6" xfId="45971" xr:uid="{00000000-0005-0000-0000-000078B20000}"/>
    <cellStyle name="Normal 4 4 2 2 4" xfId="45972" xr:uid="{00000000-0005-0000-0000-000079B20000}"/>
    <cellStyle name="Normal 4 4 2 2 4 2" xfId="45973" xr:uid="{00000000-0005-0000-0000-00007AB20000}"/>
    <cellStyle name="Normal 4 4 2 2 4 3" xfId="45974" xr:uid="{00000000-0005-0000-0000-00007BB20000}"/>
    <cellStyle name="Normal 4 4 2 2 5" xfId="45975" xr:uid="{00000000-0005-0000-0000-00007CB20000}"/>
    <cellStyle name="Normal 4 4 2 2 6" xfId="45976" xr:uid="{00000000-0005-0000-0000-00007DB20000}"/>
    <cellStyle name="Normal 4 4 2 2 7" xfId="45977" xr:uid="{00000000-0005-0000-0000-00007EB20000}"/>
    <cellStyle name="Normal 4 4 2 2 8" xfId="45978" xr:uid="{00000000-0005-0000-0000-00007FB20000}"/>
    <cellStyle name="Normal 4 4 2 3" xfId="45979" xr:uid="{00000000-0005-0000-0000-000080B20000}"/>
    <cellStyle name="Normal 4 4 2 3 2" xfId="45980" xr:uid="{00000000-0005-0000-0000-000081B20000}"/>
    <cellStyle name="Normal 4 4 2 3 2 2" xfId="45981" xr:uid="{00000000-0005-0000-0000-000082B20000}"/>
    <cellStyle name="Normal 4 4 2 3 2 2 2" xfId="45982" xr:uid="{00000000-0005-0000-0000-000083B20000}"/>
    <cellStyle name="Normal 4 4 2 3 2 2 3" xfId="45983" xr:uid="{00000000-0005-0000-0000-000084B20000}"/>
    <cellStyle name="Normal 4 4 2 3 2 3" xfId="45984" xr:uid="{00000000-0005-0000-0000-000085B20000}"/>
    <cellStyle name="Normal 4 4 2 3 2 4" xfId="45985" xr:uid="{00000000-0005-0000-0000-000086B20000}"/>
    <cellStyle name="Normal 4 4 2 3 2 5" xfId="45986" xr:uid="{00000000-0005-0000-0000-000087B20000}"/>
    <cellStyle name="Normal 4 4 2 3 2 6" xfId="45987" xr:uid="{00000000-0005-0000-0000-000088B20000}"/>
    <cellStyle name="Normal 4 4 2 3 3" xfId="45988" xr:uid="{00000000-0005-0000-0000-000089B20000}"/>
    <cellStyle name="Normal 4 4 2 3 3 2" xfId="45989" xr:uid="{00000000-0005-0000-0000-00008AB20000}"/>
    <cellStyle name="Normal 4 4 2 3 3 3" xfId="45990" xr:uid="{00000000-0005-0000-0000-00008BB20000}"/>
    <cellStyle name="Normal 4 4 2 3 4" xfId="45991" xr:uid="{00000000-0005-0000-0000-00008CB20000}"/>
    <cellStyle name="Normal 4 4 2 3 5" xfId="45992" xr:uid="{00000000-0005-0000-0000-00008DB20000}"/>
    <cellStyle name="Normal 4 4 2 3 6" xfId="45993" xr:uid="{00000000-0005-0000-0000-00008EB20000}"/>
    <cellStyle name="Normal 4 4 2 3 7" xfId="45994" xr:uid="{00000000-0005-0000-0000-00008FB20000}"/>
    <cellStyle name="Normal 4 4 2 4" xfId="45995" xr:uid="{00000000-0005-0000-0000-000090B20000}"/>
    <cellStyle name="Normal 4 4 2 4 2" xfId="45996" xr:uid="{00000000-0005-0000-0000-000091B20000}"/>
    <cellStyle name="Normal 4 4 2 4 2 2" xfId="45997" xr:uid="{00000000-0005-0000-0000-000092B20000}"/>
    <cellStyle name="Normal 4 4 2 4 2 3" xfId="45998" xr:uid="{00000000-0005-0000-0000-000093B20000}"/>
    <cellStyle name="Normal 4 4 2 4 3" xfId="45999" xr:uid="{00000000-0005-0000-0000-000094B20000}"/>
    <cellStyle name="Normal 4 4 2 4 4" xfId="46000" xr:uid="{00000000-0005-0000-0000-000095B20000}"/>
    <cellStyle name="Normal 4 4 2 4 5" xfId="46001" xr:uid="{00000000-0005-0000-0000-000096B20000}"/>
    <cellStyle name="Normal 4 4 2 4 6" xfId="46002" xr:uid="{00000000-0005-0000-0000-000097B20000}"/>
    <cellStyle name="Normal 4 4 2 5" xfId="46003" xr:uid="{00000000-0005-0000-0000-000098B20000}"/>
    <cellStyle name="Normal 4 4 2 5 2" xfId="46004" xr:uid="{00000000-0005-0000-0000-000099B20000}"/>
    <cellStyle name="Normal 4 4 2 5 2 2" xfId="46005" xr:uid="{00000000-0005-0000-0000-00009AB20000}"/>
    <cellStyle name="Normal 4 4 2 5 2 3" xfId="46006" xr:uid="{00000000-0005-0000-0000-00009BB20000}"/>
    <cellStyle name="Normal 4 4 2 5 3" xfId="46007" xr:uid="{00000000-0005-0000-0000-00009CB20000}"/>
    <cellStyle name="Normal 4 4 2 5 4" xfId="46008" xr:uid="{00000000-0005-0000-0000-00009DB20000}"/>
    <cellStyle name="Normal 4 4 2 5 5" xfId="46009" xr:uid="{00000000-0005-0000-0000-00009EB20000}"/>
    <cellStyle name="Normal 4 4 2 5 6" xfId="46010" xr:uid="{00000000-0005-0000-0000-00009FB20000}"/>
    <cellStyle name="Normal 4 4 2 6" xfId="46011" xr:uid="{00000000-0005-0000-0000-0000A0B20000}"/>
    <cellStyle name="Normal 4 4 2 6 2" xfId="46012" xr:uid="{00000000-0005-0000-0000-0000A1B20000}"/>
    <cellStyle name="Normal 4 4 2 6 3" xfId="46013" xr:uid="{00000000-0005-0000-0000-0000A2B20000}"/>
    <cellStyle name="Normal 4 4 2 7" xfId="46014" xr:uid="{00000000-0005-0000-0000-0000A3B20000}"/>
    <cellStyle name="Normal 4 4 2 8" xfId="46015" xr:uid="{00000000-0005-0000-0000-0000A4B20000}"/>
    <cellStyle name="Normal 4 4 2 9" xfId="46016" xr:uid="{00000000-0005-0000-0000-0000A5B20000}"/>
    <cellStyle name="Normal 4 4 3" xfId="46017" xr:uid="{00000000-0005-0000-0000-0000A6B20000}"/>
    <cellStyle name="Normal 4 4 3 2" xfId="46018" xr:uid="{00000000-0005-0000-0000-0000A7B20000}"/>
    <cellStyle name="Normal 4 4 3 2 2" xfId="46019" xr:uid="{00000000-0005-0000-0000-0000A8B20000}"/>
    <cellStyle name="Normal 4 4 3 2 2 2" xfId="46020" xr:uid="{00000000-0005-0000-0000-0000A9B20000}"/>
    <cellStyle name="Normal 4 4 3 2 2 2 2" xfId="46021" xr:uid="{00000000-0005-0000-0000-0000AAB20000}"/>
    <cellStyle name="Normal 4 4 3 2 2 2 3" xfId="46022" xr:uid="{00000000-0005-0000-0000-0000ABB20000}"/>
    <cellStyle name="Normal 4 4 3 2 2 3" xfId="46023" xr:uid="{00000000-0005-0000-0000-0000ACB20000}"/>
    <cellStyle name="Normal 4 4 3 2 2 4" xfId="46024" xr:uid="{00000000-0005-0000-0000-0000ADB20000}"/>
    <cellStyle name="Normal 4 4 3 2 2 5" xfId="46025" xr:uid="{00000000-0005-0000-0000-0000AEB20000}"/>
    <cellStyle name="Normal 4 4 3 2 2 6" xfId="46026" xr:uid="{00000000-0005-0000-0000-0000AFB20000}"/>
    <cellStyle name="Normal 4 4 3 2 3" xfId="46027" xr:uid="{00000000-0005-0000-0000-0000B0B20000}"/>
    <cellStyle name="Normal 4 4 3 2 3 2" xfId="46028" xr:uid="{00000000-0005-0000-0000-0000B1B20000}"/>
    <cellStyle name="Normal 4 4 3 2 3 3" xfId="46029" xr:uid="{00000000-0005-0000-0000-0000B2B20000}"/>
    <cellStyle name="Normal 4 4 3 2 4" xfId="46030" xr:uid="{00000000-0005-0000-0000-0000B3B20000}"/>
    <cellStyle name="Normal 4 4 3 2 5" xfId="46031" xr:uid="{00000000-0005-0000-0000-0000B4B20000}"/>
    <cellStyle name="Normal 4 4 3 2 6" xfId="46032" xr:uid="{00000000-0005-0000-0000-0000B5B20000}"/>
    <cellStyle name="Normal 4 4 3 2 7" xfId="46033" xr:uid="{00000000-0005-0000-0000-0000B6B20000}"/>
    <cellStyle name="Normal 4 4 3 3" xfId="46034" xr:uid="{00000000-0005-0000-0000-0000B7B20000}"/>
    <cellStyle name="Normal 4 4 3 3 2" xfId="46035" xr:uid="{00000000-0005-0000-0000-0000B8B20000}"/>
    <cellStyle name="Normal 4 4 3 3 2 2" xfId="46036" xr:uid="{00000000-0005-0000-0000-0000B9B20000}"/>
    <cellStyle name="Normal 4 4 3 3 2 3" xfId="46037" xr:uid="{00000000-0005-0000-0000-0000BAB20000}"/>
    <cellStyle name="Normal 4 4 3 3 3" xfId="46038" xr:uid="{00000000-0005-0000-0000-0000BBB20000}"/>
    <cellStyle name="Normal 4 4 3 3 4" xfId="46039" xr:uid="{00000000-0005-0000-0000-0000BCB20000}"/>
    <cellStyle name="Normal 4 4 3 3 5" xfId="46040" xr:uid="{00000000-0005-0000-0000-0000BDB20000}"/>
    <cellStyle name="Normal 4 4 3 3 6" xfId="46041" xr:uid="{00000000-0005-0000-0000-0000BEB20000}"/>
    <cellStyle name="Normal 4 4 3 4" xfId="46042" xr:uid="{00000000-0005-0000-0000-0000BFB20000}"/>
    <cellStyle name="Normal 4 4 3 4 2" xfId="46043" xr:uid="{00000000-0005-0000-0000-0000C0B20000}"/>
    <cellStyle name="Normal 4 4 3 4 2 2" xfId="46044" xr:uid="{00000000-0005-0000-0000-0000C1B20000}"/>
    <cellStyle name="Normal 4 4 3 4 2 3" xfId="46045" xr:uid="{00000000-0005-0000-0000-0000C2B20000}"/>
    <cellStyle name="Normal 4 4 3 4 3" xfId="46046" xr:uid="{00000000-0005-0000-0000-0000C3B20000}"/>
    <cellStyle name="Normal 4 4 3 4 4" xfId="46047" xr:uid="{00000000-0005-0000-0000-0000C4B20000}"/>
    <cellStyle name="Normal 4 4 3 4 5" xfId="46048" xr:uid="{00000000-0005-0000-0000-0000C5B20000}"/>
    <cellStyle name="Normal 4 4 3 4 6" xfId="46049" xr:uid="{00000000-0005-0000-0000-0000C6B20000}"/>
    <cellStyle name="Normal 4 4 3 5" xfId="46050" xr:uid="{00000000-0005-0000-0000-0000C7B20000}"/>
    <cellStyle name="Normal 4 4 3 5 2" xfId="46051" xr:uid="{00000000-0005-0000-0000-0000C8B20000}"/>
    <cellStyle name="Normal 4 4 3 5 3" xfId="46052" xr:uid="{00000000-0005-0000-0000-0000C9B20000}"/>
    <cellStyle name="Normal 4 4 3 6" xfId="46053" xr:uid="{00000000-0005-0000-0000-0000CAB20000}"/>
    <cellStyle name="Normal 4 4 3 7" xfId="46054" xr:uid="{00000000-0005-0000-0000-0000CBB20000}"/>
    <cellStyle name="Normal 4 4 3 8" xfId="46055" xr:uid="{00000000-0005-0000-0000-0000CCB20000}"/>
    <cellStyle name="Normal 4 4 3 9" xfId="46056" xr:uid="{00000000-0005-0000-0000-0000CDB20000}"/>
    <cellStyle name="Normal 4 4 4" xfId="46057" xr:uid="{00000000-0005-0000-0000-0000CEB20000}"/>
    <cellStyle name="Normal 4 4 4 2" xfId="46058" xr:uid="{00000000-0005-0000-0000-0000CFB20000}"/>
    <cellStyle name="Normal 4 4 4 2 2" xfId="46059" xr:uid="{00000000-0005-0000-0000-0000D0B20000}"/>
    <cellStyle name="Normal 4 4 4 2 2 2" xfId="46060" xr:uid="{00000000-0005-0000-0000-0000D1B20000}"/>
    <cellStyle name="Normal 4 4 4 2 2 3" xfId="46061" xr:uid="{00000000-0005-0000-0000-0000D2B20000}"/>
    <cellStyle name="Normal 4 4 4 2 3" xfId="46062" xr:uid="{00000000-0005-0000-0000-0000D3B20000}"/>
    <cellStyle name="Normal 4 4 4 2 4" xfId="46063" xr:uid="{00000000-0005-0000-0000-0000D4B20000}"/>
    <cellStyle name="Normal 4 4 4 2 5" xfId="46064" xr:uid="{00000000-0005-0000-0000-0000D5B20000}"/>
    <cellStyle name="Normal 4 4 4 2 6" xfId="46065" xr:uid="{00000000-0005-0000-0000-0000D6B20000}"/>
    <cellStyle name="Normal 4 4 4 3" xfId="46066" xr:uid="{00000000-0005-0000-0000-0000D7B20000}"/>
    <cellStyle name="Normal 4 4 4 3 2" xfId="46067" xr:uid="{00000000-0005-0000-0000-0000D8B20000}"/>
    <cellStyle name="Normal 4 4 4 3 3" xfId="46068" xr:uid="{00000000-0005-0000-0000-0000D9B20000}"/>
    <cellStyle name="Normal 4 4 4 4" xfId="46069" xr:uid="{00000000-0005-0000-0000-0000DAB20000}"/>
    <cellStyle name="Normal 4 4 4 5" xfId="46070" xr:uid="{00000000-0005-0000-0000-0000DBB20000}"/>
    <cellStyle name="Normal 4 4 4 6" xfId="46071" xr:uid="{00000000-0005-0000-0000-0000DCB20000}"/>
    <cellStyle name="Normal 4 4 4 7" xfId="46072" xr:uid="{00000000-0005-0000-0000-0000DDB20000}"/>
    <cellStyle name="Normal 4 4 5" xfId="46073" xr:uid="{00000000-0005-0000-0000-0000DEB20000}"/>
    <cellStyle name="Normal 4 4 5 2" xfId="46074" xr:uid="{00000000-0005-0000-0000-0000DFB20000}"/>
    <cellStyle name="Normal 4 4 5 2 2" xfId="46075" xr:uid="{00000000-0005-0000-0000-0000E0B20000}"/>
    <cellStyle name="Normal 4 4 5 2 3" xfId="46076" xr:uid="{00000000-0005-0000-0000-0000E1B20000}"/>
    <cellStyle name="Normal 4 4 5 3" xfId="46077" xr:uid="{00000000-0005-0000-0000-0000E2B20000}"/>
    <cellStyle name="Normal 4 4 5 4" xfId="46078" xr:uid="{00000000-0005-0000-0000-0000E3B20000}"/>
    <cellStyle name="Normal 4 4 5 5" xfId="46079" xr:uid="{00000000-0005-0000-0000-0000E4B20000}"/>
    <cellStyle name="Normal 4 4 5 6" xfId="46080" xr:uid="{00000000-0005-0000-0000-0000E5B20000}"/>
    <cellStyle name="Normal 4 4 6" xfId="46081" xr:uid="{00000000-0005-0000-0000-0000E6B20000}"/>
    <cellStyle name="Normal 4 4 6 2" xfId="46082" xr:uid="{00000000-0005-0000-0000-0000E7B20000}"/>
    <cellStyle name="Normal 4 4 6 2 2" xfId="46083" xr:uid="{00000000-0005-0000-0000-0000E8B20000}"/>
    <cellStyle name="Normal 4 4 6 2 3" xfId="46084" xr:uid="{00000000-0005-0000-0000-0000E9B20000}"/>
    <cellStyle name="Normal 4 4 6 3" xfId="46085" xr:uid="{00000000-0005-0000-0000-0000EAB20000}"/>
    <cellStyle name="Normal 4 4 6 4" xfId="46086" xr:uid="{00000000-0005-0000-0000-0000EBB20000}"/>
    <cellStyle name="Normal 4 4 6 5" xfId="46087" xr:uid="{00000000-0005-0000-0000-0000ECB20000}"/>
    <cellStyle name="Normal 4 4 6 6" xfId="46088" xr:uid="{00000000-0005-0000-0000-0000EDB20000}"/>
    <cellStyle name="Normal 4 4 7" xfId="46089" xr:uid="{00000000-0005-0000-0000-0000EEB20000}"/>
    <cellStyle name="Normal 4 4 7 2" xfId="46090" xr:uid="{00000000-0005-0000-0000-0000EFB20000}"/>
    <cellStyle name="Normal 4 4 7 2 2" xfId="46091" xr:uid="{00000000-0005-0000-0000-0000F0B20000}"/>
    <cellStyle name="Normal 4 4 7 2 3" xfId="46092" xr:uid="{00000000-0005-0000-0000-0000F1B20000}"/>
    <cellStyle name="Normal 4 4 7 3" xfId="46093" xr:uid="{00000000-0005-0000-0000-0000F2B20000}"/>
    <cellStyle name="Normal 4 4 7 4" xfId="46094" xr:uid="{00000000-0005-0000-0000-0000F3B20000}"/>
    <cellStyle name="Normal 4 4 7 5" xfId="46095" xr:uid="{00000000-0005-0000-0000-0000F4B20000}"/>
    <cellStyle name="Normal 4 4 7 6" xfId="46096" xr:uid="{00000000-0005-0000-0000-0000F5B20000}"/>
    <cellStyle name="Normal 4 4 8" xfId="46097" xr:uid="{00000000-0005-0000-0000-0000F6B20000}"/>
    <cellStyle name="Normal 4 4 8 2" xfId="46098" xr:uid="{00000000-0005-0000-0000-0000F7B20000}"/>
    <cellStyle name="Normal 4 4 8 2 2" xfId="46099" xr:uid="{00000000-0005-0000-0000-0000F8B20000}"/>
    <cellStyle name="Normal 4 4 8 2 3" xfId="46100" xr:uid="{00000000-0005-0000-0000-0000F9B20000}"/>
    <cellStyle name="Normal 4 4 8 3" xfId="46101" xr:uid="{00000000-0005-0000-0000-0000FAB20000}"/>
    <cellStyle name="Normal 4 4 8 4" xfId="46102" xr:uid="{00000000-0005-0000-0000-0000FBB20000}"/>
    <cellStyle name="Normal 4 4 8 5" xfId="46103" xr:uid="{00000000-0005-0000-0000-0000FCB20000}"/>
    <cellStyle name="Normal 4 4 8 6" xfId="46104" xr:uid="{00000000-0005-0000-0000-0000FDB20000}"/>
    <cellStyle name="Normal 4 4 9" xfId="46105" xr:uid="{00000000-0005-0000-0000-0000FEB20000}"/>
    <cellStyle name="Normal 4 4 9 2" xfId="46106" xr:uid="{00000000-0005-0000-0000-0000FFB20000}"/>
    <cellStyle name="Normal 4 4 9 3" xfId="46107" xr:uid="{00000000-0005-0000-0000-000000B30000}"/>
    <cellStyle name="Normal 4 5" xfId="428" xr:uid="{00000000-0005-0000-0000-000001B30000}"/>
    <cellStyle name="Normal 4 5 10" xfId="46108" xr:uid="{00000000-0005-0000-0000-000002B30000}"/>
    <cellStyle name="Normal 4 5 11" xfId="46109" xr:uid="{00000000-0005-0000-0000-000003B30000}"/>
    <cellStyle name="Normal 4 5 2" xfId="429" xr:uid="{00000000-0005-0000-0000-000004B30000}"/>
    <cellStyle name="Normal 4 5 2 2" xfId="46110" xr:uid="{00000000-0005-0000-0000-000005B30000}"/>
    <cellStyle name="Normal 4 5 2 2 2" xfId="46111" xr:uid="{00000000-0005-0000-0000-000006B30000}"/>
    <cellStyle name="Normal 4 5 2 2 2 2" xfId="46112" xr:uid="{00000000-0005-0000-0000-000007B30000}"/>
    <cellStyle name="Normal 4 5 2 2 2 3" xfId="46113" xr:uid="{00000000-0005-0000-0000-000008B30000}"/>
    <cellStyle name="Normal 4 5 2 2 3" xfId="46114" xr:uid="{00000000-0005-0000-0000-000009B30000}"/>
    <cellStyle name="Normal 4 5 2 2 4" xfId="46115" xr:uid="{00000000-0005-0000-0000-00000AB30000}"/>
    <cellStyle name="Normal 4 5 2 2 5" xfId="46116" xr:uid="{00000000-0005-0000-0000-00000BB30000}"/>
    <cellStyle name="Normal 4 5 2 2 6" xfId="46117" xr:uid="{00000000-0005-0000-0000-00000CB30000}"/>
    <cellStyle name="Normal 4 5 2 3" xfId="46118" xr:uid="{00000000-0005-0000-0000-00000DB30000}"/>
    <cellStyle name="Normal 4 5 2 3 2" xfId="46119" xr:uid="{00000000-0005-0000-0000-00000EB30000}"/>
    <cellStyle name="Normal 4 5 2 3 2 2" xfId="46120" xr:uid="{00000000-0005-0000-0000-00000FB30000}"/>
    <cellStyle name="Normal 4 5 2 3 2 3" xfId="46121" xr:uid="{00000000-0005-0000-0000-000010B30000}"/>
    <cellStyle name="Normal 4 5 2 3 3" xfId="46122" xr:uid="{00000000-0005-0000-0000-000011B30000}"/>
    <cellStyle name="Normal 4 5 2 3 4" xfId="46123" xr:uid="{00000000-0005-0000-0000-000012B30000}"/>
    <cellStyle name="Normal 4 5 2 3 5" xfId="46124" xr:uid="{00000000-0005-0000-0000-000013B30000}"/>
    <cellStyle name="Normal 4 5 2 3 6" xfId="46125" xr:uid="{00000000-0005-0000-0000-000014B30000}"/>
    <cellStyle name="Normal 4 5 2 4" xfId="46126" xr:uid="{00000000-0005-0000-0000-000015B30000}"/>
    <cellStyle name="Normal 4 5 2 4 2" xfId="46127" xr:uid="{00000000-0005-0000-0000-000016B30000}"/>
    <cellStyle name="Normal 4 5 2 4 3" xfId="46128" xr:uid="{00000000-0005-0000-0000-000017B30000}"/>
    <cellStyle name="Normal 4 5 2 5" xfId="46129" xr:uid="{00000000-0005-0000-0000-000018B30000}"/>
    <cellStyle name="Normal 4 5 2 6" xfId="46130" xr:uid="{00000000-0005-0000-0000-000019B30000}"/>
    <cellStyle name="Normal 4 5 2 7" xfId="46131" xr:uid="{00000000-0005-0000-0000-00001AB30000}"/>
    <cellStyle name="Normal 4 5 2 8" xfId="46132" xr:uid="{00000000-0005-0000-0000-00001BB30000}"/>
    <cellStyle name="Normal 4 5 3" xfId="430" xr:uid="{00000000-0005-0000-0000-00001CB30000}"/>
    <cellStyle name="Normal 4 5 3 2" xfId="46133" xr:uid="{00000000-0005-0000-0000-00001DB30000}"/>
    <cellStyle name="Normal 4 5 3 2 2" xfId="46134" xr:uid="{00000000-0005-0000-0000-00001EB30000}"/>
    <cellStyle name="Normal 4 5 3 2 2 2" xfId="46135" xr:uid="{00000000-0005-0000-0000-00001FB30000}"/>
    <cellStyle name="Normal 4 5 3 2 2 3" xfId="46136" xr:uid="{00000000-0005-0000-0000-000020B30000}"/>
    <cellStyle name="Normal 4 5 3 2 3" xfId="46137" xr:uid="{00000000-0005-0000-0000-000021B30000}"/>
    <cellStyle name="Normal 4 5 3 2 4" xfId="46138" xr:uid="{00000000-0005-0000-0000-000022B30000}"/>
    <cellStyle name="Normal 4 5 3 2 5" xfId="46139" xr:uid="{00000000-0005-0000-0000-000023B30000}"/>
    <cellStyle name="Normal 4 5 3 2 6" xfId="46140" xr:uid="{00000000-0005-0000-0000-000024B30000}"/>
    <cellStyle name="Normal 4 5 3 3" xfId="46141" xr:uid="{00000000-0005-0000-0000-000025B30000}"/>
    <cellStyle name="Normal 4 5 3 3 2" xfId="46142" xr:uid="{00000000-0005-0000-0000-000026B30000}"/>
    <cellStyle name="Normal 4 5 3 3 3" xfId="46143" xr:uid="{00000000-0005-0000-0000-000027B30000}"/>
    <cellStyle name="Normal 4 5 3 4" xfId="46144" xr:uid="{00000000-0005-0000-0000-000028B30000}"/>
    <cellStyle name="Normal 4 5 3 5" xfId="46145" xr:uid="{00000000-0005-0000-0000-000029B30000}"/>
    <cellStyle name="Normal 4 5 3 6" xfId="46146" xr:uid="{00000000-0005-0000-0000-00002AB30000}"/>
    <cellStyle name="Normal 4 5 3 7" xfId="46147" xr:uid="{00000000-0005-0000-0000-00002BB30000}"/>
    <cellStyle name="Normal 4 5 4" xfId="46148" xr:uid="{00000000-0005-0000-0000-00002CB30000}"/>
    <cellStyle name="Normal 4 5 4 2" xfId="46149" xr:uid="{00000000-0005-0000-0000-00002DB30000}"/>
    <cellStyle name="Normal 4 5 4 2 2" xfId="46150" xr:uid="{00000000-0005-0000-0000-00002EB30000}"/>
    <cellStyle name="Normal 4 5 4 2 3" xfId="46151" xr:uid="{00000000-0005-0000-0000-00002FB30000}"/>
    <cellStyle name="Normal 4 5 4 3" xfId="46152" xr:uid="{00000000-0005-0000-0000-000030B30000}"/>
    <cellStyle name="Normal 4 5 4 4" xfId="46153" xr:uid="{00000000-0005-0000-0000-000031B30000}"/>
    <cellStyle name="Normal 4 5 4 5" xfId="46154" xr:uid="{00000000-0005-0000-0000-000032B30000}"/>
    <cellStyle name="Normal 4 5 4 6" xfId="46155" xr:uid="{00000000-0005-0000-0000-000033B30000}"/>
    <cellStyle name="Normal 4 5 5" xfId="46156" xr:uid="{00000000-0005-0000-0000-000034B30000}"/>
    <cellStyle name="Normal 4 5 5 2" xfId="46157" xr:uid="{00000000-0005-0000-0000-000035B30000}"/>
    <cellStyle name="Normal 4 5 5 2 2" xfId="46158" xr:uid="{00000000-0005-0000-0000-000036B30000}"/>
    <cellStyle name="Normal 4 5 5 2 3" xfId="46159" xr:uid="{00000000-0005-0000-0000-000037B30000}"/>
    <cellStyle name="Normal 4 5 5 3" xfId="46160" xr:uid="{00000000-0005-0000-0000-000038B30000}"/>
    <cellStyle name="Normal 4 5 5 4" xfId="46161" xr:uid="{00000000-0005-0000-0000-000039B30000}"/>
    <cellStyle name="Normal 4 5 5 5" xfId="46162" xr:uid="{00000000-0005-0000-0000-00003AB30000}"/>
    <cellStyle name="Normal 4 5 5 6" xfId="46163" xr:uid="{00000000-0005-0000-0000-00003BB30000}"/>
    <cellStyle name="Normal 4 5 6" xfId="46164" xr:uid="{00000000-0005-0000-0000-00003CB30000}"/>
    <cellStyle name="Normal 4 5 6 2" xfId="46165" xr:uid="{00000000-0005-0000-0000-00003DB30000}"/>
    <cellStyle name="Normal 4 5 6 2 2" xfId="46166" xr:uid="{00000000-0005-0000-0000-00003EB30000}"/>
    <cellStyle name="Normal 4 5 6 2 3" xfId="46167" xr:uid="{00000000-0005-0000-0000-00003FB30000}"/>
    <cellStyle name="Normal 4 5 6 3" xfId="46168" xr:uid="{00000000-0005-0000-0000-000040B30000}"/>
    <cellStyle name="Normal 4 5 6 4" xfId="46169" xr:uid="{00000000-0005-0000-0000-000041B30000}"/>
    <cellStyle name="Normal 4 5 6 5" xfId="46170" xr:uid="{00000000-0005-0000-0000-000042B30000}"/>
    <cellStyle name="Normal 4 5 6 6" xfId="46171" xr:uid="{00000000-0005-0000-0000-000043B30000}"/>
    <cellStyle name="Normal 4 5 7" xfId="46172" xr:uid="{00000000-0005-0000-0000-000044B30000}"/>
    <cellStyle name="Normal 4 5 7 2" xfId="46173" xr:uid="{00000000-0005-0000-0000-000045B30000}"/>
    <cellStyle name="Normal 4 5 7 3" xfId="46174" xr:uid="{00000000-0005-0000-0000-000046B30000}"/>
    <cellStyle name="Normal 4 5 8" xfId="46175" xr:uid="{00000000-0005-0000-0000-000047B30000}"/>
    <cellStyle name="Normal 4 5 9" xfId="46176" xr:uid="{00000000-0005-0000-0000-000048B30000}"/>
    <cellStyle name="Normal 4 6" xfId="431" xr:uid="{00000000-0005-0000-0000-000049B30000}"/>
    <cellStyle name="Normal 4 6 2" xfId="46177" xr:uid="{00000000-0005-0000-0000-00004AB30000}"/>
    <cellStyle name="Normal 4 6 2 2" xfId="46178" xr:uid="{00000000-0005-0000-0000-00004BB30000}"/>
    <cellStyle name="Normal 4 6 2 2 2" xfId="46179" xr:uid="{00000000-0005-0000-0000-00004CB30000}"/>
    <cellStyle name="Normal 4 6 2 2 3" xfId="46180" xr:uid="{00000000-0005-0000-0000-00004DB30000}"/>
    <cellStyle name="Normal 4 6 2 3" xfId="46181" xr:uid="{00000000-0005-0000-0000-00004EB30000}"/>
    <cellStyle name="Normal 4 6 2 4" xfId="46182" xr:uid="{00000000-0005-0000-0000-00004FB30000}"/>
    <cellStyle name="Normal 4 6 2 5" xfId="46183" xr:uid="{00000000-0005-0000-0000-000050B30000}"/>
    <cellStyle name="Normal 4 6 2 6" xfId="46184" xr:uid="{00000000-0005-0000-0000-000051B30000}"/>
    <cellStyle name="Normal 4 6 3" xfId="46185" xr:uid="{00000000-0005-0000-0000-000052B30000}"/>
    <cellStyle name="Normal 4 6 3 2" xfId="46186" xr:uid="{00000000-0005-0000-0000-000053B30000}"/>
    <cellStyle name="Normal 4 6 3 3" xfId="46187" xr:uid="{00000000-0005-0000-0000-000054B30000}"/>
    <cellStyle name="Normal 4 6 4" xfId="46188" xr:uid="{00000000-0005-0000-0000-000055B30000}"/>
    <cellStyle name="Normal 4 6 5" xfId="46189" xr:uid="{00000000-0005-0000-0000-000056B30000}"/>
    <cellStyle name="Normal 4 6 6" xfId="46190" xr:uid="{00000000-0005-0000-0000-000057B30000}"/>
    <cellStyle name="Normal 4 6 7" xfId="46191" xr:uid="{00000000-0005-0000-0000-000058B30000}"/>
    <cellStyle name="Normal 4 7" xfId="432" xr:uid="{00000000-0005-0000-0000-000059B30000}"/>
    <cellStyle name="Normal 4 7 2" xfId="46192" xr:uid="{00000000-0005-0000-0000-00005AB30000}"/>
    <cellStyle name="Normal 4 7 3" xfId="46193" xr:uid="{00000000-0005-0000-0000-00005BB30000}"/>
    <cellStyle name="Normal 4 7 4" xfId="46194" xr:uid="{00000000-0005-0000-0000-00005CB30000}"/>
    <cellStyle name="Normal 4 7 4 2" xfId="46195" xr:uid="{00000000-0005-0000-0000-00005DB30000}"/>
    <cellStyle name="Normal 4 7 4 3" xfId="46196" xr:uid="{00000000-0005-0000-0000-00005EB30000}"/>
    <cellStyle name="Normal 4 7 5" xfId="46197" xr:uid="{00000000-0005-0000-0000-00005FB30000}"/>
    <cellStyle name="Normal 4 7 6" xfId="46198" xr:uid="{00000000-0005-0000-0000-000060B30000}"/>
    <cellStyle name="Normal 4 7 7" xfId="46199" xr:uid="{00000000-0005-0000-0000-000061B30000}"/>
    <cellStyle name="Normal 4 7 8" xfId="46200" xr:uid="{00000000-0005-0000-0000-000062B30000}"/>
    <cellStyle name="Normal 4 8" xfId="610" xr:uid="{00000000-0005-0000-0000-000063B30000}"/>
    <cellStyle name="Normal 4 8 2" xfId="46201" xr:uid="{00000000-0005-0000-0000-000064B30000}"/>
    <cellStyle name="Normal 4 8 2 2" xfId="46202" xr:uid="{00000000-0005-0000-0000-000065B30000}"/>
    <cellStyle name="Normal 4 8 2 3" xfId="46203" xr:uid="{00000000-0005-0000-0000-000066B30000}"/>
    <cellStyle name="Normal 4 8 3" xfId="46204" xr:uid="{00000000-0005-0000-0000-000067B30000}"/>
    <cellStyle name="Normal 4 8 4" xfId="46205" xr:uid="{00000000-0005-0000-0000-000068B30000}"/>
    <cellStyle name="Normal 4 8 5" xfId="46206" xr:uid="{00000000-0005-0000-0000-000069B30000}"/>
    <cellStyle name="Normal 4 8 6" xfId="46207" xr:uid="{00000000-0005-0000-0000-00006AB30000}"/>
    <cellStyle name="Normal 4 9" xfId="46208" xr:uid="{00000000-0005-0000-0000-00006BB30000}"/>
    <cellStyle name="Normal 4 9 2" xfId="46209" xr:uid="{00000000-0005-0000-0000-00006CB30000}"/>
    <cellStyle name="Normal 4 9 2 2" xfId="46210" xr:uid="{00000000-0005-0000-0000-00006DB30000}"/>
    <cellStyle name="Normal 4 9 2 3" xfId="46211" xr:uid="{00000000-0005-0000-0000-00006EB30000}"/>
    <cellStyle name="Normal 4 9 3" xfId="46212" xr:uid="{00000000-0005-0000-0000-00006FB30000}"/>
    <cellStyle name="Normal 4 9 4" xfId="46213" xr:uid="{00000000-0005-0000-0000-000070B30000}"/>
    <cellStyle name="Normal 4 9 5" xfId="46214" xr:uid="{00000000-0005-0000-0000-000071B30000}"/>
    <cellStyle name="Normal 4 9 6" xfId="46215" xr:uid="{00000000-0005-0000-0000-000072B30000}"/>
    <cellStyle name="Normal 40" xfId="46216" xr:uid="{00000000-0005-0000-0000-000073B30000}"/>
    <cellStyle name="Normal 41" xfId="46217" xr:uid="{00000000-0005-0000-0000-000074B30000}"/>
    <cellStyle name="Normal 42" xfId="147" xr:uid="{00000000-0005-0000-0000-000075B30000}"/>
    <cellStyle name="Normal 42 2" xfId="148" xr:uid="{00000000-0005-0000-0000-000076B30000}"/>
    <cellStyle name="Normal 42 3" xfId="46218" xr:uid="{00000000-0005-0000-0000-000077B30000}"/>
    <cellStyle name="Normal 43" xfId="46219" xr:uid="{00000000-0005-0000-0000-000078B30000}"/>
    <cellStyle name="Normal 44" xfId="46220" xr:uid="{00000000-0005-0000-0000-000079B30000}"/>
    <cellStyle name="Normal 45" xfId="46221" xr:uid="{00000000-0005-0000-0000-00007AB30000}"/>
    <cellStyle name="Normal 46" xfId="46222" xr:uid="{00000000-0005-0000-0000-00007BB30000}"/>
    <cellStyle name="Normal 47" xfId="46223" xr:uid="{00000000-0005-0000-0000-00007CB30000}"/>
    <cellStyle name="Normal 48" xfId="46224" xr:uid="{00000000-0005-0000-0000-00007DB30000}"/>
    <cellStyle name="Normal 49" xfId="149" xr:uid="{00000000-0005-0000-0000-00007EB30000}"/>
    <cellStyle name="Normal 49 2" xfId="150" xr:uid="{00000000-0005-0000-0000-00007FB30000}"/>
    <cellStyle name="Normal 49 3" xfId="151" xr:uid="{00000000-0005-0000-0000-000080B30000}"/>
    <cellStyle name="Normal 49 4" xfId="46225" xr:uid="{00000000-0005-0000-0000-000081B30000}"/>
    <cellStyle name="Normal 5" xfId="152" xr:uid="{00000000-0005-0000-0000-000082B30000}"/>
    <cellStyle name="Normal 5 10" xfId="247" xr:uid="{00000000-0005-0000-0000-000083B30000}"/>
    <cellStyle name="Normal 5 11" xfId="46226" xr:uid="{00000000-0005-0000-0000-000084B30000}"/>
    <cellStyle name="Normal 5 12" xfId="248" xr:uid="{00000000-0005-0000-0000-000085B30000}"/>
    <cellStyle name="Normal 5 13" xfId="46227" xr:uid="{00000000-0005-0000-0000-000086B30000}"/>
    <cellStyle name="Normal 5 15 5" xfId="249" xr:uid="{00000000-0005-0000-0000-000087B30000}"/>
    <cellStyle name="Normal 5 15 6" xfId="250" xr:uid="{00000000-0005-0000-0000-000088B30000}"/>
    <cellStyle name="Normal 5 15 7" xfId="251" xr:uid="{00000000-0005-0000-0000-000089B30000}"/>
    <cellStyle name="Normal 5 16 2" xfId="252" xr:uid="{00000000-0005-0000-0000-00008AB30000}"/>
    <cellStyle name="Normal 5 16 4" xfId="253" xr:uid="{00000000-0005-0000-0000-00008BB30000}"/>
    <cellStyle name="Normal 5 2" xfId="153" xr:uid="{00000000-0005-0000-0000-00008CB30000}"/>
    <cellStyle name="Normal 5 2 2" xfId="433" xr:uid="{00000000-0005-0000-0000-00008DB30000}"/>
    <cellStyle name="Normal 5 2 2 2" xfId="434" xr:uid="{00000000-0005-0000-0000-00008EB30000}"/>
    <cellStyle name="Normal 5 2 3" xfId="435" xr:uid="{00000000-0005-0000-0000-00008FB30000}"/>
    <cellStyle name="Normal 5 2 4" xfId="46228" xr:uid="{00000000-0005-0000-0000-000090B30000}"/>
    <cellStyle name="Normal 5 2 4 10" xfId="46229" xr:uid="{00000000-0005-0000-0000-000091B30000}"/>
    <cellStyle name="Normal 5 2 4 10 2" xfId="46230" xr:uid="{00000000-0005-0000-0000-000092B30000}"/>
    <cellStyle name="Normal 5 2 4 10 3" xfId="46231" xr:uid="{00000000-0005-0000-0000-000093B30000}"/>
    <cellStyle name="Normal 5 2 4 11" xfId="46232" xr:uid="{00000000-0005-0000-0000-000094B30000}"/>
    <cellStyle name="Normal 5 2 4 12" xfId="46233" xr:uid="{00000000-0005-0000-0000-000095B30000}"/>
    <cellStyle name="Normal 5 2 4 13" xfId="46234" xr:uid="{00000000-0005-0000-0000-000096B30000}"/>
    <cellStyle name="Normal 5 2 4 14" xfId="46235" xr:uid="{00000000-0005-0000-0000-000097B30000}"/>
    <cellStyle name="Normal 5 2 4 2" xfId="46236" xr:uid="{00000000-0005-0000-0000-000098B30000}"/>
    <cellStyle name="Normal 5 2 4 2 10" xfId="46237" xr:uid="{00000000-0005-0000-0000-000099B30000}"/>
    <cellStyle name="Normal 5 2 4 2 2" xfId="46238" xr:uid="{00000000-0005-0000-0000-00009AB30000}"/>
    <cellStyle name="Normal 5 2 4 2 2 2" xfId="46239" xr:uid="{00000000-0005-0000-0000-00009BB30000}"/>
    <cellStyle name="Normal 5 2 4 2 2 2 2" xfId="46240" xr:uid="{00000000-0005-0000-0000-00009CB30000}"/>
    <cellStyle name="Normal 5 2 4 2 2 2 2 2" xfId="46241" xr:uid="{00000000-0005-0000-0000-00009DB30000}"/>
    <cellStyle name="Normal 5 2 4 2 2 2 2 3" xfId="46242" xr:uid="{00000000-0005-0000-0000-00009EB30000}"/>
    <cellStyle name="Normal 5 2 4 2 2 2 3" xfId="46243" xr:uid="{00000000-0005-0000-0000-00009FB30000}"/>
    <cellStyle name="Normal 5 2 4 2 2 2 4" xfId="46244" xr:uid="{00000000-0005-0000-0000-0000A0B30000}"/>
    <cellStyle name="Normal 5 2 4 2 2 2 5" xfId="46245" xr:uid="{00000000-0005-0000-0000-0000A1B30000}"/>
    <cellStyle name="Normal 5 2 4 2 2 2 6" xfId="46246" xr:uid="{00000000-0005-0000-0000-0000A2B30000}"/>
    <cellStyle name="Normal 5 2 4 2 2 3" xfId="46247" xr:uid="{00000000-0005-0000-0000-0000A3B30000}"/>
    <cellStyle name="Normal 5 2 4 2 2 3 2" xfId="46248" xr:uid="{00000000-0005-0000-0000-0000A4B30000}"/>
    <cellStyle name="Normal 5 2 4 2 2 3 2 2" xfId="46249" xr:uid="{00000000-0005-0000-0000-0000A5B30000}"/>
    <cellStyle name="Normal 5 2 4 2 2 3 2 3" xfId="46250" xr:uid="{00000000-0005-0000-0000-0000A6B30000}"/>
    <cellStyle name="Normal 5 2 4 2 2 3 3" xfId="46251" xr:uid="{00000000-0005-0000-0000-0000A7B30000}"/>
    <cellStyle name="Normal 5 2 4 2 2 3 4" xfId="46252" xr:uid="{00000000-0005-0000-0000-0000A8B30000}"/>
    <cellStyle name="Normal 5 2 4 2 2 3 5" xfId="46253" xr:uid="{00000000-0005-0000-0000-0000A9B30000}"/>
    <cellStyle name="Normal 5 2 4 2 2 3 6" xfId="46254" xr:uid="{00000000-0005-0000-0000-0000AAB30000}"/>
    <cellStyle name="Normal 5 2 4 2 2 4" xfId="46255" xr:uid="{00000000-0005-0000-0000-0000ABB30000}"/>
    <cellStyle name="Normal 5 2 4 2 2 4 2" xfId="46256" xr:uid="{00000000-0005-0000-0000-0000ACB30000}"/>
    <cellStyle name="Normal 5 2 4 2 2 4 3" xfId="46257" xr:uid="{00000000-0005-0000-0000-0000ADB30000}"/>
    <cellStyle name="Normal 5 2 4 2 2 5" xfId="46258" xr:uid="{00000000-0005-0000-0000-0000AEB30000}"/>
    <cellStyle name="Normal 5 2 4 2 2 6" xfId="46259" xr:uid="{00000000-0005-0000-0000-0000AFB30000}"/>
    <cellStyle name="Normal 5 2 4 2 2 7" xfId="46260" xr:uid="{00000000-0005-0000-0000-0000B0B30000}"/>
    <cellStyle name="Normal 5 2 4 2 2 8" xfId="46261" xr:uid="{00000000-0005-0000-0000-0000B1B30000}"/>
    <cellStyle name="Normal 5 2 4 2 3" xfId="46262" xr:uid="{00000000-0005-0000-0000-0000B2B30000}"/>
    <cellStyle name="Normal 5 2 4 2 3 2" xfId="46263" xr:uid="{00000000-0005-0000-0000-0000B3B30000}"/>
    <cellStyle name="Normal 5 2 4 2 3 2 2" xfId="46264" xr:uid="{00000000-0005-0000-0000-0000B4B30000}"/>
    <cellStyle name="Normal 5 2 4 2 3 2 2 2" xfId="46265" xr:uid="{00000000-0005-0000-0000-0000B5B30000}"/>
    <cellStyle name="Normal 5 2 4 2 3 2 2 3" xfId="46266" xr:uid="{00000000-0005-0000-0000-0000B6B30000}"/>
    <cellStyle name="Normal 5 2 4 2 3 2 3" xfId="46267" xr:uid="{00000000-0005-0000-0000-0000B7B30000}"/>
    <cellStyle name="Normal 5 2 4 2 3 2 4" xfId="46268" xr:uid="{00000000-0005-0000-0000-0000B8B30000}"/>
    <cellStyle name="Normal 5 2 4 2 3 2 5" xfId="46269" xr:uid="{00000000-0005-0000-0000-0000B9B30000}"/>
    <cellStyle name="Normal 5 2 4 2 3 2 6" xfId="46270" xr:uid="{00000000-0005-0000-0000-0000BAB30000}"/>
    <cellStyle name="Normal 5 2 4 2 3 3" xfId="46271" xr:uid="{00000000-0005-0000-0000-0000BBB30000}"/>
    <cellStyle name="Normal 5 2 4 2 3 3 2" xfId="46272" xr:uid="{00000000-0005-0000-0000-0000BCB30000}"/>
    <cellStyle name="Normal 5 2 4 2 3 3 3" xfId="46273" xr:uid="{00000000-0005-0000-0000-0000BDB30000}"/>
    <cellStyle name="Normal 5 2 4 2 3 4" xfId="46274" xr:uid="{00000000-0005-0000-0000-0000BEB30000}"/>
    <cellStyle name="Normal 5 2 4 2 3 5" xfId="46275" xr:uid="{00000000-0005-0000-0000-0000BFB30000}"/>
    <cellStyle name="Normal 5 2 4 2 3 6" xfId="46276" xr:uid="{00000000-0005-0000-0000-0000C0B30000}"/>
    <cellStyle name="Normal 5 2 4 2 3 7" xfId="46277" xr:uid="{00000000-0005-0000-0000-0000C1B30000}"/>
    <cellStyle name="Normal 5 2 4 2 4" xfId="46278" xr:uid="{00000000-0005-0000-0000-0000C2B30000}"/>
    <cellStyle name="Normal 5 2 4 2 4 2" xfId="46279" xr:uid="{00000000-0005-0000-0000-0000C3B30000}"/>
    <cellStyle name="Normal 5 2 4 2 4 2 2" xfId="46280" xr:uid="{00000000-0005-0000-0000-0000C4B30000}"/>
    <cellStyle name="Normal 5 2 4 2 4 2 3" xfId="46281" xr:uid="{00000000-0005-0000-0000-0000C5B30000}"/>
    <cellStyle name="Normal 5 2 4 2 4 3" xfId="46282" xr:uid="{00000000-0005-0000-0000-0000C6B30000}"/>
    <cellStyle name="Normal 5 2 4 2 4 4" xfId="46283" xr:uid="{00000000-0005-0000-0000-0000C7B30000}"/>
    <cellStyle name="Normal 5 2 4 2 4 5" xfId="46284" xr:uid="{00000000-0005-0000-0000-0000C8B30000}"/>
    <cellStyle name="Normal 5 2 4 2 4 6" xfId="46285" xr:uid="{00000000-0005-0000-0000-0000C9B30000}"/>
    <cellStyle name="Normal 5 2 4 2 5" xfId="46286" xr:uid="{00000000-0005-0000-0000-0000CAB30000}"/>
    <cellStyle name="Normal 5 2 4 2 5 2" xfId="46287" xr:uid="{00000000-0005-0000-0000-0000CBB30000}"/>
    <cellStyle name="Normal 5 2 4 2 5 2 2" xfId="46288" xr:uid="{00000000-0005-0000-0000-0000CCB30000}"/>
    <cellStyle name="Normal 5 2 4 2 5 2 3" xfId="46289" xr:uid="{00000000-0005-0000-0000-0000CDB30000}"/>
    <cellStyle name="Normal 5 2 4 2 5 3" xfId="46290" xr:uid="{00000000-0005-0000-0000-0000CEB30000}"/>
    <cellStyle name="Normal 5 2 4 2 5 4" xfId="46291" xr:uid="{00000000-0005-0000-0000-0000CFB30000}"/>
    <cellStyle name="Normal 5 2 4 2 5 5" xfId="46292" xr:uid="{00000000-0005-0000-0000-0000D0B30000}"/>
    <cellStyle name="Normal 5 2 4 2 5 6" xfId="46293" xr:uid="{00000000-0005-0000-0000-0000D1B30000}"/>
    <cellStyle name="Normal 5 2 4 2 6" xfId="46294" xr:uid="{00000000-0005-0000-0000-0000D2B30000}"/>
    <cellStyle name="Normal 5 2 4 2 6 2" xfId="46295" xr:uid="{00000000-0005-0000-0000-0000D3B30000}"/>
    <cellStyle name="Normal 5 2 4 2 6 3" xfId="46296" xr:uid="{00000000-0005-0000-0000-0000D4B30000}"/>
    <cellStyle name="Normal 5 2 4 2 7" xfId="46297" xr:uid="{00000000-0005-0000-0000-0000D5B30000}"/>
    <cellStyle name="Normal 5 2 4 2 8" xfId="46298" xr:uid="{00000000-0005-0000-0000-0000D6B30000}"/>
    <cellStyle name="Normal 5 2 4 2 9" xfId="46299" xr:uid="{00000000-0005-0000-0000-0000D7B30000}"/>
    <cellStyle name="Normal 5 2 4 3" xfId="46300" xr:uid="{00000000-0005-0000-0000-0000D8B30000}"/>
    <cellStyle name="Normal 5 2 4 3 2" xfId="46301" xr:uid="{00000000-0005-0000-0000-0000D9B30000}"/>
    <cellStyle name="Normal 5 2 4 3 2 2" xfId="46302" xr:uid="{00000000-0005-0000-0000-0000DAB30000}"/>
    <cellStyle name="Normal 5 2 4 3 2 2 2" xfId="46303" xr:uid="{00000000-0005-0000-0000-0000DBB30000}"/>
    <cellStyle name="Normal 5 2 4 3 2 2 2 2" xfId="46304" xr:uid="{00000000-0005-0000-0000-0000DCB30000}"/>
    <cellStyle name="Normal 5 2 4 3 2 2 2 3" xfId="46305" xr:uid="{00000000-0005-0000-0000-0000DDB30000}"/>
    <cellStyle name="Normal 5 2 4 3 2 2 3" xfId="46306" xr:uid="{00000000-0005-0000-0000-0000DEB30000}"/>
    <cellStyle name="Normal 5 2 4 3 2 2 4" xfId="46307" xr:uid="{00000000-0005-0000-0000-0000DFB30000}"/>
    <cellStyle name="Normal 5 2 4 3 2 2 5" xfId="46308" xr:uid="{00000000-0005-0000-0000-0000E0B30000}"/>
    <cellStyle name="Normal 5 2 4 3 2 2 6" xfId="46309" xr:uid="{00000000-0005-0000-0000-0000E1B30000}"/>
    <cellStyle name="Normal 5 2 4 3 2 3" xfId="46310" xr:uid="{00000000-0005-0000-0000-0000E2B30000}"/>
    <cellStyle name="Normal 5 2 4 3 2 3 2" xfId="46311" xr:uid="{00000000-0005-0000-0000-0000E3B30000}"/>
    <cellStyle name="Normal 5 2 4 3 2 3 3" xfId="46312" xr:uid="{00000000-0005-0000-0000-0000E4B30000}"/>
    <cellStyle name="Normal 5 2 4 3 2 4" xfId="46313" xr:uid="{00000000-0005-0000-0000-0000E5B30000}"/>
    <cellStyle name="Normal 5 2 4 3 2 5" xfId="46314" xr:uid="{00000000-0005-0000-0000-0000E6B30000}"/>
    <cellStyle name="Normal 5 2 4 3 2 6" xfId="46315" xr:uid="{00000000-0005-0000-0000-0000E7B30000}"/>
    <cellStyle name="Normal 5 2 4 3 2 7" xfId="46316" xr:uid="{00000000-0005-0000-0000-0000E8B30000}"/>
    <cellStyle name="Normal 5 2 4 3 3" xfId="46317" xr:uid="{00000000-0005-0000-0000-0000E9B30000}"/>
    <cellStyle name="Normal 5 2 4 3 3 2" xfId="46318" xr:uid="{00000000-0005-0000-0000-0000EAB30000}"/>
    <cellStyle name="Normal 5 2 4 3 3 2 2" xfId="46319" xr:uid="{00000000-0005-0000-0000-0000EBB30000}"/>
    <cellStyle name="Normal 5 2 4 3 3 2 3" xfId="46320" xr:uid="{00000000-0005-0000-0000-0000ECB30000}"/>
    <cellStyle name="Normal 5 2 4 3 3 3" xfId="46321" xr:uid="{00000000-0005-0000-0000-0000EDB30000}"/>
    <cellStyle name="Normal 5 2 4 3 3 4" xfId="46322" xr:uid="{00000000-0005-0000-0000-0000EEB30000}"/>
    <cellStyle name="Normal 5 2 4 3 3 5" xfId="46323" xr:uid="{00000000-0005-0000-0000-0000EFB30000}"/>
    <cellStyle name="Normal 5 2 4 3 3 6" xfId="46324" xr:uid="{00000000-0005-0000-0000-0000F0B30000}"/>
    <cellStyle name="Normal 5 2 4 3 4" xfId="46325" xr:uid="{00000000-0005-0000-0000-0000F1B30000}"/>
    <cellStyle name="Normal 5 2 4 3 4 2" xfId="46326" xr:uid="{00000000-0005-0000-0000-0000F2B30000}"/>
    <cellStyle name="Normal 5 2 4 3 4 2 2" xfId="46327" xr:uid="{00000000-0005-0000-0000-0000F3B30000}"/>
    <cellStyle name="Normal 5 2 4 3 4 2 3" xfId="46328" xr:uid="{00000000-0005-0000-0000-0000F4B30000}"/>
    <cellStyle name="Normal 5 2 4 3 4 3" xfId="46329" xr:uid="{00000000-0005-0000-0000-0000F5B30000}"/>
    <cellStyle name="Normal 5 2 4 3 4 4" xfId="46330" xr:uid="{00000000-0005-0000-0000-0000F6B30000}"/>
    <cellStyle name="Normal 5 2 4 3 4 5" xfId="46331" xr:uid="{00000000-0005-0000-0000-0000F7B30000}"/>
    <cellStyle name="Normal 5 2 4 3 4 6" xfId="46332" xr:uid="{00000000-0005-0000-0000-0000F8B30000}"/>
    <cellStyle name="Normal 5 2 4 3 5" xfId="46333" xr:uid="{00000000-0005-0000-0000-0000F9B30000}"/>
    <cellStyle name="Normal 5 2 4 3 5 2" xfId="46334" xr:uid="{00000000-0005-0000-0000-0000FAB30000}"/>
    <cellStyle name="Normal 5 2 4 3 5 3" xfId="46335" xr:uid="{00000000-0005-0000-0000-0000FBB30000}"/>
    <cellStyle name="Normal 5 2 4 3 6" xfId="46336" xr:uid="{00000000-0005-0000-0000-0000FCB30000}"/>
    <cellStyle name="Normal 5 2 4 3 7" xfId="46337" xr:uid="{00000000-0005-0000-0000-0000FDB30000}"/>
    <cellStyle name="Normal 5 2 4 3 8" xfId="46338" xr:uid="{00000000-0005-0000-0000-0000FEB30000}"/>
    <cellStyle name="Normal 5 2 4 3 9" xfId="46339" xr:uid="{00000000-0005-0000-0000-0000FFB30000}"/>
    <cellStyle name="Normal 5 2 4 4" xfId="46340" xr:uid="{00000000-0005-0000-0000-000000B40000}"/>
    <cellStyle name="Normal 5 2 4 5" xfId="46341" xr:uid="{00000000-0005-0000-0000-000001B40000}"/>
    <cellStyle name="Normal 5 2 4 5 2" xfId="46342" xr:uid="{00000000-0005-0000-0000-000002B40000}"/>
    <cellStyle name="Normal 5 2 4 5 2 2" xfId="46343" xr:uid="{00000000-0005-0000-0000-000003B40000}"/>
    <cellStyle name="Normal 5 2 4 5 2 2 2" xfId="46344" xr:uid="{00000000-0005-0000-0000-000004B40000}"/>
    <cellStyle name="Normal 5 2 4 5 2 2 3" xfId="46345" xr:uid="{00000000-0005-0000-0000-000005B40000}"/>
    <cellStyle name="Normal 5 2 4 5 2 3" xfId="46346" xr:uid="{00000000-0005-0000-0000-000006B40000}"/>
    <cellStyle name="Normal 5 2 4 5 2 4" xfId="46347" xr:uid="{00000000-0005-0000-0000-000007B40000}"/>
    <cellStyle name="Normal 5 2 4 5 2 5" xfId="46348" xr:uid="{00000000-0005-0000-0000-000008B40000}"/>
    <cellStyle name="Normal 5 2 4 5 2 6" xfId="46349" xr:uid="{00000000-0005-0000-0000-000009B40000}"/>
    <cellStyle name="Normal 5 2 4 5 3" xfId="46350" xr:uid="{00000000-0005-0000-0000-00000AB40000}"/>
    <cellStyle name="Normal 5 2 4 5 3 2" xfId="46351" xr:uid="{00000000-0005-0000-0000-00000BB40000}"/>
    <cellStyle name="Normal 5 2 4 5 3 3" xfId="46352" xr:uid="{00000000-0005-0000-0000-00000CB40000}"/>
    <cellStyle name="Normal 5 2 4 5 4" xfId="46353" xr:uid="{00000000-0005-0000-0000-00000DB40000}"/>
    <cellStyle name="Normal 5 2 4 5 5" xfId="46354" xr:uid="{00000000-0005-0000-0000-00000EB40000}"/>
    <cellStyle name="Normal 5 2 4 5 6" xfId="46355" xr:uid="{00000000-0005-0000-0000-00000FB40000}"/>
    <cellStyle name="Normal 5 2 4 5 7" xfId="46356" xr:uid="{00000000-0005-0000-0000-000010B40000}"/>
    <cellStyle name="Normal 5 2 4 6" xfId="46357" xr:uid="{00000000-0005-0000-0000-000011B40000}"/>
    <cellStyle name="Normal 5 2 4 6 2" xfId="46358" xr:uid="{00000000-0005-0000-0000-000012B40000}"/>
    <cellStyle name="Normal 5 2 4 6 2 2" xfId="46359" xr:uid="{00000000-0005-0000-0000-000013B40000}"/>
    <cellStyle name="Normal 5 2 4 6 2 3" xfId="46360" xr:uid="{00000000-0005-0000-0000-000014B40000}"/>
    <cellStyle name="Normal 5 2 4 6 3" xfId="46361" xr:uid="{00000000-0005-0000-0000-000015B40000}"/>
    <cellStyle name="Normal 5 2 4 6 4" xfId="46362" xr:uid="{00000000-0005-0000-0000-000016B40000}"/>
    <cellStyle name="Normal 5 2 4 6 5" xfId="46363" xr:uid="{00000000-0005-0000-0000-000017B40000}"/>
    <cellStyle name="Normal 5 2 4 6 6" xfId="46364" xr:uid="{00000000-0005-0000-0000-000018B40000}"/>
    <cellStyle name="Normal 5 2 4 7" xfId="46365" xr:uid="{00000000-0005-0000-0000-000019B40000}"/>
    <cellStyle name="Normal 5 2 4 7 2" xfId="46366" xr:uid="{00000000-0005-0000-0000-00001AB40000}"/>
    <cellStyle name="Normal 5 2 4 7 2 2" xfId="46367" xr:uid="{00000000-0005-0000-0000-00001BB40000}"/>
    <cellStyle name="Normal 5 2 4 7 2 3" xfId="46368" xr:uid="{00000000-0005-0000-0000-00001CB40000}"/>
    <cellStyle name="Normal 5 2 4 7 3" xfId="46369" xr:uid="{00000000-0005-0000-0000-00001DB40000}"/>
    <cellStyle name="Normal 5 2 4 7 4" xfId="46370" xr:uid="{00000000-0005-0000-0000-00001EB40000}"/>
    <cellStyle name="Normal 5 2 4 7 5" xfId="46371" xr:uid="{00000000-0005-0000-0000-00001FB40000}"/>
    <cellStyle name="Normal 5 2 4 7 6" xfId="46372" xr:uid="{00000000-0005-0000-0000-000020B40000}"/>
    <cellStyle name="Normal 5 2 4 8" xfId="46373" xr:uid="{00000000-0005-0000-0000-000021B40000}"/>
    <cellStyle name="Normal 5 2 4 8 2" xfId="46374" xr:uid="{00000000-0005-0000-0000-000022B40000}"/>
    <cellStyle name="Normal 5 2 4 8 2 2" xfId="46375" xr:uid="{00000000-0005-0000-0000-000023B40000}"/>
    <cellStyle name="Normal 5 2 4 8 2 3" xfId="46376" xr:uid="{00000000-0005-0000-0000-000024B40000}"/>
    <cellStyle name="Normal 5 2 4 8 3" xfId="46377" xr:uid="{00000000-0005-0000-0000-000025B40000}"/>
    <cellStyle name="Normal 5 2 4 8 4" xfId="46378" xr:uid="{00000000-0005-0000-0000-000026B40000}"/>
    <cellStyle name="Normal 5 2 4 8 5" xfId="46379" xr:uid="{00000000-0005-0000-0000-000027B40000}"/>
    <cellStyle name="Normal 5 2 4 8 6" xfId="46380" xr:uid="{00000000-0005-0000-0000-000028B40000}"/>
    <cellStyle name="Normal 5 2 4 9" xfId="46381" xr:uid="{00000000-0005-0000-0000-000029B40000}"/>
    <cellStyle name="Normal 5 2 4 9 2" xfId="46382" xr:uid="{00000000-0005-0000-0000-00002AB40000}"/>
    <cellStyle name="Normal 5 2 4 9 2 2" xfId="46383" xr:uid="{00000000-0005-0000-0000-00002BB40000}"/>
    <cellStyle name="Normal 5 2 4 9 2 3" xfId="46384" xr:uid="{00000000-0005-0000-0000-00002CB40000}"/>
    <cellStyle name="Normal 5 2 4 9 3" xfId="46385" xr:uid="{00000000-0005-0000-0000-00002DB40000}"/>
    <cellStyle name="Normal 5 2 4 9 4" xfId="46386" xr:uid="{00000000-0005-0000-0000-00002EB40000}"/>
    <cellStyle name="Normal 5 2 4 9 5" xfId="46387" xr:uid="{00000000-0005-0000-0000-00002FB40000}"/>
    <cellStyle name="Normal 5 2 4 9 6" xfId="46388" xr:uid="{00000000-0005-0000-0000-000030B40000}"/>
    <cellStyle name="Normal 5 2 5" xfId="46389" xr:uid="{00000000-0005-0000-0000-000031B40000}"/>
    <cellStyle name="Normal 5 2 5 2" xfId="46390" xr:uid="{00000000-0005-0000-0000-000032B40000}"/>
    <cellStyle name="Normal 5 2 5 2 2" xfId="46391" xr:uid="{00000000-0005-0000-0000-000033B40000}"/>
    <cellStyle name="Normal 5 2 5 2 2 2" xfId="46392" xr:uid="{00000000-0005-0000-0000-000034B40000}"/>
    <cellStyle name="Normal 5 2 5 2 2 2 2" xfId="46393" xr:uid="{00000000-0005-0000-0000-000035B40000}"/>
    <cellStyle name="Normal 5 2 5 2 2 2 3" xfId="46394" xr:uid="{00000000-0005-0000-0000-000036B40000}"/>
    <cellStyle name="Normal 5 2 5 2 2 3" xfId="46395" xr:uid="{00000000-0005-0000-0000-000037B40000}"/>
    <cellStyle name="Normal 5 2 5 2 2 4" xfId="46396" xr:uid="{00000000-0005-0000-0000-000038B40000}"/>
    <cellStyle name="Normal 5 2 5 2 2 5" xfId="46397" xr:uid="{00000000-0005-0000-0000-000039B40000}"/>
    <cellStyle name="Normal 5 2 5 2 2 6" xfId="46398" xr:uid="{00000000-0005-0000-0000-00003AB40000}"/>
    <cellStyle name="Normal 5 2 5 2 3" xfId="46399" xr:uid="{00000000-0005-0000-0000-00003BB40000}"/>
    <cellStyle name="Normal 5 2 5 2 3 2" xfId="46400" xr:uid="{00000000-0005-0000-0000-00003CB40000}"/>
    <cellStyle name="Normal 5 2 5 2 3 3" xfId="46401" xr:uid="{00000000-0005-0000-0000-00003DB40000}"/>
    <cellStyle name="Normal 5 2 5 2 4" xfId="46402" xr:uid="{00000000-0005-0000-0000-00003EB40000}"/>
    <cellStyle name="Normal 5 2 5 2 5" xfId="46403" xr:uid="{00000000-0005-0000-0000-00003FB40000}"/>
    <cellStyle name="Normal 5 2 5 2 6" xfId="46404" xr:uid="{00000000-0005-0000-0000-000040B40000}"/>
    <cellStyle name="Normal 5 2 5 2 7" xfId="46405" xr:uid="{00000000-0005-0000-0000-000041B40000}"/>
    <cellStyle name="Normal 5 2 5 3" xfId="46406" xr:uid="{00000000-0005-0000-0000-000042B40000}"/>
    <cellStyle name="Normal 5 2 5 3 2" xfId="46407" xr:uid="{00000000-0005-0000-0000-000043B40000}"/>
    <cellStyle name="Normal 5 2 5 3 2 2" xfId="46408" xr:uid="{00000000-0005-0000-0000-000044B40000}"/>
    <cellStyle name="Normal 5 2 5 3 2 3" xfId="46409" xr:uid="{00000000-0005-0000-0000-000045B40000}"/>
    <cellStyle name="Normal 5 2 5 3 3" xfId="46410" xr:uid="{00000000-0005-0000-0000-000046B40000}"/>
    <cellStyle name="Normal 5 2 5 3 4" xfId="46411" xr:uid="{00000000-0005-0000-0000-000047B40000}"/>
    <cellStyle name="Normal 5 2 5 3 5" xfId="46412" xr:uid="{00000000-0005-0000-0000-000048B40000}"/>
    <cellStyle name="Normal 5 2 5 3 6" xfId="46413" xr:uid="{00000000-0005-0000-0000-000049B40000}"/>
    <cellStyle name="Normal 5 2 6" xfId="46414" xr:uid="{00000000-0005-0000-0000-00004AB40000}"/>
    <cellStyle name="Normal 5 2 6 2" xfId="46415" xr:uid="{00000000-0005-0000-0000-00004BB40000}"/>
    <cellStyle name="Normal 5 2 6 2 2" xfId="46416" xr:uid="{00000000-0005-0000-0000-00004CB40000}"/>
    <cellStyle name="Normal 5 2 6 2 3" xfId="46417" xr:uid="{00000000-0005-0000-0000-00004DB40000}"/>
    <cellStyle name="Normal 5 2 6 3" xfId="46418" xr:uid="{00000000-0005-0000-0000-00004EB40000}"/>
    <cellStyle name="Normal 5 2 6 4" xfId="46419" xr:uid="{00000000-0005-0000-0000-00004FB40000}"/>
    <cellStyle name="Normal 5 2 6 5" xfId="46420" xr:uid="{00000000-0005-0000-0000-000050B40000}"/>
    <cellStyle name="Normal 5 2 6 6" xfId="46421" xr:uid="{00000000-0005-0000-0000-000051B40000}"/>
    <cellStyle name="Normal 5 21" xfId="254" xr:uid="{00000000-0005-0000-0000-000052B40000}"/>
    <cellStyle name="Normal 5 22" xfId="255" xr:uid="{00000000-0005-0000-0000-000053B40000}"/>
    <cellStyle name="Normal 5 23" xfId="256" xr:uid="{00000000-0005-0000-0000-000054B40000}"/>
    <cellStyle name="Normal 5 27" xfId="257" xr:uid="{00000000-0005-0000-0000-000055B40000}"/>
    <cellStyle name="Normal 5 29" xfId="258" xr:uid="{00000000-0005-0000-0000-000056B40000}"/>
    <cellStyle name="Normal 5 3" xfId="154" xr:uid="{00000000-0005-0000-0000-000057B40000}"/>
    <cellStyle name="Normal 5 3 10" xfId="46422" xr:uid="{00000000-0005-0000-0000-000058B40000}"/>
    <cellStyle name="Normal 5 3 10 2" xfId="46423" xr:uid="{00000000-0005-0000-0000-000059B40000}"/>
    <cellStyle name="Normal 5 3 10 3" xfId="46424" xr:uid="{00000000-0005-0000-0000-00005AB40000}"/>
    <cellStyle name="Normal 5 3 11" xfId="46425" xr:uid="{00000000-0005-0000-0000-00005BB40000}"/>
    <cellStyle name="Normal 5 3 12" xfId="46426" xr:uid="{00000000-0005-0000-0000-00005CB40000}"/>
    <cellStyle name="Normal 5 3 13" xfId="46427" xr:uid="{00000000-0005-0000-0000-00005DB40000}"/>
    <cellStyle name="Normal 5 3 14" xfId="46428" xr:uid="{00000000-0005-0000-0000-00005EB40000}"/>
    <cellStyle name="Normal 5 3 2" xfId="436" xr:uid="{00000000-0005-0000-0000-00005FB40000}"/>
    <cellStyle name="Normal 5 3 2 2" xfId="437" xr:uid="{00000000-0005-0000-0000-000060B40000}"/>
    <cellStyle name="Normal 5 3 3" xfId="438" xr:uid="{00000000-0005-0000-0000-000061B40000}"/>
    <cellStyle name="Normal 5 3 3 10" xfId="46429" xr:uid="{00000000-0005-0000-0000-000062B40000}"/>
    <cellStyle name="Normal 5 3 3 10 2" xfId="46430" xr:uid="{00000000-0005-0000-0000-000063B40000}"/>
    <cellStyle name="Normal 5 3 3 10 2 2" xfId="46431" xr:uid="{00000000-0005-0000-0000-000064B40000}"/>
    <cellStyle name="Normal 5 3 3 10 2 3" xfId="46432" xr:uid="{00000000-0005-0000-0000-000065B40000}"/>
    <cellStyle name="Normal 5 3 3 10 3" xfId="46433" xr:uid="{00000000-0005-0000-0000-000066B40000}"/>
    <cellStyle name="Normal 5 3 3 10 4" xfId="46434" xr:uid="{00000000-0005-0000-0000-000067B40000}"/>
    <cellStyle name="Normal 5 3 3 10 5" xfId="46435" xr:uid="{00000000-0005-0000-0000-000068B40000}"/>
    <cellStyle name="Normal 5 3 3 10 6" xfId="46436" xr:uid="{00000000-0005-0000-0000-000069B40000}"/>
    <cellStyle name="Normal 5 3 3 11" xfId="46437" xr:uid="{00000000-0005-0000-0000-00006AB40000}"/>
    <cellStyle name="Normal 5 3 3 11 2" xfId="46438" xr:uid="{00000000-0005-0000-0000-00006BB40000}"/>
    <cellStyle name="Normal 5 3 3 11 3" xfId="46439" xr:uid="{00000000-0005-0000-0000-00006CB40000}"/>
    <cellStyle name="Normal 5 3 3 12" xfId="46440" xr:uid="{00000000-0005-0000-0000-00006DB40000}"/>
    <cellStyle name="Normal 5 3 3 13" xfId="46441" xr:uid="{00000000-0005-0000-0000-00006EB40000}"/>
    <cellStyle name="Normal 5 3 3 14" xfId="46442" xr:uid="{00000000-0005-0000-0000-00006FB40000}"/>
    <cellStyle name="Normal 5 3 3 15" xfId="46443" xr:uid="{00000000-0005-0000-0000-000070B40000}"/>
    <cellStyle name="Normal 5 3 3 2" xfId="46444" xr:uid="{00000000-0005-0000-0000-000071B40000}"/>
    <cellStyle name="Normal 5 3 3 2 10" xfId="46445" xr:uid="{00000000-0005-0000-0000-000072B40000}"/>
    <cellStyle name="Normal 5 3 3 2 10 2" xfId="46446" xr:uid="{00000000-0005-0000-0000-000073B40000}"/>
    <cellStyle name="Normal 5 3 3 2 10 3" xfId="46447" xr:uid="{00000000-0005-0000-0000-000074B40000}"/>
    <cellStyle name="Normal 5 3 3 2 11" xfId="46448" xr:uid="{00000000-0005-0000-0000-000075B40000}"/>
    <cellStyle name="Normal 5 3 3 2 12" xfId="46449" xr:uid="{00000000-0005-0000-0000-000076B40000}"/>
    <cellStyle name="Normal 5 3 3 2 13" xfId="46450" xr:uid="{00000000-0005-0000-0000-000077B40000}"/>
    <cellStyle name="Normal 5 3 3 2 14" xfId="46451" xr:uid="{00000000-0005-0000-0000-000078B40000}"/>
    <cellStyle name="Normal 5 3 3 2 2" xfId="46452" xr:uid="{00000000-0005-0000-0000-000079B40000}"/>
    <cellStyle name="Normal 5 3 3 2 2 10" xfId="46453" xr:uid="{00000000-0005-0000-0000-00007AB40000}"/>
    <cellStyle name="Normal 5 3 3 2 2 11" xfId="46454" xr:uid="{00000000-0005-0000-0000-00007BB40000}"/>
    <cellStyle name="Normal 5 3 3 2 2 12" xfId="46455" xr:uid="{00000000-0005-0000-0000-00007CB40000}"/>
    <cellStyle name="Normal 5 3 3 2 2 13" xfId="46456" xr:uid="{00000000-0005-0000-0000-00007DB40000}"/>
    <cellStyle name="Normal 5 3 3 2 2 2" xfId="46457" xr:uid="{00000000-0005-0000-0000-00007EB40000}"/>
    <cellStyle name="Normal 5 3 3 2 2 2 10" xfId="46458" xr:uid="{00000000-0005-0000-0000-00007FB40000}"/>
    <cellStyle name="Normal 5 3 3 2 2 2 2" xfId="46459" xr:uid="{00000000-0005-0000-0000-000080B40000}"/>
    <cellStyle name="Normal 5 3 3 2 2 2 2 2" xfId="46460" xr:uid="{00000000-0005-0000-0000-000081B40000}"/>
    <cellStyle name="Normal 5 3 3 2 2 2 2 2 2" xfId="46461" xr:uid="{00000000-0005-0000-0000-000082B40000}"/>
    <cellStyle name="Normal 5 3 3 2 2 2 2 2 2 2" xfId="46462" xr:uid="{00000000-0005-0000-0000-000083B40000}"/>
    <cellStyle name="Normal 5 3 3 2 2 2 2 2 2 3" xfId="46463" xr:uid="{00000000-0005-0000-0000-000084B40000}"/>
    <cellStyle name="Normal 5 3 3 2 2 2 2 2 3" xfId="46464" xr:uid="{00000000-0005-0000-0000-000085B40000}"/>
    <cellStyle name="Normal 5 3 3 2 2 2 2 2 4" xfId="46465" xr:uid="{00000000-0005-0000-0000-000086B40000}"/>
    <cellStyle name="Normal 5 3 3 2 2 2 2 2 5" xfId="46466" xr:uid="{00000000-0005-0000-0000-000087B40000}"/>
    <cellStyle name="Normal 5 3 3 2 2 2 2 2 6" xfId="46467" xr:uid="{00000000-0005-0000-0000-000088B40000}"/>
    <cellStyle name="Normal 5 3 3 2 2 2 2 3" xfId="46468" xr:uid="{00000000-0005-0000-0000-000089B40000}"/>
    <cellStyle name="Normal 5 3 3 2 2 2 2 3 2" xfId="46469" xr:uid="{00000000-0005-0000-0000-00008AB40000}"/>
    <cellStyle name="Normal 5 3 3 2 2 2 2 3 2 2" xfId="46470" xr:uid="{00000000-0005-0000-0000-00008BB40000}"/>
    <cellStyle name="Normal 5 3 3 2 2 2 2 3 2 3" xfId="46471" xr:uid="{00000000-0005-0000-0000-00008CB40000}"/>
    <cellStyle name="Normal 5 3 3 2 2 2 2 3 3" xfId="46472" xr:uid="{00000000-0005-0000-0000-00008DB40000}"/>
    <cellStyle name="Normal 5 3 3 2 2 2 2 3 4" xfId="46473" xr:uid="{00000000-0005-0000-0000-00008EB40000}"/>
    <cellStyle name="Normal 5 3 3 2 2 2 2 3 5" xfId="46474" xr:uid="{00000000-0005-0000-0000-00008FB40000}"/>
    <cellStyle name="Normal 5 3 3 2 2 2 2 3 6" xfId="46475" xr:uid="{00000000-0005-0000-0000-000090B40000}"/>
    <cellStyle name="Normal 5 3 3 2 2 2 2 4" xfId="46476" xr:uid="{00000000-0005-0000-0000-000091B40000}"/>
    <cellStyle name="Normal 5 3 3 2 2 2 2 4 2" xfId="46477" xr:uid="{00000000-0005-0000-0000-000092B40000}"/>
    <cellStyle name="Normal 5 3 3 2 2 2 2 4 3" xfId="46478" xr:uid="{00000000-0005-0000-0000-000093B40000}"/>
    <cellStyle name="Normal 5 3 3 2 2 2 2 5" xfId="46479" xr:uid="{00000000-0005-0000-0000-000094B40000}"/>
    <cellStyle name="Normal 5 3 3 2 2 2 2 6" xfId="46480" xr:uid="{00000000-0005-0000-0000-000095B40000}"/>
    <cellStyle name="Normal 5 3 3 2 2 2 2 7" xfId="46481" xr:uid="{00000000-0005-0000-0000-000096B40000}"/>
    <cellStyle name="Normal 5 3 3 2 2 2 2 8" xfId="46482" xr:uid="{00000000-0005-0000-0000-000097B40000}"/>
    <cellStyle name="Normal 5 3 3 2 2 2 3" xfId="46483" xr:uid="{00000000-0005-0000-0000-000098B40000}"/>
    <cellStyle name="Normal 5 3 3 2 2 2 3 2" xfId="46484" xr:uid="{00000000-0005-0000-0000-000099B40000}"/>
    <cellStyle name="Normal 5 3 3 2 2 2 3 2 2" xfId="46485" xr:uid="{00000000-0005-0000-0000-00009AB40000}"/>
    <cellStyle name="Normal 5 3 3 2 2 2 3 2 2 2" xfId="46486" xr:uid="{00000000-0005-0000-0000-00009BB40000}"/>
    <cellStyle name="Normal 5 3 3 2 2 2 3 2 2 3" xfId="46487" xr:uid="{00000000-0005-0000-0000-00009CB40000}"/>
    <cellStyle name="Normal 5 3 3 2 2 2 3 2 3" xfId="46488" xr:uid="{00000000-0005-0000-0000-00009DB40000}"/>
    <cellStyle name="Normal 5 3 3 2 2 2 3 2 4" xfId="46489" xr:uid="{00000000-0005-0000-0000-00009EB40000}"/>
    <cellStyle name="Normal 5 3 3 2 2 2 3 2 5" xfId="46490" xr:uid="{00000000-0005-0000-0000-00009FB40000}"/>
    <cellStyle name="Normal 5 3 3 2 2 2 3 2 6" xfId="46491" xr:uid="{00000000-0005-0000-0000-0000A0B40000}"/>
    <cellStyle name="Normal 5 3 3 2 2 2 3 3" xfId="46492" xr:uid="{00000000-0005-0000-0000-0000A1B40000}"/>
    <cellStyle name="Normal 5 3 3 2 2 2 3 3 2" xfId="46493" xr:uid="{00000000-0005-0000-0000-0000A2B40000}"/>
    <cellStyle name="Normal 5 3 3 2 2 2 3 3 3" xfId="46494" xr:uid="{00000000-0005-0000-0000-0000A3B40000}"/>
    <cellStyle name="Normal 5 3 3 2 2 2 3 4" xfId="46495" xr:uid="{00000000-0005-0000-0000-0000A4B40000}"/>
    <cellStyle name="Normal 5 3 3 2 2 2 3 5" xfId="46496" xr:uid="{00000000-0005-0000-0000-0000A5B40000}"/>
    <cellStyle name="Normal 5 3 3 2 2 2 3 6" xfId="46497" xr:uid="{00000000-0005-0000-0000-0000A6B40000}"/>
    <cellStyle name="Normal 5 3 3 2 2 2 3 7" xfId="46498" xr:uid="{00000000-0005-0000-0000-0000A7B40000}"/>
    <cellStyle name="Normal 5 3 3 2 2 2 4" xfId="46499" xr:uid="{00000000-0005-0000-0000-0000A8B40000}"/>
    <cellStyle name="Normal 5 3 3 2 2 2 4 2" xfId="46500" xr:uid="{00000000-0005-0000-0000-0000A9B40000}"/>
    <cellStyle name="Normal 5 3 3 2 2 2 4 2 2" xfId="46501" xr:uid="{00000000-0005-0000-0000-0000AAB40000}"/>
    <cellStyle name="Normal 5 3 3 2 2 2 4 2 3" xfId="46502" xr:uid="{00000000-0005-0000-0000-0000ABB40000}"/>
    <cellStyle name="Normal 5 3 3 2 2 2 4 3" xfId="46503" xr:uid="{00000000-0005-0000-0000-0000ACB40000}"/>
    <cellStyle name="Normal 5 3 3 2 2 2 4 4" xfId="46504" xr:uid="{00000000-0005-0000-0000-0000ADB40000}"/>
    <cellStyle name="Normal 5 3 3 2 2 2 4 5" xfId="46505" xr:uid="{00000000-0005-0000-0000-0000AEB40000}"/>
    <cellStyle name="Normal 5 3 3 2 2 2 4 6" xfId="46506" xr:uid="{00000000-0005-0000-0000-0000AFB40000}"/>
    <cellStyle name="Normal 5 3 3 2 2 2 5" xfId="46507" xr:uid="{00000000-0005-0000-0000-0000B0B40000}"/>
    <cellStyle name="Normal 5 3 3 2 2 2 5 2" xfId="46508" xr:uid="{00000000-0005-0000-0000-0000B1B40000}"/>
    <cellStyle name="Normal 5 3 3 2 2 2 5 2 2" xfId="46509" xr:uid="{00000000-0005-0000-0000-0000B2B40000}"/>
    <cellStyle name="Normal 5 3 3 2 2 2 5 2 3" xfId="46510" xr:uid="{00000000-0005-0000-0000-0000B3B40000}"/>
    <cellStyle name="Normal 5 3 3 2 2 2 5 3" xfId="46511" xr:uid="{00000000-0005-0000-0000-0000B4B40000}"/>
    <cellStyle name="Normal 5 3 3 2 2 2 5 4" xfId="46512" xr:uid="{00000000-0005-0000-0000-0000B5B40000}"/>
    <cellStyle name="Normal 5 3 3 2 2 2 5 5" xfId="46513" xr:uid="{00000000-0005-0000-0000-0000B6B40000}"/>
    <cellStyle name="Normal 5 3 3 2 2 2 5 6" xfId="46514" xr:uid="{00000000-0005-0000-0000-0000B7B40000}"/>
    <cellStyle name="Normal 5 3 3 2 2 2 6" xfId="46515" xr:uid="{00000000-0005-0000-0000-0000B8B40000}"/>
    <cellStyle name="Normal 5 3 3 2 2 2 6 2" xfId="46516" xr:uid="{00000000-0005-0000-0000-0000B9B40000}"/>
    <cellStyle name="Normal 5 3 3 2 2 2 6 3" xfId="46517" xr:uid="{00000000-0005-0000-0000-0000BAB40000}"/>
    <cellStyle name="Normal 5 3 3 2 2 2 7" xfId="46518" xr:uid="{00000000-0005-0000-0000-0000BBB40000}"/>
    <cellStyle name="Normal 5 3 3 2 2 2 8" xfId="46519" xr:uid="{00000000-0005-0000-0000-0000BCB40000}"/>
    <cellStyle name="Normal 5 3 3 2 2 2 9" xfId="46520" xr:uid="{00000000-0005-0000-0000-0000BDB40000}"/>
    <cellStyle name="Normal 5 3 3 2 2 3" xfId="46521" xr:uid="{00000000-0005-0000-0000-0000BEB40000}"/>
    <cellStyle name="Normal 5 3 3 2 2 3 2" xfId="46522" xr:uid="{00000000-0005-0000-0000-0000BFB40000}"/>
    <cellStyle name="Normal 5 3 3 2 2 3 2 2" xfId="46523" xr:uid="{00000000-0005-0000-0000-0000C0B40000}"/>
    <cellStyle name="Normal 5 3 3 2 2 3 2 2 2" xfId="46524" xr:uid="{00000000-0005-0000-0000-0000C1B40000}"/>
    <cellStyle name="Normal 5 3 3 2 2 3 2 2 2 2" xfId="46525" xr:uid="{00000000-0005-0000-0000-0000C2B40000}"/>
    <cellStyle name="Normal 5 3 3 2 2 3 2 2 2 3" xfId="46526" xr:uid="{00000000-0005-0000-0000-0000C3B40000}"/>
    <cellStyle name="Normal 5 3 3 2 2 3 2 2 3" xfId="46527" xr:uid="{00000000-0005-0000-0000-0000C4B40000}"/>
    <cellStyle name="Normal 5 3 3 2 2 3 2 2 4" xfId="46528" xr:uid="{00000000-0005-0000-0000-0000C5B40000}"/>
    <cellStyle name="Normal 5 3 3 2 2 3 2 2 5" xfId="46529" xr:uid="{00000000-0005-0000-0000-0000C6B40000}"/>
    <cellStyle name="Normal 5 3 3 2 2 3 2 2 6" xfId="46530" xr:uid="{00000000-0005-0000-0000-0000C7B40000}"/>
    <cellStyle name="Normal 5 3 3 2 2 3 2 3" xfId="46531" xr:uid="{00000000-0005-0000-0000-0000C8B40000}"/>
    <cellStyle name="Normal 5 3 3 2 2 3 2 3 2" xfId="46532" xr:uid="{00000000-0005-0000-0000-0000C9B40000}"/>
    <cellStyle name="Normal 5 3 3 2 2 3 2 3 3" xfId="46533" xr:uid="{00000000-0005-0000-0000-0000CAB40000}"/>
    <cellStyle name="Normal 5 3 3 2 2 3 2 4" xfId="46534" xr:uid="{00000000-0005-0000-0000-0000CBB40000}"/>
    <cellStyle name="Normal 5 3 3 2 2 3 2 5" xfId="46535" xr:uid="{00000000-0005-0000-0000-0000CCB40000}"/>
    <cellStyle name="Normal 5 3 3 2 2 3 2 6" xfId="46536" xr:uid="{00000000-0005-0000-0000-0000CDB40000}"/>
    <cellStyle name="Normal 5 3 3 2 2 3 2 7" xfId="46537" xr:uid="{00000000-0005-0000-0000-0000CEB40000}"/>
    <cellStyle name="Normal 5 3 3 2 2 3 3" xfId="46538" xr:uid="{00000000-0005-0000-0000-0000CFB40000}"/>
    <cellStyle name="Normal 5 3 3 2 2 3 3 2" xfId="46539" xr:uid="{00000000-0005-0000-0000-0000D0B40000}"/>
    <cellStyle name="Normal 5 3 3 2 2 3 3 2 2" xfId="46540" xr:uid="{00000000-0005-0000-0000-0000D1B40000}"/>
    <cellStyle name="Normal 5 3 3 2 2 3 3 2 3" xfId="46541" xr:uid="{00000000-0005-0000-0000-0000D2B40000}"/>
    <cellStyle name="Normal 5 3 3 2 2 3 3 3" xfId="46542" xr:uid="{00000000-0005-0000-0000-0000D3B40000}"/>
    <cellStyle name="Normal 5 3 3 2 2 3 3 4" xfId="46543" xr:uid="{00000000-0005-0000-0000-0000D4B40000}"/>
    <cellStyle name="Normal 5 3 3 2 2 3 3 5" xfId="46544" xr:uid="{00000000-0005-0000-0000-0000D5B40000}"/>
    <cellStyle name="Normal 5 3 3 2 2 3 3 6" xfId="46545" xr:uid="{00000000-0005-0000-0000-0000D6B40000}"/>
    <cellStyle name="Normal 5 3 3 2 2 3 4" xfId="46546" xr:uid="{00000000-0005-0000-0000-0000D7B40000}"/>
    <cellStyle name="Normal 5 3 3 2 2 3 4 2" xfId="46547" xr:uid="{00000000-0005-0000-0000-0000D8B40000}"/>
    <cellStyle name="Normal 5 3 3 2 2 3 4 2 2" xfId="46548" xr:uid="{00000000-0005-0000-0000-0000D9B40000}"/>
    <cellStyle name="Normal 5 3 3 2 2 3 4 2 3" xfId="46549" xr:uid="{00000000-0005-0000-0000-0000DAB40000}"/>
    <cellStyle name="Normal 5 3 3 2 2 3 4 3" xfId="46550" xr:uid="{00000000-0005-0000-0000-0000DBB40000}"/>
    <cellStyle name="Normal 5 3 3 2 2 3 4 4" xfId="46551" xr:uid="{00000000-0005-0000-0000-0000DCB40000}"/>
    <cellStyle name="Normal 5 3 3 2 2 3 4 5" xfId="46552" xr:uid="{00000000-0005-0000-0000-0000DDB40000}"/>
    <cellStyle name="Normal 5 3 3 2 2 3 4 6" xfId="46553" xr:uid="{00000000-0005-0000-0000-0000DEB40000}"/>
    <cellStyle name="Normal 5 3 3 2 2 3 5" xfId="46554" xr:uid="{00000000-0005-0000-0000-0000DFB40000}"/>
    <cellStyle name="Normal 5 3 3 2 2 3 5 2" xfId="46555" xr:uid="{00000000-0005-0000-0000-0000E0B40000}"/>
    <cellStyle name="Normal 5 3 3 2 2 3 5 3" xfId="46556" xr:uid="{00000000-0005-0000-0000-0000E1B40000}"/>
    <cellStyle name="Normal 5 3 3 2 2 3 6" xfId="46557" xr:uid="{00000000-0005-0000-0000-0000E2B40000}"/>
    <cellStyle name="Normal 5 3 3 2 2 3 7" xfId="46558" xr:uid="{00000000-0005-0000-0000-0000E3B40000}"/>
    <cellStyle name="Normal 5 3 3 2 2 3 8" xfId="46559" xr:uid="{00000000-0005-0000-0000-0000E4B40000}"/>
    <cellStyle name="Normal 5 3 3 2 2 3 9" xfId="46560" xr:uid="{00000000-0005-0000-0000-0000E5B40000}"/>
    <cellStyle name="Normal 5 3 3 2 2 4" xfId="46561" xr:uid="{00000000-0005-0000-0000-0000E6B40000}"/>
    <cellStyle name="Normal 5 3 3 2 2 4 2" xfId="46562" xr:uid="{00000000-0005-0000-0000-0000E7B40000}"/>
    <cellStyle name="Normal 5 3 3 2 2 4 2 2" xfId="46563" xr:uid="{00000000-0005-0000-0000-0000E8B40000}"/>
    <cellStyle name="Normal 5 3 3 2 2 4 2 2 2" xfId="46564" xr:uid="{00000000-0005-0000-0000-0000E9B40000}"/>
    <cellStyle name="Normal 5 3 3 2 2 4 2 2 3" xfId="46565" xr:uid="{00000000-0005-0000-0000-0000EAB40000}"/>
    <cellStyle name="Normal 5 3 3 2 2 4 2 3" xfId="46566" xr:uid="{00000000-0005-0000-0000-0000EBB40000}"/>
    <cellStyle name="Normal 5 3 3 2 2 4 2 4" xfId="46567" xr:uid="{00000000-0005-0000-0000-0000ECB40000}"/>
    <cellStyle name="Normal 5 3 3 2 2 4 2 5" xfId="46568" xr:uid="{00000000-0005-0000-0000-0000EDB40000}"/>
    <cellStyle name="Normal 5 3 3 2 2 4 2 6" xfId="46569" xr:uid="{00000000-0005-0000-0000-0000EEB40000}"/>
    <cellStyle name="Normal 5 3 3 2 2 4 3" xfId="46570" xr:uid="{00000000-0005-0000-0000-0000EFB40000}"/>
    <cellStyle name="Normal 5 3 3 2 2 4 3 2" xfId="46571" xr:uid="{00000000-0005-0000-0000-0000F0B40000}"/>
    <cellStyle name="Normal 5 3 3 2 2 4 3 3" xfId="46572" xr:uid="{00000000-0005-0000-0000-0000F1B40000}"/>
    <cellStyle name="Normal 5 3 3 2 2 4 4" xfId="46573" xr:uid="{00000000-0005-0000-0000-0000F2B40000}"/>
    <cellStyle name="Normal 5 3 3 2 2 4 5" xfId="46574" xr:uid="{00000000-0005-0000-0000-0000F3B40000}"/>
    <cellStyle name="Normal 5 3 3 2 2 4 6" xfId="46575" xr:uid="{00000000-0005-0000-0000-0000F4B40000}"/>
    <cellStyle name="Normal 5 3 3 2 2 4 7" xfId="46576" xr:uid="{00000000-0005-0000-0000-0000F5B40000}"/>
    <cellStyle name="Normal 5 3 3 2 2 5" xfId="46577" xr:uid="{00000000-0005-0000-0000-0000F6B40000}"/>
    <cellStyle name="Normal 5 3 3 2 2 5 2" xfId="46578" xr:uid="{00000000-0005-0000-0000-0000F7B40000}"/>
    <cellStyle name="Normal 5 3 3 2 2 5 2 2" xfId="46579" xr:uid="{00000000-0005-0000-0000-0000F8B40000}"/>
    <cellStyle name="Normal 5 3 3 2 2 5 2 3" xfId="46580" xr:uid="{00000000-0005-0000-0000-0000F9B40000}"/>
    <cellStyle name="Normal 5 3 3 2 2 5 3" xfId="46581" xr:uid="{00000000-0005-0000-0000-0000FAB40000}"/>
    <cellStyle name="Normal 5 3 3 2 2 5 4" xfId="46582" xr:uid="{00000000-0005-0000-0000-0000FBB40000}"/>
    <cellStyle name="Normal 5 3 3 2 2 5 5" xfId="46583" xr:uid="{00000000-0005-0000-0000-0000FCB40000}"/>
    <cellStyle name="Normal 5 3 3 2 2 5 6" xfId="46584" xr:uid="{00000000-0005-0000-0000-0000FDB40000}"/>
    <cellStyle name="Normal 5 3 3 2 2 6" xfId="46585" xr:uid="{00000000-0005-0000-0000-0000FEB40000}"/>
    <cellStyle name="Normal 5 3 3 2 2 6 2" xfId="46586" xr:uid="{00000000-0005-0000-0000-0000FFB40000}"/>
    <cellStyle name="Normal 5 3 3 2 2 6 2 2" xfId="46587" xr:uid="{00000000-0005-0000-0000-000000B50000}"/>
    <cellStyle name="Normal 5 3 3 2 2 6 2 3" xfId="46588" xr:uid="{00000000-0005-0000-0000-000001B50000}"/>
    <cellStyle name="Normal 5 3 3 2 2 6 3" xfId="46589" xr:uid="{00000000-0005-0000-0000-000002B50000}"/>
    <cellStyle name="Normal 5 3 3 2 2 6 4" xfId="46590" xr:uid="{00000000-0005-0000-0000-000003B50000}"/>
    <cellStyle name="Normal 5 3 3 2 2 6 5" xfId="46591" xr:uid="{00000000-0005-0000-0000-000004B50000}"/>
    <cellStyle name="Normal 5 3 3 2 2 6 6" xfId="46592" xr:uid="{00000000-0005-0000-0000-000005B50000}"/>
    <cellStyle name="Normal 5 3 3 2 2 7" xfId="46593" xr:uid="{00000000-0005-0000-0000-000006B50000}"/>
    <cellStyle name="Normal 5 3 3 2 2 7 2" xfId="46594" xr:uid="{00000000-0005-0000-0000-000007B50000}"/>
    <cellStyle name="Normal 5 3 3 2 2 7 2 2" xfId="46595" xr:uid="{00000000-0005-0000-0000-000008B50000}"/>
    <cellStyle name="Normal 5 3 3 2 2 7 2 3" xfId="46596" xr:uid="{00000000-0005-0000-0000-000009B50000}"/>
    <cellStyle name="Normal 5 3 3 2 2 7 3" xfId="46597" xr:uid="{00000000-0005-0000-0000-00000AB50000}"/>
    <cellStyle name="Normal 5 3 3 2 2 7 4" xfId="46598" xr:uid="{00000000-0005-0000-0000-00000BB50000}"/>
    <cellStyle name="Normal 5 3 3 2 2 7 5" xfId="46599" xr:uid="{00000000-0005-0000-0000-00000CB50000}"/>
    <cellStyle name="Normal 5 3 3 2 2 7 6" xfId="46600" xr:uid="{00000000-0005-0000-0000-00000DB50000}"/>
    <cellStyle name="Normal 5 3 3 2 2 8" xfId="46601" xr:uid="{00000000-0005-0000-0000-00000EB50000}"/>
    <cellStyle name="Normal 5 3 3 2 2 8 2" xfId="46602" xr:uid="{00000000-0005-0000-0000-00000FB50000}"/>
    <cellStyle name="Normal 5 3 3 2 2 8 2 2" xfId="46603" xr:uid="{00000000-0005-0000-0000-000010B50000}"/>
    <cellStyle name="Normal 5 3 3 2 2 8 2 3" xfId="46604" xr:uid="{00000000-0005-0000-0000-000011B50000}"/>
    <cellStyle name="Normal 5 3 3 2 2 8 3" xfId="46605" xr:uid="{00000000-0005-0000-0000-000012B50000}"/>
    <cellStyle name="Normal 5 3 3 2 2 8 4" xfId="46606" xr:uid="{00000000-0005-0000-0000-000013B50000}"/>
    <cellStyle name="Normal 5 3 3 2 2 8 5" xfId="46607" xr:uid="{00000000-0005-0000-0000-000014B50000}"/>
    <cellStyle name="Normal 5 3 3 2 2 8 6" xfId="46608" xr:uid="{00000000-0005-0000-0000-000015B50000}"/>
    <cellStyle name="Normal 5 3 3 2 2 9" xfId="46609" xr:uid="{00000000-0005-0000-0000-000016B50000}"/>
    <cellStyle name="Normal 5 3 3 2 2 9 2" xfId="46610" xr:uid="{00000000-0005-0000-0000-000017B50000}"/>
    <cellStyle name="Normal 5 3 3 2 2 9 3" xfId="46611" xr:uid="{00000000-0005-0000-0000-000018B50000}"/>
    <cellStyle name="Normal 5 3 3 2 3" xfId="46612" xr:uid="{00000000-0005-0000-0000-000019B50000}"/>
    <cellStyle name="Normal 5 3 3 2 3 10" xfId="46613" xr:uid="{00000000-0005-0000-0000-00001AB50000}"/>
    <cellStyle name="Normal 5 3 3 2 3 2" xfId="46614" xr:uid="{00000000-0005-0000-0000-00001BB50000}"/>
    <cellStyle name="Normal 5 3 3 2 3 2 2" xfId="46615" xr:uid="{00000000-0005-0000-0000-00001CB50000}"/>
    <cellStyle name="Normal 5 3 3 2 3 2 2 2" xfId="46616" xr:uid="{00000000-0005-0000-0000-00001DB50000}"/>
    <cellStyle name="Normal 5 3 3 2 3 2 2 2 2" xfId="46617" xr:uid="{00000000-0005-0000-0000-00001EB50000}"/>
    <cellStyle name="Normal 5 3 3 2 3 2 2 2 3" xfId="46618" xr:uid="{00000000-0005-0000-0000-00001FB50000}"/>
    <cellStyle name="Normal 5 3 3 2 3 2 2 3" xfId="46619" xr:uid="{00000000-0005-0000-0000-000020B50000}"/>
    <cellStyle name="Normal 5 3 3 2 3 2 2 4" xfId="46620" xr:uid="{00000000-0005-0000-0000-000021B50000}"/>
    <cellStyle name="Normal 5 3 3 2 3 2 2 5" xfId="46621" xr:uid="{00000000-0005-0000-0000-000022B50000}"/>
    <cellStyle name="Normal 5 3 3 2 3 2 2 6" xfId="46622" xr:uid="{00000000-0005-0000-0000-000023B50000}"/>
    <cellStyle name="Normal 5 3 3 2 3 2 3" xfId="46623" xr:uid="{00000000-0005-0000-0000-000024B50000}"/>
    <cellStyle name="Normal 5 3 3 2 3 2 3 2" xfId="46624" xr:uid="{00000000-0005-0000-0000-000025B50000}"/>
    <cellStyle name="Normal 5 3 3 2 3 2 3 2 2" xfId="46625" xr:uid="{00000000-0005-0000-0000-000026B50000}"/>
    <cellStyle name="Normal 5 3 3 2 3 2 3 2 3" xfId="46626" xr:uid="{00000000-0005-0000-0000-000027B50000}"/>
    <cellStyle name="Normal 5 3 3 2 3 2 3 3" xfId="46627" xr:uid="{00000000-0005-0000-0000-000028B50000}"/>
    <cellStyle name="Normal 5 3 3 2 3 2 3 4" xfId="46628" xr:uid="{00000000-0005-0000-0000-000029B50000}"/>
    <cellStyle name="Normal 5 3 3 2 3 2 3 5" xfId="46629" xr:uid="{00000000-0005-0000-0000-00002AB50000}"/>
    <cellStyle name="Normal 5 3 3 2 3 2 3 6" xfId="46630" xr:uid="{00000000-0005-0000-0000-00002BB50000}"/>
    <cellStyle name="Normal 5 3 3 2 3 2 4" xfId="46631" xr:uid="{00000000-0005-0000-0000-00002CB50000}"/>
    <cellStyle name="Normal 5 3 3 2 3 2 4 2" xfId="46632" xr:uid="{00000000-0005-0000-0000-00002DB50000}"/>
    <cellStyle name="Normal 5 3 3 2 3 2 4 3" xfId="46633" xr:uid="{00000000-0005-0000-0000-00002EB50000}"/>
    <cellStyle name="Normal 5 3 3 2 3 2 5" xfId="46634" xr:uid="{00000000-0005-0000-0000-00002FB50000}"/>
    <cellStyle name="Normal 5 3 3 2 3 2 6" xfId="46635" xr:uid="{00000000-0005-0000-0000-000030B50000}"/>
    <cellStyle name="Normal 5 3 3 2 3 2 7" xfId="46636" xr:uid="{00000000-0005-0000-0000-000031B50000}"/>
    <cellStyle name="Normal 5 3 3 2 3 2 8" xfId="46637" xr:uid="{00000000-0005-0000-0000-000032B50000}"/>
    <cellStyle name="Normal 5 3 3 2 3 3" xfId="46638" xr:uid="{00000000-0005-0000-0000-000033B50000}"/>
    <cellStyle name="Normal 5 3 3 2 3 3 2" xfId="46639" xr:uid="{00000000-0005-0000-0000-000034B50000}"/>
    <cellStyle name="Normal 5 3 3 2 3 3 2 2" xfId="46640" xr:uid="{00000000-0005-0000-0000-000035B50000}"/>
    <cellStyle name="Normal 5 3 3 2 3 3 2 2 2" xfId="46641" xr:uid="{00000000-0005-0000-0000-000036B50000}"/>
    <cellStyle name="Normal 5 3 3 2 3 3 2 2 3" xfId="46642" xr:uid="{00000000-0005-0000-0000-000037B50000}"/>
    <cellStyle name="Normal 5 3 3 2 3 3 2 3" xfId="46643" xr:uid="{00000000-0005-0000-0000-000038B50000}"/>
    <cellStyle name="Normal 5 3 3 2 3 3 2 4" xfId="46644" xr:uid="{00000000-0005-0000-0000-000039B50000}"/>
    <cellStyle name="Normal 5 3 3 2 3 3 2 5" xfId="46645" xr:uid="{00000000-0005-0000-0000-00003AB50000}"/>
    <cellStyle name="Normal 5 3 3 2 3 3 2 6" xfId="46646" xr:uid="{00000000-0005-0000-0000-00003BB50000}"/>
    <cellStyle name="Normal 5 3 3 2 3 3 3" xfId="46647" xr:uid="{00000000-0005-0000-0000-00003CB50000}"/>
    <cellStyle name="Normal 5 3 3 2 3 3 3 2" xfId="46648" xr:uid="{00000000-0005-0000-0000-00003DB50000}"/>
    <cellStyle name="Normal 5 3 3 2 3 3 3 3" xfId="46649" xr:uid="{00000000-0005-0000-0000-00003EB50000}"/>
    <cellStyle name="Normal 5 3 3 2 3 3 4" xfId="46650" xr:uid="{00000000-0005-0000-0000-00003FB50000}"/>
    <cellStyle name="Normal 5 3 3 2 3 3 5" xfId="46651" xr:uid="{00000000-0005-0000-0000-000040B50000}"/>
    <cellStyle name="Normal 5 3 3 2 3 3 6" xfId="46652" xr:uid="{00000000-0005-0000-0000-000041B50000}"/>
    <cellStyle name="Normal 5 3 3 2 3 3 7" xfId="46653" xr:uid="{00000000-0005-0000-0000-000042B50000}"/>
    <cellStyle name="Normal 5 3 3 2 3 4" xfId="46654" xr:uid="{00000000-0005-0000-0000-000043B50000}"/>
    <cellStyle name="Normal 5 3 3 2 3 4 2" xfId="46655" xr:uid="{00000000-0005-0000-0000-000044B50000}"/>
    <cellStyle name="Normal 5 3 3 2 3 4 2 2" xfId="46656" xr:uid="{00000000-0005-0000-0000-000045B50000}"/>
    <cellStyle name="Normal 5 3 3 2 3 4 2 3" xfId="46657" xr:uid="{00000000-0005-0000-0000-000046B50000}"/>
    <cellStyle name="Normal 5 3 3 2 3 4 3" xfId="46658" xr:uid="{00000000-0005-0000-0000-000047B50000}"/>
    <cellStyle name="Normal 5 3 3 2 3 4 4" xfId="46659" xr:uid="{00000000-0005-0000-0000-000048B50000}"/>
    <cellStyle name="Normal 5 3 3 2 3 4 5" xfId="46660" xr:uid="{00000000-0005-0000-0000-000049B50000}"/>
    <cellStyle name="Normal 5 3 3 2 3 4 6" xfId="46661" xr:uid="{00000000-0005-0000-0000-00004AB50000}"/>
    <cellStyle name="Normal 5 3 3 2 3 5" xfId="46662" xr:uid="{00000000-0005-0000-0000-00004BB50000}"/>
    <cellStyle name="Normal 5 3 3 2 3 5 2" xfId="46663" xr:uid="{00000000-0005-0000-0000-00004CB50000}"/>
    <cellStyle name="Normal 5 3 3 2 3 5 2 2" xfId="46664" xr:uid="{00000000-0005-0000-0000-00004DB50000}"/>
    <cellStyle name="Normal 5 3 3 2 3 5 2 3" xfId="46665" xr:uid="{00000000-0005-0000-0000-00004EB50000}"/>
    <cellStyle name="Normal 5 3 3 2 3 5 3" xfId="46666" xr:uid="{00000000-0005-0000-0000-00004FB50000}"/>
    <cellStyle name="Normal 5 3 3 2 3 5 4" xfId="46667" xr:uid="{00000000-0005-0000-0000-000050B50000}"/>
    <cellStyle name="Normal 5 3 3 2 3 5 5" xfId="46668" xr:uid="{00000000-0005-0000-0000-000051B50000}"/>
    <cellStyle name="Normal 5 3 3 2 3 5 6" xfId="46669" xr:uid="{00000000-0005-0000-0000-000052B50000}"/>
    <cellStyle name="Normal 5 3 3 2 3 6" xfId="46670" xr:uid="{00000000-0005-0000-0000-000053B50000}"/>
    <cellStyle name="Normal 5 3 3 2 3 6 2" xfId="46671" xr:uid="{00000000-0005-0000-0000-000054B50000}"/>
    <cellStyle name="Normal 5 3 3 2 3 6 3" xfId="46672" xr:uid="{00000000-0005-0000-0000-000055B50000}"/>
    <cellStyle name="Normal 5 3 3 2 3 7" xfId="46673" xr:uid="{00000000-0005-0000-0000-000056B50000}"/>
    <cellStyle name="Normal 5 3 3 2 3 8" xfId="46674" xr:uid="{00000000-0005-0000-0000-000057B50000}"/>
    <cellStyle name="Normal 5 3 3 2 3 9" xfId="46675" xr:uid="{00000000-0005-0000-0000-000058B50000}"/>
    <cellStyle name="Normal 5 3 3 2 4" xfId="46676" xr:uid="{00000000-0005-0000-0000-000059B50000}"/>
    <cellStyle name="Normal 5 3 3 2 4 2" xfId="46677" xr:uid="{00000000-0005-0000-0000-00005AB50000}"/>
    <cellStyle name="Normal 5 3 3 2 4 2 2" xfId="46678" xr:uid="{00000000-0005-0000-0000-00005BB50000}"/>
    <cellStyle name="Normal 5 3 3 2 4 2 2 2" xfId="46679" xr:uid="{00000000-0005-0000-0000-00005CB50000}"/>
    <cellStyle name="Normal 5 3 3 2 4 2 2 2 2" xfId="46680" xr:uid="{00000000-0005-0000-0000-00005DB50000}"/>
    <cellStyle name="Normal 5 3 3 2 4 2 2 2 3" xfId="46681" xr:uid="{00000000-0005-0000-0000-00005EB50000}"/>
    <cellStyle name="Normal 5 3 3 2 4 2 2 3" xfId="46682" xr:uid="{00000000-0005-0000-0000-00005FB50000}"/>
    <cellStyle name="Normal 5 3 3 2 4 2 2 4" xfId="46683" xr:uid="{00000000-0005-0000-0000-000060B50000}"/>
    <cellStyle name="Normal 5 3 3 2 4 2 2 5" xfId="46684" xr:uid="{00000000-0005-0000-0000-000061B50000}"/>
    <cellStyle name="Normal 5 3 3 2 4 2 2 6" xfId="46685" xr:uid="{00000000-0005-0000-0000-000062B50000}"/>
    <cellStyle name="Normal 5 3 3 2 4 2 3" xfId="46686" xr:uid="{00000000-0005-0000-0000-000063B50000}"/>
    <cellStyle name="Normal 5 3 3 2 4 2 3 2" xfId="46687" xr:uid="{00000000-0005-0000-0000-000064B50000}"/>
    <cellStyle name="Normal 5 3 3 2 4 2 3 3" xfId="46688" xr:uid="{00000000-0005-0000-0000-000065B50000}"/>
    <cellStyle name="Normal 5 3 3 2 4 2 4" xfId="46689" xr:uid="{00000000-0005-0000-0000-000066B50000}"/>
    <cellStyle name="Normal 5 3 3 2 4 2 5" xfId="46690" xr:uid="{00000000-0005-0000-0000-000067B50000}"/>
    <cellStyle name="Normal 5 3 3 2 4 2 6" xfId="46691" xr:uid="{00000000-0005-0000-0000-000068B50000}"/>
    <cellStyle name="Normal 5 3 3 2 4 2 7" xfId="46692" xr:uid="{00000000-0005-0000-0000-000069B50000}"/>
    <cellStyle name="Normal 5 3 3 2 4 3" xfId="46693" xr:uid="{00000000-0005-0000-0000-00006AB50000}"/>
    <cellStyle name="Normal 5 3 3 2 4 3 2" xfId="46694" xr:uid="{00000000-0005-0000-0000-00006BB50000}"/>
    <cellStyle name="Normal 5 3 3 2 4 3 2 2" xfId="46695" xr:uid="{00000000-0005-0000-0000-00006CB50000}"/>
    <cellStyle name="Normal 5 3 3 2 4 3 2 3" xfId="46696" xr:uid="{00000000-0005-0000-0000-00006DB50000}"/>
    <cellStyle name="Normal 5 3 3 2 4 3 3" xfId="46697" xr:uid="{00000000-0005-0000-0000-00006EB50000}"/>
    <cellStyle name="Normal 5 3 3 2 4 3 4" xfId="46698" xr:uid="{00000000-0005-0000-0000-00006FB50000}"/>
    <cellStyle name="Normal 5 3 3 2 4 3 5" xfId="46699" xr:uid="{00000000-0005-0000-0000-000070B50000}"/>
    <cellStyle name="Normal 5 3 3 2 4 3 6" xfId="46700" xr:uid="{00000000-0005-0000-0000-000071B50000}"/>
    <cellStyle name="Normal 5 3 3 2 4 4" xfId="46701" xr:uid="{00000000-0005-0000-0000-000072B50000}"/>
    <cellStyle name="Normal 5 3 3 2 4 4 2" xfId="46702" xr:uid="{00000000-0005-0000-0000-000073B50000}"/>
    <cellStyle name="Normal 5 3 3 2 4 4 2 2" xfId="46703" xr:uid="{00000000-0005-0000-0000-000074B50000}"/>
    <cellStyle name="Normal 5 3 3 2 4 4 2 3" xfId="46704" xr:uid="{00000000-0005-0000-0000-000075B50000}"/>
    <cellStyle name="Normal 5 3 3 2 4 4 3" xfId="46705" xr:uid="{00000000-0005-0000-0000-000076B50000}"/>
    <cellStyle name="Normal 5 3 3 2 4 4 4" xfId="46706" xr:uid="{00000000-0005-0000-0000-000077B50000}"/>
    <cellStyle name="Normal 5 3 3 2 4 4 5" xfId="46707" xr:uid="{00000000-0005-0000-0000-000078B50000}"/>
    <cellStyle name="Normal 5 3 3 2 4 4 6" xfId="46708" xr:uid="{00000000-0005-0000-0000-000079B50000}"/>
    <cellStyle name="Normal 5 3 3 2 4 5" xfId="46709" xr:uid="{00000000-0005-0000-0000-00007AB50000}"/>
    <cellStyle name="Normal 5 3 3 2 4 5 2" xfId="46710" xr:uid="{00000000-0005-0000-0000-00007BB50000}"/>
    <cellStyle name="Normal 5 3 3 2 4 5 3" xfId="46711" xr:uid="{00000000-0005-0000-0000-00007CB50000}"/>
    <cellStyle name="Normal 5 3 3 2 4 6" xfId="46712" xr:uid="{00000000-0005-0000-0000-00007DB50000}"/>
    <cellStyle name="Normal 5 3 3 2 4 7" xfId="46713" xr:uid="{00000000-0005-0000-0000-00007EB50000}"/>
    <cellStyle name="Normal 5 3 3 2 4 8" xfId="46714" xr:uid="{00000000-0005-0000-0000-00007FB50000}"/>
    <cellStyle name="Normal 5 3 3 2 4 9" xfId="46715" xr:uid="{00000000-0005-0000-0000-000080B50000}"/>
    <cellStyle name="Normal 5 3 3 2 5" xfId="46716" xr:uid="{00000000-0005-0000-0000-000081B50000}"/>
    <cellStyle name="Normal 5 3 3 2 5 2" xfId="46717" xr:uid="{00000000-0005-0000-0000-000082B50000}"/>
    <cellStyle name="Normal 5 3 3 2 5 2 2" xfId="46718" xr:uid="{00000000-0005-0000-0000-000083B50000}"/>
    <cellStyle name="Normal 5 3 3 2 5 2 2 2" xfId="46719" xr:uid="{00000000-0005-0000-0000-000084B50000}"/>
    <cellStyle name="Normal 5 3 3 2 5 2 2 3" xfId="46720" xr:uid="{00000000-0005-0000-0000-000085B50000}"/>
    <cellStyle name="Normal 5 3 3 2 5 2 3" xfId="46721" xr:uid="{00000000-0005-0000-0000-000086B50000}"/>
    <cellStyle name="Normal 5 3 3 2 5 2 4" xfId="46722" xr:uid="{00000000-0005-0000-0000-000087B50000}"/>
    <cellStyle name="Normal 5 3 3 2 5 2 5" xfId="46723" xr:uid="{00000000-0005-0000-0000-000088B50000}"/>
    <cellStyle name="Normal 5 3 3 2 5 2 6" xfId="46724" xr:uid="{00000000-0005-0000-0000-000089B50000}"/>
    <cellStyle name="Normal 5 3 3 2 5 3" xfId="46725" xr:uid="{00000000-0005-0000-0000-00008AB50000}"/>
    <cellStyle name="Normal 5 3 3 2 5 3 2" xfId="46726" xr:uid="{00000000-0005-0000-0000-00008BB50000}"/>
    <cellStyle name="Normal 5 3 3 2 5 3 3" xfId="46727" xr:uid="{00000000-0005-0000-0000-00008CB50000}"/>
    <cellStyle name="Normal 5 3 3 2 5 4" xfId="46728" xr:uid="{00000000-0005-0000-0000-00008DB50000}"/>
    <cellStyle name="Normal 5 3 3 2 5 5" xfId="46729" xr:uid="{00000000-0005-0000-0000-00008EB50000}"/>
    <cellStyle name="Normal 5 3 3 2 5 6" xfId="46730" xr:uid="{00000000-0005-0000-0000-00008FB50000}"/>
    <cellStyle name="Normal 5 3 3 2 5 7" xfId="46731" xr:uid="{00000000-0005-0000-0000-000090B50000}"/>
    <cellStyle name="Normal 5 3 3 2 6" xfId="46732" xr:uid="{00000000-0005-0000-0000-000091B50000}"/>
    <cellStyle name="Normal 5 3 3 2 6 2" xfId="46733" xr:uid="{00000000-0005-0000-0000-000092B50000}"/>
    <cellStyle name="Normal 5 3 3 2 6 2 2" xfId="46734" xr:uid="{00000000-0005-0000-0000-000093B50000}"/>
    <cellStyle name="Normal 5 3 3 2 6 2 3" xfId="46735" xr:uid="{00000000-0005-0000-0000-000094B50000}"/>
    <cellStyle name="Normal 5 3 3 2 6 3" xfId="46736" xr:uid="{00000000-0005-0000-0000-000095B50000}"/>
    <cellStyle name="Normal 5 3 3 2 6 4" xfId="46737" xr:uid="{00000000-0005-0000-0000-000096B50000}"/>
    <cellStyle name="Normal 5 3 3 2 6 5" xfId="46738" xr:uid="{00000000-0005-0000-0000-000097B50000}"/>
    <cellStyle name="Normal 5 3 3 2 6 6" xfId="46739" xr:uid="{00000000-0005-0000-0000-000098B50000}"/>
    <cellStyle name="Normal 5 3 3 2 7" xfId="46740" xr:uid="{00000000-0005-0000-0000-000099B50000}"/>
    <cellStyle name="Normal 5 3 3 2 7 2" xfId="46741" xr:uid="{00000000-0005-0000-0000-00009AB50000}"/>
    <cellStyle name="Normal 5 3 3 2 7 2 2" xfId="46742" xr:uid="{00000000-0005-0000-0000-00009BB50000}"/>
    <cellStyle name="Normal 5 3 3 2 7 2 3" xfId="46743" xr:uid="{00000000-0005-0000-0000-00009CB50000}"/>
    <cellStyle name="Normal 5 3 3 2 7 3" xfId="46744" xr:uid="{00000000-0005-0000-0000-00009DB50000}"/>
    <cellStyle name="Normal 5 3 3 2 7 4" xfId="46745" xr:uid="{00000000-0005-0000-0000-00009EB50000}"/>
    <cellStyle name="Normal 5 3 3 2 7 5" xfId="46746" xr:uid="{00000000-0005-0000-0000-00009FB50000}"/>
    <cellStyle name="Normal 5 3 3 2 7 6" xfId="46747" xr:uid="{00000000-0005-0000-0000-0000A0B50000}"/>
    <cellStyle name="Normal 5 3 3 2 8" xfId="46748" xr:uid="{00000000-0005-0000-0000-0000A1B50000}"/>
    <cellStyle name="Normal 5 3 3 2 8 2" xfId="46749" xr:uid="{00000000-0005-0000-0000-0000A2B50000}"/>
    <cellStyle name="Normal 5 3 3 2 8 2 2" xfId="46750" xr:uid="{00000000-0005-0000-0000-0000A3B50000}"/>
    <cellStyle name="Normal 5 3 3 2 8 2 3" xfId="46751" xr:uid="{00000000-0005-0000-0000-0000A4B50000}"/>
    <cellStyle name="Normal 5 3 3 2 8 3" xfId="46752" xr:uid="{00000000-0005-0000-0000-0000A5B50000}"/>
    <cellStyle name="Normal 5 3 3 2 8 4" xfId="46753" xr:uid="{00000000-0005-0000-0000-0000A6B50000}"/>
    <cellStyle name="Normal 5 3 3 2 8 5" xfId="46754" xr:uid="{00000000-0005-0000-0000-0000A7B50000}"/>
    <cellStyle name="Normal 5 3 3 2 8 6" xfId="46755" xr:uid="{00000000-0005-0000-0000-0000A8B50000}"/>
    <cellStyle name="Normal 5 3 3 2 9" xfId="46756" xr:uid="{00000000-0005-0000-0000-0000A9B50000}"/>
    <cellStyle name="Normal 5 3 3 2 9 2" xfId="46757" xr:uid="{00000000-0005-0000-0000-0000AAB50000}"/>
    <cellStyle name="Normal 5 3 3 2 9 2 2" xfId="46758" xr:uid="{00000000-0005-0000-0000-0000ABB50000}"/>
    <cellStyle name="Normal 5 3 3 2 9 2 3" xfId="46759" xr:uid="{00000000-0005-0000-0000-0000ACB50000}"/>
    <cellStyle name="Normal 5 3 3 2 9 3" xfId="46760" xr:uid="{00000000-0005-0000-0000-0000ADB50000}"/>
    <cellStyle name="Normal 5 3 3 2 9 4" xfId="46761" xr:uid="{00000000-0005-0000-0000-0000AEB50000}"/>
    <cellStyle name="Normal 5 3 3 2 9 5" xfId="46762" xr:uid="{00000000-0005-0000-0000-0000AFB50000}"/>
    <cellStyle name="Normal 5 3 3 2 9 6" xfId="46763" xr:uid="{00000000-0005-0000-0000-0000B0B50000}"/>
    <cellStyle name="Normal 5 3 3 3" xfId="46764" xr:uid="{00000000-0005-0000-0000-0000B1B50000}"/>
    <cellStyle name="Normal 5 3 3 3 10" xfId="46765" xr:uid="{00000000-0005-0000-0000-0000B2B50000}"/>
    <cellStyle name="Normal 5 3 3 3 11" xfId="46766" xr:uid="{00000000-0005-0000-0000-0000B3B50000}"/>
    <cellStyle name="Normal 5 3 3 3 12" xfId="46767" xr:uid="{00000000-0005-0000-0000-0000B4B50000}"/>
    <cellStyle name="Normal 5 3 3 3 13" xfId="46768" xr:uid="{00000000-0005-0000-0000-0000B5B50000}"/>
    <cellStyle name="Normal 5 3 3 3 2" xfId="46769" xr:uid="{00000000-0005-0000-0000-0000B6B50000}"/>
    <cellStyle name="Normal 5 3 3 3 2 10" xfId="46770" xr:uid="{00000000-0005-0000-0000-0000B7B50000}"/>
    <cellStyle name="Normal 5 3 3 3 2 2" xfId="46771" xr:uid="{00000000-0005-0000-0000-0000B8B50000}"/>
    <cellStyle name="Normal 5 3 3 3 2 2 2" xfId="46772" xr:uid="{00000000-0005-0000-0000-0000B9B50000}"/>
    <cellStyle name="Normal 5 3 3 3 2 2 2 2" xfId="46773" xr:uid="{00000000-0005-0000-0000-0000BAB50000}"/>
    <cellStyle name="Normal 5 3 3 3 2 2 2 2 2" xfId="46774" xr:uid="{00000000-0005-0000-0000-0000BBB50000}"/>
    <cellStyle name="Normal 5 3 3 3 2 2 2 2 3" xfId="46775" xr:uid="{00000000-0005-0000-0000-0000BCB50000}"/>
    <cellStyle name="Normal 5 3 3 3 2 2 2 3" xfId="46776" xr:uid="{00000000-0005-0000-0000-0000BDB50000}"/>
    <cellStyle name="Normal 5 3 3 3 2 2 2 4" xfId="46777" xr:uid="{00000000-0005-0000-0000-0000BEB50000}"/>
    <cellStyle name="Normal 5 3 3 3 2 2 2 5" xfId="46778" xr:uid="{00000000-0005-0000-0000-0000BFB50000}"/>
    <cellStyle name="Normal 5 3 3 3 2 2 2 6" xfId="46779" xr:uid="{00000000-0005-0000-0000-0000C0B50000}"/>
    <cellStyle name="Normal 5 3 3 3 2 2 3" xfId="46780" xr:uid="{00000000-0005-0000-0000-0000C1B50000}"/>
    <cellStyle name="Normal 5 3 3 3 2 2 3 2" xfId="46781" xr:uid="{00000000-0005-0000-0000-0000C2B50000}"/>
    <cellStyle name="Normal 5 3 3 3 2 2 3 2 2" xfId="46782" xr:uid="{00000000-0005-0000-0000-0000C3B50000}"/>
    <cellStyle name="Normal 5 3 3 3 2 2 3 2 3" xfId="46783" xr:uid="{00000000-0005-0000-0000-0000C4B50000}"/>
    <cellStyle name="Normal 5 3 3 3 2 2 3 3" xfId="46784" xr:uid="{00000000-0005-0000-0000-0000C5B50000}"/>
    <cellStyle name="Normal 5 3 3 3 2 2 3 4" xfId="46785" xr:uid="{00000000-0005-0000-0000-0000C6B50000}"/>
    <cellStyle name="Normal 5 3 3 3 2 2 3 5" xfId="46786" xr:uid="{00000000-0005-0000-0000-0000C7B50000}"/>
    <cellStyle name="Normal 5 3 3 3 2 2 3 6" xfId="46787" xr:uid="{00000000-0005-0000-0000-0000C8B50000}"/>
    <cellStyle name="Normal 5 3 3 3 2 2 4" xfId="46788" xr:uid="{00000000-0005-0000-0000-0000C9B50000}"/>
    <cellStyle name="Normal 5 3 3 3 2 2 4 2" xfId="46789" xr:uid="{00000000-0005-0000-0000-0000CAB50000}"/>
    <cellStyle name="Normal 5 3 3 3 2 2 4 3" xfId="46790" xr:uid="{00000000-0005-0000-0000-0000CBB50000}"/>
    <cellStyle name="Normal 5 3 3 3 2 2 5" xfId="46791" xr:uid="{00000000-0005-0000-0000-0000CCB50000}"/>
    <cellStyle name="Normal 5 3 3 3 2 2 6" xfId="46792" xr:uid="{00000000-0005-0000-0000-0000CDB50000}"/>
    <cellStyle name="Normal 5 3 3 3 2 2 7" xfId="46793" xr:uid="{00000000-0005-0000-0000-0000CEB50000}"/>
    <cellStyle name="Normal 5 3 3 3 2 2 8" xfId="46794" xr:uid="{00000000-0005-0000-0000-0000CFB50000}"/>
    <cellStyle name="Normal 5 3 3 3 2 3" xfId="46795" xr:uid="{00000000-0005-0000-0000-0000D0B50000}"/>
    <cellStyle name="Normal 5 3 3 3 2 3 2" xfId="46796" xr:uid="{00000000-0005-0000-0000-0000D1B50000}"/>
    <cellStyle name="Normal 5 3 3 3 2 3 2 2" xfId="46797" xr:uid="{00000000-0005-0000-0000-0000D2B50000}"/>
    <cellStyle name="Normal 5 3 3 3 2 3 2 2 2" xfId="46798" xr:uid="{00000000-0005-0000-0000-0000D3B50000}"/>
    <cellStyle name="Normal 5 3 3 3 2 3 2 2 3" xfId="46799" xr:uid="{00000000-0005-0000-0000-0000D4B50000}"/>
    <cellStyle name="Normal 5 3 3 3 2 3 2 3" xfId="46800" xr:uid="{00000000-0005-0000-0000-0000D5B50000}"/>
    <cellStyle name="Normal 5 3 3 3 2 3 2 4" xfId="46801" xr:uid="{00000000-0005-0000-0000-0000D6B50000}"/>
    <cellStyle name="Normal 5 3 3 3 2 3 2 5" xfId="46802" xr:uid="{00000000-0005-0000-0000-0000D7B50000}"/>
    <cellStyle name="Normal 5 3 3 3 2 3 2 6" xfId="46803" xr:uid="{00000000-0005-0000-0000-0000D8B50000}"/>
    <cellStyle name="Normal 5 3 3 3 2 3 3" xfId="46804" xr:uid="{00000000-0005-0000-0000-0000D9B50000}"/>
    <cellStyle name="Normal 5 3 3 3 2 3 3 2" xfId="46805" xr:uid="{00000000-0005-0000-0000-0000DAB50000}"/>
    <cellStyle name="Normal 5 3 3 3 2 3 3 3" xfId="46806" xr:uid="{00000000-0005-0000-0000-0000DBB50000}"/>
    <cellStyle name="Normal 5 3 3 3 2 3 4" xfId="46807" xr:uid="{00000000-0005-0000-0000-0000DCB50000}"/>
    <cellStyle name="Normal 5 3 3 3 2 3 5" xfId="46808" xr:uid="{00000000-0005-0000-0000-0000DDB50000}"/>
    <cellStyle name="Normal 5 3 3 3 2 3 6" xfId="46809" xr:uid="{00000000-0005-0000-0000-0000DEB50000}"/>
    <cellStyle name="Normal 5 3 3 3 2 3 7" xfId="46810" xr:uid="{00000000-0005-0000-0000-0000DFB50000}"/>
    <cellStyle name="Normal 5 3 3 3 2 4" xfId="46811" xr:uid="{00000000-0005-0000-0000-0000E0B50000}"/>
    <cellStyle name="Normal 5 3 3 3 2 4 2" xfId="46812" xr:uid="{00000000-0005-0000-0000-0000E1B50000}"/>
    <cellStyle name="Normal 5 3 3 3 2 4 2 2" xfId="46813" xr:uid="{00000000-0005-0000-0000-0000E2B50000}"/>
    <cellStyle name="Normal 5 3 3 3 2 4 2 3" xfId="46814" xr:uid="{00000000-0005-0000-0000-0000E3B50000}"/>
    <cellStyle name="Normal 5 3 3 3 2 4 3" xfId="46815" xr:uid="{00000000-0005-0000-0000-0000E4B50000}"/>
    <cellStyle name="Normal 5 3 3 3 2 4 4" xfId="46816" xr:uid="{00000000-0005-0000-0000-0000E5B50000}"/>
    <cellStyle name="Normal 5 3 3 3 2 4 5" xfId="46817" xr:uid="{00000000-0005-0000-0000-0000E6B50000}"/>
    <cellStyle name="Normal 5 3 3 3 2 4 6" xfId="46818" xr:uid="{00000000-0005-0000-0000-0000E7B50000}"/>
    <cellStyle name="Normal 5 3 3 3 2 5" xfId="46819" xr:uid="{00000000-0005-0000-0000-0000E8B50000}"/>
    <cellStyle name="Normal 5 3 3 3 2 5 2" xfId="46820" xr:uid="{00000000-0005-0000-0000-0000E9B50000}"/>
    <cellStyle name="Normal 5 3 3 3 2 5 2 2" xfId="46821" xr:uid="{00000000-0005-0000-0000-0000EAB50000}"/>
    <cellStyle name="Normal 5 3 3 3 2 5 2 3" xfId="46822" xr:uid="{00000000-0005-0000-0000-0000EBB50000}"/>
    <cellStyle name="Normal 5 3 3 3 2 5 3" xfId="46823" xr:uid="{00000000-0005-0000-0000-0000ECB50000}"/>
    <cellStyle name="Normal 5 3 3 3 2 5 4" xfId="46824" xr:uid="{00000000-0005-0000-0000-0000EDB50000}"/>
    <cellStyle name="Normal 5 3 3 3 2 5 5" xfId="46825" xr:uid="{00000000-0005-0000-0000-0000EEB50000}"/>
    <cellStyle name="Normal 5 3 3 3 2 5 6" xfId="46826" xr:uid="{00000000-0005-0000-0000-0000EFB50000}"/>
    <cellStyle name="Normal 5 3 3 3 2 6" xfId="46827" xr:uid="{00000000-0005-0000-0000-0000F0B50000}"/>
    <cellStyle name="Normal 5 3 3 3 2 6 2" xfId="46828" xr:uid="{00000000-0005-0000-0000-0000F1B50000}"/>
    <cellStyle name="Normal 5 3 3 3 2 6 3" xfId="46829" xr:uid="{00000000-0005-0000-0000-0000F2B50000}"/>
    <cellStyle name="Normal 5 3 3 3 2 7" xfId="46830" xr:uid="{00000000-0005-0000-0000-0000F3B50000}"/>
    <cellStyle name="Normal 5 3 3 3 2 8" xfId="46831" xr:uid="{00000000-0005-0000-0000-0000F4B50000}"/>
    <cellStyle name="Normal 5 3 3 3 2 9" xfId="46832" xr:uid="{00000000-0005-0000-0000-0000F5B50000}"/>
    <cellStyle name="Normal 5 3 3 3 3" xfId="46833" xr:uid="{00000000-0005-0000-0000-0000F6B50000}"/>
    <cellStyle name="Normal 5 3 3 3 3 2" xfId="46834" xr:uid="{00000000-0005-0000-0000-0000F7B50000}"/>
    <cellStyle name="Normal 5 3 3 3 3 2 2" xfId="46835" xr:uid="{00000000-0005-0000-0000-0000F8B50000}"/>
    <cellStyle name="Normal 5 3 3 3 3 2 2 2" xfId="46836" xr:uid="{00000000-0005-0000-0000-0000F9B50000}"/>
    <cellStyle name="Normal 5 3 3 3 3 2 2 2 2" xfId="46837" xr:uid="{00000000-0005-0000-0000-0000FAB50000}"/>
    <cellStyle name="Normal 5 3 3 3 3 2 2 2 3" xfId="46838" xr:uid="{00000000-0005-0000-0000-0000FBB50000}"/>
    <cellStyle name="Normal 5 3 3 3 3 2 2 3" xfId="46839" xr:uid="{00000000-0005-0000-0000-0000FCB50000}"/>
    <cellStyle name="Normal 5 3 3 3 3 2 2 4" xfId="46840" xr:uid="{00000000-0005-0000-0000-0000FDB50000}"/>
    <cellStyle name="Normal 5 3 3 3 3 2 2 5" xfId="46841" xr:uid="{00000000-0005-0000-0000-0000FEB50000}"/>
    <cellStyle name="Normal 5 3 3 3 3 2 2 6" xfId="46842" xr:uid="{00000000-0005-0000-0000-0000FFB50000}"/>
    <cellStyle name="Normal 5 3 3 3 3 2 3" xfId="46843" xr:uid="{00000000-0005-0000-0000-000000B60000}"/>
    <cellStyle name="Normal 5 3 3 3 3 2 3 2" xfId="46844" xr:uid="{00000000-0005-0000-0000-000001B60000}"/>
    <cellStyle name="Normal 5 3 3 3 3 2 3 3" xfId="46845" xr:uid="{00000000-0005-0000-0000-000002B60000}"/>
    <cellStyle name="Normal 5 3 3 3 3 2 4" xfId="46846" xr:uid="{00000000-0005-0000-0000-000003B60000}"/>
    <cellStyle name="Normal 5 3 3 3 3 2 5" xfId="46847" xr:uid="{00000000-0005-0000-0000-000004B60000}"/>
    <cellStyle name="Normal 5 3 3 3 3 2 6" xfId="46848" xr:uid="{00000000-0005-0000-0000-000005B60000}"/>
    <cellStyle name="Normal 5 3 3 3 3 2 7" xfId="46849" xr:uid="{00000000-0005-0000-0000-000006B60000}"/>
    <cellStyle name="Normal 5 3 3 3 3 3" xfId="46850" xr:uid="{00000000-0005-0000-0000-000007B60000}"/>
    <cellStyle name="Normal 5 3 3 3 3 3 2" xfId="46851" xr:uid="{00000000-0005-0000-0000-000008B60000}"/>
    <cellStyle name="Normal 5 3 3 3 3 3 2 2" xfId="46852" xr:uid="{00000000-0005-0000-0000-000009B60000}"/>
    <cellStyle name="Normal 5 3 3 3 3 3 2 3" xfId="46853" xr:uid="{00000000-0005-0000-0000-00000AB60000}"/>
    <cellStyle name="Normal 5 3 3 3 3 3 3" xfId="46854" xr:uid="{00000000-0005-0000-0000-00000BB60000}"/>
    <cellStyle name="Normal 5 3 3 3 3 3 4" xfId="46855" xr:uid="{00000000-0005-0000-0000-00000CB60000}"/>
    <cellStyle name="Normal 5 3 3 3 3 3 5" xfId="46856" xr:uid="{00000000-0005-0000-0000-00000DB60000}"/>
    <cellStyle name="Normal 5 3 3 3 3 3 6" xfId="46857" xr:uid="{00000000-0005-0000-0000-00000EB60000}"/>
    <cellStyle name="Normal 5 3 3 3 3 4" xfId="46858" xr:uid="{00000000-0005-0000-0000-00000FB60000}"/>
    <cellStyle name="Normal 5 3 3 3 3 4 2" xfId="46859" xr:uid="{00000000-0005-0000-0000-000010B60000}"/>
    <cellStyle name="Normal 5 3 3 3 3 4 2 2" xfId="46860" xr:uid="{00000000-0005-0000-0000-000011B60000}"/>
    <cellStyle name="Normal 5 3 3 3 3 4 2 3" xfId="46861" xr:uid="{00000000-0005-0000-0000-000012B60000}"/>
    <cellStyle name="Normal 5 3 3 3 3 4 3" xfId="46862" xr:uid="{00000000-0005-0000-0000-000013B60000}"/>
    <cellStyle name="Normal 5 3 3 3 3 4 4" xfId="46863" xr:uid="{00000000-0005-0000-0000-000014B60000}"/>
    <cellStyle name="Normal 5 3 3 3 3 4 5" xfId="46864" xr:uid="{00000000-0005-0000-0000-000015B60000}"/>
    <cellStyle name="Normal 5 3 3 3 3 4 6" xfId="46865" xr:uid="{00000000-0005-0000-0000-000016B60000}"/>
    <cellStyle name="Normal 5 3 3 3 3 5" xfId="46866" xr:uid="{00000000-0005-0000-0000-000017B60000}"/>
    <cellStyle name="Normal 5 3 3 3 3 5 2" xfId="46867" xr:uid="{00000000-0005-0000-0000-000018B60000}"/>
    <cellStyle name="Normal 5 3 3 3 3 5 3" xfId="46868" xr:uid="{00000000-0005-0000-0000-000019B60000}"/>
    <cellStyle name="Normal 5 3 3 3 3 6" xfId="46869" xr:uid="{00000000-0005-0000-0000-00001AB60000}"/>
    <cellStyle name="Normal 5 3 3 3 3 7" xfId="46870" xr:uid="{00000000-0005-0000-0000-00001BB60000}"/>
    <cellStyle name="Normal 5 3 3 3 3 8" xfId="46871" xr:uid="{00000000-0005-0000-0000-00001CB60000}"/>
    <cellStyle name="Normal 5 3 3 3 3 9" xfId="46872" xr:uid="{00000000-0005-0000-0000-00001DB60000}"/>
    <cellStyle name="Normal 5 3 3 3 4" xfId="46873" xr:uid="{00000000-0005-0000-0000-00001EB60000}"/>
    <cellStyle name="Normal 5 3 3 3 4 2" xfId="46874" xr:uid="{00000000-0005-0000-0000-00001FB60000}"/>
    <cellStyle name="Normal 5 3 3 3 4 2 2" xfId="46875" xr:uid="{00000000-0005-0000-0000-000020B60000}"/>
    <cellStyle name="Normal 5 3 3 3 4 2 2 2" xfId="46876" xr:uid="{00000000-0005-0000-0000-000021B60000}"/>
    <cellStyle name="Normal 5 3 3 3 4 2 2 3" xfId="46877" xr:uid="{00000000-0005-0000-0000-000022B60000}"/>
    <cellStyle name="Normal 5 3 3 3 4 2 3" xfId="46878" xr:uid="{00000000-0005-0000-0000-000023B60000}"/>
    <cellStyle name="Normal 5 3 3 3 4 2 4" xfId="46879" xr:uid="{00000000-0005-0000-0000-000024B60000}"/>
    <cellStyle name="Normal 5 3 3 3 4 2 5" xfId="46880" xr:uid="{00000000-0005-0000-0000-000025B60000}"/>
    <cellStyle name="Normal 5 3 3 3 4 2 6" xfId="46881" xr:uid="{00000000-0005-0000-0000-000026B60000}"/>
    <cellStyle name="Normal 5 3 3 3 4 3" xfId="46882" xr:uid="{00000000-0005-0000-0000-000027B60000}"/>
    <cellStyle name="Normal 5 3 3 3 4 3 2" xfId="46883" xr:uid="{00000000-0005-0000-0000-000028B60000}"/>
    <cellStyle name="Normal 5 3 3 3 4 3 3" xfId="46884" xr:uid="{00000000-0005-0000-0000-000029B60000}"/>
    <cellStyle name="Normal 5 3 3 3 4 4" xfId="46885" xr:uid="{00000000-0005-0000-0000-00002AB60000}"/>
    <cellStyle name="Normal 5 3 3 3 4 5" xfId="46886" xr:uid="{00000000-0005-0000-0000-00002BB60000}"/>
    <cellStyle name="Normal 5 3 3 3 4 6" xfId="46887" xr:uid="{00000000-0005-0000-0000-00002CB60000}"/>
    <cellStyle name="Normal 5 3 3 3 4 7" xfId="46888" xr:uid="{00000000-0005-0000-0000-00002DB60000}"/>
    <cellStyle name="Normal 5 3 3 3 5" xfId="46889" xr:uid="{00000000-0005-0000-0000-00002EB60000}"/>
    <cellStyle name="Normal 5 3 3 3 5 2" xfId="46890" xr:uid="{00000000-0005-0000-0000-00002FB60000}"/>
    <cellStyle name="Normal 5 3 3 3 5 2 2" xfId="46891" xr:uid="{00000000-0005-0000-0000-000030B60000}"/>
    <cellStyle name="Normal 5 3 3 3 5 2 3" xfId="46892" xr:uid="{00000000-0005-0000-0000-000031B60000}"/>
    <cellStyle name="Normal 5 3 3 3 5 3" xfId="46893" xr:uid="{00000000-0005-0000-0000-000032B60000}"/>
    <cellStyle name="Normal 5 3 3 3 5 4" xfId="46894" xr:uid="{00000000-0005-0000-0000-000033B60000}"/>
    <cellStyle name="Normal 5 3 3 3 5 5" xfId="46895" xr:uid="{00000000-0005-0000-0000-000034B60000}"/>
    <cellStyle name="Normal 5 3 3 3 5 6" xfId="46896" xr:uid="{00000000-0005-0000-0000-000035B60000}"/>
    <cellStyle name="Normal 5 3 3 3 6" xfId="46897" xr:uid="{00000000-0005-0000-0000-000036B60000}"/>
    <cellStyle name="Normal 5 3 3 3 6 2" xfId="46898" xr:uid="{00000000-0005-0000-0000-000037B60000}"/>
    <cellStyle name="Normal 5 3 3 3 6 2 2" xfId="46899" xr:uid="{00000000-0005-0000-0000-000038B60000}"/>
    <cellStyle name="Normal 5 3 3 3 6 2 3" xfId="46900" xr:uid="{00000000-0005-0000-0000-000039B60000}"/>
    <cellStyle name="Normal 5 3 3 3 6 3" xfId="46901" xr:uid="{00000000-0005-0000-0000-00003AB60000}"/>
    <cellStyle name="Normal 5 3 3 3 6 4" xfId="46902" xr:uid="{00000000-0005-0000-0000-00003BB60000}"/>
    <cellStyle name="Normal 5 3 3 3 6 5" xfId="46903" xr:uid="{00000000-0005-0000-0000-00003CB60000}"/>
    <cellStyle name="Normal 5 3 3 3 6 6" xfId="46904" xr:uid="{00000000-0005-0000-0000-00003DB60000}"/>
    <cellStyle name="Normal 5 3 3 3 7" xfId="46905" xr:uid="{00000000-0005-0000-0000-00003EB60000}"/>
    <cellStyle name="Normal 5 3 3 3 7 2" xfId="46906" xr:uid="{00000000-0005-0000-0000-00003FB60000}"/>
    <cellStyle name="Normal 5 3 3 3 7 2 2" xfId="46907" xr:uid="{00000000-0005-0000-0000-000040B60000}"/>
    <cellStyle name="Normal 5 3 3 3 7 2 3" xfId="46908" xr:uid="{00000000-0005-0000-0000-000041B60000}"/>
    <cellStyle name="Normal 5 3 3 3 7 3" xfId="46909" xr:uid="{00000000-0005-0000-0000-000042B60000}"/>
    <cellStyle name="Normal 5 3 3 3 7 4" xfId="46910" xr:uid="{00000000-0005-0000-0000-000043B60000}"/>
    <cellStyle name="Normal 5 3 3 3 7 5" xfId="46911" xr:uid="{00000000-0005-0000-0000-000044B60000}"/>
    <cellStyle name="Normal 5 3 3 3 7 6" xfId="46912" xr:uid="{00000000-0005-0000-0000-000045B60000}"/>
    <cellStyle name="Normal 5 3 3 3 8" xfId="46913" xr:uid="{00000000-0005-0000-0000-000046B60000}"/>
    <cellStyle name="Normal 5 3 3 3 8 2" xfId="46914" xr:uid="{00000000-0005-0000-0000-000047B60000}"/>
    <cellStyle name="Normal 5 3 3 3 8 2 2" xfId="46915" xr:uid="{00000000-0005-0000-0000-000048B60000}"/>
    <cellStyle name="Normal 5 3 3 3 8 2 3" xfId="46916" xr:uid="{00000000-0005-0000-0000-000049B60000}"/>
    <cellStyle name="Normal 5 3 3 3 8 3" xfId="46917" xr:uid="{00000000-0005-0000-0000-00004AB60000}"/>
    <cellStyle name="Normal 5 3 3 3 8 4" xfId="46918" xr:uid="{00000000-0005-0000-0000-00004BB60000}"/>
    <cellStyle name="Normal 5 3 3 3 8 5" xfId="46919" xr:uid="{00000000-0005-0000-0000-00004CB60000}"/>
    <cellStyle name="Normal 5 3 3 3 8 6" xfId="46920" xr:uid="{00000000-0005-0000-0000-00004DB60000}"/>
    <cellStyle name="Normal 5 3 3 3 9" xfId="46921" xr:uid="{00000000-0005-0000-0000-00004EB60000}"/>
    <cellStyle name="Normal 5 3 3 3 9 2" xfId="46922" xr:uid="{00000000-0005-0000-0000-00004FB60000}"/>
    <cellStyle name="Normal 5 3 3 3 9 3" xfId="46923" xr:uid="{00000000-0005-0000-0000-000050B60000}"/>
    <cellStyle name="Normal 5 3 3 4" xfId="46924" xr:uid="{00000000-0005-0000-0000-000051B60000}"/>
    <cellStyle name="Normal 5 3 3 4 10" xfId="46925" xr:uid="{00000000-0005-0000-0000-000052B60000}"/>
    <cellStyle name="Normal 5 3 3 4 2" xfId="46926" xr:uid="{00000000-0005-0000-0000-000053B60000}"/>
    <cellStyle name="Normal 5 3 3 4 2 2" xfId="46927" xr:uid="{00000000-0005-0000-0000-000054B60000}"/>
    <cellStyle name="Normal 5 3 3 4 2 2 2" xfId="46928" xr:uid="{00000000-0005-0000-0000-000055B60000}"/>
    <cellStyle name="Normal 5 3 3 4 2 2 2 2" xfId="46929" xr:uid="{00000000-0005-0000-0000-000056B60000}"/>
    <cellStyle name="Normal 5 3 3 4 2 2 2 3" xfId="46930" xr:uid="{00000000-0005-0000-0000-000057B60000}"/>
    <cellStyle name="Normal 5 3 3 4 2 2 3" xfId="46931" xr:uid="{00000000-0005-0000-0000-000058B60000}"/>
    <cellStyle name="Normal 5 3 3 4 2 2 4" xfId="46932" xr:uid="{00000000-0005-0000-0000-000059B60000}"/>
    <cellStyle name="Normal 5 3 3 4 2 2 5" xfId="46933" xr:uid="{00000000-0005-0000-0000-00005AB60000}"/>
    <cellStyle name="Normal 5 3 3 4 2 2 6" xfId="46934" xr:uid="{00000000-0005-0000-0000-00005BB60000}"/>
    <cellStyle name="Normal 5 3 3 4 2 3" xfId="46935" xr:uid="{00000000-0005-0000-0000-00005CB60000}"/>
    <cellStyle name="Normal 5 3 3 4 2 3 2" xfId="46936" xr:uid="{00000000-0005-0000-0000-00005DB60000}"/>
    <cellStyle name="Normal 5 3 3 4 2 3 2 2" xfId="46937" xr:uid="{00000000-0005-0000-0000-00005EB60000}"/>
    <cellStyle name="Normal 5 3 3 4 2 3 2 3" xfId="46938" xr:uid="{00000000-0005-0000-0000-00005FB60000}"/>
    <cellStyle name="Normal 5 3 3 4 2 3 3" xfId="46939" xr:uid="{00000000-0005-0000-0000-000060B60000}"/>
    <cellStyle name="Normal 5 3 3 4 2 3 4" xfId="46940" xr:uid="{00000000-0005-0000-0000-000061B60000}"/>
    <cellStyle name="Normal 5 3 3 4 2 3 5" xfId="46941" xr:uid="{00000000-0005-0000-0000-000062B60000}"/>
    <cellStyle name="Normal 5 3 3 4 2 3 6" xfId="46942" xr:uid="{00000000-0005-0000-0000-000063B60000}"/>
    <cellStyle name="Normal 5 3 3 4 2 4" xfId="46943" xr:uid="{00000000-0005-0000-0000-000064B60000}"/>
    <cellStyle name="Normal 5 3 3 4 2 4 2" xfId="46944" xr:uid="{00000000-0005-0000-0000-000065B60000}"/>
    <cellStyle name="Normal 5 3 3 4 2 4 3" xfId="46945" xr:uid="{00000000-0005-0000-0000-000066B60000}"/>
    <cellStyle name="Normal 5 3 3 4 2 5" xfId="46946" xr:uid="{00000000-0005-0000-0000-000067B60000}"/>
    <cellStyle name="Normal 5 3 3 4 2 6" xfId="46947" xr:uid="{00000000-0005-0000-0000-000068B60000}"/>
    <cellStyle name="Normal 5 3 3 4 2 7" xfId="46948" xr:uid="{00000000-0005-0000-0000-000069B60000}"/>
    <cellStyle name="Normal 5 3 3 4 2 8" xfId="46949" xr:uid="{00000000-0005-0000-0000-00006AB60000}"/>
    <cellStyle name="Normal 5 3 3 4 3" xfId="46950" xr:uid="{00000000-0005-0000-0000-00006BB60000}"/>
    <cellStyle name="Normal 5 3 3 4 3 2" xfId="46951" xr:uid="{00000000-0005-0000-0000-00006CB60000}"/>
    <cellStyle name="Normal 5 3 3 4 3 2 2" xfId="46952" xr:uid="{00000000-0005-0000-0000-00006DB60000}"/>
    <cellStyle name="Normal 5 3 3 4 3 2 2 2" xfId="46953" xr:uid="{00000000-0005-0000-0000-00006EB60000}"/>
    <cellStyle name="Normal 5 3 3 4 3 2 2 3" xfId="46954" xr:uid="{00000000-0005-0000-0000-00006FB60000}"/>
    <cellStyle name="Normal 5 3 3 4 3 2 3" xfId="46955" xr:uid="{00000000-0005-0000-0000-000070B60000}"/>
    <cellStyle name="Normal 5 3 3 4 3 2 4" xfId="46956" xr:uid="{00000000-0005-0000-0000-000071B60000}"/>
    <cellStyle name="Normal 5 3 3 4 3 2 5" xfId="46957" xr:uid="{00000000-0005-0000-0000-000072B60000}"/>
    <cellStyle name="Normal 5 3 3 4 3 2 6" xfId="46958" xr:uid="{00000000-0005-0000-0000-000073B60000}"/>
    <cellStyle name="Normal 5 3 3 4 3 3" xfId="46959" xr:uid="{00000000-0005-0000-0000-000074B60000}"/>
    <cellStyle name="Normal 5 3 3 4 3 3 2" xfId="46960" xr:uid="{00000000-0005-0000-0000-000075B60000}"/>
    <cellStyle name="Normal 5 3 3 4 3 3 3" xfId="46961" xr:uid="{00000000-0005-0000-0000-000076B60000}"/>
    <cellStyle name="Normal 5 3 3 4 3 4" xfId="46962" xr:uid="{00000000-0005-0000-0000-000077B60000}"/>
    <cellStyle name="Normal 5 3 3 4 3 5" xfId="46963" xr:uid="{00000000-0005-0000-0000-000078B60000}"/>
    <cellStyle name="Normal 5 3 3 4 3 6" xfId="46964" xr:uid="{00000000-0005-0000-0000-000079B60000}"/>
    <cellStyle name="Normal 5 3 3 4 3 7" xfId="46965" xr:uid="{00000000-0005-0000-0000-00007AB60000}"/>
    <cellStyle name="Normal 5 3 3 4 4" xfId="46966" xr:uid="{00000000-0005-0000-0000-00007BB60000}"/>
    <cellStyle name="Normal 5 3 3 4 4 2" xfId="46967" xr:uid="{00000000-0005-0000-0000-00007CB60000}"/>
    <cellStyle name="Normal 5 3 3 4 4 2 2" xfId="46968" xr:uid="{00000000-0005-0000-0000-00007DB60000}"/>
    <cellStyle name="Normal 5 3 3 4 4 2 3" xfId="46969" xr:uid="{00000000-0005-0000-0000-00007EB60000}"/>
    <cellStyle name="Normal 5 3 3 4 4 3" xfId="46970" xr:uid="{00000000-0005-0000-0000-00007FB60000}"/>
    <cellStyle name="Normal 5 3 3 4 4 4" xfId="46971" xr:uid="{00000000-0005-0000-0000-000080B60000}"/>
    <cellStyle name="Normal 5 3 3 4 4 5" xfId="46972" xr:uid="{00000000-0005-0000-0000-000081B60000}"/>
    <cellStyle name="Normal 5 3 3 4 4 6" xfId="46973" xr:uid="{00000000-0005-0000-0000-000082B60000}"/>
    <cellStyle name="Normal 5 3 3 4 5" xfId="46974" xr:uid="{00000000-0005-0000-0000-000083B60000}"/>
    <cellStyle name="Normal 5 3 3 4 5 2" xfId="46975" xr:uid="{00000000-0005-0000-0000-000084B60000}"/>
    <cellStyle name="Normal 5 3 3 4 5 2 2" xfId="46976" xr:uid="{00000000-0005-0000-0000-000085B60000}"/>
    <cellStyle name="Normal 5 3 3 4 5 2 3" xfId="46977" xr:uid="{00000000-0005-0000-0000-000086B60000}"/>
    <cellStyle name="Normal 5 3 3 4 5 3" xfId="46978" xr:uid="{00000000-0005-0000-0000-000087B60000}"/>
    <cellStyle name="Normal 5 3 3 4 5 4" xfId="46979" xr:uid="{00000000-0005-0000-0000-000088B60000}"/>
    <cellStyle name="Normal 5 3 3 4 5 5" xfId="46980" xr:uid="{00000000-0005-0000-0000-000089B60000}"/>
    <cellStyle name="Normal 5 3 3 4 5 6" xfId="46981" xr:uid="{00000000-0005-0000-0000-00008AB60000}"/>
    <cellStyle name="Normal 5 3 3 4 6" xfId="46982" xr:uid="{00000000-0005-0000-0000-00008BB60000}"/>
    <cellStyle name="Normal 5 3 3 4 6 2" xfId="46983" xr:uid="{00000000-0005-0000-0000-00008CB60000}"/>
    <cellStyle name="Normal 5 3 3 4 6 3" xfId="46984" xr:uid="{00000000-0005-0000-0000-00008DB60000}"/>
    <cellStyle name="Normal 5 3 3 4 7" xfId="46985" xr:uid="{00000000-0005-0000-0000-00008EB60000}"/>
    <cellStyle name="Normal 5 3 3 4 8" xfId="46986" xr:uid="{00000000-0005-0000-0000-00008FB60000}"/>
    <cellStyle name="Normal 5 3 3 4 9" xfId="46987" xr:uid="{00000000-0005-0000-0000-000090B60000}"/>
    <cellStyle name="Normal 5 3 3 5" xfId="46988" xr:uid="{00000000-0005-0000-0000-000091B60000}"/>
    <cellStyle name="Normal 5 3 3 5 2" xfId="46989" xr:uid="{00000000-0005-0000-0000-000092B60000}"/>
    <cellStyle name="Normal 5 3 3 5 2 2" xfId="46990" xr:uid="{00000000-0005-0000-0000-000093B60000}"/>
    <cellStyle name="Normal 5 3 3 5 2 2 2" xfId="46991" xr:uid="{00000000-0005-0000-0000-000094B60000}"/>
    <cellStyle name="Normal 5 3 3 5 2 2 2 2" xfId="46992" xr:uid="{00000000-0005-0000-0000-000095B60000}"/>
    <cellStyle name="Normal 5 3 3 5 2 2 2 3" xfId="46993" xr:uid="{00000000-0005-0000-0000-000096B60000}"/>
    <cellStyle name="Normal 5 3 3 5 2 2 3" xfId="46994" xr:uid="{00000000-0005-0000-0000-000097B60000}"/>
    <cellStyle name="Normal 5 3 3 5 2 2 4" xfId="46995" xr:uid="{00000000-0005-0000-0000-000098B60000}"/>
    <cellStyle name="Normal 5 3 3 5 2 2 5" xfId="46996" xr:uid="{00000000-0005-0000-0000-000099B60000}"/>
    <cellStyle name="Normal 5 3 3 5 2 2 6" xfId="46997" xr:uid="{00000000-0005-0000-0000-00009AB60000}"/>
    <cellStyle name="Normal 5 3 3 5 2 3" xfId="46998" xr:uid="{00000000-0005-0000-0000-00009BB60000}"/>
    <cellStyle name="Normal 5 3 3 5 2 3 2" xfId="46999" xr:uid="{00000000-0005-0000-0000-00009CB60000}"/>
    <cellStyle name="Normal 5 3 3 5 2 3 3" xfId="47000" xr:uid="{00000000-0005-0000-0000-00009DB60000}"/>
    <cellStyle name="Normal 5 3 3 5 2 4" xfId="47001" xr:uid="{00000000-0005-0000-0000-00009EB60000}"/>
    <cellStyle name="Normal 5 3 3 5 2 5" xfId="47002" xr:uid="{00000000-0005-0000-0000-00009FB60000}"/>
    <cellStyle name="Normal 5 3 3 5 2 6" xfId="47003" xr:uid="{00000000-0005-0000-0000-0000A0B60000}"/>
    <cellStyle name="Normal 5 3 3 5 2 7" xfId="47004" xr:uid="{00000000-0005-0000-0000-0000A1B60000}"/>
    <cellStyle name="Normal 5 3 3 5 3" xfId="47005" xr:uid="{00000000-0005-0000-0000-0000A2B60000}"/>
    <cellStyle name="Normal 5 3 3 5 3 2" xfId="47006" xr:uid="{00000000-0005-0000-0000-0000A3B60000}"/>
    <cellStyle name="Normal 5 3 3 5 3 2 2" xfId="47007" xr:uid="{00000000-0005-0000-0000-0000A4B60000}"/>
    <cellStyle name="Normal 5 3 3 5 3 2 3" xfId="47008" xr:uid="{00000000-0005-0000-0000-0000A5B60000}"/>
    <cellStyle name="Normal 5 3 3 5 3 3" xfId="47009" xr:uid="{00000000-0005-0000-0000-0000A6B60000}"/>
    <cellStyle name="Normal 5 3 3 5 3 4" xfId="47010" xr:uid="{00000000-0005-0000-0000-0000A7B60000}"/>
    <cellStyle name="Normal 5 3 3 5 3 5" xfId="47011" xr:uid="{00000000-0005-0000-0000-0000A8B60000}"/>
    <cellStyle name="Normal 5 3 3 5 3 6" xfId="47012" xr:uid="{00000000-0005-0000-0000-0000A9B60000}"/>
    <cellStyle name="Normal 5 3 3 5 4" xfId="47013" xr:uid="{00000000-0005-0000-0000-0000AAB60000}"/>
    <cellStyle name="Normal 5 3 3 5 4 2" xfId="47014" xr:uid="{00000000-0005-0000-0000-0000ABB60000}"/>
    <cellStyle name="Normal 5 3 3 5 4 2 2" xfId="47015" xr:uid="{00000000-0005-0000-0000-0000ACB60000}"/>
    <cellStyle name="Normal 5 3 3 5 4 2 3" xfId="47016" xr:uid="{00000000-0005-0000-0000-0000ADB60000}"/>
    <cellStyle name="Normal 5 3 3 5 4 3" xfId="47017" xr:uid="{00000000-0005-0000-0000-0000AEB60000}"/>
    <cellStyle name="Normal 5 3 3 5 4 4" xfId="47018" xr:uid="{00000000-0005-0000-0000-0000AFB60000}"/>
    <cellStyle name="Normal 5 3 3 5 4 5" xfId="47019" xr:uid="{00000000-0005-0000-0000-0000B0B60000}"/>
    <cellStyle name="Normal 5 3 3 5 4 6" xfId="47020" xr:uid="{00000000-0005-0000-0000-0000B1B60000}"/>
    <cellStyle name="Normal 5 3 3 5 5" xfId="47021" xr:uid="{00000000-0005-0000-0000-0000B2B60000}"/>
    <cellStyle name="Normal 5 3 3 5 5 2" xfId="47022" xr:uid="{00000000-0005-0000-0000-0000B3B60000}"/>
    <cellStyle name="Normal 5 3 3 5 5 3" xfId="47023" xr:uid="{00000000-0005-0000-0000-0000B4B60000}"/>
    <cellStyle name="Normal 5 3 3 5 6" xfId="47024" xr:uid="{00000000-0005-0000-0000-0000B5B60000}"/>
    <cellStyle name="Normal 5 3 3 5 7" xfId="47025" xr:uid="{00000000-0005-0000-0000-0000B6B60000}"/>
    <cellStyle name="Normal 5 3 3 5 8" xfId="47026" xr:uid="{00000000-0005-0000-0000-0000B7B60000}"/>
    <cellStyle name="Normal 5 3 3 5 9" xfId="47027" xr:uid="{00000000-0005-0000-0000-0000B8B60000}"/>
    <cellStyle name="Normal 5 3 3 6" xfId="47028" xr:uid="{00000000-0005-0000-0000-0000B9B60000}"/>
    <cellStyle name="Normal 5 3 3 6 2" xfId="47029" xr:uid="{00000000-0005-0000-0000-0000BAB60000}"/>
    <cellStyle name="Normal 5 3 3 6 2 2" xfId="47030" xr:uid="{00000000-0005-0000-0000-0000BBB60000}"/>
    <cellStyle name="Normal 5 3 3 6 2 2 2" xfId="47031" xr:uid="{00000000-0005-0000-0000-0000BCB60000}"/>
    <cellStyle name="Normal 5 3 3 6 2 2 3" xfId="47032" xr:uid="{00000000-0005-0000-0000-0000BDB60000}"/>
    <cellStyle name="Normal 5 3 3 6 2 3" xfId="47033" xr:uid="{00000000-0005-0000-0000-0000BEB60000}"/>
    <cellStyle name="Normal 5 3 3 6 2 4" xfId="47034" xr:uid="{00000000-0005-0000-0000-0000BFB60000}"/>
    <cellStyle name="Normal 5 3 3 6 2 5" xfId="47035" xr:uid="{00000000-0005-0000-0000-0000C0B60000}"/>
    <cellStyle name="Normal 5 3 3 6 2 6" xfId="47036" xr:uid="{00000000-0005-0000-0000-0000C1B60000}"/>
    <cellStyle name="Normal 5 3 3 6 3" xfId="47037" xr:uid="{00000000-0005-0000-0000-0000C2B60000}"/>
    <cellStyle name="Normal 5 3 3 6 3 2" xfId="47038" xr:uid="{00000000-0005-0000-0000-0000C3B60000}"/>
    <cellStyle name="Normal 5 3 3 6 3 3" xfId="47039" xr:uid="{00000000-0005-0000-0000-0000C4B60000}"/>
    <cellStyle name="Normal 5 3 3 6 4" xfId="47040" xr:uid="{00000000-0005-0000-0000-0000C5B60000}"/>
    <cellStyle name="Normal 5 3 3 6 5" xfId="47041" xr:uid="{00000000-0005-0000-0000-0000C6B60000}"/>
    <cellStyle name="Normal 5 3 3 6 6" xfId="47042" xr:uid="{00000000-0005-0000-0000-0000C7B60000}"/>
    <cellStyle name="Normal 5 3 3 6 7" xfId="47043" xr:uid="{00000000-0005-0000-0000-0000C8B60000}"/>
    <cellStyle name="Normal 5 3 3 7" xfId="47044" xr:uid="{00000000-0005-0000-0000-0000C9B60000}"/>
    <cellStyle name="Normal 5 3 3 7 2" xfId="47045" xr:uid="{00000000-0005-0000-0000-0000CAB60000}"/>
    <cellStyle name="Normal 5 3 3 7 2 2" xfId="47046" xr:uid="{00000000-0005-0000-0000-0000CBB60000}"/>
    <cellStyle name="Normal 5 3 3 7 2 3" xfId="47047" xr:uid="{00000000-0005-0000-0000-0000CCB60000}"/>
    <cellStyle name="Normal 5 3 3 7 3" xfId="47048" xr:uid="{00000000-0005-0000-0000-0000CDB60000}"/>
    <cellStyle name="Normal 5 3 3 7 4" xfId="47049" xr:uid="{00000000-0005-0000-0000-0000CEB60000}"/>
    <cellStyle name="Normal 5 3 3 7 5" xfId="47050" xr:uid="{00000000-0005-0000-0000-0000CFB60000}"/>
    <cellStyle name="Normal 5 3 3 7 6" xfId="47051" xr:uid="{00000000-0005-0000-0000-0000D0B60000}"/>
    <cellStyle name="Normal 5 3 3 8" xfId="47052" xr:uid="{00000000-0005-0000-0000-0000D1B60000}"/>
    <cellStyle name="Normal 5 3 3 8 2" xfId="47053" xr:uid="{00000000-0005-0000-0000-0000D2B60000}"/>
    <cellStyle name="Normal 5 3 3 8 2 2" xfId="47054" xr:uid="{00000000-0005-0000-0000-0000D3B60000}"/>
    <cellStyle name="Normal 5 3 3 8 2 3" xfId="47055" xr:uid="{00000000-0005-0000-0000-0000D4B60000}"/>
    <cellStyle name="Normal 5 3 3 8 3" xfId="47056" xr:uid="{00000000-0005-0000-0000-0000D5B60000}"/>
    <cellStyle name="Normal 5 3 3 8 4" xfId="47057" xr:uid="{00000000-0005-0000-0000-0000D6B60000}"/>
    <cellStyle name="Normal 5 3 3 8 5" xfId="47058" xr:uid="{00000000-0005-0000-0000-0000D7B60000}"/>
    <cellStyle name="Normal 5 3 3 8 6" xfId="47059" xr:uid="{00000000-0005-0000-0000-0000D8B60000}"/>
    <cellStyle name="Normal 5 3 3 9" xfId="47060" xr:uid="{00000000-0005-0000-0000-0000D9B60000}"/>
    <cellStyle name="Normal 5 3 3 9 2" xfId="47061" xr:uid="{00000000-0005-0000-0000-0000DAB60000}"/>
    <cellStyle name="Normal 5 3 3 9 2 2" xfId="47062" xr:uid="{00000000-0005-0000-0000-0000DBB60000}"/>
    <cellStyle name="Normal 5 3 3 9 2 3" xfId="47063" xr:uid="{00000000-0005-0000-0000-0000DCB60000}"/>
    <cellStyle name="Normal 5 3 3 9 3" xfId="47064" xr:uid="{00000000-0005-0000-0000-0000DDB60000}"/>
    <cellStyle name="Normal 5 3 3 9 4" xfId="47065" xr:uid="{00000000-0005-0000-0000-0000DEB60000}"/>
    <cellStyle name="Normal 5 3 3 9 5" xfId="47066" xr:uid="{00000000-0005-0000-0000-0000DFB60000}"/>
    <cellStyle name="Normal 5 3 3 9 6" xfId="47067" xr:uid="{00000000-0005-0000-0000-0000E0B60000}"/>
    <cellStyle name="Normal 5 3 4" xfId="47068" xr:uid="{00000000-0005-0000-0000-0000E1B60000}"/>
    <cellStyle name="Normal 5 3 5" xfId="47069" xr:uid="{00000000-0005-0000-0000-0000E2B60000}"/>
    <cellStyle name="Normal 5 3 5 10" xfId="47070" xr:uid="{00000000-0005-0000-0000-0000E3B60000}"/>
    <cellStyle name="Normal 5 3 5 11" xfId="47071" xr:uid="{00000000-0005-0000-0000-0000E4B60000}"/>
    <cellStyle name="Normal 5 3 5 12" xfId="47072" xr:uid="{00000000-0005-0000-0000-0000E5B60000}"/>
    <cellStyle name="Normal 5 3 5 13" xfId="47073" xr:uid="{00000000-0005-0000-0000-0000E6B60000}"/>
    <cellStyle name="Normal 5 3 5 2" xfId="47074" xr:uid="{00000000-0005-0000-0000-0000E7B60000}"/>
    <cellStyle name="Normal 5 3 5 2 10" xfId="47075" xr:uid="{00000000-0005-0000-0000-0000E8B60000}"/>
    <cellStyle name="Normal 5 3 5 2 2" xfId="47076" xr:uid="{00000000-0005-0000-0000-0000E9B60000}"/>
    <cellStyle name="Normal 5 3 5 2 2 2" xfId="47077" xr:uid="{00000000-0005-0000-0000-0000EAB60000}"/>
    <cellStyle name="Normal 5 3 5 2 2 2 2" xfId="47078" xr:uid="{00000000-0005-0000-0000-0000EBB60000}"/>
    <cellStyle name="Normal 5 3 5 2 2 2 2 2" xfId="47079" xr:uid="{00000000-0005-0000-0000-0000ECB60000}"/>
    <cellStyle name="Normal 5 3 5 2 2 2 2 3" xfId="47080" xr:uid="{00000000-0005-0000-0000-0000EDB60000}"/>
    <cellStyle name="Normal 5 3 5 2 2 2 3" xfId="47081" xr:uid="{00000000-0005-0000-0000-0000EEB60000}"/>
    <cellStyle name="Normal 5 3 5 2 2 2 4" xfId="47082" xr:uid="{00000000-0005-0000-0000-0000EFB60000}"/>
    <cellStyle name="Normal 5 3 5 2 2 2 5" xfId="47083" xr:uid="{00000000-0005-0000-0000-0000F0B60000}"/>
    <cellStyle name="Normal 5 3 5 2 2 2 6" xfId="47084" xr:uid="{00000000-0005-0000-0000-0000F1B60000}"/>
    <cellStyle name="Normal 5 3 5 2 2 3" xfId="47085" xr:uid="{00000000-0005-0000-0000-0000F2B60000}"/>
    <cellStyle name="Normal 5 3 5 2 2 3 2" xfId="47086" xr:uid="{00000000-0005-0000-0000-0000F3B60000}"/>
    <cellStyle name="Normal 5 3 5 2 2 3 2 2" xfId="47087" xr:uid="{00000000-0005-0000-0000-0000F4B60000}"/>
    <cellStyle name="Normal 5 3 5 2 2 3 2 3" xfId="47088" xr:uid="{00000000-0005-0000-0000-0000F5B60000}"/>
    <cellStyle name="Normal 5 3 5 2 2 3 3" xfId="47089" xr:uid="{00000000-0005-0000-0000-0000F6B60000}"/>
    <cellStyle name="Normal 5 3 5 2 2 3 4" xfId="47090" xr:uid="{00000000-0005-0000-0000-0000F7B60000}"/>
    <cellStyle name="Normal 5 3 5 2 2 3 5" xfId="47091" xr:uid="{00000000-0005-0000-0000-0000F8B60000}"/>
    <cellStyle name="Normal 5 3 5 2 2 3 6" xfId="47092" xr:uid="{00000000-0005-0000-0000-0000F9B60000}"/>
    <cellStyle name="Normal 5 3 5 2 2 4" xfId="47093" xr:uid="{00000000-0005-0000-0000-0000FAB60000}"/>
    <cellStyle name="Normal 5 3 5 2 2 4 2" xfId="47094" xr:uid="{00000000-0005-0000-0000-0000FBB60000}"/>
    <cellStyle name="Normal 5 3 5 2 2 4 3" xfId="47095" xr:uid="{00000000-0005-0000-0000-0000FCB60000}"/>
    <cellStyle name="Normal 5 3 5 2 2 5" xfId="47096" xr:uid="{00000000-0005-0000-0000-0000FDB60000}"/>
    <cellStyle name="Normal 5 3 5 2 2 6" xfId="47097" xr:uid="{00000000-0005-0000-0000-0000FEB60000}"/>
    <cellStyle name="Normal 5 3 5 2 2 7" xfId="47098" xr:uid="{00000000-0005-0000-0000-0000FFB60000}"/>
    <cellStyle name="Normal 5 3 5 2 2 8" xfId="47099" xr:uid="{00000000-0005-0000-0000-000000B70000}"/>
    <cellStyle name="Normal 5 3 5 2 3" xfId="47100" xr:uid="{00000000-0005-0000-0000-000001B70000}"/>
    <cellStyle name="Normal 5 3 5 2 3 2" xfId="47101" xr:uid="{00000000-0005-0000-0000-000002B70000}"/>
    <cellStyle name="Normal 5 3 5 2 3 2 2" xfId="47102" xr:uid="{00000000-0005-0000-0000-000003B70000}"/>
    <cellStyle name="Normal 5 3 5 2 3 2 2 2" xfId="47103" xr:uid="{00000000-0005-0000-0000-000004B70000}"/>
    <cellStyle name="Normal 5 3 5 2 3 2 2 3" xfId="47104" xr:uid="{00000000-0005-0000-0000-000005B70000}"/>
    <cellStyle name="Normal 5 3 5 2 3 2 3" xfId="47105" xr:uid="{00000000-0005-0000-0000-000006B70000}"/>
    <cellStyle name="Normal 5 3 5 2 3 2 4" xfId="47106" xr:uid="{00000000-0005-0000-0000-000007B70000}"/>
    <cellStyle name="Normal 5 3 5 2 3 2 5" xfId="47107" xr:uid="{00000000-0005-0000-0000-000008B70000}"/>
    <cellStyle name="Normal 5 3 5 2 3 2 6" xfId="47108" xr:uid="{00000000-0005-0000-0000-000009B70000}"/>
    <cellStyle name="Normal 5 3 5 2 3 3" xfId="47109" xr:uid="{00000000-0005-0000-0000-00000AB70000}"/>
    <cellStyle name="Normal 5 3 5 2 3 3 2" xfId="47110" xr:uid="{00000000-0005-0000-0000-00000BB70000}"/>
    <cellStyle name="Normal 5 3 5 2 3 3 3" xfId="47111" xr:uid="{00000000-0005-0000-0000-00000CB70000}"/>
    <cellStyle name="Normal 5 3 5 2 3 4" xfId="47112" xr:uid="{00000000-0005-0000-0000-00000DB70000}"/>
    <cellStyle name="Normal 5 3 5 2 3 5" xfId="47113" xr:uid="{00000000-0005-0000-0000-00000EB70000}"/>
    <cellStyle name="Normal 5 3 5 2 3 6" xfId="47114" xr:uid="{00000000-0005-0000-0000-00000FB70000}"/>
    <cellStyle name="Normal 5 3 5 2 3 7" xfId="47115" xr:uid="{00000000-0005-0000-0000-000010B70000}"/>
    <cellStyle name="Normal 5 3 5 2 4" xfId="47116" xr:uid="{00000000-0005-0000-0000-000011B70000}"/>
    <cellStyle name="Normal 5 3 5 2 4 2" xfId="47117" xr:uid="{00000000-0005-0000-0000-000012B70000}"/>
    <cellStyle name="Normal 5 3 5 2 4 2 2" xfId="47118" xr:uid="{00000000-0005-0000-0000-000013B70000}"/>
    <cellStyle name="Normal 5 3 5 2 4 2 3" xfId="47119" xr:uid="{00000000-0005-0000-0000-000014B70000}"/>
    <cellStyle name="Normal 5 3 5 2 4 3" xfId="47120" xr:uid="{00000000-0005-0000-0000-000015B70000}"/>
    <cellStyle name="Normal 5 3 5 2 4 4" xfId="47121" xr:uid="{00000000-0005-0000-0000-000016B70000}"/>
    <cellStyle name="Normal 5 3 5 2 4 5" xfId="47122" xr:uid="{00000000-0005-0000-0000-000017B70000}"/>
    <cellStyle name="Normal 5 3 5 2 4 6" xfId="47123" xr:uid="{00000000-0005-0000-0000-000018B70000}"/>
    <cellStyle name="Normal 5 3 5 2 5" xfId="47124" xr:uid="{00000000-0005-0000-0000-000019B70000}"/>
    <cellStyle name="Normal 5 3 5 2 5 2" xfId="47125" xr:uid="{00000000-0005-0000-0000-00001AB70000}"/>
    <cellStyle name="Normal 5 3 5 2 5 2 2" xfId="47126" xr:uid="{00000000-0005-0000-0000-00001BB70000}"/>
    <cellStyle name="Normal 5 3 5 2 5 2 3" xfId="47127" xr:uid="{00000000-0005-0000-0000-00001CB70000}"/>
    <cellStyle name="Normal 5 3 5 2 5 3" xfId="47128" xr:uid="{00000000-0005-0000-0000-00001DB70000}"/>
    <cellStyle name="Normal 5 3 5 2 5 4" xfId="47129" xr:uid="{00000000-0005-0000-0000-00001EB70000}"/>
    <cellStyle name="Normal 5 3 5 2 5 5" xfId="47130" xr:uid="{00000000-0005-0000-0000-00001FB70000}"/>
    <cellStyle name="Normal 5 3 5 2 5 6" xfId="47131" xr:uid="{00000000-0005-0000-0000-000020B70000}"/>
    <cellStyle name="Normal 5 3 5 2 6" xfId="47132" xr:uid="{00000000-0005-0000-0000-000021B70000}"/>
    <cellStyle name="Normal 5 3 5 2 6 2" xfId="47133" xr:uid="{00000000-0005-0000-0000-000022B70000}"/>
    <cellStyle name="Normal 5 3 5 2 6 3" xfId="47134" xr:uid="{00000000-0005-0000-0000-000023B70000}"/>
    <cellStyle name="Normal 5 3 5 2 7" xfId="47135" xr:uid="{00000000-0005-0000-0000-000024B70000}"/>
    <cellStyle name="Normal 5 3 5 2 8" xfId="47136" xr:uid="{00000000-0005-0000-0000-000025B70000}"/>
    <cellStyle name="Normal 5 3 5 2 9" xfId="47137" xr:uid="{00000000-0005-0000-0000-000026B70000}"/>
    <cellStyle name="Normal 5 3 5 3" xfId="47138" xr:uid="{00000000-0005-0000-0000-000027B70000}"/>
    <cellStyle name="Normal 5 3 5 3 2" xfId="47139" xr:uid="{00000000-0005-0000-0000-000028B70000}"/>
    <cellStyle name="Normal 5 3 5 3 2 2" xfId="47140" xr:uid="{00000000-0005-0000-0000-000029B70000}"/>
    <cellStyle name="Normal 5 3 5 3 2 2 2" xfId="47141" xr:uid="{00000000-0005-0000-0000-00002AB70000}"/>
    <cellStyle name="Normal 5 3 5 3 2 2 2 2" xfId="47142" xr:uid="{00000000-0005-0000-0000-00002BB70000}"/>
    <cellStyle name="Normal 5 3 5 3 2 2 2 3" xfId="47143" xr:uid="{00000000-0005-0000-0000-00002CB70000}"/>
    <cellStyle name="Normal 5 3 5 3 2 2 3" xfId="47144" xr:uid="{00000000-0005-0000-0000-00002DB70000}"/>
    <cellStyle name="Normal 5 3 5 3 2 2 4" xfId="47145" xr:uid="{00000000-0005-0000-0000-00002EB70000}"/>
    <cellStyle name="Normal 5 3 5 3 2 2 5" xfId="47146" xr:uid="{00000000-0005-0000-0000-00002FB70000}"/>
    <cellStyle name="Normal 5 3 5 3 2 2 6" xfId="47147" xr:uid="{00000000-0005-0000-0000-000030B70000}"/>
    <cellStyle name="Normal 5 3 5 3 2 3" xfId="47148" xr:uid="{00000000-0005-0000-0000-000031B70000}"/>
    <cellStyle name="Normal 5 3 5 3 2 3 2" xfId="47149" xr:uid="{00000000-0005-0000-0000-000032B70000}"/>
    <cellStyle name="Normal 5 3 5 3 2 3 3" xfId="47150" xr:uid="{00000000-0005-0000-0000-000033B70000}"/>
    <cellStyle name="Normal 5 3 5 3 2 4" xfId="47151" xr:uid="{00000000-0005-0000-0000-000034B70000}"/>
    <cellStyle name="Normal 5 3 5 3 2 5" xfId="47152" xr:uid="{00000000-0005-0000-0000-000035B70000}"/>
    <cellStyle name="Normal 5 3 5 3 2 6" xfId="47153" xr:uid="{00000000-0005-0000-0000-000036B70000}"/>
    <cellStyle name="Normal 5 3 5 3 2 7" xfId="47154" xr:uid="{00000000-0005-0000-0000-000037B70000}"/>
    <cellStyle name="Normal 5 3 5 3 3" xfId="47155" xr:uid="{00000000-0005-0000-0000-000038B70000}"/>
    <cellStyle name="Normal 5 3 5 3 3 2" xfId="47156" xr:uid="{00000000-0005-0000-0000-000039B70000}"/>
    <cellStyle name="Normal 5 3 5 3 3 2 2" xfId="47157" xr:uid="{00000000-0005-0000-0000-00003AB70000}"/>
    <cellStyle name="Normal 5 3 5 3 3 2 3" xfId="47158" xr:uid="{00000000-0005-0000-0000-00003BB70000}"/>
    <cellStyle name="Normal 5 3 5 3 3 3" xfId="47159" xr:uid="{00000000-0005-0000-0000-00003CB70000}"/>
    <cellStyle name="Normal 5 3 5 3 3 4" xfId="47160" xr:uid="{00000000-0005-0000-0000-00003DB70000}"/>
    <cellStyle name="Normal 5 3 5 3 3 5" xfId="47161" xr:uid="{00000000-0005-0000-0000-00003EB70000}"/>
    <cellStyle name="Normal 5 3 5 3 3 6" xfId="47162" xr:uid="{00000000-0005-0000-0000-00003FB70000}"/>
    <cellStyle name="Normal 5 3 5 3 4" xfId="47163" xr:uid="{00000000-0005-0000-0000-000040B70000}"/>
    <cellStyle name="Normal 5 3 5 3 4 2" xfId="47164" xr:uid="{00000000-0005-0000-0000-000041B70000}"/>
    <cellStyle name="Normal 5 3 5 3 4 2 2" xfId="47165" xr:uid="{00000000-0005-0000-0000-000042B70000}"/>
    <cellStyle name="Normal 5 3 5 3 4 2 3" xfId="47166" xr:uid="{00000000-0005-0000-0000-000043B70000}"/>
    <cellStyle name="Normal 5 3 5 3 4 3" xfId="47167" xr:uid="{00000000-0005-0000-0000-000044B70000}"/>
    <cellStyle name="Normal 5 3 5 3 4 4" xfId="47168" xr:uid="{00000000-0005-0000-0000-000045B70000}"/>
    <cellStyle name="Normal 5 3 5 3 4 5" xfId="47169" xr:uid="{00000000-0005-0000-0000-000046B70000}"/>
    <cellStyle name="Normal 5 3 5 3 4 6" xfId="47170" xr:uid="{00000000-0005-0000-0000-000047B70000}"/>
    <cellStyle name="Normal 5 3 5 3 5" xfId="47171" xr:uid="{00000000-0005-0000-0000-000048B70000}"/>
    <cellStyle name="Normal 5 3 5 3 5 2" xfId="47172" xr:uid="{00000000-0005-0000-0000-000049B70000}"/>
    <cellStyle name="Normal 5 3 5 3 5 3" xfId="47173" xr:uid="{00000000-0005-0000-0000-00004AB70000}"/>
    <cellStyle name="Normal 5 3 5 3 6" xfId="47174" xr:uid="{00000000-0005-0000-0000-00004BB70000}"/>
    <cellStyle name="Normal 5 3 5 3 7" xfId="47175" xr:uid="{00000000-0005-0000-0000-00004CB70000}"/>
    <cellStyle name="Normal 5 3 5 3 8" xfId="47176" xr:uid="{00000000-0005-0000-0000-00004DB70000}"/>
    <cellStyle name="Normal 5 3 5 3 9" xfId="47177" xr:uid="{00000000-0005-0000-0000-00004EB70000}"/>
    <cellStyle name="Normal 5 3 5 4" xfId="47178" xr:uid="{00000000-0005-0000-0000-00004FB70000}"/>
    <cellStyle name="Normal 5 3 5 4 2" xfId="47179" xr:uid="{00000000-0005-0000-0000-000050B70000}"/>
    <cellStyle name="Normal 5 3 5 4 2 2" xfId="47180" xr:uid="{00000000-0005-0000-0000-000051B70000}"/>
    <cellStyle name="Normal 5 3 5 4 2 2 2" xfId="47181" xr:uid="{00000000-0005-0000-0000-000052B70000}"/>
    <cellStyle name="Normal 5 3 5 4 2 2 3" xfId="47182" xr:uid="{00000000-0005-0000-0000-000053B70000}"/>
    <cellStyle name="Normal 5 3 5 4 2 3" xfId="47183" xr:uid="{00000000-0005-0000-0000-000054B70000}"/>
    <cellStyle name="Normal 5 3 5 4 2 4" xfId="47184" xr:uid="{00000000-0005-0000-0000-000055B70000}"/>
    <cellStyle name="Normal 5 3 5 4 2 5" xfId="47185" xr:uid="{00000000-0005-0000-0000-000056B70000}"/>
    <cellStyle name="Normal 5 3 5 4 2 6" xfId="47186" xr:uid="{00000000-0005-0000-0000-000057B70000}"/>
    <cellStyle name="Normal 5 3 5 4 3" xfId="47187" xr:uid="{00000000-0005-0000-0000-000058B70000}"/>
    <cellStyle name="Normal 5 3 5 4 3 2" xfId="47188" xr:uid="{00000000-0005-0000-0000-000059B70000}"/>
    <cellStyle name="Normal 5 3 5 4 3 3" xfId="47189" xr:uid="{00000000-0005-0000-0000-00005AB70000}"/>
    <cellStyle name="Normal 5 3 5 4 4" xfId="47190" xr:uid="{00000000-0005-0000-0000-00005BB70000}"/>
    <cellStyle name="Normal 5 3 5 4 5" xfId="47191" xr:uid="{00000000-0005-0000-0000-00005CB70000}"/>
    <cellStyle name="Normal 5 3 5 4 6" xfId="47192" xr:uid="{00000000-0005-0000-0000-00005DB70000}"/>
    <cellStyle name="Normal 5 3 5 4 7" xfId="47193" xr:uid="{00000000-0005-0000-0000-00005EB70000}"/>
    <cellStyle name="Normal 5 3 5 5" xfId="47194" xr:uid="{00000000-0005-0000-0000-00005FB70000}"/>
    <cellStyle name="Normal 5 3 5 5 2" xfId="47195" xr:uid="{00000000-0005-0000-0000-000060B70000}"/>
    <cellStyle name="Normal 5 3 5 5 2 2" xfId="47196" xr:uid="{00000000-0005-0000-0000-000061B70000}"/>
    <cellStyle name="Normal 5 3 5 5 2 3" xfId="47197" xr:uid="{00000000-0005-0000-0000-000062B70000}"/>
    <cellStyle name="Normal 5 3 5 5 3" xfId="47198" xr:uid="{00000000-0005-0000-0000-000063B70000}"/>
    <cellStyle name="Normal 5 3 5 5 4" xfId="47199" xr:uid="{00000000-0005-0000-0000-000064B70000}"/>
    <cellStyle name="Normal 5 3 5 5 5" xfId="47200" xr:uid="{00000000-0005-0000-0000-000065B70000}"/>
    <cellStyle name="Normal 5 3 5 5 6" xfId="47201" xr:uid="{00000000-0005-0000-0000-000066B70000}"/>
    <cellStyle name="Normal 5 3 5 6" xfId="47202" xr:uid="{00000000-0005-0000-0000-000067B70000}"/>
    <cellStyle name="Normal 5 3 5 6 2" xfId="47203" xr:uid="{00000000-0005-0000-0000-000068B70000}"/>
    <cellStyle name="Normal 5 3 5 6 2 2" xfId="47204" xr:uid="{00000000-0005-0000-0000-000069B70000}"/>
    <cellStyle name="Normal 5 3 5 6 2 3" xfId="47205" xr:uid="{00000000-0005-0000-0000-00006AB70000}"/>
    <cellStyle name="Normal 5 3 5 6 3" xfId="47206" xr:uid="{00000000-0005-0000-0000-00006BB70000}"/>
    <cellStyle name="Normal 5 3 5 6 4" xfId="47207" xr:uid="{00000000-0005-0000-0000-00006CB70000}"/>
    <cellStyle name="Normal 5 3 5 6 5" xfId="47208" xr:uid="{00000000-0005-0000-0000-00006DB70000}"/>
    <cellStyle name="Normal 5 3 5 6 6" xfId="47209" xr:uid="{00000000-0005-0000-0000-00006EB70000}"/>
    <cellStyle name="Normal 5 3 5 7" xfId="47210" xr:uid="{00000000-0005-0000-0000-00006FB70000}"/>
    <cellStyle name="Normal 5 3 5 7 2" xfId="47211" xr:uid="{00000000-0005-0000-0000-000070B70000}"/>
    <cellStyle name="Normal 5 3 5 7 2 2" xfId="47212" xr:uid="{00000000-0005-0000-0000-000071B70000}"/>
    <cellStyle name="Normal 5 3 5 7 2 3" xfId="47213" xr:uid="{00000000-0005-0000-0000-000072B70000}"/>
    <cellStyle name="Normal 5 3 5 7 3" xfId="47214" xr:uid="{00000000-0005-0000-0000-000073B70000}"/>
    <cellStyle name="Normal 5 3 5 7 4" xfId="47215" xr:uid="{00000000-0005-0000-0000-000074B70000}"/>
    <cellStyle name="Normal 5 3 5 7 5" xfId="47216" xr:uid="{00000000-0005-0000-0000-000075B70000}"/>
    <cellStyle name="Normal 5 3 5 7 6" xfId="47217" xr:uid="{00000000-0005-0000-0000-000076B70000}"/>
    <cellStyle name="Normal 5 3 5 8" xfId="47218" xr:uid="{00000000-0005-0000-0000-000077B70000}"/>
    <cellStyle name="Normal 5 3 5 8 2" xfId="47219" xr:uid="{00000000-0005-0000-0000-000078B70000}"/>
    <cellStyle name="Normal 5 3 5 8 2 2" xfId="47220" xr:uid="{00000000-0005-0000-0000-000079B70000}"/>
    <cellStyle name="Normal 5 3 5 8 2 3" xfId="47221" xr:uid="{00000000-0005-0000-0000-00007AB70000}"/>
    <cellStyle name="Normal 5 3 5 8 3" xfId="47222" xr:uid="{00000000-0005-0000-0000-00007BB70000}"/>
    <cellStyle name="Normal 5 3 5 8 4" xfId="47223" xr:uid="{00000000-0005-0000-0000-00007CB70000}"/>
    <cellStyle name="Normal 5 3 5 8 5" xfId="47224" xr:uid="{00000000-0005-0000-0000-00007DB70000}"/>
    <cellStyle name="Normal 5 3 5 8 6" xfId="47225" xr:uid="{00000000-0005-0000-0000-00007EB70000}"/>
    <cellStyle name="Normal 5 3 5 9" xfId="47226" xr:uid="{00000000-0005-0000-0000-00007FB70000}"/>
    <cellStyle name="Normal 5 3 5 9 2" xfId="47227" xr:uid="{00000000-0005-0000-0000-000080B70000}"/>
    <cellStyle name="Normal 5 3 5 9 3" xfId="47228" xr:uid="{00000000-0005-0000-0000-000081B70000}"/>
    <cellStyle name="Normal 5 3 6" xfId="47229" xr:uid="{00000000-0005-0000-0000-000082B70000}"/>
    <cellStyle name="Normal 5 3 6 10" xfId="47230" xr:uid="{00000000-0005-0000-0000-000083B70000}"/>
    <cellStyle name="Normal 5 3 6 2" xfId="47231" xr:uid="{00000000-0005-0000-0000-000084B70000}"/>
    <cellStyle name="Normal 5 3 6 2 2" xfId="47232" xr:uid="{00000000-0005-0000-0000-000085B70000}"/>
    <cellStyle name="Normal 5 3 6 2 2 2" xfId="47233" xr:uid="{00000000-0005-0000-0000-000086B70000}"/>
    <cellStyle name="Normal 5 3 6 2 2 2 2" xfId="47234" xr:uid="{00000000-0005-0000-0000-000087B70000}"/>
    <cellStyle name="Normal 5 3 6 2 2 2 3" xfId="47235" xr:uid="{00000000-0005-0000-0000-000088B70000}"/>
    <cellStyle name="Normal 5 3 6 2 2 3" xfId="47236" xr:uid="{00000000-0005-0000-0000-000089B70000}"/>
    <cellStyle name="Normal 5 3 6 2 2 4" xfId="47237" xr:uid="{00000000-0005-0000-0000-00008AB70000}"/>
    <cellStyle name="Normal 5 3 6 2 2 5" xfId="47238" xr:uid="{00000000-0005-0000-0000-00008BB70000}"/>
    <cellStyle name="Normal 5 3 6 2 2 6" xfId="47239" xr:uid="{00000000-0005-0000-0000-00008CB70000}"/>
    <cellStyle name="Normal 5 3 6 2 3" xfId="47240" xr:uid="{00000000-0005-0000-0000-00008DB70000}"/>
    <cellStyle name="Normal 5 3 6 2 3 2" xfId="47241" xr:uid="{00000000-0005-0000-0000-00008EB70000}"/>
    <cellStyle name="Normal 5 3 6 2 3 2 2" xfId="47242" xr:uid="{00000000-0005-0000-0000-00008FB70000}"/>
    <cellStyle name="Normal 5 3 6 2 3 2 3" xfId="47243" xr:uid="{00000000-0005-0000-0000-000090B70000}"/>
    <cellStyle name="Normal 5 3 6 2 3 3" xfId="47244" xr:uid="{00000000-0005-0000-0000-000091B70000}"/>
    <cellStyle name="Normal 5 3 6 2 3 4" xfId="47245" xr:uid="{00000000-0005-0000-0000-000092B70000}"/>
    <cellStyle name="Normal 5 3 6 2 3 5" xfId="47246" xr:uid="{00000000-0005-0000-0000-000093B70000}"/>
    <cellStyle name="Normal 5 3 6 2 3 6" xfId="47247" xr:uid="{00000000-0005-0000-0000-000094B70000}"/>
    <cellStyle name="Normal 5 3 6 2 4" xfId="47248" xr:uid="{00000000-0005-0000-0000-000095B70000}"/>
    <cellStyle name="Normal 5 3 6 2 4 2" xfId="47249" xr:uid="{00000000-0005-0000-0000-000096B70000}"/>
    <cellStyle name="Normal 5 3 6 2 4 3" xfId="47250" xr:uid="{00000000-0005-0000-0000-000097B70000}"/>
    <cellStyle name="Normal 5 3 6 2 5" xfId="47251" xr:uid="{00000000-0005-0000-0000-000098B70000}"/>
    <cellStyle name="Normal 5 3 6 2 6" xfId="47252" xr:uid="{00000000-0005-0000-0000-000099B70000}"/>
    <cellStyle name="Normal 5 3 6 2 7" xfId="47253" xr:uid="{00000000-0005-0000-0000-00009AB70000}"/>
    <cellStyle name="Normal 5 3 6 2 8" xfId="47254" xr:uid="{00000000-0005-0000-0000-00009BB70000}"/>
    <cellStyle name="Normal 5 3 6 3" xfId="47255" xr:uid="{00000000-0005-0000-0000-00009CB70000}"/>
    <cellStyle name="Normal 5 3 6 3 2" xfId="47256" xr:uid="{00000000-0005-0000-0000-00009DB70000}"/>
    <cellStyle name="Normal 5 3 6 3 2 2" xfId="47257" xr:uid="{00000000-0005-0000-0000-00009EB70000}"/>
    <cellStyle name="Normal 5 3 6 3 2 2 2" xfId="47258" xr:uid="{00000000-0005-0000-0000-00009FB70000}"/>
    <cellStyle name="Normal 5 3 6 3 2 2 3" xfId="47259" xr:uid="{00000000-0005-0000-0000-0000A0B70000}"/>
    <cellStyle name="Normal 5 3 6 3 2 3" xfId="47260" xr:uid="{00000000-0005-0000-0000-0000A1B70000}"/>
    <cellStyle name="Normal 5 3 6 3 2 4" xfId="47261" xr:uid="{00000000-0005-0000-0000-0000A2B70000}"/>
    <cellStyle name="Normal 5 3 6 3 2 5" xfId="47262" xr:uid="{00000000-0005-0000-0000-0000A3B70000}"/>
    <cellStyle name="Normal 5 3 6 3 2 6" xfId="47263" xr:uid="{00000000-0005-0000-0000-0000A4B70000}"/>
    <cellStyle name="Normal 5 3 6 3 3" xfId="47264" xr:uid="{00000000-0005-0000-0000-0000A5B70000}"/>
    <cellStyle name="Normal 5 3 6 3 3 2" xfId="47265" xr:uid="{00000000-0005-0000-0000-0000A6B70000}"/>
    <cellStyle name="Normal 5 3 6 3 3 3" xfId="47266" xr:uid="{00000000-0005-0000-0000-0000A7B70000}"/>
    <cellStyle name="Normal 5 3 6 3 4" xfId="47267" xr:uid="{00000000-0005-0000-0000-0000A8B70000}"/>
    <cellStyle name="Normal 5 3 6 3 5" xfId="47268" xr:uid="{00000000-0005-0000-0000-0000A9B70000}"/>
    <cellStyle name="Normal 5 3 6 3 6" xfId="47269" xr:uid="{00000000-0005-0000-0000-0000AAB70000}"/>
    <cellStyle name="Normal 5 3 6 3 7" xfId="47270" xr:uid="{00000000-0005-0000-0000-0000ABB70000}"/>
    <cellStyle name="Normal 5 3 6 4" xfId="47271" xr:uid="{00000000-0005-0000-0000-0000ACB70000}"/>
    <cellStyle name="Normal 5 3 6 4 2" xfId="47272" xr:uid="{00000000-0005-0000-0000-0000ADB70000}"/>
    <cellStyle name="Normal 5 3 6 4 2 2" xfId="47273" xr:uid="{00000000-0005-0000-0000-0000AEB70000}"/>
    <cellStyle name="Normal 5 3 6 4 2 3" xfId="47274" xr:uid="{00000000-0005-0000-0000-0000AFB70000}"/>
    <cellStyle name="Normal 5 3 6 4 3" xfId="47275" xr:uid="{00000000-0005-0000-0000-0000B0B70000}"/>
    <cellStyle name="Normal 5 3 6 4 4" xfId="47276" xr:uid="{00000000-0005-0000-0000-0000B1B70000}"/>
    <cellStyle name="Normal 5 3 6 4 5" xfId="47277" xr:uid="{00000000-0005-0000-0000-0000B2B70000}"/>
    <cellStyle name="Normal 5 3 6 4 6" xfId="47278" xr:uid="{00000000-0005-0000-0000-0000B3B70000}"/>
    <cellStyle name="Normal 5 3 6 5" xfId="47279" xr:uid="{00000000-0005-0000-0000-0000B4B70000}"/>
    <cellStyle name="Normal 5 3 6 5 2" xfId="47280" xr:uid="{00000000-0005-0000-0000-0000B5B70000}"/>
    <cellStyle name="Normal 5 3 6 5 2 2" xfId="47281" xr:uid="{00000000-0005-0000-0000-0000B6B70000}"/>
    <cellStyle name="Normal 5 3 6 5 2 3" xfId="47282" xr:uid="{00000000-0005-0000-0000-0000B7B70000}"/>
    <cellStyle name="Normal 5 3 6 5 3" xfId="47283" xr:uid="{00000000-0005-0000-0000-0000B8B70000}"/>
    <cellStyle name="Normal 5 3 6 5 4" xfId="47284" xr:uid="{00000000-0005-0000-0000-0000B9B70000}"/>
    <cellStyle name="Normal 5 3 6 5 5" xfId="47285" xr:uid="{00000000-0005-0000-0000-0000BAB70000}"/>
    <cellStyle name="Normal 5 3 6 5 6" xfId="47286" xr:uid="{00000000-0005-0000-0000-0000BBB70000}"/>
    <cellStyle name="Normal 5 3 6 6" xfId="47287" xr:uid="{00000000-0005-0000-0000-0000BCB70000}"/>
    <cellStyle name="Normal 5 3 6 6 2" xfId="47288" xr:uid="{00000000-0005-0000-0000-0000BDB70000}"/>
    <cellStyle name="Normal 5 3 6 6 3" xfId="47289" xr:uid="{00000000-0005-0000-0000-0000BEB70000}"/>
    <cellStyle name="Normal 5 3 6 7" xfId="47290" xr:uid="{00000000-0005-0000-0000-0000BFB70000}"/>
    <cellStyle name="Normal 5 3 6 8" xfId="47291" xr:uid="{00000000-0005-0000-0000-0000C0B70000}"/>
    <cellStyle name="Normal 5 3 6 9" xfId="47292" xr:uid="{00000000-0005-0000-0000-0000C1B70000}"/>
    <cellStyle name="Normal 5 3 7" xfId="47293" xr:uid="{00000000-0005-0000-0000-0000C2B70000}"/>
    <cellStyle name="Normal 5 3 7 2" xfId="47294" xr:uid="{00000000-0005-0000-0000-0000C3B70000}"/>
    <cellStyle name="Normal 5 3 7 2 2" xfId="47295" xr:uid="{00000000-0005-0000-0000-0000C4B70000}"/>
    <cellStyle name="Normal 5 3 7 2 3" xfId="47296" xr:uid="{00000000-0005-0000-0000-0000C5B70000}"/>
    <cellStyle name="Normal 5 3 7 3" xfId="47297" xr:uid="{00000000-0005-0000-0000-0000C6B70000}"/>
    <cellStyle name="Normal 5 3 7 4" xfId="47298" xr:uid="{00000000-0005-0000-0000-0000C7B70000}"/>
    <cellStyle name="Normal 5 3 7 5" xfId="47299" xr:uid="{00000000-0005-0000-0000-0000C8B70000}"/>
    <cellStyle name="Normal 5 3 7 6" xfId="47300" xr:uid="{00000000-0005-0000-0000-0000C9B70000}"/>
    <cellStyle name="Normal 5 3 8" xfId="47301" xr:uid="{00000000-0005-0000-0000-0000CAB70000}"/>
    <cellStyle name="Normal 5 3 8 2" xfId="47302" xr:uid="{00000000-0005-0000-0000-0000CBB70000}"/>
    <cellStyle name="Normal 5 3 8 2 2" xfId="47303" xr:uid="{00000000-0005-0000-0000-0000CCB70000}"/>
    <cellStyle name="Normal 5 3 8 2 3" xfId="47304" xr:uid="{00000000-0005-0000-0000-0000CDB70000}"/>
    <cellStyle name="Normal 5 3 8 3" xfId="47305" xr:uid="{00000000-0005-0000-0000-0000CEB70000}"/>
    <cellStyle name="Normal 5 3 8 4" xfId="47306" xr:uid="{00000000-0005-0000-0000-0000CFB70000}"/>
    <cellStyle name="Normal 5 3 8 5" xfId="47307" xr:uid="{00000000-0005-0000-0000-0000D0B70000}"/>
    <cellStyle name="Normal 5 3 8 6" xfId="47308" xr:uid="{00000000-0005-0000-0000-0000D1B70000}"/>
    <cellStyle name="Normal 5 3 9" xfId="47309" xr:uid="{00000000-0005-0000-0000-0000D2B70000}"/>
    <cellStyle name="Normal 5 3 9 2" xfId="47310" xr:uid="{00000000-0005-0000-0000-0000D3B70000}"/>
    <cellStyle name="Normal 5 3 9 2 2" xfId="47311" xr:uid="{00000000-0005-0000-0000-0000D4B70000}"/>
    <cellStyle name="Normal 5 3 9 2 3" xfId="47312" xr:uid="{00000000-0005-0000-0000-0000D5B70000}"/>
    <cellStyle name="Normal 5 3 9 3" xfId="47313" xr:uid="{00000000-0005-0000-0000-0000D6B70000}"/>
    <cellStyle name="Normal 5 3 9 4" xfId="47314" xr:uid="{00000000-0005-0000-0000-0000D7B70000}"/>
    <cellStyle name="Normal 5 3 9 5" xfId="47315" xr:uid="{00000000-0005-0000-0000-0000D8B70000}"/>
    <cellStyle name="Normal 5 3 9 6" xfId="47316" xr:uid="{00000000-0005-0000-0000-0000D9B70000}"/>
    <cellStyle name="Normal 5 30" xfId="259" xr:uid="{00000000-0005-0000-0000-0000DAB70000}"/>
    <cellStyle name="Normal 5 31" xfId="260" xr:uid="{00000000-0005-0000-0000-0000DBB70000}"/>
    <cellStyle name="Normal 5 32" xfId="261" xr:uid="{00000000-0005-0000-0000-0000DCB70000}"/>
    <cellStyle name="Normal 5 4" xfId="262" xr:uid="{00000000-0005-0000-0000-0000DDB70000}"/>
    <cellStyle name="Normal 5 4 10" xfId="47317" xr:uid="{00000000-0005-0000-0000-0000DEB70000}"/>
    <cellStyle name="Normal 5 4 10 2" xfId="47318" xr:uid="{00000000-0005-0000-0000-0000DFB70000}"/>
    <cellStyle name="Normal 5 4 10 2 2" xfId="47319" xr:uid="{00000000-0005-0000-0000-0000E0B70000}"/>
    <cellStyle name="Normal 5 4 10 2 3" xfId="47320" xr:uid="{00000000-0005-0000-0000-0000E1B70000}"/>
    <cellStyle name="Normal 5 4 10 3" xfId="47321" xr:uid="{00000000-0005-0000-0000-0000E2B70000}"/>
    <cellStyle name="Normal 5 4 10 4" xfId="47322" xr:uid="{00000000-0005-0000-0000-0000E3B70000}"/>
    <cellStyle name="Normal 5 4 10 5" xfId="47323" xr:uid="{00000000-0005-0000-0000-0000E4B70000}"/>
    <cellStyle name="Normal 5 4 10 6" xfId="47324" xr:uid="{00000000-0005-0000-0000-0000E5B70000}"/>
    <cellStyle name="Normal 5 4 11" xfId="47325" xr:uid="{00000000-0005-0000-0000-0000E6B70000}"/>
    <cellStyle name="Normal 5 4 11 2" xfId="47326" xr:uid="{00000000-0005-0000-0000-0000E7B70000}"/>
    <cellStyle name="Normal 5 4 11 3" xfId="47327" xr:uid="{00000000-0005-0000-0000-0000E8B70000}"/>
    <cellStyle name="Normal 5 4 12" xfId="47328" xr:uid="{00000000-0005-0000-0000-0000E9B70000}"/>
    <cellStyle name="Normal 5 4 13" xfId="47329" xr:uid="{00000000-0005-0000-0000-0000EAB70000}"/>
    <cellStyle name="Normal 5 4 14" xfId="47330" xr:uid="{00000000-0005-0000-0000-0000EBB70000}"/>
    <cellStyle name="Normal 5 4 15" xfId="47331" xr:uid="{00000000-0005-0000-0000-0000ECB70000}"/>
    <cellStyle name="Normal 5 4 2" xfId="439" xr:uid="{00000000-0005-0000-0000-0000EDB70000}"/>
    <cellStyle name="Normal 5 4 2 10" xfId="47332" xr:uid="{00000000-0005-0000-0000-0000EEB70000}"/>
    <cellStyle name="Normal 5 4 2 10 2" xfId="47333" xr:uid="{00000000-0005-0000-0000-0000EFB70000}"/>
    <cellStyle name="Normal 5 4 2 10 3" xfId="47334" xr:uid="{00000000-0005-0000-0000-0000F0B70000}"/>
    <cellStyle name="Normal 5 4 2 11" xfId="47335" xr:uid="{00000000-0005-0000-0000-0000F1B70000}"/>
    <cellStyle name="Normal 5 4 2 12" xfId="47336" xr:uid="{00000000-0005-0000-0000-0000F2B70000}"/>
    <cellStyle name="Normal 5 4 2 13" xfId="47337" xr:uid="{00000000-0005-0000-0000-0000F3B70000}"/>
    <cellStyle name="Normal 5 4 2 14" xfId="47338" xr:uid="{00000000-0005-0000-0000-0000F4B70000}"/>
    <cellStyle name="Normal 5 4 2 2" xfId="47339" xr:uid="{00000000-0005-0000-0000-0000F5B70000}"/>
    <cellStyle name="Normal 5 4 2 2 10" xfId="47340" xr:uid="{00000000-0005-0000-0000-0000F6B70000}"/>
    <cellStyle name="Normal 5 4 2 2 11" xfId="47341" xr:uid="{00000000-0005-0000-0000-0000F7B70000}"/>
    <cellStyle name="Normal 5 4 2 2 12" xfId="47342" xr:uid="{00000000-0005-0000-0000-0000F8B70000}"/>
    <cellStyle name="Normal 5 4 2 2 13" xfId="47343" xr:uid="{00000000-0005-0000-0000-0000F9B70000}"/>
    <cellStyle name="Normal 5 4 2 2 2" xfId="47344" xr:uid="{00000000-0005-0000-0000-0000FAB70000}"/>
    <cellStyle name="Normal 5 4 2 2 2 10" xfId="47345" xr:uid="{00000000-0005-0000-0000-0000FBB70000}"/>
    <cellStyle name="Normal 5 4 2 2 2 2" xfId="47346" xr:uid="{00000000-0005-0000-0000-0000FCB70000}"/>
    <cellStyle name="Normal 5 4 2 2 2 2 2" xfId="47347" xr:uid="{00000000-0005-0000-0000-0000FDB70000}"/>
    <cellStyle name="Normal 5 4 2 2 2 2 2 2" xfId="47348" xr:uid="{00000000-0005-0000-0000-0000FEB70000}"/>
    <cellStyle name="Normal 5 4 2 2 2 2 2 2 2" xfId="47349" xr:uid="{00000000-0005-0000-0000-0000FFB70000}"/>
    <cellStyle name="Normal 5 4 2 2 2 2 2 2 3" xfId="47350" xr:uid="{00000000-0005-0000-0000-000000B80000}"/>
    <cellStyle name="Normal 5 4 2 2 2 2 2 3" xfId="47351" xr:uid="{00000000-0005-0000-0000-000001B80000}"/>
    <cellStyle name="Normal 5 4 2 2 2 2 2 4" xfId="47352" xr:uid="{00000000-0005-0000-0000-000002B80000}"/>
    <cellStyle name="Normal 5 4 2 2 2 2 2 5" xfId="47353" xr:uid="{00000000-0005-0000-0000-000003B80000}"/>
    <cellStyle name="Normal 5 4 2 2 2 2 2 6" xfId="47354" xr:uid="{00000000-0005-0000-0000-000004B80000}"/>
    <cellStyle name="Normal 5 4 2 2 2 2 3" xfId="47355" xr:uid="{00000000-0005-0000-0000-000005B80000}"/>
    <cellStyle name="Normal 5 4 2 2 2 2 3 2" xfId="47356" xr:uid="{00000000-0005-0000-0000-000006B80000}"/>
    <cellStyle name="Normal 5 4 2 2 2 2 3 2 2" xfId="47357" xr:uid="{00000000-0005-0000-0000-000007B80000}"/>
    <cellStyle name="Normal 5 4 2 2 2 2 3 2 3" xfId="47358" xr:uid="{00000000-0005-0000-0000-000008B80000}"/>
    <cellStyle name="Normal 5 4 2 2 2 2 3 3" xfId="47359" xr:uid="{00000000-0005-0000-0000-000009B80000}"/>
    <cellStyle name="Normal 5 4 2 2 2 2 3 4" xfId="47360" xr:uid="{00000000-0005-0000-0000-00000AB80000}"/>
    <cellStyle name="Normal 5 4 2 2 2 2 3 5" xfId="47361" xr:uid="{00000000-0005-0000-0000-00000BB80000}"/>
    <cellStyle name="Normal 5 4 2 2 2 2 3 6" xfId="47362" xr:uid="{00000000-0005-0000-0000-00000CB80000}"/>
    <cellStyle name="Normal 5 4 2 2 2 2 4" xfId="47363" xr:uid="{00000000-0005-0000-0000-00000DB80000}"/>
    <cellStyle name="Normal 5 4 2 2 2 2 4 2" xfId="47364" xr:uid="{00000000-0005-0000-0000-00000EB80000}"/>
    <cellStyle name="Normal 5 4 2 2 2 2 4 3" xfId="47365" xr:uid="{00000000-0005-0000-0000-00000FB80000}"/>
    <cellStyle name="Normal 5 4 2 2 2 2 5" xfId="47366" xr:uid="{00000000-0005-0000-0000-000010B80000}"/>
    <cellStyle name="Normal 5 4 2 2 2 2 6" xfId="47367" xr:uid="{00000000-0005-0000-0000-000011B80000}"/>
    <cellStyle name="Normal 5 4 2 2 2 2 7" xfId="47368" xr:uid="{00000000-0005-0000-0000-000012B80000}"/>
    <cellStyle name="Normal 5 4 2 2 2 2 8" xfId="47369" xr:uid="{00000000-0005-0000-0000-000013B80000}"/>
    <cellStyle name="Normal 5 4 2 2 2 3" xfId="47370" xr:uid="{00000000-0005-0000-0000-000014B80000}"/>
    <cellStyle name="Normal 5 4 2 2 2 3 2" xfId="47371" xr:uid="{00000000-0005-0000-0000-000015B80000}"/>
    <cellStyle name="Normal 5 4 2 2 2 3 2 2" xfId="47372" xr:uid="{00000000-0005-0000-0000-000016B80000}"/>
    <cellStyle name="Normal 5 4 2 2 2 3 2 2 2" xfId="47373" xr:uid="{00000000-0005-0000-0000-000017B80000}"/>
    <cellStyle name="Normal 5 4 2 2 2 3 2 2 3" xfId="47374" xr:uid="{00000000-0005-0000-0000-000018B80000}"/>
    <cellStyle name="Normal 5 4 2 2 2 3 2 3" xfId="47375" xr:uid="{00000000-0005-0000-0000-000019B80000}"/>
    <cellStyle name="Normal 5 4 2 2 2 3 2 4" xfId="47376" xr:uid="{00000000-0005-0000-0000-00001AB80000}"/>
    <cellStyle name="Normal 5 4 2 2 2 3 2 5" xfId="47377" xr:uid="{00000000-0005-0000-0000-00001BB80000}"/>
    <cellStyle name="Normal 5 4 2 2 2 3 2 6" xfId="47378" xr:uid="{00000000-0005-0000-0000-00001CB80000}"/>
    <cellStyle name="Normal 5 4 2 2 2 3 3" xfId="47379" xr:uid="{00000000-0005-0000-0000-00001DB80000}"/>
    <cellStyle name="Normal 5 4 2 2 2 3 3 2" xfId="47380" xr:uid="{00000000-0005-0000-0000-00001EB80000}"/>
    <cellStyle name="Normal 5 4 2 2 2 3 3 3" xfId="47381" xr:uid="{00000000-0005-0000-0000-00001FB80000}"/>
    <cellStyle name="Normal 5 4 2 2 2 3 4" xfId="47382" xr:uid="{00000000-0005-0000-0000-000020B80000}"/>
    <cellStyle name="Normal 5 4 2 2 2 3 5" xfId="47383" xr:uid="{00000000-0005-0000-0000-000021B80000}"/>
    <cellStyle name="Normal 5 4 2 2 2 3 6" xfId="47384" xr:uid="{00000000-0005-0000-0000-000022B80000}"/>
    <cellStyle name="Normal 5 4 2 2 2 3 7" xfId="47385" xr:uid="{00000000-0005-0000-0000-000023B80000}"/>
    <cellStyle name="Normal 5 4 2 2 2 4" xfId="47386" xr:uid="{00000000-0005-0000-0000-000024B80000}"/>
    <cellStyle name="Normal 5 4 2 2 2 4 2" xfId="47387" xr:uid="{00000000-0005-0000-0000-000025B80000}"/>
    <cellStyle name="Normal 5 4 2 2 2 4 2 2" xfId="47388" xr:uid="{00000000-0005-0000-0000-000026B80000}"/>
    <cellStyle name="Normal 5 4 2 2 2 4 2 3" xfId="47389" xr:uid="{00000000-0005-0000-0000-000027B80000}"/>
    <cellStyle name="Normal 5 4 2 2 2 4 3" xfId="47390" xr:uid="{00000000-0005-0000-0000-000028B80000}"/>
    <cellStyle name="Normal 5 4 2 2 2 4 4" xfId="47391" xr:uid="{00000000-0005-0000-0000-000029B80000}"/>
    <cellStyle name="Normal 5 4 2 2 2 4 5" xfId="47392" xr:uid="{00000000-0005-0000-0000-00002AB80000}"/>
    <cellStyle name="Normal 5 4 2 2 2 4 6" xfId="47393" xr:uid="{00000000-0005-0000-0000-00002BB80000}"/>
    <cellStyle name="Normal 5 4 2 2 2 5" xfId="47394" xr:uid="{00000000-0005-0000-0000-00002CB80000}"/>
    <cellStyle name="Normal 5 4 2 2 2 5 2" xfId="47395" xr:uid="{00000000-0005-0000-0000-00002DB80000}"/>
    <cellStyle name="Normal 5 4 2 2 2 5 2 2" xfId="47396" xr:uid="{00000000-0005-0000-0000-00002EB80000}"/>
    <cellStyle name="Normal 5 4 2 2 2 5 2 3" xfId="47397" xr:uid="{00000000-0005-0000-0000-00002FB80000}"/>
    <cellStyle name="Normal 5 4 2 2 2 5 3" xfId="47398" xr:uid="{00000000-0005-0000-0000-000030B80000}"/>
    <cellStyle name="Normal 5 4 2 2 2 5 4" xfId="47399" xr:uid="{00000000-0005-0000-0000-000031B80000}"/>
    <cellStyle name="Normal 5 4 2 2 2 5 5" xfId="47400" xr:uid="{00000000-0005-0000-0000-000032B80000}"/>
    <cellStyle name="Normal 5 4 2 2 2 5 6" xfId="47401" xr:uid="{00000000-0005-0000-0000-000033B80000}"/>
    <cellStyle name="Normal 5 4 2 2 2 6" xfId="47402" xr:uid="{00000000-0005-0000-0000-000034B80000}"/>
    <cellStyle name="Normal 5 4 2 2 2 6 2" xfId="47403" xr:uid="{00000000-0005-0000-0000-000035B80000}"/>
    <cellStyle name="Normal 5 4 2 2 2 6 3" xfId="47404" xr:uid="{00000000-0005-0000-0000-000036B80000}"/>
    <cellStyle name="Normal 5 4 2 2 2 7" xfId="47405" xr:uid="{00000000-0005-0000-0000-000037B80000}"/>
    <cellStyle name="Normal 5 4 2 2 2 8" xfId="47406" xr:uid="{00000000-0005-0000-0000-000038B80000}"/>
    <cellStyle name="Normal 5 4 2 2 2 9" xfId="47407" xr:uid="{00000000-0005-0000-0000-000039B80000}"/>
    <cellStyle name="Normal 5 4 2 2 3" xfId="47408" xr:uid="{00000000-0005-0000-0000-00003AB80000}"/>
    <cellStyle name="Normal 5 4 2 2 3 2" xfId="47409" xr:uid="{00000000-0005-0000-0000-00003BB80000}"/>
    <cellStyle name="Normal 5 4 2 2 3 2 2" xfId="47410" xr:uid="{00000000-0005-0000-0000-00003CB80000}"/>
    <cellStyle name="Normal 5 4 2 2 3 2 2 2" xfId="47411" xr:uid="{00000000-0005-0000-0000-00003DB80000}"/>
    <cellStyle name="Normal 5 4 2 2 3 2 2 2 2" xfId="47412" xr:uid="{00000000-0005-0000-0000-00003EB80000}"/>
    <cellStyle name="Normal 5 4 2 2 3 2 2 2 3" xfId="47413" xr:uid="{00000000-0005-0000-0000-00003FB80000}"/>
    <cellStyle name="Normal 5 4 2 2 3 2 2 3" xfId="47414" xr:uid="{00000000-0005-0000-0000-000040B80000}"/>
    <cellStyle name="Normal 5 4 2 2 3 2 2 4" xfId="47415" xr:uid="{00000000-0005-0000-0000-000041B80000}"/>
    <cellStyle name="Normal 5 4 2 2 3 2 2 5" xfId="47416" xr:uid="{00000000-0005-0000-0000-000042B80000}"/>
    <cellStyle name="Normal 5 4 2 2 3 2 2 6" xfId="47417" xr:uid="{00000000-0005-0000-0000-000043B80000}"/>
    <cellStyle name="Normal 5 4 2 2 3 2 3" xfId="47418" xr:uid="{00000000-0005-0000-0000-000044B80000}"/>
    <cellStyle name="Normal 5 4 2 2 3 2 3 2" xfId="47419" xr:uid="{00000000-0005-0000-0000-000045B80000}"/>
    <cellStyle name="Normal 5 4 2 2 3 2 3 3" xfId="47420" xr:uid="{00000000-0005-0000-0000-000046B80000}"/>
    <cellStyle name="Normal 5 4 2 2 3 2 4" xfId="47421" xr:uid="{00000000-0005-0000-0000-000047B80000}"/>
    <cellStyle name="Normal 5 4 2 2 3 2 5" xfId="47422" xr:uid="{00000000-0005-0000-0000-000048B80000}"/>
    <cellStyle name="Normal 5 4 2 2 3 2 6" xfId="47423" xr:uid="{00000000-0005-0000-0000-000049B80000}"/>
    <cellStyle name="Normal 5 4 2 2 3 2 7" xfId="47424" xr:uid="{00000000-0005-0000-0000-00004AB80000}"/>
    <cellStyle name="Normal 5 4 2 2 3 3" xfId="47425" xr:uid="{00000000-0005-0000-0000-00004BB80000}"/>
    <cellStyle name="Normal 5 4 2 2 3 3 2" xfId="47426" xr:uid="{00000000-0005-0000-0000-00004CB80000}"/>
    <cellStyle name="Normal 5 4 2 2 3 3 2 2" xfId="47427" xr:uid="{00000000-0005-0000-0000-00004DB80000}"/>
    <cellStyle name="Normal 5 4 2 2 3 3 2 3" xfId="47428" xr:uid="{00000000-0005-0000-0000-00004EB80000}"/>
    <cellStyle name="Normal 5 4 2 2 3 3 3" xfId="47429" xr:uid="{00000000-0005-0000-0000-00004FB80000}"/>
    <cellStyle name="Normal 5 4 2 2 3 3 4" xfId="47430" xr:uid="{00000000-0005-0000-0000-000050B80000}"/>
    <cellStyle name="Normal 5 4 2 2 3 3 5" xfId="47431" xr:uid="{00000000-0005-0000-0000-000051B80000}"/>
    <cellStyle name="Normal 5 4 2 2 3 3 6" xfId="47432" xr:uid="{00000000-0005-0000-0000-000052B80000}"/>
    <cellStyle name="Normal 5 4 2 2 3 4" xfId="47433" xr:uid="{00000000-0005-0000-0000-000053B80000}"/>
    <cellStyle name="Normal 5 4 2 2 3 4 2" xfId="47434" xr:uid="{00000000-0005-0000-0000-000054B80000}"/>
    <cellStyle name="Normal 5 4 2 2 3 4 2 2" xfId="47435" xr:uid="{00000000-0005-0000-0000-000055B80000}"/>
    <cellStyle name="Normal 5 4 2 2 3 4 2 3" xfId="47436" xr:uid="{00000000-0005-0000-0000-000056B80000}"/>
    <cellStyle name="Normal 5 4 2 2 3 4 3" xfId="47437" xr:uid="{00000000-0005-0000-0000-000057B80000}"/>
    <cellStyle name="Normal 5 4 2 2 3 4 4" xfId="47438" xr:uid="{00000000-0005-0000-0000-000058B80000}"/>
    <cellStyle name="Normal 5 4 2 2 3 4 5" xfId="47439" xr:uid="{00000000-0005-0000-0000-000059B80000}"/>
    <cellStyle name="Normal 5 4 2 2 3 4 6" xfId="47440" xr:uid="{00000000-0005-0000-0000-00005AB80000}"/>
    <cellStyle name="Normal 5 4 2 2 3 5" xfId="47441" xr:uid="{00000000-0005-0000-0000-00005BB80000}"/>
    <cellStyle name="Normal 5 4 2 2 3 5 2" xfId="47442" xr:uid="{00000000-0005-0000-0000-00005CB80000}"/>
    <cellStyle name="Normal 5 4 2 2 3 5 3" xfId="47443" xr:uid="{00000000-0005-0000-0000-00005DB80000}"/>
    <cellStyle name="Normal 5 4 2 2 3 6" xfId="47444" xr:uid="{00000000-0005-0000-0000-00005EB80000}"/>
    <cellStyle name="Normal 5 4 2 2 3 7" xfId="47445" xr:uid="{00000000-0005-0000-0000-00005FB80000}"/>
    <cellStyle name="Normal 5 4 2 2 3 8" xfId="47446" xr:uid="{00000000-0005-0000-0000-000060B80000}"/>
    <cellStyle name="Normal 5 4 2 2 3 9" xfId="47447" xr:uid="{00000000-0005-0000-0000-000061B80000}"/>
    <cellStyle name="Normal 5 4 2 2 4" xfId="47448" xr:uid="{00000000-0005-0000-0000-000062B80000}"/>
    <cellStyle name="Normal 5 4 2 2 4 2" xfId="47449" xr:uid="{00000000-0005-0000-0000-000063B80000}"/>
    <cellStyle name="Normal 5 4 2 2 4 2 2" xfId="47450" xr:uid="{00000000-0005-0000-0000-000064B80000}"/>
    <cellStyle name="Normal 5 4 2 2 4 2 2 2" xfId="47451" xr:uid="{00000000-0005-0000-0000-000065B80000}"/>
    <cellStyle name="Normal 5 4 2 2 4 2 2 3" xfId="47452" xr:uid="{00000000-0005-0000-0000-000066B80000}"/>
    <cellStyle name="Normal 5 4 2 2 4 2 3" xfId="47453" xr:uid="{00000000-0005-0000-0000-000067B80000}"/>
    <cellStyle name="Normal 5 4 2 2 4 2 4" xfId="47454" xr:uid="{00000000-0005-0000-0000-000068B80000}"/>
    <cellStyle name="Normal 5 4 2 2 4 2 5" xfId="47455" xr:uid="{00000000-0005-0000-0000-000069B80000}"/>
    <cellStyle name="Normal 5 4 2 2 4 2 6" xfId="47456" xr:uid="{00000000-0005-0000-0000-00006AB80000}"/>
    <cellStyle name="Normal 5 4 2 2 4 3" xfId="47457" xr:uid="{00000000-0005-0000-0000-00006BB80000}"/>
    <cellStyle name="Normal 5 4 2 2 4 3 2" xfId="47458" xr:uid="{00000000-0005-0000-0000-00006CB80000}"/>
    <cellStyle name="Normal 5 4 2 2 4 3 3" xfId="47459" xr:uid="{00000000-0005-0000-0000-00006DB80000}"/>
    <cellStyle name="Normal 5 4 2 2 4 4" xfId="47460" xr:uid="{00000000-0005-0000-0000-00006EB80000}"/>
    <cellStyle name="Normal 5 4 2 2 4 5" xfId="47461" xr:uid="{00000000-0005-0000-0000-00006FB80000}"/>
    <cellStyle name="Normal 5 4 2 2 4 6" xfId="47462" xr:uid="{00000000-0005-0000-0000-000070B80000}"/>
    <cellStyle name="Normal 5 4 2 2 4 7" xfId="47463" xr:uid="{00000000-0005-0000-0000-000071B80000}"/>
    <cellStyle name="Normal 5 4 2 2 5" xfId="47464" xr:uid="{00000000-0005-0000-0000-000072B80000}"/>
    <cellStyle name="Normal 5 4 2 2 5 2" xfId="47465" xr:uid="{00000000-0005-0000-0000-000073B80000}"/>
    <cellStyle name="Normal 5 4 2 2 5 2 2" xfId="47466" xr:uid="{00000000-0005-0000-0000-000074B80000}"/>
    <cellStyle name="Normal 5 4 2 2 5 2 3" xfId="47467" xr:uid="{00000000-0005-0000-0000-000075B80000}"/>
    <cellStyle name="Normal 5 4 2 2 5 3" xfId="47468" xr:uid="{00000000-0005-0000-0000-000076B80000}"/>
    <cellStyle name="Normal 5 4 2 2 5 4" xfId="47469" xr:uid="{00000000-0005-0000-0000-000077B80000}"/>
    <cellStyle name="Normal 5 4 2 2 5 5" xfId="47470" xr:uid="{00000000-0005-0000-0000-000078B80000}"/>
    <cellStyle name="Normal 5 4 2 2 5 6" xfId="47471" xr:uid="{00000000-0005-0000-0000-000079B80000}"/>
    <cellStyle name="Normal 5 4 2 2 6" xfId="47472" xr:uid="{00000000-0005-0000-0000-00007AB80000}"/>
    <cellStyle name="Normal 5 4 2 2 6 2" xfId="47473" xr:uid="{00000000-0005-0000-0000-00007BB80000}"/>
    <cellStyle name="Normal 5 4 2 2 6 2 2" xfId="47474" xr:uid="{00000000-0005-0000-0000-00007CB80000}"/>
    <cellStyle name="Normal 5 4 2 2 6 2 3" xfId="47475" xr:uid="{00000000-0005-0000-0000-00007DB80000}"/>
    <cellStyle name="Normal 5 4 2 2 6 3" xfId="47476" xr:uid="{00000000-0005-0000-0000-00007EB80000}"/>
    <cellStyle name="Normal 5 4 2 2 6 4" xfId="47477" xr:uid="{00000000-0005-0000-0000-00007FB80000}"/>
    <cellStyle name="Normal 5 4 2 2 6 5" xfId="47478" xr:uid="{00000000-0005-0000-0000-000080B80000}"/>
    <cellStyle name="Normal 5 4 2 2 6 6" xfId="47479" xr:uid="{00000000-0005-0000-0000-000081B80000}"/>
    <cellStyle name="Normal 5 4 2 2 7" xfId="47480" xr:uid="{00000000-0005-0000-0000-000082B80000}"/>
    <cellStyle name="Normal 5 4 2 2 7 2" xfId="47481" xr:uid="{00000000-0005-0000-0000-000083B80000}"/>
    <cellStyle name="Normal 5 4 2 2 7 2 2" xfId="47482" xr:uid="{00000000-0005-0000-0000-000084B80000}"/>
    <cellStyle name="Normal 5 4 2 2 7 2 3" xfId="47483" xr:uid="{00000000-0005-0000-0000-000085B80000}"/>
    <cellStyle name="Normal 5 4 2 2 7 3" xfId="47484" xr:uid="{00000000-0005-0000-0000-000086B80000}"/>
    <cellStyle name="Normal 5 4 2 2 7 4" xfId="47485" xr:uid="{00000000-0005-0000-0000-000087B80000}"/>
    <cellStyle name="Normal 5 4 2 2 7 5" xfId="47486" xr:uid="{00000000-0005-0000-0000-000088B80000}"/>
    <cellStyle name="Normal 5 4 2 2 7 6" xfId="47487" xr:uid="{00000000-0005-0000-0000-000089B80000}"/>
    <cellStyle name="Normal 5 4 2 2 8" xfId="47488" xr:uid="{00000000-0005-0000-0000-00008AB80000}"/>
    <cellStyle name="Normal 5 4 2 2 8 2" xfId="47489" xr:uid="{00000000-0005-0000-0000-00008BB80000}"/>
    <cellStyle name="Normal 5 4 2 2 8 2 2" xfId="47490" xr:uid="{00000000-0005-0000-0000-00008CB80000}"/>
    <cellStyle name="Normal 5 4 2 2 8 2 3" xfId="47491" xr:uid="{00000000-0005-0000-0000-00008DB80000}"/>
    <cellStyle name="Normal 5 4 2 2 8 3" xfId="47492" xr:uid="{00000000-0005-0000-0000-00008EB80000}"/>
    <cellStyle name="Normal 5 4 2 2 8 4" xfId="47493" xr:uid="{00000000-0005-0000-0000-00008FB80000}"/>
    <cellStyle name="Normal 5 4 2 2 8 5" xfId="47494" xr:uid="{00000000-0005-0000-0000-000090B80000}"/>
    <cellStyle name="Normal 5 4 2 2 8 6" xfId="47495" xr:uid="{00000000-0005-0000-0000-000091B80000}"/>
    <cellStyle name="Normal 5 4 2 2 9" xfId="47496" xr:uid="{00000000-0005-0000-0000-000092B80000}"/>
    <cellStyle name="Normal 5 4 2 2 9 2" xfId="47497" xr:uid="{00000000-0005-0000-0000-000093B80000}"/>
    <cellStyle name="Normal 5 4 2 2 9 3" xfId="47498" xr:uid="{00000000-0005-0000-0000-000094B80000}"/>
    <cellStyle name="Normal 5 4 2 3" xfId="47499" xr:uid="{00000000-0005-0000-0000-000095B80000}"/>
    <cellStyle name="Normal 5 4 2 3 10" xfId="47500" xr:uid="{00000000-0005-0000-0000-000096B80000}"/>
    <cellStyle name="Normal 5 4 2 3 2" xfId="47501" xr:uid="{00000000-0005-0000-0000-000097B80000}"/>
    <cellStyle name="Normal 5 4 2 3 2 2" xfId="47502" xr:uid="{00000000-0005-0000-0000-000098B80000}"/>
    <cellStyle name="Normal 5 4 2 3 2 2 2" xfId="47503" xr:uid="{00000000-0005-0000-0000-000099B80000}"/>
    <cellStyle name="Normal 5 4 2 3 2 2 2 2" xfId="47504" xr:uid="{00000000-0005-0000-0000-00009AB80000}"/>
    <cellStyle name="Normal 5 4 2 3 2 2 2 3" xfId="47505" xr:uid="{00000000-0005-0000-0000-00009BB80000}"/>
    <cellStyle name="Normal 5 4 2 3 2 2 3" xfId="47506" xr:uid="{00000000-0005-0000-0000-00009CB80000}"/>
    <cellStyle name="Normal 5 4 2 3 2 2 4" xfId="47507" xr:uid="{00000000-0005-0000-0000-00009DB80000}"/>
    <cellStyle name="Normal 5 4 2 3 2 2 5" xfId="47508" xr:uid="{00000000-0005-0000-0000-00009EB80000}"/>
    <cellStyle name="Normal 5 4 2 3 2 2 6" xfId="47509" xr:uid="{00000000-0005-0000-0000-00009FB80000}"/>
    <cellStyle name="Normal 5 4 2 3 2 3" xfId="47510" xr:uid="{00000000-0005-0000-0000-0000A0B80000}"/>
    <cellStyle name="Normal 5 4 2 3 2 3 2" xfId="47511" xr:uid="{00000000-0005-0000-0000-0000A1B80000}"/>
    <cellStyle name="Normal 5 4 2 3 2 3 2 2" xfId="47512" xr:uid="{00000000-0005-0000-0000-0000A2B80000}"/>
    <cellStyle name="Normal 5 4 2 3 2 3 2 3" xfId="47513" xr:uid="{00000000-0005-0000-0000-0000A3B80000}"/>
    <cellStyle name="Normal 5 4 2 3 2 3 3" xfId="47514" xr:uid="{00000000-0005-0000-0000-0000A4B80000}"/>
    <cellStyle name="Normal 5 4 2 3 2 3 4" xfId="47515" xr:uid="{00000000-0005-0000-0000-0000A5B80000}"/>
    <cellStyle name="Normal 5 4 2 3 2 3 5" xfId="47516" xr:uid="{00000000-0005-0000-0000-0000A6B80000}"/>
    <cellStyle name="Normal 5 4 2 3 2 3 6" xfId="47517" xr:uid="{00000000-0005-0000-0000-0000A7B80000}"/>
    <cellStyle name="Normal 5 4 2 3 2 4" xfId="47518" xr:uid="{00000000-0005-0000-0000-0000A8B80000}"/>
    <cellStyle name="Normal 5 4 2 3 2 4 2" xfId="47519" xr:uid="{00000000-0005-0000-0000-0000A9B80000}"/>
    <cellStyle name="Normal 5 4 2 3 2 4 3" xfId="47520" xr:uid="{00000000-0005-0000-0000-0000AAB80000}"/>
    <cellStyle name="Normal 5 4 2 3 2 5" xfId="47521" xr:uid="{00000000-0005-0000-0000-0000ABB80000}"/>
    <cellStyle name="Normal 5 4 2 3 2 6" xfId="47522" xr:uid="{00000000-0005-0000-0000-0000ACB80000}"/>
    <cellStyle name="Normal 5 4 2 3 2 7" xfId="47523" xr:uid="{00000000-0005-0000-0000-0000ADB80000}"/>
    <cellStyle name="Normal 5 4 2 3 2 8" xfId="47524" xr:uid="{00000000-0005-0000-0000-0000AEB80000}"/>
    <cellStyle name="Normal 5 4 2 3 3" xfId="47525" xr:uid="{00000000-0005-0000-0000-0000AFB80000}"/>
    <cellStyle name="Normal 5 4 2 3 3 2" xfId="47526" xr:uid="{00000000-0005-0000-0000-0000B0B80000}"/>
    <cellStyle name="Normal 5 4 2 3 3 2 2" xfId="47527" xr:uid="{00000000-0005-0000-0000-0000B1B80000}"/>
    <cellStyle name="Normal 5 4 2 3 3 2 2 2" xfId="47528" xr:uid="{00000000-0005-0000-0000-0000B2B80000}"/>
    <cellStyle name="Normal 5 4 2 3 3 2 2 3" xfId="47529" xr:uid="{00000000-0005-0000-0000-0000B3B80000}"/>
    <cellStyle name="Normal 5 4 2 3 3 2 3" xfId="47530" xr:uid="{00000000-0005-0000-0000-0000B4B80000}"/>
    <cellStyle name="Normal 5 4 2 3 3 2 4" xfId="47531" xr:uid="{00000000-0005-0000-0000-0000B5B80000}"/>
    <cellStyle name="Normal 5 4 2 3 3 2 5" xfId="47532" xr:uid="{00000000-0005-0000-0000-0000B6B80000}"/>
    <cellStyle name="Normal 5 4 2 3 3 2 6" xfId="47533" xr:uid="{00000000-0005-0000-0000-0000B7B80000}"/>
    <cellStyle name="Normal 5 4 2 3 3 3" xfId="47534" xr:uid="{00000000-0005-0000-0000-0000B8B80000}"/>
    <cellStyle name="Normal 5 4 2 3 3 3 2" xfId="47535" xr:uid="{00000000-0005-0000-0000-0000B9B80000}"/>
    <cellStyle name="Normal 5 4 2 3 3 3 3" xfId="47536" xr:uid="{00000000-0005-0000-0000-0000BAB80000}"/>
    <cellStyle name="Normal 5 4 2 3 3 4" xfId="47537" xr:uid="{00000000-0005-0000-0000-0000BBB80000}"/>
    <cellStyle name="Normal 5 4 2 3 3 5" xfId="47538" xr:uid="{00000000-0005-0000-0000-0000BCB80000}"/>
    <cellStyle name="Normal 5 4 2 3 3 6" xfId="47539" xr:uid="{00000000-0005-0000-0000-0000BDB80000}"/>
    <cellStyle name="Normal 5 4 2 3 3 7" xfId="47540" xr:uid="{00000000-0005-0000-0000-0000BEB80000}"/>
    <cellStyle name="Normal 5 4 2 3 4" xfId="47541" xr:uid="{00000000-0005-0000-0000-0000BFB80000}"/>
    <cellStyle name="Normal 5 4 2 3 4 2" xfId="47542" xr:uid="{00000000-0005-0000-0000-0000C0B80000}"/>
    <cellStyle name="Normal 5 4 2 3 4 2 2" xfId="47543" xr:uid="{00000000-0005-0000-0000-0000C1B80000}"/>
    <cellStyle name="Normal 5 4 2 3 4 2 3" xfId="47544" xr:uid="{00000000-0005-0000-0000-0000C2B80000}"/>
    <cellStyle name="Normal 5 4 2 3 4 3" xfId="47545" xr:uid="{00000000-0005-0000-0000-0000C3B80000}"/>
    <cellStyle name="Normal 5 4 2 3 4 4" xfId="47546" xr:uid="{00000000-0005-0000-0000-0000C4B80000}"/>
    <cellStyle name="Normal 5 4 2 3 4 5" xfId="47547" xr:uid="{00000000-0005-0000-0000-0000C5B80000}"/>
    <cellStyle name="Normal 5 4 2 3 4 6" xfId="47548" xr:uid="{00000000-0005-0000-0000-0000C6B80000}"/>
    <cellStyle name="Normal 5 4 2 3 5" xfId="47549" xr:uid="{00000000-0005-0000-0000-0000C7B80000}"/>
    <cellStyle name="Normal 5 4 2 3 5 2" xfId="47550" xr:uid="{00000000-0005-0000-0000-0000C8B80000}"/>
    <cellStyle name="Normal 5 4 2 3 5 2 2" xfId="47551" xr:uid="{00000000-0005-0000-0000-0000C9B80000}"/>
    <cellStyle name="Normal 5 4 2 3 5 2 3" xfId="47552" xr:uid="{00000000-0005-0000-0000-0000CAB80000}"/>
    <cellStyle name="Normal 5 4 2 3 5 3" xfId="47553" xr:uid="{00000000-0005-0000-0000-0000CBB80000}"/>
    <cellStyle name="Normal 5 4 2 3 5 4" xfId="47554" xr:uid="{00000000-0005-0000-0000-0000CCB80000}"/>
    <cellStyle name="Normal 5 4 2 3 5 5" xfId="47555" xr:uid="{00000000-0005-0000-0000-0000CDB80000}"/>
    <cellStyle name="Normal 5 4 2 3 5 6" xfId="47556" xr:uid="{00000000-0005-0000-0000-0000CEB80000}"/>
    <cellStyle name="Normal 5 4 2 3 6" xfId="47557" xr:uid="{00000000-0005-0000-0000-0000CFB80000}"/>
    <cellStyle name="Normal 5 4 2 3 6 2" xfId="47558" xr:uid="{00000000-0005-0000-0000-0000D0B80000}"/>
    <cellStyle name="Normal 5 4 2 3 6 3" xfId="47559" xr:uid="{00000000-0005-0000-0000-0000D1B80000}"/>
    <cellStyle name="Normal 5 4 2 3 7" xfId="47560" xr:uid="{00000000-0005-0000-0000-0000D2B80000}"/>
    <cellStyle name="Normal 5 4 2 3 8" xfId="47561" xr:uid="{00000000-0005-0000-0000-0000D3B80000}"/>
    <cellStyle name="Normal 5 4 2 3 9" xfId="47562" xr:uid="{00000000-0005-0000-0000-0000D4B80000}"/>
    <cellStyle name="Normal 5 4 2 4" xfId="47563" xr:uid="{00000000-0005-0000-0000-0000D5B80000}"/>
    <cellStyle name="Normal 5 4 2 4 2" xfId="47564" xr:uid="{00000000-0005-0000-0000-0000D6B80000}"/>
    <cellStyle name="Normal 5 4 2 4 2 2" xfId="47565" xr:uid="{00000000-0005-0000-0000-0000D7B80000}"/>
    <cellStyle name="Normal 5 4 2 4 2 2 2" xfId="47566" xr:uid="{00000000-0005-0000-0000-0000D8B80000}"/>
    <cellStyle name="Normal 5 4 2 4 2 2 2 2" xfId="47567" xr:uid="{00000000-0005-0000-0000-0000D9B80000}"/>
    <cellStyle name="Normal 5 4 2 4 2 2 2 3" xfId="47568" xr:uid="{00000000-0005-0000-0000-0000DAB80000}"/>
    <cellStyle name="Normal 5 4 2 4 2 2 3" xfId="47569" xr:uid="{00000000-0005-0000-0000-0000DBB80000}"/>
    <cellStyle name="Normal 5 4 2 4 2 2 4" xfId="47570" xr:uid="{00000000-0005-0000-0000-0000DCB80000}"/>
    <cellStyle name="Normal 5 4 2 4 2 2 5" xfId="47571" xr:uid="{00000000-0005-0000-0000-0000DDB80000}"/>
    <cellStyle name="Normal 5 4 2 4 2 2 6" xfId="47572" xr:uid="{00000000-0005-0000-0000-0000DEB80000}"/>
    <cellStyle name="Normal 5 4 2 4 2 3" xfId="47573" xr:uid="{00000000-0005-0000-0000-0000DFB80000}"/>
    <cellStyle name="Normal 5 4 2 4 2 3 2" xfId="47574" xr:uid="{00000000-0005-0000-0000-0000E0B80000}"/>
    <cellStyle name="Normal 5 4 2 4 2 3 3" xfId="47575" xr:uid="{00000000-0005-0000-0000-0000E1B80000}"/>
    <cellStyle name="Normal 5 4 2 4 2 4" xfId="47576" xr:uid="{00000000-0005-0000-0000-0000E2B80000}"/>
    <cellStyle name="Normal 5 4 2 4 2 5" xfId="47577" xr:uid="{00000000-0005-0000-0000-0000E3B80000}"/>
    <cellStyle name="Normal 5 4 2 4 2 6" xfId="47578" xr:uid="{00000000-0005-0000-0000-0000E4B80000}"/>
    <cellStyle name="Normal 5 4 2 4 2 7" xfId="47579" xr:uid="{00000000-0005-0000-0000-0000E5B80000}"/>
    <cellStyle name="Normal 5 4 2 4 3" xfId="47580" xr:uid="{00000000-0005-0000-0000-0000E6B80000}"/>
    <cellStyle name="Normal 5 4 2 4 3 2" xfId="47581" xr:uid="{00000000-0005-0000-0000-0000E7B80000}"/>
    <cellStyle name="Normal 5 4 2 4 3 2 2" xfId="47582" xr:uid="{00000000-0005-0000-0000-0000E8B80000}"/>
    <cellStyle name="Normal 5 4 2 4 3 2 3" xfId="47583" xr:uid="{00000000-0005-0000-0000-0000E9B80000}"/>
    <cellStyle name="Normal 5 4 2 4 3 3" xfId="47584" xr:uid="{00000000-0005-0000-0000-0000EAB80000}"/>
    <cellStyle name="Normal 5 4 2 4 3 4" xfId="47585" xr:uid="{00000000-0005-0000-0000-0000EBB80000}"/>
    <cellStyle name="Normal 5 4 2 4 3 5" xfId="47586" xr:uid="{00000000-0005-0000-0000-0000ECB80000}"/>
    <cellStyle name="Normal 5 4 2 4 3 6" xfId="47587" xr:uid="{00000000-0005-0000-0000-0000EDB80000}"/>
    <cellStyle name="Normal 5 4 2 4 4" xfId="47588" xr:uid="{00000000-0005-0000-0000-0000EEB80000}"/>
    <cellStyle name="Normal 5 4 2 4 4 2" xfId="47589" xr:uid="{00000000-0005-0000-0000-0000EFB80000}"/>
    <cellStyle name="Normal 5 4 2 4 4 2 2" xfId="47590" xr:uid="{00000000-0005-0000-0000-0000F0B80000}"/>
    <cellStyle name="Normal 5 4 2 4 4 2 3" xfId="47591" xr:uid="{00000000-0005-0000-0000-0000F1B80000}"/>
    <cellStyle name="Normal 5 4 2 4 4 3" xfId="47592" xr:uid="{00000000-0005-0000-0000-0000F2B80000}"/>
    <cellStyle name="Normal 5 4 2 4 4 4" xfId="47593" xr:uid="{00000000-0005-0000-0000-0000F3B80000}"/>
    <cellStyle name="Normal 5 4 2 4 4 5" xfId="47594" xr:uid="{00000000-0005-0000-0000-0000F4B80000}"/>
    <cellStyle name="Normal 5 4 2 4 4 6" xfId="47595" xr:uid="{00000000-0005-0000-0000-0000F5B80000}"/>
    <cellStyle name="Normal 5 4 2 4 5" xfId="47596" xr:uid="{00000000-0005-0000-0000-0000F6B80000}"/>
    <cellStyle name="Normal 5 4 2 4 5 2" xfId="47597" xr:uid="{00000000-0005-0000-0000-0000F7B80000}"/>
    <cellStyle name="Normal 5 4 2 4 5 3" xfId="47598" xr:uid="{00000000-0005-0000-0000-0000F8B80000}"/>
    <cellStyle name="Normal 5 4 2 4 6" xfId="47599" xr:uid="{00000000-0005-0000-0000-0000F9B80000}"/>
    <cellStyle name="Normal 5 4 2 4 7" xfId="47600" xr:uid="{00000000-0005-0000-0000-0000FAB80000}"/>
    <cellStyle name="Normal 5 4 2 4 8" xfId="47601" xr:uid="{00000000-0005-0000-0000-0000FBB80000}"/>
    <cellStyle name="Normal 5 4 2 4 9" xfId="47602" xr:uid="{00000000-0005-0000-0000-0000FCB80000}"/>
    <cellStyle name="Normal 5 4 2 5" xfId="47603" xr:uid="{00000000-0005-0000-0000-0000FDB80000}"/>
    <cellStyle name="Normal 5 4 2 5 2" xfId="47604" xr:uid="{00000000-0005-0000-0000-0000FEB80000}"/>
    <cellStyle name="Normal 5 4 2 5 2 2" xfId="47605" xr:uid="{00000000-0005-0000-0000-0000FFB80000}"/>
    <cellStyle name="Normal 5 4 2 5 2 2 2" xfId="47606" xr:uid="{00000000-0005-0000-0000-000000B90000}"/>
    <cellStyle name="Normal 5 4 2 5 2 2 3" xfId="47607" xr:uid="{00000000-0005-0000-0000-000001B90000}"/>
    <cellStyle name="Normal 5 4 2 5 2 3" xfId="47608" xr:uid="{00000000-0005-0000-0000-000002B90000}"/>
    <cellStyle name="Normal 5 4 2 5 2 4" xfId="47609" xr:uid="{00000000-0005-0000-0000-000003B90000}"/>
    <cellStyle name="Normal 5 4 2 5 2 5" xfId="47610" xr:uid="{00000000-0005-0000-0000-000004B90000}"/>
    <cellStyle name="Normal 5 4 2 5 2 6" xfId="47611" xr:uid="{00000000-0005-0000-0000-000005B90000}"/>
    <cellStyle name="Normal 5 4 2 5 3" xfId="47612" xr:uid="{00000000-0005-0000-0000-000006B90000}"/>
    <cellStyle name="Normal 5 4 2 5 3 2" xfId="47613" xr:uid="{00000000-0005-0000-0000-000007B90000}"/>
    <cellStyle name="Normal 5 4 2 5 3 3" xfId="47614" xr:uid="{00000000-0005-0000-0000-000008B90000}"/>
    <cellStyle name="Normal 5 4 2 5 4" xfId="47615" xr:uid="{00000000-0005-0000-0000-000009B90000}"/>
    <cellStyle name="Normal 5 4 2 5 5" xfId="47616" xr:uid="{00000000-0005-0000-0000-00000AB90000}"/>
    <cellStyle name="Normal 5 4 2 5 6" xfId="47617" xr:uid="{00000000-0005-0000-0000-00000BB90000}"/>
    <cellStyle name="Normal 5 4 2 5 7" xfId="47618" xr:uid="{00000000-0005-0000-0000-00000CB90000}"/>
    <cellStyle name="Normal 5 4 2 6" xfId="47619" xr:uid="{00000000-0005-0000-0000-00000DB90000}"/>
    <cellStyle name="Normal 5 4 2 6 2" xfId="47620" xr:uid="{00000000-0005-0000-0000-00000EB90000}"/>
    <cellStyle name="Normal 5 4 2 6 2 2" xfId="47621" xr:uid="{00000000-0005-0000-0000-00000FB90000}"/>
    <cellStyle name="Normal 5 4 2 6 2 3" xfId="47622" xr:uid="{00000000-0005-0000-0000-000010B90000}"/>
    <cellStyle name="Normal 5 4 2 6 3" xfId="47623" xr:uid="{00000000-0005-0000-0000-000011B90000}"/>
    <cellStyle name="Normal 5 4 2 6 4" xfId="47624" xr:uid="{00000000-0005-0000-0000-000012B90000}"/>
    <cellStyle name="Normal 5 4 2 6 5" xfId="47625" xr:uid="{00000000-0005-0000-0000-000013B90000}"/>
    <cellStyle name="Normal 5 4 2 6 6" xfId="47626" xr:uid="{00000000-0005-0000-0000-000014B90000}"/>
    <cellStyle name="Normal 5 4 2 7" xfId="47627" xr:uid="{00000000-0005-0000-0000-000015B90000}"/>
    <cellStyle name="Normal 5 4 2 7 2" xfId="47628" xr:uid="{00000000-0005-0000-0000-000016B90000}"/>
    <cellStyle name="Normal 5 4 2 7 2 2" xfId="47629" xr:uid="{00000000-0005-0000-0000-000017B90000}"/>
    <cellStyle name="Normal 5 4 2 7 2 3" xfId="47630" xr:uid="{00000000-0005-0000-0000-000018B90000}"/>
    <cellStyle name="Normal 5 4 2 7 3" xfId="47631" xr:uid="{00000000-0005-0000-0000-000019B90000}"/>
    <cellStyle name="Normal 5 4 2 7 4" xfId="47632" xr:uid="{00000000-0005-0000-0000-00001AB90000}"/>
    <cellStyle name="Normal 5 4 2 7 5" xfId="47633" xr:uid="{00000000-0005-0000-0000-00001BB90000}"/>
    <cellStyle name="Normal 5 4 2 7 6" xfId="47634" xr:uid="{00000000-0005-0000-0000-00001CB90000}"/>
    <cellStyle name="Normal 5 4 2 8" xfId="47635" xr:uid="{00000000-0005-0000-0000-00001DB90000}"/>
    <cellStyle name="Normal 5 4 2 8 2" xfId="47636" xr:uid="{00000000-0005-0000-0000-00001EB90000}"/>
    <cellStyle name="Normal 5 4 2 8 2 2" xfId="47637" xr:uid="{00000000-0005-0000-0000-00001FB90000}"/>
    <cellStyle name="Normal 5 4 2 8 2 3" xfId="47638" xr:uid="{00000000-0005-0000-0000-000020B90000}"/>
    <cellStyle name="Normal 5 4 2 8 3" xfId="47639" xr:uid="{00000000-0005-0000-0000-000021B90000}"/>
    <cellStyle name="Normal 5 4 2 8 4" xfId="47640" xr:uid="{00000000-0005-0000-0000-000022B90000}"/>
    <cellStyle name="Normal 5 4 2 8 5" xfId="47641" xr:uid="{00000000-0005-0000-0000-000023B90000}"/>
    <cellStyle name="Normal 5 4 2 8 6" xfId="47642" xr:uid="{00000000-0005-0000-0000-000024B90000}"/>
    <cellStyle name="Normal 5 4 2 9" xfId="47643" xr:uid="{00000000-0005-0000-0000-000025B90000}"/>
    <cellStyle name="Normal 5 4 2 9 2" xfId="47644" xr:uid="{00000000-0005-0000-0000-000026B90000}"/>
    <cellStyle name="Normal 5 4 2 9 2 2" xfId="47645" xr:uid="{00000000-0005-0000-0000-000027B90000}"/>
    <cellStyle name="Normal 5 4 2 9 2 3" xfId="47646" xr:uid="{00000000-0005-0000-0000-000028B90000}"/>
    <cellStyle name="Normal 5 4 2 9 3" xfId="47647" xr:uid="{00000000-0005-0000-0000-000029B90000}"/>
    <cellStyle name="Normal 5 4 2 9 4" xfId="47648" xr:uid="{00000000-0005-0000-0000-00002AB90000}"/>
    <cellStyle name="Normal 5 4 2 9 5" xfId="47649" xr:uid="{00000000-0005-0000-0000-00002BB90000}"/>
    <cellStyle name="Normal 5 4 2 9 6" xfId="47650" xr:uid="{00000000-0005-0000-0000-00002CB90000}"/>
    <cellStyle name="Normal 5 4 3" xfId="440" xr:uid="{00000000-0005-0000-0000-00002DB90000}"/>
    <cellStyle name="Normal 5 4 3 10" xfId="47651" xr:uid="{00000000-0005-0000-0000-00002EB90000}"/>
    <cellStyle name="Normal 5 4 3 11" xfId="47652" xr:uid="{00000000-0005-0000-0000-00002FB90000}"/>
    <cellStyle name="Normal 5 4 3 12" xfId="47653" xr:uid="{00000000-0005-0000-0000-000030B90000}"/>
    <cellStyle name="Normal 5 4 3 13" xfId="47654" xr:uid="{00000000-0005-0000-0000-000031B90000}"/>
    <cellStyle name="Normal 5 4 3 2" xfId="47655" xr:uid="{00000000-0005-0000-0000-000032B90000}"/>
    <cellStyle name="Normal 5 4 3 2 10" xfId="47656" xr:uid="{00000000-0005-0000-0000-000033B90000}"/>
    <cellStyle name="Normal 5 4 3 2 2" xfId="47657" xr:uid="{00000000-0005-0000-0000-000034B90000}"/>
    <cellStyle name="Normal 5 4 3 2 2 2" xfId="47658" xr:uid="{00000000-0005-0000-0000-000035B90000}"/>
    <cellStyle name="Normal 5 4 3 2 2 2 2" xfId="47659" xr:uid="{00000000-0005-0000-0000-000036B90000}"/>
    <cellStyle name="Normal 5 4 3 2 2 2 2 2" xfId="47660" xr:uid="{00000000-0005-0000-0000-000037B90000}"/>
    <cellStyle name="Normal 5 4 3 2 2 2 2 3" xfId="47661" xr:uid="{00000000-0005-0000-0000-000038B90000}"/>
    <cellStyle name="Normal 5 4 3 2 2 2 3" xfId="47662" xr:uid="{00000000-0005-0000-0000-000039B90000}"/>
    <cellStyle name="Normal 5 4 3 2 2 2 4" xfId="47663" xr:uid="{00000000-0005-0000-0000-00003AB90000}"/>
    <cellStyle name="Normal 5 4 3 2 2 2 5" xfId="47664" xr:uid="{00000000-0005-0000-0000-00003BB90000}"/>
    <cellStyle name="Normal 5 4 3 2 2 2 6" xfId="47665" xr:uid="{00000000-0005-0000-0000-00003CB90000}"/>
    <cellStyle name="Normal 5 4 3 2 2 3" xfId="47666" xr:uid="{00000000-0005-0000-0000-00003DB90000}"/>
    <cellStyle name="Normal 5 4 3 2 2 3 2" xfId="47667" xr:uid="{00000000-0005-0000-0000-00003EB90000}"/>
    <cellStyle name="Normal 5 4 3 2 2 3 2 2" xfId="47668" xr:uid="{00000000-0005-0000-0000-00003FB90000}"/>
    <cellStyle name="Normal 5 4 3 2 2 3 2 3" xfId="47669" xr:uid="{00000000-0005-0000-0000-000040B90000}"/>
    <cellStyle name="Normal 5 4 3 2 2 3 3" xfId="47670" xr:uid="{00000000-0005-0000-0000-000041B90000}"/>
    <cellStyle name="Normal 5 4 3 2 2 3 4" xfId="47671" xr:uid="{00000000-0005-0000-0000-000042B90000}"/>
    <cellStyle name="Normal 5 4 3 2 2 3 5" xfId="47672" xr:uid="{00000000-0005-0000-0000-000043B90000}"/>
    <cellStyle name="Normal 5 4 3 2 2 3 6" xfId="47673" xr:uid="{00000000-0005-0000-0000-000044B90000}"/>
    <cellStyle name="Normal 5 4 3 2 2 4" xfId="47674" xr:uid="{00000000-0005-0000-0000-000045B90000}"/>
    <cellStyle name="Normal 5 4 3 2 2 4 2" xfId="47675" xr:uid="{00000000-0005-0000-0000-000046B90000}"/>
    <cellStyle name="Normal 5 4 3 2 2 4 3" xfId="47676" xr:uid="{00000000-0005-0000-0000-000047B90000}"/>
    <cellStyle name="Normal 5 4 3 2 2 5" xfId="47677" xr:uid="{00000000-0005-0000-0000-000048B90000}"/>
    <cellStyle name="Normal 5 4 3 2 2 6" xfId="47678" xr:uid="{00000000-0005-0000-0000-000049B90000}"/>
    <cellStyle name="Normal 5 4 3 2 2 7" xfId="47679" xr:uid="{00000000-0005-0000-0000-00004AB90000}"/>
    <cellStyle name="Normal 5 4 3 2 2 8" xfId="47680" xr:uid="{00000000-0005-0000-0000-00004BB90000}"/>
    <cellStyle name="Normal 5 4 3 2 3" xfId="47681" xr:uid="{00000000-0005-0000-0000-00004CB90000}"/>
    <cellStyle name="Normal 5 4 3 2 3 2" xfId="47682" xr:uid="{00000000-0005-0000-0000-00004DB90000}"/>
    <cellStyle name="Normal 5 4 3 2 3 2 2" xfId="47683" xr:uid="{00000000-0005-0000-0000-00004EB90000}"/>
    <cellStyle name="Normal 5 4 3 2 3 2 2 2" xfId="47684" xr:uid="{00000000-0005-0000-0000-00004FB90000}"/>
    <cellStyle name="Normal 5 4 3 2 3 2 2 3" xfId="47685" xr:uid="{00000000-0005-0000-0000-000050B90000}"/>
    <cellStyle name="Normal 5 4 3 2 3 2 3" xfId="47686" xr:uid="{00000000-0005-0000-0000-000051B90000}"/>
    <cellStyle name="Normal 5 4 3 2 3 2 4" xfId="47687" xr:uid="{00000000-0005-0000-0000-000052B90000}"/>
    <cellStyle name="Normal 5 4 3 2 3 2 5" xfId="47688" xr:uid="{00000000-0005-0000-0000-000053B90000}"/>
    <cellStyle name="Normal 5 4 3 2 3 2 6" xfId="47689" xr:uid="{00000000-0005-0000-0000-000054B90000}"/>
    <cellStyle name="Normal 5 4 3 2 3 3" xfId="47690" xr:uid="{00000000-0005-0000-0000-000055B90000}"/>
    <cellStyle name="Normal 5 4 3 2 3 3 2" xfId="47691" xr:uid="{00000000-0005-0000-0000-000056B90000}"/>
    <cellStyle name="Normal 5 4 3 2 3 3 3" xfId="47692" xr:uid="{00000000-0005-0000-0000-000057B90000}"/>
    <cellStyle name="Normal 5 4 3 2 3 4" xfId="47693" xr:uid="{00000000-0005-0000-0000-000058B90000}"/>
    <cellStyle name="Normal 5 4 3 2 3 5" xfId="47694" xr:uid="{00000000-0005-0000-0000-000059B90000}"/>
    <cellStyle name="Normal 5 4 3 2 3 6" xfId="47695" xr:uid="{00000000-0005-0000-0000-00005AB90000}"/>
    <cellStyle name="Normal 5 4 3 2 3 7" xfId="47696" xr:uid="{00000000-0005-0000-0000-00005BB90000}"/>
    <cellStyle name="Normal 5 4 3 2 4" xfId="47697" xr:uid="{00000000-0005-0000-0000-00005CB90000}"/>
    <cellStyle name="Normal 5 4 3 2 4 2" xfId="47698" xr:uid="{00000000-0005-0000-0000-00005DB90000}"/>
    <cellStyle name="Normal 5 4 3 2 4 2 2" xfId="47699" xr:uid="{00000000-0005-0000-0000-00005EB90000}"/>
    <cellStyle name="Normal 5 4 3 2 4 2 3" xfId="47700" xr:uid="{00000000-0005-0000-0000-00005FB90000}"/>
    <cellStyle name="Normal 5 4 3 2 4 3" xfId="47701" xr:uid="{00000000-0005-0000-0000-000060B90000}"/>
    <cellStyle name="Normal 5 4 3 2 4 4" xfId="47702" xr:uid="{00000000-0005-0000-0000-000061B90000}"/>
    <cellStyle name="Normal 5 4 3 2 4 5" xfId="47703" xr:uid="{00000000-0005-0000-0000-000062B90000}"/>
    <cellStyle name="Normal 5 4 3 2 4 6" xfId="47704" xr:uid="{00000000-0005-0000-0000-000063B90000}"/>
    <cellStyle name="Normal 5 4 3 2 5" xfId="47705" xr:uid="{00000000-0005-0000-0000-000064B90000}"/>
    <cellStyle name="Normal 5 4 3 2 5 2" xfId="47706" xr:uid="{00000000-0005-0000-0000-000065B90000}"/>
    <cellStyle name="Normal 5 4 3 2 5 2 2" xfId="47707" xr:uid="{00000000-0005-0000-0000-000066B90000}"/>
    <cellStyle name="Normal 5 4 3 2 5 2 3" xfId="47708" xr:uid="{00000000-0005-0000-0000-000067B90000}"/>
    <cellStyle name="Normal 5 4 3 2 5 3" xfId="47709" xr:uid="{00000000-0005-0000-0000-000068B90000}"/>
    <cellStyle name="Normal 5 4 3 2 5 4" xfId="47710" xr:uid="{00000000-0005-0000-0000-000069B90000}"/>
    <cellStyle name="Normal 5 4 3 2 5 5" xfId="47711" xr:uid="{00000000-0005-0000-0000-00006AB90000}"/>
    <cellStyle name="Normal 5 4 3 2 5 6" xfId="47712" xr:uid="{00000000-0005-0000-0000-00006BB90000}"/>
    <cellStyle name="Normal 5 4 3 2 6" xfId="47713" xr:uid="{00000000-0005-0000-0000-00006CB90000}"/>
    <cellStyle name="Normal 5 4 3 2 6 2" xfId="47714" xr:uid="{00000000-0005-0000-0000-00006DB90000}"/>
    <cellStyle name="Normal 5 4 3 2 6 3" xfId="47715" xr:uid="{00000000-0005-0000-0000-00006EB90000}"/>
    <cellStyle name="Normal 5 4 3 2 7" xfId="47716" xr:uid="{00000000-0005-0000-0000-00006FB90000}"/>
    <cellStyle name="Normal 5 4 3 2 8" xfId="47717" xr:uid="{00000000-0005-0000-0000-000070B90000}"/>
    <cellStyle name="Normal 5 4 3 2 9" xfId="47718" xr:uid="{00000000-0005-0000-0000-000071B90000}"/>
    <cellStyle name="Normal 5 4 3 3" xfId="47719" xr:uid="{00000000-0005-0000-0000-000072B90000}"/>
    <cellStyle name="Normal 5 4 3 3 2" xfId="47720" xr:uid="{00000000-0005-0000-0000-000073B90000}"/>
    <cellStyle name="Normal 5 4 3 3 2 2" xfId="47721" xr:uid="{00000000-0005-0000-0000-000074B90000}"/>
    <cellStyle name="Normal 5 4 3 3 2 2 2" xfId="47722" xr:uid="{00000000-0005-0000-0000-000075B90000}"/>
    <cellStyle name="Normal 5 4 3 3 2 2 2 2" xfId="47723" xr:uid="{00000000-0005-0000-0000-000076B90000}"/>
    <cellStyle name="Normal 5 4 3 3 2 2 2 3" xfId="47724" xr:uid="{00000000-0005-0000-0000-000077B90000}"/>
    <cellStyle name="Normal 5 4 3 3 2 2 3" xfId="47725" xr:uid="{00000000-0005-0000-0000-000078B90000}"/>
    <cellStyle name="Normal 5 4 3 3 2 2 4" xfId="47726" xr:uid="{00000000-0005-0000-0000-000079B90000}"/>
    <cellStyle name="Normal 5 4 3 3 2 2 5" xfId="47727" xr:uid="{00000000-0005-0000-0000-00007AB90000}"/>
    <cellStyle name="Normal 5 4 3 3 2 2 6" xfId="47728" xr:uid="{00000000-0005-0000-0000-00007BB90000}"/>
    <cellStyle name="Normal 5 4 3 3 2 3" xfId="47729" xr:uid="{00000000-0005-0000-0000-00007CB90000}"/>
    <cellStyle name="Normal 5 4 3 3 2 3 2" xfId="47730" xr:uid="{00000000-0005-0000-0000-00007DB90000}"/>
    <cellStyle name="Normal 5 4 3 3 2 3 3" xfId="47731" xr:uid="{00000000-0005-0000-0000-00007EB90000}"/>
    <cellStyle name="Normal 5 4 3 3 2 4" xfId="47732" xr:uid="{00000000-0005-0000-0000-00007FB90000}"/>
    <cellStyle name="Normal 5 4 3 3 2 5" xfId="47733" xr:uid="{00000000-0005-0000-0000-000080B90000}"/>
    <cellStyle name="Normal 5 4 3 3 2 6" xfId="47734" xr:uid="{00000000-0005-0000-0000-000081B90000}"/>
    <cellStyle name="Normal 5 4 3 3 2 7" xfId="47735" xr:uid="{00000000-0005-0000-0000-000082B90000}"/>
    <cellStyle name="Normal 5 4 3 3 3" xfId="47736" xr:uid="{00000000-0005-0000-0000-000083B90000}"/>
    <cellStyle name="Normal 5 4 3 3 3 2" xfId="47737" xr:uid="{00000000-0005-0000-0000-000084B90000}"/>
    <cellStyle name="Normal 5 4 3 3 3 2 2" xfId="47738" xr:uid="{00000000-0005-0000-0000-000085B90000}"/>
    <cellStyle name="Normal 5 4 3 3 3 2 3" xfId="47739" xr:uid="{00000000-0005-0000-0000-000086B90000}"/>
    <cellStyle name="Normal 5 4 3 3 3 3" xfId="47740" xr:uid="{00000000-0005-0000-0000-000087B90000}"/>
    <cellStyle name="Normal 5 4 3 3 3 4" xfId="47741" xr:uid="{00000000-0005-0000-0000-000088B90000}"/>
    <cellStyle name="Normal 5 4 3 3 3 5" xfId="47742" xr:uid="{00000000-0005-0000-0000-000089B90000}"/>
    <cellStyle name="Normal 5 4 3 3 3 6" xfId="47743" xr:uid="{00000000-0005-0000-0000-00008AB90000}"/>
    <cellStyle name="Normal 5 4 3 3 4" xfId="47744" xr:uid="{00000000-0005-0000-0000-00008BB90000}"/>
    <cellStyle name="Normal 5 4 3 3 4 2" xfId="47745" xr:uid="{00000000-0005-0000-0000-00008CB90000}"/>
    <cellStyle name="Normal 5 4 3 3 4 2 2" xfId="47746" xr:uid="{00000000-0005-0000-0000-00008DB90000}"/>
    <cellStyle name="Normal 5 4 3 3 4 2 3" xfId="47747" xr:uid="{00000000-0005-0000-0000-00008EB90000}"/>
    <cellStyle name="Normal 5 4 3 3 4 3" xfId="47748" xr:uid="{00000000-0005-0000-0000-00008FB90000}"/>
    <cellStyle name="Normal 5 4 3 3 4 4" xfId="47749" xr:uid="{00000000-0005-0000-0000-000090B90000}"/>
    <cellStyle name="Normal 5 4 3 3 4 5" xfId="47750" xr:uid="{00000000-0005-0000-0000-000091B90000}"/>
    <cellStyle name="Normal 5 4 3 3 4 6" xfId="47751" xr:uid="{00000000-0005-0000-0000-000092B90000}"/>
    <cellStyle name="Normal 5 4 3 3 5" xfId="47752" xr:uid="{00000000-0005-0000-0000-000093B90000}"/>
    <cellStyle name="Normal 5 4 3 3 5 2" xfId="47753" xr:uid="{00000000-0005-0000-0000-000094B90000}"/>
    <cellStyle name="Normal 5 4 3 3 5 3" xfId="47754" xr:uid="{00000000-0005-0000-0000-000095B90000}"/>
    <cellStyle name="Normal 5 4 3 3 6" xfId="47755" xr:uid="{00000000-0005-0000-0000-000096B90000}"/>
    <cellStyle name="Normal 5 4 3 3 7" xfId="47756" xr:uid="{00000000-0005-0000-0000-000097B90000}"/>
    <cellStyle name="Normal 5 4 3 3 8" xfId="47757" xr:uid="{00000000-0005-0000-0000-000098B90000}"/>
    <cellStyle name="Normal 5 4 3 3 9" xfId="47758" xr:uid="{00000000-0005-0000-0000-000099B90000}"/>
    <cellStyle name="Normal 5 4 3 4" xfId="47759" xr:uid="{00000000-0005-0000-0000-00009AB90000}"/>
    <cellStyle name="Normal 5 4 3 4 2" xfId="47760" xr:uid="{00000000-0005-0000-0000-00009BB90000}"/>
    <cellStyle name="Normal 5 4 3 4 2 2" xfId="47761" xr:uid="{00000000-0005-0000-0000-00009CB90000}"/>
    <cellStyle name="Normal 5 4 3 4 2 2 2" xfId="47762" xr:uid="{00000000-0005-0000-0000-00009DB90000}"/>
    <cellStyle name="Normal 5 4 3 4 2 2 3" xfId="47763" xr:uid="{00000000-0005-0000-0000-00009EB90000}"/>
    <cellStyle name="Normal 5 4 3 4 2 3" xfId="47764" xr:uid="{00000000-0005-0000-0000-00009FB90000}"/>
    <cellStyle name="Normal 5 4 3 4 2 4" xfId="47765" xr:uid="{00000000-0005-0000-0000-0000A0B90000}"/>
    <cellStyle name="Normal 5 4 3 4 2 5" xfId="47766" xr:uid="{00000000-0005-0000-0000-0000A1B90000}"/>
    <cellStyle name="Normal 5 4 3 4 2 6" xfId="47767" xr:uid="{00000000-0005-0000-0000-0000A2B90000}"/>
    <cellStyle name="Normal 5 4 3 4 3" xfId="47768" xr:uid="{00000000-0005-0000-0000-0000A3B90000}"/>
    <cellStyle name="Normal 5 4 3 4 3 2" xfId="47769" xr:uid="{00000000-0005-0000-0000-0000A4B90000}"/>
    <cellStyle name="Normal 5 4 3 4 3 3" xfId="47770" xr:uid="{00000000-0005-0000-0000-0000A5B90000}"/>
    <cellStyle name="Normal 5 4 3 4 4" xfId="47771" xr:uid="{00000000-0005-0000-0000-0000A6B90000}"/>
    <cellStyle name="Normal 5 4 3 4 5" xfId="47772" xr:uid="{00000000-0005-0000-0000-0000A7B90000}"/>
    <cellStyle name="Normal 5 4 3 4 6" xfId="47773" xr:uid="{00000000-0005-0000-0000-0000A8B90000}"/>
    <cellStyle name="Normal 5 4 3 4 7" xfId="47774" xr:uid="{00000000-0005-0000-0000-0000A9B90000}"/>
    <cellStyle name="Normal 5 4 3 5" xfId="47775" xr:uid="{00000000-0005-0000-0000-0000AAB90000}"/>
    <cellStyle name="Normal 5 4 3 5 2" xfId="47776" xr:uid="{00000000-0005-0000-0000-0000ABB90000}"/>
    <cellStyle name="Normal 5 4 3 5 2 2" xfId="47777" xr:uid="{00000000-0005-0000-0000-0000ACB90000}"/>
    <cellStyle name="Normal 5 4 3 5 2 3" xfId="47778" xr:uid="{00000000-0005-0000-0000-0000ADB90000}"/>
    <cellStyle name="Normal 5 4 3 5 3" xfId="47779" xr:uid="{00000000-0005-0000-0000-0000AEB90000}"/>
    <cellStyle name="Normal 5 4 3 5 4" xfId="47780" xr:uid="{00000000-0005-0000-0000-0000AFB90000}"/>
    <cellStyle name="Normal 5 4 3 5 5" xfId="47781" xr:uid="{00000000-0005-0000-0000-0000B0B90000}"/>
    <cellStyle name="Normal 5 4 3 5 6" xfId="47782" xr:uid="{00000000-0005-0000-0000-0000B1B90000}"/>
    <cellStyle name="Normal 5 4 3 6" xfId="47783" xr:uid="{00000000-0005-0000-0000-0000B2B90000}"/>
    <cellStyle name="Normal 5 4 3 6 2" xfId="47784" xr:uid="{00000000-0005-0000-0000-0000B3B90000}"/>
    <cellStyle name="Normal 5 4 3 6 2 2" xfId="47785" xr:uid="{00000000-0005-0000-0000-0000B4B90000}"/>
    <cellStyle name="Normal 5 4 3 6 2 3" xfId="47786" xr:uid="{00000000-0005-0000-0000-0000B5B90000}"/>
    <cellStyle name="Normal 5 4 3 6 3" xfId="47787" xr:uid="{00000000-0005-0000-0000-0000B6B90000}"/>
    <cellStyle name="Normal 5 4 3 6 4" xfId="47788" xr:uid="{00000000-0005-0000-0000-0000B7B90000}"/>
    <cellStyle name="Normal 5 4 3 6 5" xfId="47789" xr:uid="{00000000-0005-0000-0000-0000B8B90000}"/>
    <cellStyle name="Normal 5 4 3 6 6" xfId="47790" xr:uid="{00000000-0005-0000-0000-0000B9B90000}"/>
    <cellStyle name="Normal 5 4 3 7" xfId="47791" xr:uid="{00000000-0005-0000-0000-0000BAB90000}"/>
    <cellStyle name="Normal 5 4 3 7 2" xfId="47792" xr:uid="{00000000-0005-0000-0000-0000BBB90000}"/>
    <cellStyle name="Normal 5 4 3 7 2 2" xfId="47793" xr:uid="{00000000-0005-0000-0000-0000BCB90000}"/>
    <cellStyle name="Normal 5 4 3 7 2 3" xfId="47794" xr:uid="{00000000-0005-0000-0000-0000BDB90000}"/>
    <cellStyle name="Normal 5 4 3 7 3" xfId="47795" xr:uid="{00000000-0005-0000-0000-0000BEB90000}"/>
    <cellStyle name="Normal 5 4 3 7 4" xfId="47796" xr:uid="{00000000-0005-0000-0000-0000BFB90000}"/>
    <cellStyle name="Normal 5 4 3 7 5" xfId="47797" xr:uid="{00000000-0005-0000-0000-0000C0B90000}"/>
    <cellStyle name="Normal 5 4 3 7 6" xfId="47798" xr:uid="{00000000-0005-0000-0000-0000C1B90000}"/>
    <cellStyle name="Normal 5 4 3 8" xfId="47799" xr:uid="{00000000-0005-0000-0000-0000C2B90000}"/>
    <cellStyle name="Normal 5 4 3 8 2" xfId="47800" xr:uid="{00000000-0005-0000-0000-0000C3B90000}"/>
    <cellStyle name="Normal 5 4 3 8 2 2" xfId="47801" xr:uid="{00000000-0005-0000-0000-0000C4B90000}"/>
    <cellStyle name="Normal 5 4 3 8 2 3" xfId="47802" xr:uid="{00000000-0005-0000-0000-0000C5B90000}"/>
    <cellStyle name="Normal 5 4 3 8 3" xfId="47803" xr:uid="{00000000-0005-0000-0000-0000C6B90000}"/>
    <cellStyle name="Normal 5 4 3 8 4" xfId="47804" xr:uid="{00000000-0005-0000-0000-0000C7B90000}"/>
    <cellStyle name="Normal 5 4 3 8 5" xfId="47805" xr:uid="{00000000-0005-0000-0000-0000C8B90000}"/>
    <cellStyle name="Normal 5 4 3 8 6" xfId="47806" xr:uid="{00000000-0005-0000-0000-0000C9B90000}"/>
    <cellStyle name="Normal 5 4 3 9" xfId="47807" xr:uid="{00000000-0005-0000-0000-0000CAB90000}"/>
    <cellStyle name="Normal 5 4 3 9 2" xfId="47808" xr:uid="{00000000-0005-0000-0000-0000CBB90000}"/>
    <cellStyle name="Normal 5 4 3 9 3" xfId="47809" xr:uid="{00000000-0005-0000-0000-0000CCB90000}"/>
    <cellStyle name="Normal 5 4 4" xfId="441" xr:uid="{00000000-0005-0000-0000-0000CDB90000}"/>
    <cellStyle name="Normal 5 4 4 10" xfId="47810" xr:uid="{00000000-0005-0000-0000-0000CEB90000}"/>
    <cellStyle name="Normal 5 4 4 2" xfId="47811" xr:uid="{00000000-0005-0000-0000-0000CFB90000}"/>
    <cellStyle name="Normal 5 4 4 2 2" xfId="47812" xr:uid="{00000000-0005-0000-0000-0000D0B90000}"/>
    <cellStyle name="Normal 5 4 4 2 2 2" xfId="47813" xr:uid="{00000000-0005-0000-0000-0000D1B90000}"/>
    <cellStyle name="Normal 5 4 4 2 2 2 2" xfId="47814" xr:uid="{00000000-0005-0000-0000-0000D2B90000}"/>
    <cellStyle name="Normal 5 4 4 2 2 2 3" xfId="47815" xr:uid="{00000000-0005-0000-0000-0000D3B90000}"/>
    <cellStyle name="Normal 5 4 4 2 2 3" xfId="47816" xr:uid="{00000000-0005-0000-0000-0000D4B90000}"/>
    <cellStyle name="Normal 5 4 4 2 2 4" xfId="47817" xr:uid="{00000000-0005-0000-0000-0000D5B90000}"/>
    <cellStyle name="Normal 5 4 4 2 2 5" xfId="47818" xr:uid="{00000000-0005-0000-0000-0000D6B90000}"/>
    <cellStyle name="Normal 5 4 4 2 2 6" xfId="47819" xr:uid="{00000000-0005-0000-0000-0000D7B90000}"/>
    <cellStyle name="Normal 5 4 4 2 3" xfId="47820" xr:uid="{00000000-0005-0000-0000-0000D8B90000}"/>
    <cellStyle name="Normal 5 4 4 2 3 2" xfId="47821" xr:uid="{00000000-0005-0000-0000-0000D9B90000}"/>
    <cellStyle name="Normal 5 4 4 2 3 2 2" xfId="47822" xr:uid="{00000000-0005-0000-0000-0000DAB90000}"/>
    <cellStyle name="Normal 5 4 4 2 3 2 3" xfId="47823" xr:uid="{00000000-0005-0000-0000-0000DBB90000}"/>
    <cellStyle name="Normal 5 4 4 2 3 3" xfId="47824" xr:uid="{00000000-0005-0000-0000-0000DCB90000}"/>
    <cellStyle name="Normal 5 4 4 2 3 4" xfId="47825" xr:uid="{00000000-0005-0000-0000-0000DDB90000}"/>
    <cellStyle name="Normal 5 4 4 2 3 5" xfId="47826" xr:uid="{00000000-0005-0000-0000-0000DEB90000}"/>
    <cellStyle name="Normal 5 4 4 2 3 6" xfId="47827" xr:uid="{00000000-0005-0000-0000-0000DFB90000}"/>
    <cellStyle name="Normal 5 4 4 2 4" xfId="47828" xr:uid="{00000000-0005-0000-0000-0000E0B90000}"/>
    <cellStyle name="Normal 5 4 4 2 4 2" xfId="47829" xr:uid="{00000000-0005-0000-0000-0000E1B90000}"/>
    <cellStyle name="Normal 5 4 4 2 4 3" xfId="47830" xr:uid="{00000000-0005-0000-0000-0000E2B90000}"/>
    <cellStyle name="Normal 5 4 4 2 5" xfId="47831" xr:uid="{00000000-0005-0000-0000-0000E3B90000}"/>
    <cellStyle name="Normal 5 4 4 2 6" xfId="47832" xr:uid="{00000000-0005-0000-0000-0000E4B90000}"/>
    <cellStyle name="Normal 5 4 4 2 7" xfId="47833" xr:uid="{00000000-0005-0000-0000-0000E5B90000}"/>
    <cellStyle name="Normal 5 4 4 2 8" xfId="47834" xr:uid="{00000000-0005-0000-0000-0000E6B90000}"/>
    <cellStyle name="Normal 5 4 4 3" xfId="47835" xr:uid="{00000000-0005-0000-0000-0000E7B90000}"/>
    <cellStyle name="Normal 5 4 4 3 2" xfId="47836" xr:uid="{00000000-0005-0000-0000-0000E8B90000}"/>
    <cellStyle name="Normal 5 4 4 3 2 2" xfId="47837" xr:uid="{00000000-0005-0000-0000-0000E9B90000}"/>
    <cellStyle name="Normal 5 4 4 3 2 2 2" xfId="47838" xr:uid="{00000000-0005-0000-0000-0000EAB90000}"/>
    <cellStyle name="Normal 5 4 4 3 2 2 3" xfId="47839" xr:uid="{00000000-0005-0000-0000-0000EBB90000}"/>
    <cellStyle name="Normal 5 4 4 3 2 3" xfId="47840" xr:uid="{00000000-0005-0000-0000-0000ECB90000}"/>
    <cellStyle name="Normal 5 4 4 3 2 4" xfId="47841" xr:uid="{00000000-0005-0000-0000-0000EDB90000}"/>
    <cellStyle name="Normal 5 4 4 3 2 5" xfId="47842" xr:uid="{00000000-0005-0000-0000-0000EEB90000}"/>
    <cellStyle name="Normal 5 4 4 3 2 6" xfId="47843" xr:uid="{00000000-0005-0000-0000-0000EFB90000}"/>
    <cellStyle name="Normal 5 4 4 3 3" xfId="47844" xr:uid="{00000000-0005-0000-0000-0000F0B90000}"/>
    <cellStyle name="Normal 5 4 4 3 3 2" xfId="47845" xr:uid="{00000000-0005-0000-0000-0000F1B90000}"/>
    <cellStyle name="Normal 5 4 4 3 3 3" xfId="47846" xr:uid="{00000000-0005-0000-0000-0000F2B90000}"/>
    <cellStyle name="Normal 5 4 4 3 4" xfId="47847" xr:uid="{00000000-0005-0000-0000-0000F3B90000}"/>
    <cellStyle name="Normal 5 4 4 3 5" xfId="47848" xr:uid="{00000000-0005-0000-0000-0000F4B90000}"/>
    <cellStyle name="Normal 5 4 4 3 6" xfId="47849" xr:uid="{00000000-0005-0000-0000-0000F5B90000}"/>
    <cellStyle name="Normal 5 4 4 3 7" xfId="47850" xr:uid="{00000000-0005-0000-0000-0000F6B90000}"/>
    <cellStyle name="Normal 5 4 4 4" xfId="47851" xr:uid="{00000000-0005-0000-0000-0000F7B90000}"/>
    <cellStyle name="Normal 5 4 4 4 2" xfId="47852" xr:uid="{00000000-0005-0000-0000-0000F8B90000}"/>
    <cellStyle name="Normal 5 4 4 4 2 2" xfId="47853" xr:uid="{00000000-0005-0000-0000-0000F9B90000}"/>
    <cellStyle name="Normal 5 4 4 4 2 3" xfId="47854" xr:uid="{00000000-0005-0000-0000-0000FAB90000}"/>
    <cellStyle name="Normal 5 4 4 4 3" xfId="47855" xr:uid="{00000000-0005-0000-0000-0000FBB90000}"/>
    <cellStyle name="Normal 5 4 4 4 4" xfId="47856" xr:uid="{00000000-0005-0000-0000-0000FCB90000}"/>
    <cellStyle name="Normal 5 4 4 4 5" xfId="47857" xr:uid="{00000000-0005-0000-0000-0000FDB90000}"/>
    <cellStyle name="Normal 5 4 4 4 6" xfId="47858" xr:uid="{00000000-0005-0000-0000-0000FEB90000}"/>
    <cellStyle name="Normal 5 4 4 5" xfId="47859" xr:uid="{00000000-0005-0000-0000-0000FFB90000}"/>
    <cellStyle name="Normal 5 4 4 5 2" xfId="47860" xr:uid="{00000000-0005-0000-0000-000000BA0000}"/>
    <cellStyle name="Normal 5 4 4 5 2 2" xfId="47861" xr:uid="{00000000-0005-0000-0000-000001BA0000}"/>
    <cellStyle name="Normal 5 4 4 5 2 3" xfId="47862" xr:uid="{00000000-0005-0000-0000-000002BA0000}"/>
    <cellStyle name="Normal 5 4 4 5 3" xfId="47863" xr:uid="{00000000-0005-0000-0000-000003BA0000}"/>
    <cellStyle name="Normal 5 4 4 5 4" xfId="47864" xr:uid="{00000000-0005-0000-0000-000004BA0000}"/>
    <cellStyle name="Normal 5 4 4 5 5" xfId="47865" xr:uid="{00000000-0005-0000-0000-000005BA0000}"/>
    <cellStyle name="Normal 5 4 4 5 6" xfId="47866" xr:uid="{00000000-0005-0000-0000-000006BA0000}"/>
    <cellStyle name="Normal 5 4 4 6" xfId="47867" xr:uid="{00000000-0005-0000-0000-000007BA0000}"/>
    <cellStyle name="Normal 5 4 4 6 2" xfId="47868" xr:uid="{00000000-0005-0000-0000-000008BA0000}"/>
    <cellStyle name="Normal 5 4 4 6 3" xfId="47869" xr:uid="{00000000-0005-0000-0000-000009BA0000}"/>
    <cellStyle name="Normal 5 4 4 7" xfId="47870" xr:uid="{00000000-0005-0000-0000-00000ABA0000}"/>
    <cellStyle name="Normal 5 4 4 8" xfId="47871" xr:uid="{00000000-0005-0000-0000-00000BBA0000}"/>
    <cellStyle name="Normal 5 4 4 9" xfId="47872" xr:uid="{00000000-0005-0000-0000-00000CBA0000}"/>
    <cellStyle name="Normal 5 4 5" xfId="47873" xr:uid="{00000000-0005-0000-0000-00000DBA0000}"/>
    <cellStyle name="Normal 5 4 5 2" xfId="47874" xr:uid="{00000000-0005-0000-0000-00000EBA0000}"/>
    <cellStyle name="Normal 5 4 5 2 2" xfId="47875" xr:uid="{00000000-0005-0000-0000-00000FBA0000}"/>
    <cellStyle name="Normal 5 4 5 2 2 2" xfId="47876" xr:uid="{00000000-0005-0000-0000-000010BA0000}"/>
    <cellStyle name="Normal 5 4 5 2 2 2 2" xfId="47877" xr:uid="{00000000-0005-0000-0000-000011BA0000}"/>
    <cellStyle name="Normal 5 4 5 2 2 2 3" xfId="47878" xr:uid="{00000000-0005-0000-0000-000012BA0000}"/>
    <cellStyle name="Normal 5 4 5 2 2 3" xfId="47879" xr:uid="{00000000-0005-0000-0000-000013BA0000}"/>
    <cellStyle name="Normal 5 4 5 2 2 4" xfId="47880" xr:uid="{00000000-0005-0000-0000-000014BA0000}"/>
    <cellStyle name="Normal 5 4 5 2 2 5" xfId="47881" xr:uid="{00000000-0005-0000-0000-000015BA0000}"/>
    <cellStyle name="Normal 5 4 5 2 2 6" xfId="47882" xr:uid="{00000000-0005-0000-0000-000016BA0000}"/>
    <cellStyle name="Normal 5 4 5 2 3" xfId="47883" xr:uid="{00000000-0005-0000-0000-000017BA0000}"/>
    <cellStyle name="Normal 5 4 5 2 3 2" xfId="47884" xr:uid="{00000000-0005-0000-0000-000018BA0000}"/>
    <cellStyle name="Normal 5 4 5 2 3 3" xfId="47885" xr:uid="{00000000-0005-0000-0000-000019BA0000}"/>
    <cellStyle name="Normal 5 4 5 2 4" xfId="47886" xr:uid="{00000000-0005-0000-0000-00001ABA0000}"/>
    <cellStyle name="Normal 5 4 5 2 5" xfId="47887" xr:uid="{00000000-0005-0000-0000-00001BBA0000}"/>
    <cellStyle name="Normal 5 4 5 2 6" xfId="47888" xr:uid="{00000000-0005-0000-0000-00001CBA0000}"/>
    <cellStyle name="Normal 5 4 5 2 7" xfId="47889" xr:uid="{00000000-0005-0000-0000-00001DBA0000}"/>
    <cellStyle name="Normal 5 4 5 3" xfId="47890" xr:uid="{00000000-0005-0000-0000-00001EBA0000}"/>
    <cellStyle name="Normal 5 4 5 3 2" xfId="47891" xr:uid="{00000000-0005-0000-0000-00001FBA0000}"/>
    <cellStyle name="Normal 5 4 5 3 2 2" xfId="47892" xr:uid="{00000000-0005-0000-0000-000020BA0000}"/>
    <cellStyle name="Normal 5 4 5 3 2 3" xfId="47893" xr:uid="{00000000-0005-0000-0000-000021BA0000}"/>
    <cellStyle name="Normal 5 4 5 3 3" xfId="47894" xr:uid="{00000000-0005-0000-0000-000022BA0000}"/>
    <cellStyle name="Normal 5 4 5 3 4" xfId="47895" xr:uid="{00000000-0005-0000-0000-000023BA0000}"/>
    <cellStyle name="Normal 5 4 5 3 5" xfId="47896" xr:uid="{00000000-0005-0000-0000-000024BA0000}"/>
    <cellStyle name="Normal 5 4 5 3 6" xfId="47897" xr:uid="{00000000-0005-0000-0000-000025BA0000}"/>
    <cellStyle name="Normal 5 4 5 4" xfId="47898" xr:uid="{00000000-0005-0000-0000-000026BA0000}"/>
    <cellStyle name="Normal 5 4 5 4 2" xfId="47899" xr:uid="{00000000-0005-0000-0000-000027BA0000}"/>
    <cellStyle name="Normal 5 4 5 4 2 2" xfId="47900" xr:uid="{00000000-0005-0000-0000-000028BA0000}"/>
    <cellStyle name="Normal 5 4 5 4 2 3" xfId="47901" xr:uid="{00000000-0005-0000-0000-000029BA0000}"/>
    <cellStyle name="Normal 5 4 5 4 3" xfId="47902" xr:uid="{00000000-0005-0000-0000-00002ABA0000}"/>
    <cellStyle name="Normal 5 4 5 4 4" xfId="47903" xr:uid="{00000000-0005-0000-0000-00002BBA0000}"/>
    <cellStyle name="Normal 5 4 5 4 5" xfId="47904" xr:uid="{00000000-0005-0000-0000-00002CBA0000}"/>
    <cellStyle name="Normal 5 4 5 4 6" xfId="47905" xr:uid="{00000000-0005-0000-0000-00002DBA0000}"/>
    <cellStyle name="Normal 5 4 5 5" xfId="47906" xr:uid="{00000000-0005-0000-0000-00002EBA0000}"/>
    <cellStyle name="Normal 5 4 5 5 2" xfId="47907" xr:uid="{00000000-0005-0000-0000-00002FBA0000}"/>
    <cellStyle name="Normal 5 4 5 5 3" xfId="47908" xr:uid="{00000000-0005-0000-0000-000030BA0000}"/>
    <cellStyle name="Normal 5 4 5 6" xfId="47909" xr:uid="{00000000-0005-0000-0000-000031BA0000}"/>
    <cellStyle name="Normal 5 4 5 7" xfId="47910" xr:uid="{00000000-0005-0000-0000-000032BA0000}"/>
    <cellStyle name="Normal 5 4 5 8" xfId="47911" xr:uid="{00000000-0005-0000-0000-000033BA0000}"/>
    <cellStyle name="Normal 5 4 5 9" xfId="47912" xr:uid="{00000000-0005-0000-0000-000034BA0000}"/>
    <cellStyle name="Normal 5 4 6" xfId="47913" xr:uid="{00000000-0005-0000-0000-000035BA0000}"/>
    <cellStyle name="Normal 5 4 6 2" xfId="47914" xr:uid="{00000000-0005-0000-0000-000036BA0000}"/>
    <cellStyle name="Normal 5 4 6 2 2" xfId="47915" xr:uid="{00000000-0005-0000-0000-000037BA0000}"/>
    <cellStyle name="Normal 5 4 6 2 2 2" xfId="47916" xr:uid="{00000000-0005-0000-0000-000038BA0000}"/>
    <cellStyle name="Normal 5 4 6 2 2 3" xfId="47917" xr:uid="{00000000-0005-0000-0000-000039BA0000}"/>
    <cellStyle name="Normal 5 4 6 2 3" xfId="47918" xr:uid="{00000000-0005-0000-0000-00003ABA0000}"/>
    <cellStyle name="Normal 5 4 6 2 4" xfId="47919" xr:uid="{00000000-0005-0000-0000-00003BBA0000}"/>
    <cellStyle name="Normal 5 4 6 2 5" xfId="47920" xr:uid="{00000000-0005-0000-0000-00003CBA0000}"/>
    <cellStyle name="Normal 5 4 6 2 6" xfId="47921" xr:uid="{00000000-0005-0000-0000-00003DBA0000}"/>
    <cellStyle name="Normal 5 4 6 3" xfId="47922" xr:uid="{00000000-0005-0000-0000-00003EBA0000}"/>
    <cellStyle name="Normal 5 4 6 3 2" xfId="47923" xr:uid="{00000000-0005-0000-0000-00003FBA0000}"/>
    <cellStyle name="Normal 5 4 6 3 3" xfId="47924" xr:uid="{00000000-0005-0000-0000-000040BA0000}"/>
    <cellStyle name="Normal 5 4 6 4" xfId="47925" xr:uid="{00000000-0005-0000-0000-000041BA0000}"/>
    <cellStyle name="Normal 5 4 6 5" xfId="47926" xr:uid="{00000000-0005-0000-0000-000042BA0000}"/>
    <cellStyle name="Normal 5 4 6 6" xfId="47927" xr:uid="{00000000-0005-0000-0000-000043BA0000}"/>
    <cellStyle name="Normal 5 4 6 7" xfId="47928" xr:uid="{00000000-0005-0000-0000-000044BA0000}"/>
    <cellStyle name="Normal 5 4 7" xfId="47929" xr:uid="{00000000-0005-0000-0000-000045BA0000}"/>
    <cellStyle name="Normal 5 4 7 2" xfId="47930" xr:uid="{00000000-0005-0000-0000-000046BA0000}"/>
    <cellStyle name="Normal 5 4 7 2 2" xfId="47931" xr:uid="{00000000-0005-0000-0000-000047BA0000}"/>
    <cellStyle name="Normal 5 4 7 2 3" xfId="47932" xr:uid="{00000000-0005-0000-0000-000048BA0000}"/>
    <cellStyle name="Normal 5 4 7 3" xfId="47933" xr:uid="{00000000-0005-0000-0000-000049BA0000}"/>
    <cellStyle name="Normal 5 4 7 4" xfId="47934" xr:uid="{00000000-0005-0000-0000-00004ABA0000}"/>
    <cellStyle name="Normal 5 4 7 5" xfId="47935" xr:uid="{00000000-0005-0000-0000-00004BBA0000}"/>
    <cellStyle name="Normal 5 4 7 6" xfId="47936" xr:uid="{00000000-0005-0000-0000-00004CBA0000}"/>
    <cellStyle name="Normal 5 4 8" xfId="47937" xr:uid="{00000000-0005-0000-0000-00004DBA0000}"/>
    <cellStyle name="Normal 5 4 8 2" xfId="47938" xr:uid="{00000000-0005-0000-0000-00004EBA0000}"/>
    <cellStyle name="Normal 5 4 8 2 2" xfId="47939" xr:uid="{00000000-0005-0000-0000-00004FBA0000}"/>
    <cellStyle name="Normal 5 4 8 2 3" xfId="47940" xr:uid="{00000000-0005-0000-0000-000050BA0000}"/>
    <cellStyle name="Normal 5 4 8 3" xfId="47941" xr:uid="{00000000-0005-0000-0000-000051BA0000}"/>
    <cellStyle name="Normal 5 4 8 4" xfId="47942" xr:uid="{00000000-0005-0000-0000-000052BA0000}"/>
    <cellStyle name="Normal 5 4 8 5" xfId="47943" xr:uid="{00000000-0005-0000-0000-000053BA0000}"/>
    <cellStyle name="Normal 5 4 8 6" xfId="47944" xr:uid="{00000000-0005-0000-0000-000054BA0000}"/>
    <cellStyle name="Normal 5 4 9" xfId="47945" xr:uid="{00000000-0005-0000-0000-000055BA0000}"/>
    <cellStyle name="Normal 5 4 9 2" xfId="47946" xr:uid="{00000000-0005-0000-0000-000056BA0000}"/>
    <cellStyle name="Normal 5 4 9 2 2" xfId="47947" xr:uid="{00000000-0005-0000-0000-000057BA0000}"/>
    <cellStyle name="Normal 5 4 9 2 3" xfId="47948" xr:uid="{00000000-0005-0000-0000-000058BA0000}"/>
    <cellStyle name="Normal 5 4 9 3" xfId="47949" xr:uid="{00000000-0005-0000-0000-000059BA0000}"/>
    <cellStyle name="Normal 5 4 9 4" xfId="47950" xr:uid="{00000000-0005-0000-0000-00005ABA0000}"/>
    <cellStyle name="Normal 5 4 9 5" xfId="47951" xr:uid="{00000000-0005-0000-0000-00005BBA0000}"/>
    <cellStyle name="Normal 5 4 9 6" xfId="47952" xr:uid="{00000000-0005-0000-0000-00005CBA0000}"/>
    <cellStyle name="Normal 5 5" xfId="442" xr:uid="{00000000-0005-0000-0000-00005DBA0000}"/>
    <cellStyle name="Normal 5 5 10" xfId="47953" xr:uid="{00000000-0005-0000-0000-00005EBA0000}"/>
    <cellStyle name="Normal 5 5 11" xfId="47954" xr:uid="{00000000-0005-0000-0000-00005FBA0000}"/>
    <cellStyle name="Normal 5 5 12" xfId="47955" xr:uid="{00000000-0005-0000-0000-000060BA0000}"/>
    <cellStyle name="Normal 5 5 13" xfId="47956" xr:uid="{00000000-0005-0000-0000-000061BA0000}"/>
    <cellStyle name="Normal 5 5 2" xfId="47957" xr:uid="{00000000-0005-0000-0000-000062BA0000}"/>
    <cellStyle name="Normal 5 5 2 10" xfId="47958" xr:uid="{00000000-0005-0000-0000-000063BA0000}"/>
    <cellStyle name="Normal 5 5 2 2" xfId="47959" xr:uid="{00000000-0005-0000-0000-000064BA0000}"/>
    <cellStyle name="Normal 5 5 2 2 2" xfId="47960" xr:uid="{00000000-0005-0000-0000-000065BA0000}"/>
    <cellStyle name="Normal 5 5 2 2 2 2" xfId="47961" xr:uid="{00000000-0005-0000-0000-000066BA0000}"/>
    <cellStyle name="Normal 5 5 2 2 2 2 2" xfId="47962" xr:uid="{00000000-0005-0000-0000-000067BA0000}"/>
    <cellStyle name="Normal 5 5 2 2 2 2 3" xfId="47963" xr:uid="{00000000-0005-0000-0000-000068BA0000}"/>
    <cellStyle name="Normal 5 5 2 2 2 3" xfId="47964" xr:uid="{00000000-0005-0000-0000-000069BA0000}"/>
    <cellStyle name="Normal 5 5 2 2 2 4" xfId="47965" xr:uid="{00000000-0005-0000-0000-00006ABA0000}"/>
    <cellStyle name="Normal 5 5 2 2 2 5" xfId="47966" xr:uid="{00000000-0005-0000-0000-00006BBA0000}"/>
    <cellStyle name="Normal 5 5 2 2 2 6" xfId="47967" xr:uid="{00000000-0005-0000-0000-00006CBA0000}"/>
    <cellStyle name="Normal 5 5 2 2 3" xfId="47968" xr:uid="{00000000-0005-0000-0000-00006DBA0000}"/>
    <cellStyle name="Normal 5 5 2 2 3 2" xfId="47969" xr:uid="{00000000-0005-0000-0000-00006EBA0000}"/>
    <cellStyle name="Normal 5 5 2 2 3 2 2" xfId="47970" xr:uid="{00000000-0005-0000-0000-00006FBA0000}"/>
    <cellStyle name="Normal 5 5 2 2 3 2 3" xfId="47971" xr:uid="{00000000-0005-0000-0000-000070BA0000}"/>
    <cellStyle name="Normal 5 5 2 2 3 3" xfId="47972" xr:uid="{00000000-0005-0000-0000-000071BA0000}"/>
    <cellStyle name="Normal 5 5 2 2 3 4" xfId="47973" xr:uid="{00000000-0005-0000-0000-000072BA0000}"/>
    <cellStyle name="Normal 5 5 2 2 3 5" xfId="47974" xr:uid="{00000000-0005-0000-0000-000073BA0000}"/>
    <cellStyle name="Normal 5 5 2 2 3 6" xfId="47975" xr:uid="{00000000-0005-0000-0000-000074BA0000}"/>
    <cellStyle name="Normal 5 5 2 2 4" xfId="47976" xr:uid="{00000000-0005-0000-0000-000075BA0000}"/>
    <cellStyle name="Normal 5 5 2 2 4 2" xfId="47977" xr:uid="{00000000-0005-0000-0000-000076BA0000}"/>
    <cellStyle name="Normal 5 5 2 2 4 3" xfId="47978" xr:uid="{00000000-0005-0000-0000-000077BA0000}"/>
    <cellStyle name="Normal 5 5 2 2 5" xfId="47979" xr:uid="{00000000-0005-0000-0000-000078BA0000}"/>
    <cellStyle name="Normal 5 5 2 2 6" xfId="47980" xr:uid="{00000000-0005-0000-0000-000079BA0000}"/>
    <cellStyle name="Normal 5 5 2 2 7" xfId="47981" xr:uid="{00000000-0005-0000-0000-00007ABA0000}"/>
    <cellStyle name="Normal 5 5 2 2 8" xfId="47982" xr:uid="{00000000-0005-0000-0000-00007BBA0000}"/>
    <cellStyle name="Normal 5 5 2 3" xfId="47983" xr:uid="{00000000-0005-0000-0000-00007CBA0000}"/>
    <cellStyle name="Normal 5 5 2 3 2" xfId="47984" xr:uid="{00000000-0005-0000-0000-00007DBA0000}"/>
    <cellStyle name="Normal 5 5 2 3 2 2" xfId="47985" xr:uid="{00000000-0005-0000-0000-00007EBA0000}"/>
    <cellStyle name="Normal 5 5 2 3 2 2 2" xfId="47986" xr:uid="{00000000-0005-0000-0000-00007FBA0000}"/>
    <cellStyle name="Normal 5 5 2 3 2 2 3" xfId="47987" xr:uid="{00000000-0005-0000-0000-000080BA0000}"/>
    <cellStyle name="Normal 5 5 2 3 2 3" xfId="47988" xr:uid="{00000000-0005-0000-0000-000081BA0000}"/>
    <cellStyle name="Normal 5 5 2 3 2 4" xfId="47989" xr:uid="{00000000-0005-0000-0000-000082BA0000}"/>
    <cellStyle name="Normal 5 5 2 3 2 5" xfId="47990" xr:uid="{00000000-0005-0000-0000-000083BA0000}"/>
    <cellStyle name="Normal 5 5 2 3 2 6" xfId="47991" xr:uid="{00000000-0005-0000-0000-000084BA0000}"/>
    <cellStyle name="Normal 5 5 2 3 3" xfId="47992" xr:uid="{00000000-0005-0000-0000-000085BA0000}"/>
    <cellStyle name="Normal 5 5 2 3 3 2" xfId="47993" xr:uid="{00000000-0005-0000-0000-000086BA0000}"/>
    <cellStyle name="Normal 5 5 2 3 3 3" xfId="47994" xr:uid="{00000000-0005-0000-0000-000087BA0000}"/>
    <cellStyle name="Normal 5 5 2 3 4" xfId="47995" xr:uid="{00000000-0005-0000-0000-000088BA0000}"/>
    <cellStyle name="Normal 5 5 2 3 5" xfId="47996" xr:uid="{00000000-0005-0000-0000-000089BA0000}"/>
    <cellStyle name="Normal 5 5 2 3 6" xfId="47997" xr:uid="{00000000-0005-0000-0000-00008ABA0000}"/>
    <cellStyle name="Normal 5 5 2 3 7" xfId="47998" xr:uid="{00000000-0005-0000-0000-00008BBA0000}"/>
    <cellStyle name="Normal 5 5 2 4" xfId="47999" xr:uid="{00000000-0005-0000-0000-00008CBA0000}"/>
    <cellStyle name="Normal 5 5 2 4 2" xfId="48000" xr:uid="{00000000-0005-0000-0000-00008DBA0000}"/>
    <cellStyle name="Normal 5 5 2 4 2 2" xfId="48001" xr:uid="{00000000-0005-0000-0000-00008EBA0000}"/>
    <cellStyle name="Normal 5 5 2 4 2 3" xfId="48002" xr:uid="{00000000-0005-0000-0000-00008FBA0000}"/>
    <cellStyle name="Normal 5 5 2 4 3" xfId="48003" xr:uid="{00000000-0005-0000-0000-000090BA0000}"/>
    <cellStyle name="Normal 5 5 2 4 4" xfId="48004" xr:uid="{00000000-0005-0000-0000-000091BA0000}"/>
    <cellStyle name="Normal 5 5 2 4 5" xfId="48005" xr:uid="{00000000-0005-0000-0000-000092BA0000}"/>
    <cellStyle name="Normal 5 5 2 4 6" xfId="48006" xr:uid="{00000000-0005-0000-0000-000093BA0000}"/>
    <cellStyle name="Normal 5 5 2 5" xfId="48007" xr:uid="{00000000-0005-0000-0000-000094BA0000}"/>
    <cellStyle name="Normal 5 5 2 5 2" xfId="48008" xr:uid="{00000000-0005-0000-0000-000095BA0000}"/>
    <cellStyle name="Normal 5 5 2 5 2 2" xfId="48009" xr:uid="{00000000-0005-0000-0000-000096BA0000}"/>
    <cellStyle name="Normal 5 5 2 5 2 3" xfId="48010" xr:uid="{00000000-0005-0000-0000-000097BA0000}"/>
    <cellStyle name="Normal 5 5 2 5 3" xfId="48011" xr:uid="{00000000-0005-0000-0000-000098BA0000}"/>
    <cellStyle name="Normal 5 5 2 5 4" xfId="48012" xr:uid="{00000000-0005-0000-0000-000099BA0000}"/>
    <cellStyle name="Normal 5 5 2 5 5" xfId="48013" xr:uid="{00000000-0005-0000-0000-00009ABA0000}"/>
    <cellStyle name="Normal 5 5 2 5 6" xfId="48014" xr:uid="{00000000-0005-0000-0000-00009BBA0000}"/>
    <cellStyle name="Normal 5 5 2 6" xfId="48015" xr:uid="{00000000-0005-0000-0000-00009CBA0000}"/>
    <cellStyle name="Normal 5 5 2 6 2" xfId="48016" xr:uid="{00000000-0005-0000-0000-00009DBA0000}"/>
    <cellStyle name="Normal 5 5 2 6 3" xfId="48017" xr:uid="{00000000-0005-0000-0000-00009EBA0000}"/>
    <cellStyle name="Normal 5 5 2 7" xfId="48018" xr:uid="{00000000-0005-0000-0000-00009FBA0000}"/>
    <cellStyle name="Normal 5 5 2 8" xfId="48019" xr:uid="{00000000-0005-0000-0000-0000A0BA0000}"/>
    <cellStyle name="Normal 5 5 2 9" xfId="48020" xr:uid="{00000000-0005-0000-0000-0000A1BA0000}"/>
    <cellStyle name="Normal 5 5 3" xfId="48021" xr:uid="{00000000-0005-0000-0000-0000A2BA0000}"/>
    <cellStyle name="Normal 5 5 3 2" xfId="48022" xr:uid="{00000000-0005-0000-0000-0000A3BA0000}"/>
    <cellStyle name="Normal 5 5 3 2 2" xfId="48023" xr:uid="{00000000-0005-0000-0000-0000A4BA0000}"/>
    <cellStyle name="Normal 5 5 3 2 2 2" xfId="48024" xr:uid="{00000000-0005-0000-0000-0000A5BA0000}"/>
    <cellStyle name="Normal 5 5 3 2 2 2 2" xfId="48025" xr:uid="{00000000-0005-0000-0000-0000A6BA0000}"/>
    <cellStyle name="Normal 5 5 3 2 2 2 3" xfId="48026" xr:uid="{00000000-0005-0000-0000-0000A7BA0000}"/>
    <cellStyle name="Normal 5 5 3 2 2 3" xfId="48027" xr:uid="{00000000-0005-0000-0000-0000A8BA0000}"/>
    <cellStyle name="Normal 5 5 3 2 2 4" xfId="48028" xr:uid="{00000000-0005-0000-0000-0000A9BA0000}"/>
    <cellStyle name="Normal 5 5 3 2 2 5" xfId="48029" xr:uid="{00000000-0005-0000-0000-0000AABA0000}"/>
    <cellStyle name="Normal 5 5 3 2 2 6" xfId="48030" xr:uid="{00000000-0005-0000-0000-0000ABBA0000}"/>
    <cellStyle name="Normal 5 5 3 2 3" xfId="48031" xr:uid="{00000000-0005-0000-0000-0000ACBA0000}"/>
    <cellStyle name="Normal 5 5 3 2 3 2" xfId="48032" xr:uid="{00000000-0005-0000-0000-0000ADBA0000}"/>
    <cellStyle name="Normal 5 5 3 2 3 3" xfId="48033" xr:uid="{00000000-0005-0000-0000-0000AEBA0000}"/>
    <cellStyle name="Normal 5 5 3 2 4" xfId="48034" xr:uid="{00000000-0005-0000-0000-0000AFBA0000}"/>
    <cellStyle name="Normal 5 5 3 2 5" xfId="48035" xr:uid="{00000000-0005-0000-0000-0000B0BA0000}"/>
    <cellStyle name="Normal 5 5 3 2 6" xfId="48036" xr:uid="{00000000-0005-0000-0000-0000B1BA0000}"/>
    <cellStyle name="Normal 5 5 3 2 7" xfId="48037" xr:uid="{00000000-0005-0000-0000-0000B2BA0000}"/>
    <cellStyle name="Normal 5 5 3 3" xfId="48038" xr:uid="{00000000-0005-0000-0000-0000B3BA0000}"/>
    <cellStyle name="Normal 5 5 3 3 2" xfId="48039" xr:uid="{00000000-0005-0000-0000-0000B4BA0000}"/>
    <cellStyle name="Normal 5 5 3 3 2 2" xfId="48040" xr:uid="{00000000-0005-0000-0000-0000B5BA0000}"/>
    <cellStyle name="Normal 5 5 3 3 2 3" xfId="48041" xr:uid="{00000000-0005-0000-0000-0000B6BA0000}"/>
    <cellStyle name="Normal 5 5 3 3 3" xfId="48042" xr:uid="{00000000-0005-0000-0000-0000B7BA0000}"/>
    <cellStyle name="Normal 5 5 3 3 4" xfId="48043" xr:uid="{00000000-0005-0000-0000-0000B8BA0000}"/>
    <cellStyle name="Normal 5 5 3 3 5" xfId="48044" xr:uid="{00000000-0005-0000-0000-0000B9BA0000}"/>
    <cellStyle name="Normal 5 5 3 3 6" xfId="48045" xr:uid="{00000000-0005-0000-0000-0000BABA0000}"/>
    <cellStyle name="Normal 5 5 3 4" xfId="48046" xr:uid="{00000000-0005-0000-0000-0000BBBA0000}"/>
    <cellStyle name="Normal 5 5 3 4 2" xfId="48047" xr:uid="{00000000-0005-0000-0000-0000BCBA0000}"/>
    <cellStyle name="Normal 5 5 3 4 2 2" xfId="48048" xr:uid="{00000000-0005-0000-0000-0000BDBA0000}"/>
    <cellStyle name="Normal 5 5 3 4 2 3" xfId="48049" xr:uid="{00000000-0005-0000-0000-0000BEBA0000}"/>
    <cellStyle name="Normal 5 5 3 4 3" xfId="48050" xr:uid="{00000000-0005-0000-0000-0000BFBA0000}"/>
    <cellStyle name="Normal 5 5 3 4 4" xfId="48051" xr:uid="{00000000-0005-0000-0000-0000C0BA0000}"/>
    <cellStyle name="Normal 5 5 3 4 5" xfId="48052" xr:uid="{00000000-0005-0000-0000-0000C1BA0000}"/>
    <cellStyle name="Normal 5 5 3 4 6" xfId="48053" xr:uid="{00000000-0005-0000-0000-0000C2BA0000}"/>
    <cellStyle name="Normal 5 5 3 5" xfId="48054" xr:uid="{00000000-0005-0000-0000-0000C3BA0000}"/>
    <cellStyle name="Normal 5 5 3 5 2" xfId="48055" xr:uid="{00000000-0005-0000-0000-0000C4BA0000}"/>
    <cellStyle name="Normal 5 5 3 5 3" xfId="48056" xr:uid="{00000000-0005-0000-0000-0000C5BA0000}"/>
    <cellStyle name="Normal 5 5 3 6" xfId="48057" xr:uid="{00000000-0005-0000-0000-0000C6BA0000}"/>
    <cellStyle name="Normal 5 5 3 7" xfId="48058" xr:uid="{00000000-0005-0000-0000-0000C7BA0000}"/>
    <cellStyle name="Normal 5 5 3 8" xfId="48059" xr:uid="{00000000-0005-0000-0000-0000C8BA0000}"/>
    <cellStyle name="Normal 5 5 3 9" xfId="48060" xr:uid="{00000000-0005-0000-0000-0000C9BA0000}"/>
    <cellStyle name="Normal 5 5 4" xfId="48061" xr:uid="{00000000-0005-0000-0000-0000CABA0000}"/>
    <cellStyle name="Normal 5 5 4 2" xfId="48062" xr:uid="{00000000-0005-0000-0000-0000CBBA0000}"/>
    <cellStyle name="Normal 5 5 4 2 2" xfId="48063" xr:uid="{00000000-0005-0000-0000-0000CCBA0000}"/>
    <cellStyle name="Normal 5 5 4 2 2 2" xfId="48064" xr:uid="{00000000-0005-0000-0000-0000CDBA0000}"/>
    <cellStyle name="Normal 5 5 4 2 2 3" xfId="48065" xr:uid="{00000000-0005-0000-0000-0000CEBA0000}"/>
    <cellStyle name="Normal 5 5 4 2 3" xfId="48066" xr:uid="{00000000-0005-0000-0000-0000CFBA0000}"/>
    <cellStyle name="Normal 5 5 4 2 4" xfId="48067" xr:uid="{00000000-0005-0000-0000-0000D0BA0000}"/>
    <cellStyle name="Normal 5 5 4 2 5" xfId="48068" xr:uid="{00000000-0005-0000-0000-0000D1BA0000}"/>
    <cellStyle name="Normal 5 5 4 2 6" xfId="48069" xr:uid="{00000000-0005-0000-0000-0000D2BA0000}"/>
    <cellStyle name="Normal 5 5 4 3" xfId="48070" xr:uid="{00000000-0005-0000-0000-0000D3BA0000}"/>
    <cellStyle name="Normal 5 5 4 3 2" xfId="48071" xr:uid="{00000000-0005-0000-0000-0000D4BA0000}"/>
    <cellStyle name="Normal 5 5 4 3 3" xfId="48072" xr:uid="{00000000-0005-0000-0000-0000D5BA0000}"/>
    <cellStyle name="Normal 5 5 4 4" xfId="48073" xr:uid="{00000000-0005-0000-0000-0000D6BA0000}"/>
    <cellStyle name="Normal 5 5 4 5" xfId="48074" xr:uid="{00000000-0005-0000-0000-0000D7BA0000}"/>
    <cellStyle name="Normal 5 5 4 6" xfId="48075" xr:uid="{00000000-0005-0000-0000-0000D8BA0000}"/>
    <cellStyle name="Normal 5 5 4 7" xfId="48076" xr:uid="{00000000-0005-0000-0000-0000D9BA0000}"/>
    <cellStyle name="Normal 5 5 5" xfId="48077" xr:uid="{00000000-0005-0000-0000-0000DABA0000}"/>
    <cellStyle name="Normal 5 5 5 2" xfId="48078" xr:uid="{00000000-0005-0000-0000-0000DBBA0000}"/>
    <cellStyle name="Normal 5 5 5 2 2" xfId="48079" xr:uid="{00000000-0005-0000-0000-0000DCBA0000}"/>
    <cellStyle name="Normal 5 5 5 2 3" xfId="48080" xr:uid="{00000000-0005-0000-0000-0000DDBA0000}"/>
    <cellStyle name="Normal 5 5 5 3" xfId="48081" xr:uid="{00000000-0005-0000-0000-0000DEBA0000}"/>
    <cellStyle name="Normal 5 5 5 4" xfId="48082" xr:uid="{00000000-0005-0000-0000-0000DFBA0000}"/>
    <cellStyle name="Normal 5 5 5 5" xfId="48083" xr:uid="{00000000-0005-0000-0000-0000E0BA0000}"/>
    <cellStyle name="Normal 5 5 5 6" xfId="48084" xr:uid="{00000000-0005-0000-0000-0000E1BA0000}"/>
    <cellStyle name="Normal 5 5 6" xfId="48085" xr:uid="{00000000-0005-0000-0000-0000E2BA0000}"/>
    <cellStyle name="Normal 5 5 6 2" xfId="48086" xr:uid="{00000000-0005-0000-0000-0000E3BA0000}"/>
    <cellStyle name="Normal 5 5 6 2 2" xfId="48087" xr:uid="{00000000-0005-0000-0000-0000E4BA0000}"/>
    <cellStyle name="Normal 5 5 6 2 3" xfId="48088" xr:uid="{00000000-0005-0000-0000-0000E5BA0000}"/>
    <cellStyle name="Normal 5 5 6 3" xfId="48089" xr:uid="{00000000-0005-0000-0000-0000E6BA0000}"/>
    <cellStyle name="Normal 5 5 6 4" xfId="48090" xr:uid="{00000000-0005-0000-0000-0000E7BA0000}"/>
    <cellStyle name="Normal 5 5 6 5" xfId="48091" xr:uid="{00000000-0005-0000-0000-0000E8BA0000}"/>
    <cellStyle name="Normal 5 5 6 6" xfId="48092" xr:uid="{00000000-0005-0000-0000-0000E9BA0000}"/>
    <cellStyle name="Normal 5 5 7" xfId="48093" xr:uid="{00000000-0005-0000-0000-0000EABA0000}"/>
    <cellStyle name="Normal 5 5 7 2" xfId="48094" xr:uid="{00000000-0005-0000-0000-0000EBBA0000}"/>
    <cellStyle name="Normal 5 5 7 2 2" xfId="48095" xr:uid="{00000000-0005-0000-0000-0000ECBA0000}"/>
    <cellStyle name="Normal 5 5 7 2 3" xfId="48096" xr:uid="{00000000-0005-0000-0000-0000EDBA0000}"/>
    <cellStyle name="Normal 5 5 7 3" xfId="48097" xr:uid="{00000000-0005-0000-0000-0000EEBA0000}"/>
    <cellStyle name="Normal 5 5 7 4" xfId="48098" xr:uid="{00000000-0005-0000-0000-0000EFBA0000}"/>
    <cellStyle name="Normal 5 5 7 5" xfId="48099" xr:uid="{00000000-0005-0000-0000-0000F0BA0000}"/>
    <cellStyle name="Normal 5 5 7 6" xfId="48100" xr:uid="{00000000-0005-0000-0000-0000F1BA0000}"/>
    <cellStyle name="Normal 5 5 8" xfId="48101" xr:uid="{00000000-0005-0000-0000-0000F2BA0000}"/>
    <cellStyle name="Normal 5 5 8 2" xfId="48102" xr:uid="{00000000-0005-0000-0000-0000F3BA0000}"/>
    <cellStyle name="Normal 5 5 8 2 2" xfId="48103" xr:uid="{00000000-0005-0000-0000-0000F4BA0000}"/>
    <cellStyle name="Normal 5 5 8 2 3" xfId="48104" xr:uid="{00000000-0005-0000-0000-0000F5BA0000}"/>
    <cellStyle name="Normal 5 5 8 3" xfId="48105" xr:uid="{00000000-0005-0000-0000-0000F6BA0000}"/>
    <cellStyle name="Normal 5 5 8 4" xfId="48106" xr:uid="{00000000-0005-0000-0000-0000F7BA0000}"/>
    <cellStyle name="Normal 5 5 8 5" xfId="48107" xr:uid="{00000000-0005-0000-0000-0000F8BA0000}"/>
    <cellStyle name="Normal 5 5 8 6" xfId="48108" xr:uid="{00000000-0005-0000-0000-0000F9BA0000}"/>
    <cellStyle name="Normal 5 5 9" xfId="48109" xr:uid="{00000000-0005-0000-0000-0000FABA0000}"/>
    <cellStyle name="Normal 5 5 9 2" xfId="48110" xr:uid="{00000000-0005-0000-0000-0000FBBA0000}"/>
    <cellStyle name="Normal 5 5 9 3" xfId="48111" xr:uid="{00000000-0005-0000-0000-0000FCBA0000}"/>
    <cellStyle name="Normal 5 6" xfId="443" xr:uid="{00000000-0005-0000-0000-0000FDBA0000}"/>
    <cellStyle name="Normal 5 6 10" xfId="48112" xr:uid="{00000000-0005-0000-0000-0000FEBA0000}"/>
    <cellStyle name="Normal 5 6 11" xfId="48113" xr:uid="{00000000-0005-0000-0000-0000FFBA0000}"/>
    <cellStyle name="Normal 5 6 2" xfId="48114" xr:uid="{00000000-0005-0000-0000-000000BB0000}"/>
    <cellStyle name="Normal 5 6 2 2" xfId="48115" xr:uid="{00000000-0005-0000-0000-000001BB0000}"/>
    <cellStyle name="Normal 5 6 2 2 2" xfId="48116" xr:uid="{00000000-0005-0000-0000-000002BB0000}"/>
    <cellStyle name="Normal 5 6 2 2 2 2" xfId="48117" xr:uid="{00000000-0005-0000-0000-000003BB0000}"/>
    <cellStyle name="Normal 5 6 2 2 2 3" xfId="48118" xr:uid="{00000000-0005-0000-0000-000004BB0000}"/>
    <cellStyle name="Normal 5 6 2 2 3" xfId="48119" xr:uid="{00000000-0005-0000-0000-000005BB0000}"/>
    <cellStyle name="Normal 5 6 2 2 4" xfId="48120" xr:uid="{00000000-0005-0000-0000-000006BB0000}"/>
    <cellStyle name="Normal 5 6 2 2 5" xfId="48121" xr:uid="{00000000-0005-0000-0000-000007BB0000}"/>
    <cellStyle name="Normal 5 6 2 2 6" xfId="48122" xr:uid="{00000000-0005-0000-0000-000008BB0000}"/>
    <cellStyle name="Normal 5 6 2 3" xfId="48123" xr:uid="{00000000-0005-0000-0000-000009BB0000}"/>
    <cellStyle name="Normal 5 6 2 3 2" xfId="48124" xr:uid="{00000000-0005-0000-0000-00000ABB0000}"/>
    <cellStyle name="Normal 5 6 2 3 2 2" xfId="48125" xr:uid="{00000000-0005-0000-0000-00000BBB0000}"/>
    <cellStyle name="Normal 5 6 2 3 2 3" xfId="48126" xr:uid="{00000000-0005-0000-0000-00000CBB0000}"/>
    <cellStyle name="Normal 5 6 2 3 3" xfId="48127" xr:uid="{00000000-0005-0000-0000-00000DBB0000}"/>
    <cellStyle name="Normal 5 6 2 3 4" xfId="48128" xr:uid="{00000000-0005-0000-0000-00000EBB0000}"/>
    <cellStyle name="Normal 5 6 2 3 5" xfId="48129" xr:uid="{00000000-0005-0000-0000-00000FBB0000}"/>
    <cellStyle name="Normal 5 6 2 3 6" xfId="48130" xr:uid="{00000000-0005-0000-0000-000010BB0000}"/>
    <cellStyle name="Normal 5 6 2 4" xfId="48131" xr:uid="{00000000-0005-0000-0000-000011BB0000}"/>
    <cellStyle name="Normal 5 6 2 4 2" xfId="48132" xr:uid="{00000000-0005-0000-0000-000012BB0000}"/>
    <cellStyle name="Normal 5 6 2 4 3" xfId="48133" xr:uid="{00000000-0005-0000-0000-000013BB0000}"/>
    <cellStyle name="Normal 5 6 2 5" xfId="48134" xr:uid="{00000000-0005-0000-0000-000014BB0000}"/>
    <cellStyle name="Normal 5 6 2 6" xfId="48135" xr:uid="{00000000-0005-0000-0000-000015BB0000}"/>
    <cellStyle name="Normal 5 6 2 7" xfId="48136" xr:uid="{00000000-0005-0000-0000-000016BB0000}"/>
    <cellStyle name="Normal 5 6 2 8" xfId="48137" xr:uid="{00000000-0005-0000-0000-000017BB0000}"/>
    <cellStyle name="Normal 5 6 3" xfId="48138" xr:uid="{00000000-0005-0000-0000-000018BB0000}"/>
    <cellStyle name="Normal 5 6 3 2" xfId="48139" xr:uid="{00000000-0005-0000-0000-000019BB0000}"/>
    <cellStyle name="Normal 5 6 3 2 2" xfId="48140" xr:uid="{00000000-0005-0000-0000-00001ABB0000}"/>
    <cellStyle name="Normal 5 6 3 2 2 2" xfId="48141" xr:uid="{00000000-0005-0000-0000-00001BBB0000}"/>
    <cellStyle name="Normal 5 6 3 2 2 3" xfId="48142" xr:uid="{00000000-0005-0000-0000-00001CBB0000}"/>
    <cellStyle name="Normal 5 6 3 2 3" xfId="48143" xr:uid="{00000000-0005-0000-0000-00001DBB0000}"/>
    <cellStyle name="Normal 5 6 3 2 4" xfId="48144" xr:uid="{00000000-0005-0000-0000-00001EBB0000}"/>
    <cellStyle name="Normal 5 6 3 2 5" xfId="48145" xr:uid="{00000000-0005-0000-0000-00001FBB0000}"/>
    <cellStyle name="Normal 5 6 3 2 6" xfId="48146" xr:uid="{00000000-0005-0000-0000-000020BB0000}"/>
    <cellStyle name="Normal 5 6 3 3" xfId="48147" xr:uid="{00000000-0005-0000-0000-000021BB0000}"/>
    <cellStyle name="Normal 5 6 3 3 2" xfId="48148" xr:uid="{00000000-0005-0000-0000-000022BB0000}"/>
    <cellStyle name="Normal 5 6 3 3 3" xfId="48149" xr:uid="{00000000-0005-0000-0000-000023BB0000}"/>
    <cellStyle name="Normal 5 6 3 4" xfId="48150" xr:uid="{00000000-0005-0000-0000-000024BB0000}"/>
    <cellStyle name="Normal 5 6 3 5" xfId="48151" xr:uid="{00000000-0005-0000-0000-000025BB0000}"/>
    <cellStyle name="Normal 5 6 3 6" xfId="48152" xr:uid="{00000000-0005-0000-0000-000026BB0000}"/>
    <cellStyle name="Normal 5 6 3 7" xfId="48153" xr:uid="{00000000-0005-0000-0000-000027BB0000}"/>
    <cellStyle name="Normal 5 6 4" xfId="48154" xr:uid="{00000000-0005-0000-0000-000028BB0000}"/>
    <cellStyle name="Normal 5 6 4 2" xfId="48155" xr:uid="{00000000-0005-0000-0000-000029BB0000}"/>
    <cellStyle name="Normal 5 6 4 2 2" xfId="48156" xr:uid="{00000000-0005-0000-0000-00002ABB0000}"/>
    <cellStyle name="Normal 5 6 4 2 3" xfId="48157" xr:uid="{00000000-0005-0000-0000-00002BBB0000}"/>
    <cellStyle name="Normal 5 6 4 3" xfId="48158" xr:uid="{00000000-0005-0000-0000-00002CBB0000}"/>
    <cellStyle name="Normal 5 6 4 4" xfId="48159" xr:uid="{00000000-0005-0000-0000-00002DBB0000}"/>
    <cellStyle name="Normal 5 6 4 5" xfId="48160" xr:uid="{00000000-0005-0000-0000-00002EBB0000}"/>
    <cellStyle name="Normal 5 6 4 6" xfId="48161" xr:uid="{00000000-0005-0000-0000-00002FBB0000}"/>
    <cellStyle name="Normal 5 6 5" xfId="48162" xr:uid="{00000000-0005-0000-0000-000030BB0000}"/>
    <cellStyle name="Normal 5 6 5 2" xfId="48163" xr:uid="{00000000-0005-0000-0000-000031BB0000}"/>
    <cellStyle name="Normal 5 6 5 2 2" xfId="48164" xr:uid="{00000000-0005-0000-0000-000032BB0000}"/>
    <cellStyle name="Normal 5 6 5 2 3" xfId="48165" xr:uid="{00000000-0005-0000-0000-000033BB0000}"/>
    <cellStyle name="Normal 5 6 5 3" xfId="48166" xr:uid="{00000000-0005-0000-0000-000034BB0000}"/>
    <cellStyle name="Normal 5 6 5 4" xfId="48167" xr:uid="{00000000-0005-0000-0000-000035BB0000}"/>
    <cellStyle name="Normal 5 6 5 5" xfId="48168" xr:uid="{00000000-0005-0000-0000-000036BB0000}"/>
    <cellStyle name="Normal 5 6 5 6" xfId="48169" xr:uid="{00000000-0005-0000-0000-000037BB0000}"/>
    <cellStyle name="Normal 5 6 6" xfId="48170" xr:uid="{00000000-0005-0000-0000-000038BB0000}"/>
    <cellStyle name="Normal 5 6 6 2" xfId="48171" xr:uid="{00000000-0005-0000-0000-000039BB0000}"/>
    <cellStyle name="Normal 5 6 6 2 2" xfId="48172" xr:uid="{00000000-0005-0000-0000-00003ABB0000}"/>
    <cellStyle name="Normal 5 6 6 2 3" xfId="48173" xr:uid="{00000000-0005-0000-0000-00003BBB0000}"/>
    <cellStyle name="Normal 5 6 6 3" xfId="48174" xr:uid="{00000000-0005-0000-0000-00003CBB0000}"/>
    <cellStyle name="Normal 5 6 6 4" xfId="48175" xr:uid="{00000000-0005-0000-0000-00003DBB0000}"/>
    <cellStyle name="Normal 5 6 6 5" xfId="48176" xr:uid="{00000000-0005-0000-0000-00003EBB0000}"/>
    <cellStyle name="Normal 5 6 6 6" xfId="48177" xr:uid="{00000000-0005-0000-0000-00003FBB0000}"/>
    <cellStyle name="Normal 5 6 7" xfId="48178" xr:uid="{00000000-0005-0000-0000-000040BB0000}"/>
    <cellStyle name="Normal 5 6 7 2" xfId="48179" xr:uid="{00000000-0005-0000-0000-000041BB0000}"/>
    <cellStyle name="Normal 5 6 7 3" xfId="48180" xr:uid="{00000000-0005-0000-0000-000042BB0000}"/>
    <cellStyle name="Normal 5 6 8" xfId="48181" xr:uid="{00000000-0005-0000-0000-000043BB0000}"/>
    <cellStyle name="Normal 5 6 9" xfId="48182" xr:uid="{00000000-0005-0000-0000-000044BB0000}"/>
    <cellStyle name="Normal 5 7" xfId="611" xr:uid="{00000000-0005-0000-0000-000045BB0000}"/>
    <cellStyle name="Normal 5 7 2" xfId="48183" xr:uid="{00000000-0005-0000-0000-000046BB0000}"/>
    <cellStyle name="Normal 5 7 2 2" xfId="48184" xr:uid="{00000000-0005-0000-0000-000047BB0000}"/>
    <cellStyle name="Normal 5 7 2 3" xfId="48185" xr:uid="{00000000-0005-0000-0000-000048BB0000}"/>
    <cellStyle name="Normal 5 7 3" xfId="48186" xr:uid="{00000000-0005-0000-0000-000049BB0000}"/>
    <cellStyle name="Normal 5 7 4" xfId="48187" xr:uid="{00000000-0005-0000-0000-00004ABB0000}"/>
    <cellStyle name="Normal 5 7 5" xfId="48188" xr:uid="{00000000-0005-0000-0000-00004BBB0000}"/>
    <cellStyle name="Normal 5 7 6" xfId="48189" xr:uid="{00000000-0005-0000-0000-00004CBB0000}"/>
    <cellStyle name="Normal 5 8" xfId="263" xr:uid="{00000000-0005-0000-0000-00004DBB0000}"/>
    <cellStyle name="Normal 5 8 2" xfId="48190" xr:uid="{00000000-0005-0000-0000-00004EBB0000}"/>
    <cellStyle name="Normal 5 8 2 2" xfId="48191" xr:uid="{00000000-0005-0000-0000-00004FBB0000}"/>
    <cellStyle name="Normal 5 8 2 3" xfId="48192" xr:uid="{00000000-0005-0000-0000-000050BB0000}"/>
    <cellStyle name="Normal 5 8 3" xfId="48193" xr:uid="{00000000-0005-0000-0000-000051BB0000}"/>
    <cellStyle name="Normal 5 8 4" xfId="48194" xr:uid="{00000000-0005-0000-0000-000052BB0000}"/>
    <cellStyle name="Normal 5 8 5" xfId="48195" xr:uid="{00000000-0005-0000-0000-000053BB0000}"/>
    <cellStyle name="Normal 5 8 6" xfId="48196" xr:uid="{00000000-0005-0000-0000-000054BB0000}"/>
    <cellStyle name="Normal 5 9" xfId="264" xr:uid="{00000000-0005-0000-0000-000055BB0000}"/>
    <cellStyle name="Normal 5 9 2" xfId="48197" xr:uid="{00000000-0005-0000-0000-000056BB0000}"/>
    <cellStyle name="Normal 5 9 3" xfId="48198" xr:uid="{00000000-0005-0000-0000-000057BB0000}"/>
    <cellStyle name="Normal 50" xfId="48199" xr:uid="{00000000-0005-0000-0000-000058BB0000}"/>
    <cellStyle name="Normal 51" xfId="48200" xr:uid="{00000000-0005-0000-0000-000059BB0000}"/>
    <cellStyle name="Normal 52" xfId="48201" xr:uid="{00000000-0005-0000-0000-00005ABB0000}"/>
    <cellStyle name="Normal 53" xfId="48202" xr:uid="{00000000-0005-0000-0000-00005BBB0000}"/>
    <cellStyle name="Normal 54" xfId="48203" xr:uid="{00000000-0005-0000-0000-00005CBB0000}"/>
    <cellStyle name="Normal 55" xfId="48204" xr:uid="{00000000-0005-0000-0000-00005DBB0000}"/>
    <cellStyle name="Normal 56" xfId="48205" xr:uid="{00000000-0005-0000-0000-00005EBB0000}"/>
    <cellStyle name="Normal 57" xfId="48206" xr:uid="{00000000-0005-0000-0000-00005FBB0000}"/>
    <cellStyle name="Normal 58" xfId="48207" xr:uid="{00000000-0005-0000-0000-000060BB0000}"/>
    <cellStyle name="Normal 59" xfId="48208" xr:uid="{00000000-0005-0000-0000-000061BB0000}"/>
    <cellStyle name="Normal 6" xfId="155" xr:uid="{00000000-0005-0000-0000-000062BB0000}"/>
    <cellStyle name="Normal 6 2" xfId="444" xr:uid="{00000000-0005-0000-0000-000063BB0000}"/>
    <cellStyle name="Normal 6 2 2" xfId="445" xr:uid="{00000000-0005-0000-0000-000064BB0000}"/>
    <cellStyle name="Normal 6 2 2 2" xfId="446" xr:uid="{00000000-0005-0000-0000-000065BB0000}"/>
    <cellStyle name="Normal 6 2 2 3" xfId="48209" xr:uid="{00000000-0005-0000-0000-000066BB0000}"/>
    <cellStyle name="Normal 6 2 3" xfId="447" xr:uid="{00000000-0005-0000-0000-000067BB0000}"/>
    <cellStyle name="Normal 6 2 4" xfId="448" xr:uid="{00000000-0005-0000-0000-000068BB0000}"/>
    <cellStyle name="Normal 6 2 5" xfId="48210" xr:uid="{00000000-0005-0000-0000-000069BB0000}"/>
    <cellStyle name="Normal 6 2 6" xfId="48211" xr:uid="{00000000-0005-0000-0000-00006ABB0000}"/>
    <cellStyle name="Normal 6 3" xfId="449" xr:uid="{00000000-0005-0000-0000-00006BBB0000}"/>
    <cellStyle name="Normal 6 3 2" xfId="450" xr:uid="{00000000-0005-0000-0000-00006CBB0000}"/>
    <cellStyle name="Normal 6 3 2 2" xfId="451" xr:uid="{00000000-0005-0000-0000-00006DBB0000}"/>
    <cellStyle name="Normal 6 3 3" xfId="452" xr:uid="{00000000-0005-0000-0000-00006EBB0000}"/>
    <cellStyle name="Normal 6 3 4" xfId="453" xr:uid="{00000000-0005-0000-0000-00006FBB0000}"/>
    <cellStyle name="Normal 6 4" xfId="454" xr:uid="{00000000-0005-0000-0000-000070BB0000}"/>
    <cellStyle name="Normal 6 4 2" xfId="455" xr:uid="{00000000-0005-0000-0000-000071BB0000}"/>
    <cellStyle name="Normal 6 4 3" xfId="456" xr:uid="{00000000-0005-0000-0000-000072BB0000}"/>
    <cellStyle name="Normal 6 4 4" xfId="457" xr:uid="{00000000-0005-0000-0000-000073BB0000}"/>
    <cellStyle name="Normal 6 5" xfId="458" xr:uid="{00000000-0005-0000-0000-000074BB0000}"/>
    <cellStyle name="Normal 6 6" xfId="459" xr:uid="{00000000-0005-0000-0000-000075BB0000}"/>
    <cellStyle name="Normal 6_Apr" xfId="48212" xr:uid="{00000000-0005-0000-0000-000076BB0000}"/>
    <cellStyle name="Normal 60" xfId="48213" xr:uid="{00000000-0005-0000-0000-000077BB0000}"/>
    <cellStyle name="Normal 61" xfId="48214" xr:uid="{00000000-0005-0000-0000-000078BB0000}"/>
    <cellStyle name="Normal 62" xfId="48215" xr:uid="{00000000-0005-0000-0000-000079BB0000}"/>
    <cellStyle name="Normal 63" xfId="48216" xr:uid="{00000000-0005-0000-0000-00007ABB0000}"/>
    <cellStyle name="Normal 64" xfId="48217" xr:uid="{00000000-0005-0000-0000-00007BBB0000}"/>
    <cellStyle name="Normal 65" xfId="48218" xr:uid="{00000000-0005-0000-0000-00007CBB0000}"/>
    <cellStyle name="Normal 66" xfId="48219" xr:uid="{00000000-0005-0000-0000-00007DBB0000}"/>
    <cellStyle name="Normal 67" xfId="48220" xr:uid="{00000000-0005-0000-0000-00007EBB0000}"/>
    <cellStyle name="Normal 68" xfId="48221" xr:uid="{00000000-0005-0000-0000-00007FBB0000}"/>
    <cellStyle name="Normal 69" xfId="61062" xr:uid="{00000000-0005-0000-0000-000080BB0000}"/>
    <cellStyle name="Normal 69 2" xfId="156" xr:uid="{00000000-0005-0000-0000-000081BB0000}"/>
    <cellStyle name="Normal 7" xfId="157" xr:uid="{00000000-0005-0000-0000-000082BB0000}"/>
    <cellStyle name="Normal 7 2" xfId="460" xr:uid="{00000000-0005-0000-0000-000083BB0000}"/>
    <cellStyle name="Normal 7 2 2" xfId="461" xr:uid="{00000000-0005-0000-0000-000084BB0000}"/>
    <cellStyle name="Normal 7 2 2 2" xfId="462" xr:uid="{00000000-0005-0000-0000-000085BB0000}"/>
    <cellStyle name="Normal 7 2 3" xfId="463" xr:uid="{00000000-0005-0000-0000-000086BB0000}"/>
    <cellStyle name="Normal 7 2 4" xfId="464" xr:uid="{00000000-0005-0000-0000-000087BB0000}"/>
    <cellStyle name="Normal 7 3" xfId="465" xr:uid="{00000000-0005-0000-0000-000088BB0000}"/>
    <cellStyle name="Normal 7 3 2" xfId="466" xr:uid="{00000000-0005-0000-0000-000089BB0000}"/>
    <cellStyle name="Normal 7 3 2 2" xfId="467" xr:uid="{00000000-0005-0000-0000-00008ABB0000}"/>
    <cellStyle name="Normal 7 3 3" xfId="468" xr:uid="{00000000-0005-0000-0000-00008BBB0000}"/>
    <cellStyle name="Normal 7 3 4" xfId="469" xr:uid="{00000000-0005-0000-0000-00008CBB0000}"/>
    <cellStyle name="Normal 7 3 5" xfId="470" xr:uid="{00000000-0005-0000-0000-00008DBB0000}"/>
    <cellStyle name="Normal 7 4" xfId="471" xr:uid="{00000000-0005-0000-0000-00008EBB0000}"/>
    <cellStyle name="Normal 7 4 2" xfId="472" xr:uid="{00000000-0005-0000-0000-00008FBB0000}"/>
    <cellStyle name="Normal 7 5" xfId="473" xr:uid="{00000000-0005-0000-0000-000090BB0000}"/>
    <cellStyle name="Normal 7 6" xfId="474" xr:uid="{00000000-0005-0000-0000-000091BB0000}"/>
    <cellStyle name="Normal 7 7" xfId="475" xr:uid="{00000000-0005-0000-0000-000092BB0000}"/>
    <cellStyle name="Normal 7_Apr" xfId="48222" xr:uid="{00000000-0005-0000-0000-000093BB0000}"/>
    <cellStyle name="Normal 70" xfId="158" xr:uid="{00000000-0005-0000-0000-000094BB0000}"/>
    <cellStyle name="Normal 70 2" xfId="159" xr:uid="{00000000-0005-0000-0000-000095BB0000}"/>
    <cellStyle name="Normal 70 3" xfId="160" xr:uid="{00000000-0005-0000-0000-000096BB0000}"/>
    <cellStyle name="Normal 71" xfId="61063" xr:uid="{00000000-0005-0000-0000-000097BB0000}"/>
    <cellStyle name="Normal 72" xfId="61064" xr:uid="{A3A86A6B-69B9-4FDA-9BB0-4420675FF5E7}"/>
    <cellStyle name="Normal 73" xfId="48223" xr:uid="{00000000-0005-0000-0000-000098BB0000}"/>
    <cellStyle name="Normal 74" xfId="48224" xr:uid="{00000000-0005-0000-0000-000099BB0000}"/>
    <cellStyle name="Normal 75" xfId="61065" xr:uid="{1ACA5261-CCBF-46DE-A68D-17ABF6543392}"/>
    <cellStyle name="Normal 76" xfId="48225" xr:uid="{00000000-0005-0000-0000-00009ABB0000}"/>
    <cellStyle name="Normal 77" xfId="48226" xr:uid="{00000000-0005-0000-0000-00009BBB0000}"/>
    <cellStyle name="Normal 79" xfId="48227" xr:uid="{00000000-0005-0000-0000-00009CBB0000}"/>
    <cellStyle name="Normal 8" xfId="161" xr:uid="{00000000-0005-0000-0000-00009DBB0000}"/>
    <cellStyle name="Normal 8 2" xfId="476" xr:uid="{00000000-0005-0000-0000-00009EBB0000}"/>
    <cellStyle name="Normal 8 2 2" xfId="477" xr:uid="{00000000-0005-0000-0000-00009FBB0000}"/>
    <cellStyle name="Normal 8 2 2 2" xfId="478" xr:uid="{00000000-0005-0000-0000-0000A0BB0000}"/>
    <cellStyle name="Normal 8 2 2 2 2" xfId="479" xr:uid="{00000000-0005-0000-0000-0000A1BB0000}"/>
    <cellStyle name="Normal 8 2 2 3" xfId="480" xr:uid="{00000000-0005-0000-0000-0000A2BB0000}"/>
    <cellStyle name="Normal 8 2 3" xfId="481" xr:uid="{00000000-0005-0000-0000-0000A3BB0000}"/>
    <cellStyle name="Normal 8 2 3 2" xfId="482" xr:uid="{00000000-0005-0000-0000-0000A4BB0000}"/>
    <cellStyle name="Normal 8 2 3 2 2" xfId="483" xr:uid="{00000000-0005-0000-0000-0000A5BB0000}"/>
    <cellStyle name="Normal 8 2 3 3" xfId="484" xr:uid="{00000000-0005-0000-0000-0000A6BB0000}"/>
    <cellStyle name="Normal 8 2 4" xfId="485" xr:uid="{00000000-0005-0000-0000-0000A7BB0000}"/>
    <cellStyle name="Normal 8 2 4 2" xfId="486" xr:uid="{00000000-0005-0000-0000-0000A8BB0000}"/>
    <cellStyle name="Normal 8 2 5" xfId="487" xr:uid="{00000000-0005-0000-0000-0000A9BB0000}"/>
    <cellStyle name="Normal 8 2 6" xfId="488" xr:uid="{00000000-0005-0000-0000-0000AABB0000}"/>
    <cellStyle name="Normal 8 2 7" xfId="489" xr:uid="{00000000-0005-0000-0000-0000ABBB0000}"/>
    <cellStyle name="Normal 8 3" xfId="490" xr:uid="{00000000-0005-0000-0000-0000ACBB0000}"/>
    <cellStyle name="Normal 8 3 2" xfId="491" xr:uid="{00000000-0005-0000-0000-0000ADBB0000}"/>
    <cellStyle name="Normal 8 3 2 2" xfId="492" xr:uid="{00000000-0005-0000-0000-0000AEBB0000}"/>
    <cellStyle name="Normal 8 3 3" xfId="493" xr:uid="{00000000-0005-0000-0000-0000AFBB0000}"/>
    <cellStyle name="Normal 8 3 4" xfId="494" xr:uid="{00000000-0005-0000-0000-0000B0BB0000}"/>
    <cellStyle name="Normal 8 4" xfId="495" xr:uid="{00000000-0005-0000-0000-0000B1BB0000}"/>
    <cellStyle name="Normal 8 4 2" xfId="496" xr:uid="{00000000-0005-0000-0000-0000B2BB0000}"/>
    <cellStyle name="Normal 8 4 2 2" xfId="497" xr:uid="{00000000-0005-0000-0000-0000B3BB0000}"/>
    <cellStyle name="Normal 8 4 3" xfId="498" xr:uid="{00000000-0005-0000-0000-0000B4BB0000}"/>
    <cellStyle name="Normal 8 5" xfId="499" xr:uid="{00000000-0005-0000-0000-0000B5BB0000}"/>
    <cellStyle name="Normal 8 5 2" xfId="500" xr:uid="{00000000-0005-0000-0000-0000B6BB0000}"/>
    <cellStyle name="Normal 8 6" xfId="501" xr:uid="{00000000-0005-0000-0000-0000B7BB0000}"/>
    <cellStyle name="Normal 8 7" xfId="502" xr:uid="{00000000-0005-0000-0000-0000B8BB0000}"/>
    <cellStyle name="Normal 8 8" xfId="503" xr:uid="{00000000-0005-0000-0000-0000B9BB0000}"/>
    <cellStyle name="Normal 8 9" xfId="504" xr:uid="{00000000-0005-0000-0000-0000BABB0000}"/>
    <cellStyle name="Normal 80" xfId="48228" xr:uid="{00000000-0005-0000-0000-0000BBBB0000}"/>
    <cellStyle name="Normal 9" xfId="162" xr:uid="{00000000-0005-0000-0000-0000BCBB0000}"/>
    <cellStyle name="Normal 9 10" xfId="48229" xr:uid="{00000000-0005-0000-0000-0000BDBB0000}"/>
    <cellStyle name="Normal 9 10 2" xfId="48230" xr:uid="{00000000-0005-0000-0000-0000BEBB0000}"/>
    <cellStyle name="Normal 9 10 2 2" xfId="48231" xr:uid="{00000000-0005-0000-0000-0000BFBB0000}"/>
    <cellStyle name="Normal 9 10 2 3" xfId="48232" xr:uid="{00000000-0005-0000-0000-0000C0BB0000}"/>
    <cellStyle name="Normal 9 10 3" xfId="48233" xr:uid="{00000000-0005-0000-0000-0000C1BB0000}"/>
    <cellStyle name="Normal 9 10 4" xfId="48234" xr:uid="{00000000-0005-0000-0000-0000C2BB0000}"/>
    <cellStyle name="Normal 9 10 5" xfId="48235" xr:uid="{00000000-0005-0000-0000-0000C3BB0000}"/>
    <cellStyle name="Normal 9 10 6" xfId="48236" xr:uid="{00000000-0005-0000-0000-0000C4BB0000}"/>
    <cellStyle name="Normal 9 11" xfId="48237" xr:uid="{00000000-0005-0000-0000-0000C5BB0000}"/>
    <cellStyle name="Normal 9 11 2" xfId="48238" xr:uid="{00000000-0005-0000-0000-0000C6BB0000}"/>
    <cellStyle name="Normal 9 11 2 2" xfId="48239" xr:uid="{00000000-0005-0000-0000-0000C7BB0000}"/>
    <cellStyle name="Normal 9 11 2 3" xfId="48240" xr:uid="{00000000-0005-0000-0000-0000C8BB0000}"/>
    <cellStyle name="Normal 9 11 3" xfId="48241" xr:uid="{00000000-0005-0000-0000-0000C9BB0000}"/>
    <cellStyle name="Normal 9 11 4" xfId="48242" xr:uid="{00000000-0005-0000-0000-0000CABB0000}"/>
    <cellStyle name="Normal 9 11 5" xfId="48243" xr:uid="{00000000-0005-0000-0000-0000CBBB0000}"/>
    <cellStyle name="Normal 9 11 6" xfId="48244" xr:uid="{00000000-0005-0000-0000-0000CCBB0000}"/>
    <cellStyle name="Normal 9 12" xfId="48245" xr:uid="{00000000-0005-0000-0000-0000CDBB0000}"/>
    <cellStyle name="Normal 9 12 2" xfId="48246" xr:uid="{00000000-0005-0000-0000-0000CEBB0000}"/>
    <cellStyle name="Normal 9 12 2 2" xfId="48247" xr:uid="{00000000-0005-0000-0000-0000CFBB0000}"/>
    <cellStyle name="Normal 9 12 2 3" xfId="48248" xr:uid="{00000000-0005-0000-0000-0000D0BB0000}"/>
    <cellStyle name="Normal 9 12 3" xfId="48249" xr:uid="{00000000-0005-0000-0000-0000D1BB0000}"/>
    <cellStyle name="Normal 9 12 4" xfId="48250" xr:uid="{00000000-0005-0000-0000-0000D2BB0000}"/>
    <cellStyle name="Normal 9 12 5" xfId="48251" xr:uid="{00000000-0005-0000-0000-0000D3BB0000}"/>
    <cellStyle name="Normal 9 12 6" xfId="48252" xr:uid="{00000000-0005-0000-0000-0000D4BB0000}"/>
    <cellStyle name="Normal 9 13" xfId="48253" xr:uid="{00000000-0005-0000-0000-0000D5BB0000}"/>
    <cellStyle name="Normal 9 13 2" xfId="48254" xr:uid="{00000000-0005-0000-0000-0000D6BB0000}"/>
    <cellStyle name="Normal 9 13 2 2" xfId="48255" xr:uid="{00000000-0005-0000-0000-0000D7BB0000}"/>
    <cellStyle name="Normal 9 13 2 3" xfId="48256" xr:uid="{00000000-0005-0000-0000-0000D8BB0000}"/>
    <cellStyle name="Normal 9 13 3" xfId="48257" xr:uid="{00000000-0005-0000-0000-0000D9BB0000}"/>
    <cellStyle name="Normal 9 13 4" xfId="48258" xr:uid="{00000000-0005-0000-0000-0000DABB0000}"/>
    <cellStyle name="Normal 9 13 5" xfId="48259" xr:uid="{00000000-0005-0000-0000-0000DBBB0000}"/>
    <cellStyle name="Normal 9 13 6" xfId="48260" xr:uid="{00000000-0005-0000-0000-0000DCBB0000}"/>
    <cellStyle name="Normal 9 14" xfId="48261" xr:uid="{00000000-0005-0000-0000-0000DDBB0000}"/>
    <cellStyle name="Normal 9 14 2" xfId="48262" xr:uid="{00000000-0005-0000-0000-0000DEBB0000}"/>
    <cellStyle name="Normal 9 14 3" xfId="48263" xr:uid="{00000000-0005-0000-0000-0000DFBB0000}"/>
    <cellStyle name="Normal 9 15" xfId="48264" xr:uid="{00000000-0005-0000-0000-0000E0BB0000}"/>
    <cellStyle name="Normal 9 16" xfId="48265" xr:uid="{00000000-0005-0000-0000-0000E1BB0000}"/>
    <cellStyle name="Normal 9 17" xfId="48266" xr:uid="{00000000-0005-0000-0000-0000E2BB0000}"/>
    <cellStyle name="Normal 9 18" xfId="48267" xr:uid="{00000000-0005-0000-0000-0000E3BB0000}"/>
    <cellStyle name="Normal 9 2" xfId="505" xr:uid="{00000000-0005-0000-0000-0000E4BB0000}"/>
    <cellStyle name="Normal 9 2 10" xfId="48268" xr:uid="{00000000-0005-0000-0000-0000E5BB0000}"/>
    <cellStyle name="Normal 9 2 10 2" xfId="48269" xr:uid="{00000000-0005-0000-0000-0000E6BB0000}"/>
    <cellStyle name="Normal 9 2 10 2 2" xfId="48270" xr:uid="{00000000-0005-0000-0000-0000E7BB0000}"/>
    <cellStyle name="Normal 9 2 10 2 3" xfId="48271" xr:uid="{00000000-0005-0000-0000-0000E8BB0000}"/>
    <cellStyle name="Normal 9 2 10 3" xfId="48272" xr:uid="{00000000-0005-0000-0000-0000E9BB0000}"/>
    <cellStyle name="Normal 9 2 10 4" xfId="48273" xr:uid="{00000000-0005-0000-0000-0000EABB0000}"/>
    <cellStyle name="Normal 9 2 10 5" xfId="48274" xr:uid="{00000000-0005-0000-0000-0000EBBB0000}"/>
    <cellStyle name="Normal 9 2 10 6" xfId="48275" xr:uid="{00000000-0005-0000-0000-0000ECBB0000}"/>
    <cellStyle name="Normal 9 2 11" xfId="48276" xr:uid="{00000000-0005-0000-0000-0000EDBB0000}"/>
    <cellStyle name="Normal 9 2 11 2" xfId="48277" xr:uid="{00000000-0005-0000-0000-0000EEBB0000}"/>
    <cellStyle name="Normal 9 2 11 2 2" xfId="48278" xr:uid="{00000000-0005-0000-0000-0000EFBB0000}"/>
    <cellStyle name="Normal 9 2 11 2 3" xfId="48279" xr:uid="{00000000-0005-0000-0000-0000F0BB0000}"/>
    <cellStyle name="Normal 9 2 11 3" xfId="48280" xr:uid="{00000000-0005-0000-0000-0000F1BB0000}"/>
    <cellStyle name="Normal 9 2 11 4" xfId="48281" xr:uid="{00000000-0005-0000-0000-0000F2BB0000}"/>
    <cellStyle name="Normal 9 2 11 5" xfId="48282" xr:uid="{00000000-0005-0000-0000-0000F3BB0000}"/>
    <cellStyle name="Normal 9 2 11 6" xfId="48283" xr:uid="{00000000-0005-0000-0000-0000F4BB0000}"/>
    <cellStyle name="Normal 9 2 12" xfId="48284" xr:uid="{00000000-0005-0000-0000-0000F5BB0000}"/>
    <cellStyle name="Normal 9 2 12 2" xfId="48285" xr:uid="{00000000-0005-0000-0000-0000F6BB0000}"/>
    <cellStyle name="Normal 9 2 12 2 2" xfId="48286" xr:uid="{00000000-0005-0000-0000-0000F7BB0000}"/>
    <cellStyle name="Normal 9 2 12 2 3" xfId="48287" xr:uid="{00000000-0005-0000-0000-0000F8BB0000}"/>
    <cellStyle name="Normal 9 2 12 3" xfId="48288" xr:uid="{00000000-0005-0000-0000-0000F9BB0000}"/>
    <cellStyle name="Normal 9 2 12 4" xfId="48289" xr:uid="{00000000-0005-0000-0000-0000FABB0000}"/>
    <cellStyle name="Normal 9 2 12 5" xfId="48290" xr:uid="{00000000-0005-0000-0000-0000FBBB0000}"/>
    <cellStyle name="Normal 9 2 12 6" xfId="48291" xr:uid="{00000000-0005-0000-0000-0000FCBB0000}"/>
    <cellStyle name="Normal 9 2 13" xfId="48292" xr:uid="{00000000-0005-0000-0000-0000FDBB0000}"/>
    <cellStyle name="Normal 9 2 13 2" xfId="48293" xr:uid="{00000000-0005-0000-0000-0000FEBB0000}"/>
    <cellStyle name="Normal 9 2 13 3" xfId="48294" xr:uid="{00000000-0005-0000-0000-0000FFBB0000}"/>
    <cellStyle name="Normal 9 2 14" xfId="48295" xr:uid="{00000000-0005-0000-0000-000000BC0000}"/>
    <cellStyle name="Normal 9 2 15" xfId="48296" xr:uid="{00000000-0005-0000-0000-000001BC0000}"/>
    <cellStyle name="Normal 9 2 16" xfId="48297" xr:uid="{00000000-0005-0000-0000-000002BC0000}"/>
    <cellStyle name="Normal 9 2 17" xfId="48298" xr:uid="{00000000-0005-0000-0000-000003BC0000}"/>
    <cellStyle name="Normal 9 2 2" xfId="506" xr:uid="{00000000-0005-0000-0000-000004BC0000}"/>
    <cellStyle name="Normal 9 2 2 10" xfId="48299" xr:uid="{00000000-0005-0000-0000-000005BC0000}"/>
    <cellStyle name="Normal 9 2 2 10 2" xfId="48300" xr:uid="{00000000-0005-0000-0000-000006BC0000}"/>
    <cellStyle name="Normal 9 2 2 10 2 2" xfId="48301" xr:uid="{00000000-0005-0000-0000-000007BC0000}"/>
    <cellStyle name="Normal 9 2 2 10 2 3" xfId="48302" xr:uid="{00000000-0005-0000-0000-000008BC0000}"/>
    <cellStyle name="Normal 9 2 2 10 3" xfId="48303" xr:uid="{00000000-0005-0000-0000-000009BC0000}"/>
    <cellStyle name="Normal 9 2 2 10 4" xfId="48304" xr:uid="{00000000-0005-0000-0000-00000ABC0000}"/>
    <cellStyle name="Normal 9 2 2 10 5" xfId="48305" xr:uid="{00000000-0005-0000-0000-00000BBC0000}"/>
    <cellStyle name="Normal 9 2 2 10 6" xfId="48306" xr:uid="{00000000-0005-0000-0000-00000CBC0000}"/>
    <cellStyle name="Normal 9 2 2 11" xfId="48307" xr:uid="{00000000-0005-0000-0000-00000DBC0000}"/>
    <cellStyle name="Normal 9 2 2 11 2" xfId="48308" xr:uid="{00000000-0005-0000-0000-00000EBC0000}"/>
    <cellStyle name="Normal 9 2 2 11 2 2" xfId="48309" xr:uid="{00000000-0005-0000-0000-00000FBC0000}"/>
    <cellStyle name="Normal 9 2 2 11 2 3" xfId="48310" xr:uid="{00000000-0005-0000-0000-000010BC0000}"/>
    <cellStyle name="Normal 9 2 2 11 3" xfId="48311" xr:uid="{00000000-0005-0000-0000-000011BC0000}"/>
    <cellStyle name="Normal 9 2 2 11 4" xfId="48312" xr:uid="{00000000-0005-0000-0000-000012BC0000}"/>
    <cellStyle name="Normal 9 2 2 11 5" xfId="48313" xr:uid="{00000000-0005-0000-0000-000013BC0000}"/>
    <cellStyle name="Normal 9 2 2 11 6" xfId="48314" xr:uid="{00000000-0005-0000-0000-000014BC0000}"/>
    <cellStyle name="Normal 9 2 2 12" xfId="48315" xr:uid="{00000000-0005-0000-0000-000015BC0000}"/>
    <cellStyle name="Normal 9 2 2 12 2" xfId="48316" xr:uid="{00000000-0005-0000-0000-000016BC0000}"/>
    <cellStyle name="Normal 9 2 2 12 3" xfId="48317" xr:uid="{00000000-0005-0000-0000-000017BC0000}"/>
    <cellStyle name="Normal 9 2 2 13" xfId="48318" xr:uid="{00000000-0005-0000-0000-000018BC0000}"/>
    <cellStyle name="Normal 9 2 2 14" xfId="48319" xr:uid="{00000000-0005-0000-0000-000019BC0000}"/>
    <cellStyle name="Normal 9 2 2 15" xfId="48320" xr:uid="{00000000-0005-0000-0000-00001ABC0000}"/>
    <cellStyle name="Normal 9 2 2 16" xfId="48321" xr:uid="{00000000-0005-0000-0000-00001BBC0000}"/>
    <cellStyle name="Normal 9 2 2 2" xfId="48322" xr:uid="{00000000-0005-0000-0000-00001CBC0000}"/>
    <cellStyle name="Normal 9 2 2 2 10" xfId="48323" xr:uid="{00000000-0005-0000-0000-00001DBC0000}"/>
    <cellStyle name="Normal 9 2 2 2 10 2" xfId="48324" xr:uid="{00000000-0005-0000-0000-00001EBC0000}"/>
    <cellStyle name="Normal 9 2 2 2 10 3" xfId="48325" xr:uid="{00000000-0005-0000-0000-00001FBC0000}"/>
    <cellStyle name="Normal 9 2 2 2 11" xfId="48326" xr:uid="{00000000-0005-0000-0000-000020BC0000}"/>
    <cellStyle name="Normal 9 2 2 2 12" xfId="48327" xr:uid="{00000000-0005-0000-0000-000021BC0000}"/>
    <cellStyle name="Normal 9 2 2 2 13" xfId="48328" xr:uid="{00000000-0005-0000-0000-000022BC0000}"/>
    <cellStyle name="Normal 9 2 2 2 14" xfId="48329" xr:uid="{00000000-0005-0000-0000-000023BC0000}"/>
    <cellStyle name="Normal 9 2 2 2 2" xfId="48330" xr:uid="{00000000-0005-0000-0000-000024BC0000}"/>
    <cellStyle name="Normal 9 2 2 2 2 10" xfId="48331" xr:uid="{00000000-0005-0000-0000-000025BC0000}"/>
    <cellStyle name="Normal 9 2 2 2 2 11" xfId="48332" xr:uid="{00000000-0005-0000-0000-000026BC0000}"/>
    <cellStyle name="Normal 9 2 2 2 2 12" xfId="48333" xr:uid="{00000000-0005-0000-0000-000027BC0000}"/>
    <cellStyle name="Normal 9 2 2 2 2 13" xfId="48334" xr:uid="{00000000-0005-0000-0000-000028BC0000}"/>
    <cellStyle name="Normal 9 2 2 2 2 2" xfId="48335" xr:uid="{00000000-0005-0000-0000-000029BC0000}"/>
    <cellStyle name="Normal 9 2 2 2 2 2 10" xfId="48336" xr:uid="{00000000-0005-0000-0000-00002ABC0000}"/>
    <cellStyle name="Normal 9 2 2 2 2 2 2" xfId="48337" xr:uid="{00000000-0005-0000-0000-00002BBC0000}"/>
    <cellStyle name="Normal 9 2 2 2 2 2 2 2" xfId="48338" xr:uid="{00000000-0005-0000-0000-00002CBC0000}"/>
    <cellStyle name="Normal 9 2 2 2 2 2 2 2 2" xfId="48339" xr:uid="{00000000-0005-0000-0000-00002DBC0000}"/>
    <cellStyle name="Normal 9 2 2 2 2 2 2 2 2 2" xfId="48340" xr:uid="{00000000-0005-0000-0000-00002EBC0000}"/>
    <cellStyle name="Normal 9 2 2 2 2 2 2 2 2 3" xfId="48341" xr:uid="{00000000-0005-0000-0000-00002FBC0000}"/>
    <cellStyle name="Normal 9 2 2 2 2 2 2 2 3" xfId="48342" xr:uid="{00000000-0005-0000-0000-000030BC0000}"/>
    <cellStyle name="Normal 9 2 2 2 2 2 2 2 4" xfId="48343" xr:uid="{00000000-0005-0000-0000-000031BC0000}"/>
    <cellStyle name="Normal 9 2 2 2 2 2 2 2 5" xfId="48344" xr:uid="{00000000-0005-0000-0000-000032BC0000}"/>
    <cellStyle name="Normal 9 2 2 2 2 2 2 2 6" xfId="48345" xr:uid="{00000000-0005-0000-0000-000033BC0000}"/>
    <cellStyle name="Normal 9 2 2 2 2 2 2 3" xfId="48346" xr:uid="{00000000-0005-0000-0000-000034BC0000}"/>
    <cellStyle name="Normal 9 2 2 2 2 2 2 3 2" xfId="48347" xr:uid="{00000000-0005-0000-0000-000035BC0000}"/>
    <cellStyle name="Normal 9 2 2 2 2 2 2 3 2 2" xfId="48348" xr:uid="{00000000-0005-0000-0000-000036BC0000}"/>
    <cellStyle name="Normal 9 2 2 2 2 2 2 3 2 3" xfId="48349" xr:uid="{00000000-0005-0000-0000-000037BC0000}"/>
    <cellStyle name="Normal 9 2 2 2 2 2 2 3 3" xfId="48350" xr:uid="{00000000-0005-0000-0000-000038BC0000}"/>
    <cellStyle name="Normal 9 2 2 2 2 2 2 3 4" xfId="48351" xr:uid="{00000000-0005-0000-0000-000039BC0000}"/>
    <cellStyle name="Normal 9 2 2 2 2 2 2 3 5" xfId="48352" xr:uid="{00000000-0005-0000-0000-00003ABC0000}"/>
    <cellStyle name="Normal 9 2 2 2 2 2 2 3 6" xfId="48353" xr:uid="{00000000-0005-0000-0000-00003BBC0000}"/>
    <cellStyle name="Normal 9 2 2 2 2 2 2 4" xfId="48354" xr:uid="{00000000-0005-0000-0000-00003CBC0000}"/>
    <cellStyle name="Normal 9 2 2 2 2 2 2 4 2" xfId="48355" xr:uid="{00000000-0005-0000-0000-00003DBC0000}"/>
    <cellStyle name="Normal 9 2 2 2 2 2 2 4 3" xfId="48356" xr:uid="{00000000-0005-0000-0000-00003EBC0000}"/>
    <cellStyle name="Normal 9 2 2 2 2 2 2 5" xfId="48357" xr:uid="{00000000-0005-0000-0000-00003FBC0000}"/>
    <cellStyle name="Normal 9 2 2 2 2 2 2 6" xfId="48358" xr:uid="{00000000-0005-0000-0000-000040BC0000}"/>
    <cellStyle name="Normal 9 2 2 2 2 2 2 7" xfId="48359" xr:uid="{00000000-0005-0000-0000-000041BC0000}"/>
    <cellStyle name="Normal 9 2 2 2 2 2 2 8" xfId="48360" xr:uid="{00000000-0005-0000-0000-000042BC0000}"/>
    <cellStyle name="Normal 9 2 2 2 2 2 3" xfId="48361" xr:uid="{00000000-0005-0000-0000-000043BC0000}"/>
    <cellStyle name="Normal 9 2 2 2 2 2 3 2" xfId="48362" xr:uid="{00000000-0005-0000-0000-000044BC0000}"/>
    <cellStyle name="Normal 9 2 2 2 2 2 3 2 2" xfId="48363" xr:uid="{00000000-0005-0000-0000-000045BC0000}"/>
    <cellStyle name="Normal 9 2 2 2 2 2 3 2 2 2" xfId="48364" xr:uid="{00000000-0005-0000-0000-000046BC0000}"/>
    <cellStyle name="Normal 9 2 2 2 2 2 3 2 2 3" xfId="48365" xr:uid="{00000000-0005-0000-0000-000047BC0000}"/>
    <cellStyle name="Normal 9 2 2 2 2 2 3 2 3" xfId="48366" xr:uid="{00000000-0005-0000-0000-000048BC0000}"/>
    <cellStyle name="Normal 9 2 2 2 2 2 3 2 4" xfId="48367" xr:uid="{00000000-0005-0000-0000-000049BC0000}"/>
    <cellStyle name="Normal 9 2 2 2 2 2 3 2 5" xfId="48368" xr:uid="{00000000-0005-0000-0000-00004ABC0000}"/>
    <cellStyle name="Normal 9 2 2 2 2 2 3 2 6" xfId="48369" xr:uid="{00000000-0005-0000-0000-00004BBC0000}"/>
    <cellStyle name="Normal 9 2 2 2 2 2 3 3" xfId="48370" xr:uid="{00000000-0005-0000-0000-00004CBC0000}"/>
    <cellStyle name="Normal 9 2 2 2 2 2 3 3 2" xfId="48371" xr:uid="{00000000-0005-0000-0000-00004DBC0000}"/>
    <cellStyle name="Normal 9 2 2 2 2 2 3 3 3" xfId="48372" xr:uid="{00000000-0005-0000-0000-00004EBC0000}"/>
    <cellStyle name="Normal 9 2 2 2 2 2 3 4" xfId="48373" xr:uid="{00000000-0005-0000-0000-00004FBC0000}"/>
    <cellStyle name="Normal 9 2 2 2 2 2 3 5" xfId="48374" xr:uid="{00000000-0005-0000-0000-000050BC0000}"/>
    <cellStyle name="Normal 9 2 2 2 2 2 3 6" xfId="48375" xr:uid="{00000000-0005-0000-0000-000051BC0000}"/>
    <cellStyle name="Normal 9 2 2 2 2 2 3 7" xfId="48376" xr:uid="{00000000-0005-0000-0000-000052BC0000}"/>
    <cellStyle name="Normal 9 2 2 2 2 2 4" xfId="48377" xr:uid="{00000000-0005-0000-0000-000053BC0000}"/>
    <cellStyle name="Normal 9 2 2 2 2 2 4 2" xfId="48378" xr:uid="{00000000-0005-0000-0000-000054BC0000}"/>
    <cellStyle name="Normal 9 2 2 2 2 2 4 2 2" xfId="48379" xr:uid="{00000000-0005-0000-0000-000055BC0000}"/>
    <cellStyle name="Normal 9 2 2 2 2 2 4 2 3" xfId="48380" xr:uid="{00000000-0005-0000-0000-000056BC0000}"/>
    <cellStyle name="Normal 9 2 2 2 2 2 4 3" xfId="48381" xr:uid="{00000000-0005-0000-0000-000057BC0000}"/>
    <cellStyle name="Normal 9 2 2 2 2 2 4 4" xfId="48382" xr:uid="{00000000-0005-0000-0000-000058BC0000}"/>
    <cellStyle name="Normal 9 2 2 2 2 2 4 5" xfId="48383" xr:uid="{00000000-0005-0000-0000-000059BC0000}"/>
    <cellStyle name="Normal 9 2 2 2 2 2 4 6" xfId="48384" xr:uid="{00000000-0005-0000-0000-00005ABC0000}"/>
    <cellStyle name="Normal 9 2 2 2 2 2 5" xfId="48385" xr:uid="{00000000-0005-0000-0000-00005BBC0000}"/>
    <cellStyle name="Normal 9 2 2 2 2 2 5 2" xfId="48386" xr:uid="{00000000-0005-0000-0000-00005CBC0000}"/>
    <cellStyle name="Normal 9 2 2 2 2 2 5 2 2" xfId="48387" xr:uid="{00000000-0005-0000-0000-00005DBC0000}"/>
    <cellStyle name="Normal 9 2 2 2 2 2 5 2 3" xfId="48388" xr:uid="{00000000-0005-0000-0000-00005EBC0000}"/>
    <cellStyle name="Normal 9 2 2 2 2 2 5 3" xfId="48389" xr:uid="{00000000-0005-0000-0000-00005FBC0000}"/>
    <cellStyle name="Normal 9 2 2 2 2 2 5 4" xfId="48390" xr:uid="{00000000-0005-0000-0000-000060BC0000}"/>
    <cellStyle name="Normal 9 2 2 2 2 2 5 5" xfId="48391" xr:uid="{00000000-0005-0000-0000-000061BC0000}"/>
    <cellStyle name="Normal 9 2 2 2 2 2 5 6" xfId="48392" xr:uid="{00000000-0005-0000-0000-000062BC0000}"/>
    <cellStyle name="Normal 9 2 2 2 2 2 6" xfId="48393" xr:uid="{00000000-0005-0000-0000-000063BC0000}"/>
    <cellStyle name="Normal 9 2 2 2 2 2 6 2" xfId="48394" xr:uid="{00000000-0005-0000-0000-000064BC0000}"/>
    <cellStyle name="Normal 9 2 2 2 2 2 6 3" xfId="48395" xr:uid="{00000000-0005-0000-0000-000065BC0000}"/>
    <cellStyle name="Normal 9 2 2 2 2 2 7" xfId="48396" xr:uid="{00000000-0005-0000-0000-000066BC0000}"/>
    <cellStyle name="Normal 9 2 2 2 2 2 8" xfId="48397" xr:uid="{00000000-0005-0000-0000-000067BC0000}"/>
    <cellStyle name="Normal 9 2 2 2 2 2 9" xfId="48398" xr:uid="{00000000-0005-0000-0000-000068BC0000}"/>
    <cellStyle name="Normal 9 2 2 2 2 3" xfId="48399" xr:uid="{00000000-0005-0000-0000-000069BC0000}"/>
    <cellStyle name="Normal 9 2 2 2 2 3 2" xfId="48400" xr:uid="{00000000-0005-0000-0000-00006ABC0000}"/>
    <cellStyle name="Normal 9 2 2 2 2 3 2 2" xfId="48401" xr:uid="{00000000-0005-0000-0000-00006BBC0000}"/>
    <cellStyle name="Normal 9 2 2 2 2 3 2 2 2" xfId="48402" xr:uid="{00000000-0005-0000-0000-00006CBC0000}"/>
    <cellStyle name="Normal 9 2 2 2 2 3 2 2 2 2" xfId="48403" xr:uid="{00000000-0005-0000-0000-00006DBC0000}"/>
    <cellStyle name="Normal 9 2 2 2 2 3 2 2 2 3" xfId="48404" xr:uid="{00000000-0005-0000-0000-00006EBC0000}"/>
    <cellStyle name="Normal 9 2 2 2 2 3 2 2 3" xfId="48405" xr:uid="{00000000-0005-0000-0000-00006FBC0000}"/>
    <cellStyle name="Normal 9 2 2 2 2 3 2 2 4" xfId="48406" xr:uid="{00000000-0005-0000-0000-000070BC0000}"/>
    <cellStyle name="Normal 9 2 2 2 2 3 2 2 5" xfId="48407" xr:uid="{00000000-0005-0000-0000-000071BC0000}"/>
    <cellStyle name="Normal 9 2 2 2 2 3 2 2 6" xfId="48408" xr:uid="{00000000-0005-0000-0000-000072BC0000}"/>
    <cellStyle name="Normal 9 2 2 2 2 3 2 3" xfId="48409" xr:uid="{00000000-0005-0000-0000-000073BC0000}"/>
    <cellStyle name="Normal 9 2 2 2 2 3 2 3 2" xfId="48410" xr:uid="{00000000-0005-0000-0000-000074BC0000}"/>
    <cellStyle name="Normal 9 2 2 2 2 3 2 3 3" xfId="48411" xr:uid="{00000000-0005-0000-0000-000075BC0000}"/>
    <cellStyle name="Normal 9 2 2 2 2 3 2 4" xfId="48412" xr:uid="{00000000-0005-0000-0000-000076BC0000}"/>
    <cellStyle name="Normal 9 2 2 2 2 3 2 5" xfId="48413" xr:uid="{00000000-0005-0000-0000-000077BC0000}"/>
    <cellStyle name="Normal 9 2 2 2 2 3 2 6" xfId="48414" xr:uid="{00000000-0005-0000-0000-000078BC0000}"/>
    <cellStyle name="Normal 9 2 2 2 2 3 2 7" xfId="48415" xr:uid="{00000000-0005-0000-0000-000079BC0000}"/>
    <cellStyle name="Normal 9 2 2 2 2 3 3" xfId="48416" xr:uid="{00000000-0005-0000-0000-00007ABC0000}"/>
    <cellStyle name="Normal 9 2 2 2 2 3 3 2" xfId="48417" xr:uid="{00000000-0005-0000-0000-00007BBC0000}"/>
    <cellStyle name="Normal 9 2 2 2 2 3 3 2 2" xfId="48418" xr:uid="{00000000-0005-0000-0000-00007CBC0000}"/>
    <cellStyle name="Normal 9 2 2 2 2 3 3 2 3" xfId="48419" xr:uid="{00000000-0005-0000-0000-00007DBC0000}"/>
    <cellStyle name="Normal 9 2 2 2 2 3 3 3" xfId="48420" xr:uid="{00000000-0005-0000-0000-00007EBC0000}"/>
    <cellStyle name="Normal 9 2 2 2 2 3 3 4" xfId="48421" xr:uid="{00000000-0005-0000-0000-00007FBC0000}"/>
    <cellStyle name="Normal 9 2 2 2 2 3 3 5" xfId="48422" xr:uid="{00000000-0005-0000-0000-000080BC0000}"/>
    <cellStyle name="Normal 9 2 2 2 2 3 3 6" xfId="48423" xr:uid="{00000000-0005-0000-0000-000081BC0000}"/>
    <cellStyle name="Normal 9 2 2 2 2 3 4" xfId="48424" xr:uid="{00000000-0005-0000-0000-000082BC0000}"/>
    <cellStyle name="Normal 9 2 2 2 2 3 4 2" xfId="48425" xr:uid="{00000000-0005-0000-0000-000083BC0000}"/>
    <cellStyle name="Normal 9 2 2 2 2 3 4 2 2" xfId="48426" xr:uid="{00000000-0005-0000-0000-000084BC0000}"/>
    <cellStyle name="Normal 9 2 2 2 2 3 4 2 3" xfId="48427" xr:uid="{00000000-0005-0000-0000-000085BC0000}"/>
    <cellStyle name="Normal 9 2 2 2 2 3 4 3" xfId="48428" xr:uid="{00000000-0005-0000-0000-000086BC0000}"/>
    <cellStyle name="Normal 9 2 2 2 2 3 4 4" xfId="48429" xr:uid="{00000000-0005-0000-0000-000087BC0000}"/>
    <cellStyle name="Normal 9 2 2 2 2 3 4 5" xfId="48430" xr:uid="{00000000-0005-0000-0000-000088BC0000}"/>
    <cellStyle name="Normal 9 2 2 2 2 3 4 6" xfId="48431" xr:uid="{00000000-0005-0000-0000-000089BC0000}"/>
    <cellStyle name="Normal 9 2 2 2 2 3 5" xfId="48432" xr:uid="{00000000-0005-0000-0000-00008ABC0000}"/>
    <cellStyle name="Normal 9 2 2 2 2 3 5 2" xfId="48433" xr:uid="{00000000-0005-0000-0000-00008BBC0000}"/>
    <cellStyle name="Normal 9 2 2 2 2 3 5 3" xfId="48434" xr:uid="{00000000-0005-0000-0000-00008CBC0000}"/>
    <cellStyle name="Normal 9 2 2 2 2 3 6" xfId="48435" xr:uid="{00000000-0005-0000-0000-00008DBC0000}"/>
    <cellStyle name="Normal 9 2 2 2 2 3 7" xfId="48436" xr:uid="{00000000-0005-0000-0000-00008EBC0000}"/>
    <cellStyle name="Normal 9 2 2 2 2 3 8" xfId="48437" xr:uid="{00000000-0005-0000-0000-00008FBC0000}"/>
    <cellStyle name="Normal 9 2 2 2 2 3 9" xfId="48438" xr:uid="{00000000-0005-0000-0000-000090BC0000}"/>
    <cellStyle name="Normal 9 2 2 2 2 4" xfId="48439" xr:uid="{00000000-0005-0000-0000-000091BC0000}"/>
    <cellStyle name="Normal 9 2 2 2 2 4 2" xfId="48440" xr:uid="{00000000-0005-0000-0000-000092BC0000}"/>
    <cellStyle name="Normal 9 2 2 2 2 4 2 2" xfId="48441" xr:uid="{00000000-0005-0000-0000-000093BC0000}"/>
    <cellStyle name="Normal 9 2 2 2 2 4 2 2 2" xfId="48442" xr:uid="{00000000-0005-0000-0000-000094BC0000}"/>
    <cellStyle name="Normal 9 2 2 2 2 4 2 2 3" xfId="48443" xr:uid="{00000000-0005-0000-0000-000095BC0000}"/>
    <cellStyle name="Normal 9 2 2 2 2 4 2 3" xfId="48444" xr:uid="{00000000-0005-0000-0000-000096BC0000}"/>
    <cellStyle name="Normal 9 2 2 2 2 4 2 4" xfId="48445" xr:uid="{00000000-0005-0000-0000-000097BC0000}"/>
    <cellStyle name="Normal 9 2 2 2 2 4 2 5" xfId="48446" xr:uid="{00000000-0005-0000-0000-000098BC0000}"/>
    <cellStyle name="Normal 9 2 2 2 2 4 2 6" xfId="48447" xr:uid="{00000000-0005-0000-0000-000099BC0000}"/>
    <cellStyle name="Normal 9 2 2 2 2 4 3" xfId="48448" xr:uid="{00000000-0005-0000-0000-00009ABC0000}"/>
    <cellStyle name="Normal 9 2 2 2 2 4 3 2" xfId="48449" xr:uid="{00000000-0005-0000-0000-00009BBC0000}"/>
    <cellStyle name="Normal 9 2 2 2 2 4 3 3" xfId="48450" xr:uid="{00000000-0005-0000-0000-00009CBC0000}"/>
    <cellStyle name="Normal 9 2 2 2 2 4 4" xfId="48451" xr:uid="{00000000-0005-0000-0000-00009DBC0000}"/>
    <cellStyle name="Normal 9 2 2 2 2 4 5" xfId="48452" xr:uid="{00000000-0005-0000-0000-00009EBC0000}"/>
    <cellStyle name="Normal 9 2 2 2 2 4 6" xfId="48453" xr:uid="{00000000-0005-0000-0000-00009FBC0000}"/>
    <cellStyle name="Normal 9 2 2 2 2 4 7" xfId="48454" xr:uid="{00000000-0005-0000-0000-0000A0BC0000}"/>
    <cellStyle name="Normal 9 2 2 2 2 5" xfId="48455" xr:uid="{00000000-0005-0000-0000-0000A1BC0000}"/>
    <cellStyle name="Normal 9 2 2 2 2 5 2" xfId="48456" xr:uid="{00000000-0005-0000-0000-0000A2BC0000}"/>
    <cellStyle name="Normal 9 2 2 2 2 5 2 2" xfId="48457" xr:uid="{00000000-0005-0000-0000-0000A3BC0000}"/>
    <cellStyle name="Normal 9 2 2 2 2 5 2 3" xfId="48458" xr:uid="{00000000-0005-0000-0000-0000A4BC0000}"/>
    <cellStyle name="Normal 9 2 2 2 2 5 3" xfId="48459" xr:uid="{00000000-0005-0000-0000-0000A5BC0000}"/>
    <cellStyle name="Normal 9 2 2 2 2 5 4" xfId="48460" xr:uid="{00000000-0005-0000-0000-0000A6BC0000}"/>
    <cellStyle name="Normal 9 2 2 2 2 5 5" xfId="48461" xr:uid="{00000000-0005-0000-0000-0000A7BC0000}"/>
    <cellStyle name="Normal 9 2 2 2 2 5 6" xfId="48462" xr:uid="{00000000-0005-0000-0000-0000A8BC0000}"/>
    <cellStyle name="Normal 9 2 2 2 2 6" xfId="48463" xr:uid="{00000000-0005-0000-0000-0000A9BC0000}"/>
    <cellStyle name="Normal 9 2 2 2 2 6 2" xfId="48464" xr:uid="{00000000-0005-0000-0000-0000AABC0000}"/>
    <cellStyle name="Normal 9 2 2 2 2 6 2 2" xfId="48465" xr:uid="{00000000-0005-0000-0000-0000ABBC0000}"/>
    <cellStyle name="Normal 9 2 2 2 2 6 2 3" xfId="48466" xr:uid="{00000000-0005-0000-0000-0000ACBC0000}"/>
    <cellStyle name="Normal 9 2 2 2 2 6 3" xfId="48467" xr:uid="{00000000-0005-0000-0000-0000ADBC0000}"/>
    <cellStyle name="Normal 9 2 2 2 2 6 4" xfId="48468" xr:uid="{00000000-0005-0000-0000-0000AEBC0000}"/>
    <cellStyle name="Normal 9 2 2 2 2 6 5" xfId="48469" xr:uid="{00000000-0005-0000-0000-0000AFBC0000}"/>
    <cellStyle name="Normal 9 2 2 2 2 6 6" xfId="48470" xr:uid="{00000000-0005-0000-0000-0000B0BC0000}"/>
    <cellStyle name="Normal 9 2 2 2 2 7" xfId="48471" xr:uid="{00000000-0005-0000-0000-0000B1BC0000}"/>
    <cellStyle name="Normal 9 2 2 2 2 7 2" xfId="48472" xr:uid="{00000000-0005-0000-0000-0000B2BC0000}"/>
    <cellStyle name="Normal 9 2 2 2 2 7 2 2" xfId="48473" xr:uid="{00000000-0005-0000-0000-0000B3BC0000}"/>
    <cellStyle name="Normal 9 2 2 2 2 7 2 3" xfId="48474" xr:uid="{00000000-0005-0000-0000-0000B4BC0000}"/>
    <cellStyle name="Normal 9 2 2 2 2 7 3" xfId="48475" xr:uid="{00000000-0005-0000-0000-0000B5BC0000}"/>
    <cellStyle name="Normal 9 2 2 2 2 7 4" xfId="48476" xr:uid="{00000000-0005-0000-0000-0000B6BC0000}"/>
    <cellStyle name="Normal 9 2 2 2 2 7 5" xfId="48477" xr:uid="{00000000-0005-0000-0000-0000B7BC0000}"/>
    <cellStyle name="Normal 9 2 2 2 2 7 6" xfId="48478" xr:uid="{00000000-0005-0000-0000-0000B8BC0000}"/>
    <cellStyle name="Normal 9 2 2 2 2 8" xfId="48479" xr:uid="{00000000-0005-0000-0000-0000B9BC0000}"/>
    <cellStyle name="Normal 9 2 2 2 2 8 2" xfId="48480" xr:uid="{00000000-0005-0000-0000-0000BABC0000}"/>
    <cellStyle name="Normal 9 2 2 2 2 8 2 2" xfId="48481" xr:uid="{00000000-0005-0000-0000-0000BBBC0000}"/>
    <cellStyle name="Normal 9 2 2 2 2 8 2 3" xfId="48482" xr:uid="{00000000-0005-0000-0000-0000BCBC0000}"/>
    <cellStyle name="Normal 9 2 2 2 2 8 3" xfId="48483" xr:uid="{00000000-0005-0000-0000-0000BDBC0000}"/>
    <cellStyle name="Normal 9 2 2 2 2 8 4" xfId="48484" xr:uid="{00000000-0005-0000-0000-0000BEBC0000}"/>
    <cellStyle name="Normal 9 2 2 2 2 8 5" xfId="48485" xr:uid="{00000000-0005-0000-0000-0000BFBC0000}"/>
    <cellStyle name="Normal 9 2 2 2 2 8 6" xfId="48486" xr:uid="{00000000-0005-0000-0000-0000C0BC0000}"/>
    <cellStyle name="Normal 9 2 2 2 2 9" xfId="48487" xr:uid="{00000000-0005-0000-0000-0000C1BC0000}"/>
    <cellStyle name="Normal 9 2 2 2 2 9 2" xfId="48488" xr:uid="{00000000-0005-0000-0000-0000C2BC0000}"/>
    <cellStyle name="Normal 9 2 2 2 2 9 3" xfId="48489" xr:uid="{00000000-0005-0000-0000-0000C3BC0000}"/>
    <cellStyle name="Normal 9 2 2 2 3" xfId="48490" xr:uid="{00000000-0005-0000-0000-0000C4BC0000}"/>
    <cellStyle name="Normal 9 2 2 2 3 10" xfId="48491" xr:uid="{00000000-0005-0000-0000-0000C5BC0000}"/>
    <cellStyle name="Normal 9 2 2 2 3 2" xfId="48492" xr:uid="{00000000-0005-0000-0000-0000C6BC0000}"/>
    <cellStyle name="Normal 9 2 2 2 3 2 2" xfId="48493" xr:uid="{00000000-0005-0000-0000-0000C7BC0000}"/>
    <cellStyle name="Normal 9 2 2 2 3 2 2 2" xfId="48494" xr:uid="{00000000-0005-0000-0000-0000C8BC0000}"/>
    <cellStyle name="Normal 9 2 2 2 3 2 2 2 2" xfId="48495" xr:uid="{00000000-0005-0000-0000-0000C9BC0000}"/>
    <cellStyle name="Normal 9 2 2 2 3 2 2 2 3" xfId="48496" xr:uid="{00000000-0005-0000-0000-0000CABC0000}"/>
    <cellStyle name="Normal 9 2 2 2 3 2 2 3" xfId="48497" xr:uid="{00000000-0005-0000-0000-0000CBBC0000}"/>
    <cellStyle name="Normal 9 2 2 2 3 2 2 4" xfId="48498" xr:uid="{00000000-0005-0000-0000-0000CCBC0000}"/>
    <cellStyle name="Normal 9 2 2 2 3 2 2 5" xfId="48499" xr:uid="{00000000-0005-0000-0000-0000CDBC0000}"/>
    <cellStyle name="Normal 9 2 2 2 3 2 2 6" xfId="48500" xr:uid="{00000000-0005-0000-0000-0000CEBC0000}"/>
    <cellStyle name="Normal 9 2 2 2 3 2 3" xfId="48501" xr:uid="{00000000-0005-0000-0000-0000CFBC0000}"/>
    <cellStyle name="Normal 9 2 2 2 3 2 3 2" xfId="48502" xr:uid="{00000000-0005-0000-0000-0000D0BC0000}"/>
    <cellStyle name="Normal 9 2 2 2 3 2 3 2 2" xfId="48503" xr:uid="{00000000-0005-0000-0000-0000D1BC0000}"/>
    <cellStyle name="Normal 9 2 2 2 3 2 3 2 3" xfId="48504" xr:uid="{00000000-0005-0000-0000-0000D2BC0000}"/>
    <cellStyle name="Normal 9 2 2 2 3 2 3 3" xfId="48505" xr:uid="{00000000-0005-0000-0000-0000D3BC0000}"/>
    <cellStyle name="Normal 9 2 2 2 3 2 3 4" xfId="48506" xr:uid="{00000000-0005-0000-0000-0000D4BC0000}"/>
    <cellStyle name="Normal 9 2 2 2 3 2 3 5" xfId="48507" xr:uid="{00000000-0005-0000-0000-0000D5BC0000}"/>
    <cellStyle name="Normal 9 2 2 2 3 2 3 6" xfId="48508" xr:uid="{00000000-0005-0000-0000-0000D6BC0000}"/>
    <cellStyle name="Normal 9 2 2 2 3 2 4" xfId="48509" xr:uid="{00000000-0005-0000-0000-0000D7BC0000}"/>
    <cellStyle name="Normal 9 2 2 2 3 2 4 2" xfId="48510" xr:uid="{00000000-0005-0000-0000-0000D8BC0000}"/>
    <cellStyle name="Normal 9 2 2 2 3 2 4 3" xfId="48511" xr:uid="{00000000-0005-0000-0000-0000D9BC0000}"/>
    <cellStyle name="Normal 9 2 2 2 3 2 5" xfId="48512" xr:uid="{00000000-0005-0000-0000-0000DABC0000}"/>
    <cellStyle name="Normal 9 2 2 2 3 2 6" xfId="48513" xr:uid="{00000000-0005-0000-0000-0000DBBC0000}"/>
    <cellStyle name="Normal 9 2 2 2 3 2 7" xfId="48514" xr:uid="{00000000-0005-0000-0000-0000DCBC0000}"/>
    <cellStyle name="Normal 9 2 2 2 3 2 8" xfId="48515" xr:uid="{00000000-0005-0000-0000-0000DDBC0000}"/>
    <cellStyle name="Normal 9 2 2 2 3 3" xfId="48516" xr:uid="{00000000-0005-0000-0000-0000DEBC0000}"/>
    <cellStyle name="Normal 9 2 2 2 3 3 2" xfId="48517" xr:uid="{00000000-0005-0000-0000-0000DFBC0000}"/>
    <cellStyle name="Normal 9 2 2 2 3 3 2 2" xfId="48518" xr:uid="{00000000-0005-0000-0000-0000E0BC0000}"/>
    <cellStyle name="Normal 9 2 2 2 3 3 2 2 2" xfId="48519" xr:uid="{00000000-0005-0000-0000-0000E1BC0000}"/>
    <cellStyle name="Normal 9 2 2 2 3 3 2 2 3" xfId="48520" xr:uid="{00000000-0005-0000-0000-0000E2BC0000}"/>
    <cellStyle name="Normal 9 2 2 2 3 3 2 3" xfId="48521" xr:uid="{00000000-0005-0000-0000-0000E3BC0000}"/>
    <cellStyle name="Normal 9 2 2 2 3 3 2 4" xfId="48522" xr:uid="{00000000-0005-0000-0000-0000E4BC0000}"/>
    <cellStyle name="Normal 9 2 2 2 3 3 2 5" xfId="48523" xr:uid="{00000000-0005-0000-0000-0000E5BC0000}"/>
    <cellStyle name="Normal 9 2 2 2 3 3 2 6" xfId="48524" xr:uid="{00000000-0005-0000-0000-0000E6BC0000}"/>
    <cellStyle name="Normal 9 2 2 2 3 3 3" xfId="48525" xr:uid="{00000000-0005-0000-0000-0000E7BC0000}"/>
    <cellStyle name="Normal 9 2 2 2 3 3 3 2" xfId="48526" xr:uid="{00000000-0005-0000-0000-0000E8BC0000}"/>
    <cellStyle name="Normal 9 2 2 2 3 3 3 3" xfId="48527" xr:uid="{00000000-0005-0000-0000-0000E9BC0000}"/>
    <cellStyle name="Normal 9 2 2 2 3 3 4" xfId="48528" xr:uid="{00000000-0005-0000-0000-0000EABC0000}"/>
    <cellStyle name="Normal 9 2 2 2 3 3 5" xfId="48529" xr:uid="{00000000-0005-0000-0000-0000EBBC0000}"/>
    <cellStyle name="Normal 9 2 2 2 3 3 6" xfId="48530" xr:uid="{00000000-0005-0000-0000-0000ECBC0000}"/>
    <cellStyle name="Normal 9 2 2 2 3 3 7" xfId="48531" xr:uid="{00000000-0005-0000-0000-0000EDBC0000}"/>
    <cellStyle name="Normal 9 2 2 2 3 4" xfId="48532" xr:uid="{00000000-0005-0000-0000-0000EEBC0000}"/>
    <cellStyle name="Normal 9 2 2 2 3 4 2" xfId="48533" xr:uid="{00000000-0005-0000-0000-0000EFBC0000}"/>
    <cellStyle name="Normal 9 2 2 2 3 4 2 2" xfId="48534" xr:uid="{00000000-0005-0000-0000-0000F0BC0000}"/>
    <cellStyle name="Normal 9 2 2 2 3 4 2 3" xfId="48535" xr:uid="{00000000-0005-0000-0000-0000F1BC0000}"/>
    <cellStyle name="Normal 9 2 2 2 3 4 3" xfId="48536" xr:uid="{00000000-0005-0000-0000-0000F2BC0000}"/>
    <cellStyle name="Normal 9 2 2 2 3 4 4" xfId="48537" xr:uid="{00000000-0005-0000-0000-0000F3BC0000}"/>
    <cellStyle name="Normal 9 2 2 2 3 4 5" xfId="48538" xr:uid="{00000000-0005-0000-0000-0000F4BC0000}"/>
    <cellStyle name="Normal 9 2 2 2 3 4 6" xfId="48539" xr:uid="{00000000-0005-0000-0000-0000F5BC0000}"/>
    <cellStyle name="Normal 9 2 2 2 3 5" xfId="48540" xr:uid="{00000000-0005-0000-0000-0000F6BC0000}"/>
    <cellStyle name="Normal 9 2 2 2 3 5 2" xfId="48541" xr:uid="{00000000-0005-0000-0000-0000F7BC0000}"/>
    <cellStyle name="Normal 9 2 2 2 3 5 2 2" xfId="48542" xr:uid="{00000000-0005-0000-0000-0000F8BC0000}"/>
    <cellStyle name="Normal 9 2 2 2 3 5 2 3" xfId="48543" xr:uid="{00000000-0005-0000-0000-0000F9BC0000}"/>
    <cellStyle name="Normal 9 2 2 2 3 5 3" xfId="48544" xr:uid="{00000000-0005-0000-0000-0000FABC0000}"/>
    <cellStyle name="Normal 9 2 2 2 3 5 4" xfId="48545" xr:uid="{00000000-0005-0000-0000-0000FBBC0000}"/>
    <cellStyle name="Normal 9 2 2 2 3 5 5" xfId="48546" xr:uid="{00000000-0005-0000-0000-0000FCBC0000}"/>
    <cellStyle name="Normal 9 2 2 2 3 5 6" xfId="48547" xr:uid="{00000000-0005-0000-0000-0000FDBC0000}"/>
    <cellStyle name="Normal 9 2 2 2 3 6" xfId="48548" xr:uid="{00000000-0005-0000-0000-0000FEBC0000}"/>
    <cellStyle name="Normal 9 2 2 2 3 6 2" xfId="48549" xr:uid="{00000000-0005-0000-0000-0000FFBC0000}"/>
    <cellStyle name="Normal 9 2 2 2 3 6 3" xfId="48550" xr:uid="{00000000-0005-0000-0000-000000BD0000}"/>
    <cellStyle name="Normal 9 2 2 2 3 7" xfId="48551" xr:uid="{00000000-0005-0000-0000-000001BD0000}"/>
    <cellStyle name="Normal 9 2 2 2 3 8" xfId="48552" xr:uid="{00000000-0005-0000-0000-000002BD0000}"/>
    <cellStyle name="Normal 9 2 2 2 3 9" xfId="48553" xr:uid="{00000000-0005-0000-0000-000003BD0000}"/>
    <cellStyle name="Normal 9 2 2 2 4" xfId="48554" xr:uid="{00000000-0005-0000-0000-000004BD0000}"/>
    <cellStyle name="Normal 9 2 2 2 4 2" xfId="48555" xr:uid="{00000000-0005-0000-0000-000005BD0000}"/>
    <cellStyle name="Normal 9 2 2 2 4 2 2" xfId="48556" xr:uid="{00000000-0005-0000-0000-000006BD0000}"/>
    <cellStyle name="Normal 9 2 2 2 4 2 2 2" xfId="48557" xr:uid="{00000000-0005-0000-0000-000007BD0000}"/>
    <cellStyle name="Normal 9 2 2 2 4 2 2 2 2" xfId="48558" xr:uid="{00000000-0005-0000-0000-000008BD0000}"/>
    <cellStyle name="Normal 9 2 2 2 4 2 2 2 3" xfId="48559" xr:uid="{00000000-0005-0000-0000-000009BD0000}"/>
    <cellStyle name="Normal 9 2 2 2 4 2 2 3" xfId="48560" xr:uid="{00000000-0005-0000-0000-00000ABD0000}"/>
    <cellStyle name="Normal 9 2 2 2 4 2 2 4" xfId="48561" xr:uid="{00000000-0005-0000-0000-00000BBD0000}"/>
    <cellStyle name="Normal 9 2 2 2 4 2 2 5" xfId="48562" xr:uid="{00000000-0005-0000-0000-00000CBD0000}"/>
    <cellStyle name="Normal 9 2 2 2 4 2 2 6" xfId="48563" xr:uid="{00000000-0005-0000-0000-00000DBD0000}"/>
    <cellStyle name="Normal 9 2 2 2 4 2 3" xfId="48564" xr:uid="{00000000-0005-0000-0000-00000EBD0000}"/>
    <cellStyle name="Normal 9 2 2 2 4 2 3 2" xfId="48565" xr:uid="{00000000-0005-0000-0000-00000FBD0000}"/>
    <cellStyle name="Normal 9 2 2 2 4 2 3 3" xfId="48566" xr:uid="{00000000-0005-0000-0000-000010BD0000}"/>
    <cellStyle name="Normal 9 2 2 2 4 2 4" xfId="48567" xr:uid="{00000000-0005-0000-0000-000011BD0000}"/>
    <cellStyle name="Normal 9 2 2 2 4 2 5" xfId="48568" xr:uid="{00000000-0005-0000-0000-000012BD0000}"/>
    <cellStyle name="Normal 9 2 2 2 4 2 6" xfId="48569" xr:uid="{00000000-0005-0000-0000-000013BD0000}"/>
    <cellStyle name="Normal 9 2 2 2 4 2 7" xfId="48570" xr:uid="{00000000-0005-0000-0000-000014BD0000}"/>
    <cellStyle name="Normal 9 2 2 2 4 3" xfId="48571" xr:uid="{00000000-0005-0000-0000-000015BD0000}"/>
    <cellStyle name="Normal 9 2 2 2 4 3 2" xfId="48572" xr:uid="{00000000-0005-0000-0000-000016BD0000}"/>
    <cellStyle name="Normal 9 2 2 2 4 3 2 2" xfId="48573" xr:uid="{00000000-0005-0000-0000-000017BD0000}"/>
    <cellStyle name="Normal 9 2 2 2 4 3 2 3" xfId="48574" xr:uid="{00000000-0005-0000-0000-000018BD0000}"/>
    <cellStyle name="Normal 9 2 2 2 4 3 3" xfId="48575" xr:uid="{00000000-0005-0000-0000-000019BD0000}"/>
    <cellStyle name="Normal 9 2 2 2 4 3 4" xfId="48576" xr:uid="{00000000-0005-0000-0000-00001ABD0000}"/>
    <cellStyle name="Normal 9 2 2 2 4 3 5" xfId="48577" xr:uid="{00000000-0005-0000-0000-00001BBD0000}"/>
    <cellStyle name="Normal 9 2 2 2 4 3 6" xfId="48578" xr:uid="{00000000-0005-0000-0000-00001CBD0000}"/>
    <cellStyle name="Normal 9 2 2 2 4 4" xfId="48579" xr:uid="{00000000-0005-0000-0000-00001DBD0000}"/>
    <cellStyle name="Normal 9 2 2 2 4 4 2" xfId="48580" xr:uid="{00000000-0005-0000-0000-00001EBD0000}"/>
    <cellStyle name="Normal 9 2 2 2 4 4 2 2" xfId="48581" xr:uid="{00000000-0005-0000-0000-00001FBD0000}"/>
    <cellStyle name="Normal 9 2 2 2 4 4 2 3" xfId="48582" xr:uid="{00000000-0005-0000-0000-000020BD0000}"/>
    <cellStyle name="Normal 9 2 2 2 4 4 3" xfId="48583" xr:uid="{00000000-0005-0000-0000-000021BD0000}"/>
    <cellStyle name="Normal 9 2 2 2 4 4 4" xfId="48584" xr:uid="{00000000-0005-0000-0000-000022BD0000}"/>
    <cellStyle name="Normal 9 2 2 2 4 4 5" xfId="48585" xr:uid="{00000000-0005-0000-0000-000023BD0000}"/>
    <cellStyle name="Normal 9 2 2 2 4 4 6" xfId="48586" xr:uid="{00000000-0005-0000-0000-000024BD0000}"/>
    <cellStyle name="Normal 9 2 2 2 4 5" xfId="48587" xr:uid="{00000000-0005-0000-0000-000025BD0000}"/>
    <cellStyle name="Normal 9 2 2 2 4 5 2" xfId="48588" xr:uid="{00000000-0005-0000-0000-000026BD0000}"/>
    <cellStyle name="Normal 9 2 2 2 4 5 3" xfId="48589" xr:uid="{00000000-0005-0000-0000-000027BD0000}"/>
    <cellStyle name="Normal 9 2 2 2 4 6" xfId="48590" xr:uid="{00000000-0005-0000-0000-000028BD0000}"/>
    <cellStyle name="Normal 9 2 2 2 4 7" xfId="48591" xr:uid="{00000000-0005-0000-0000-000029BD0000}"/>
    <cellStyle name="Normal 9 2 2 2 4 8" xfId="48592" xr:uid="{00000000-0005-0000-0000-00002ABD0000}"/>
    <cellStyle name="Normal 9 2 2 2 4 9" xfId="48593" xr:uid="{00000000-0005-0000-0000-00002BBD0000}"/>
    <cellStyle name="Normal 9 2 2 2 5" xfId="48594" xr:uid="{00000000-0005-0000-0000-00002CBD0000}"/>
    <cellStyle name="Normal 9 2 2 2 5 2" xfId="48595" xr:uid="{00000000-0005-0000-0000-00002DBD0000}"/>
    <cellStyle name="Normal 9 2 2 2 5 2 2" xfId="48596" xr:uid="{00000000-0005-0000-0000-00002EBD0000}"/>
    <cellStyle name="Normal 9 2 2 2 5 2 2 2" xfId="48597" xr:uid="{00000000-0005-0000-0000-00002FBD0000}"/>
    <cellStyle name="Normal 9 2 2 2 5 2 2 3" xfId="48598" xr:uid="{00000000-0005-0000-0000-000030BD0000}"/>
    <cellStyle name="Normal 9 2 2 2 5 2 3" xfId="48599" xr:uid="{00000000-0005-0000-0000-000031BD0000}"/>
    <cellStyle name="Normal 9 2 2 2 5 2 4" xfId="48600" xr:uid="{00000000-0005-0000-0000-000032BD0000}"/>
    <cellStyle name="Normal 9 2 2 2 5 2 5" xfId="48601" xr:uid="{00000000-0005-0000-0000-000033BD0000}"/>
    <cellStyle name="Normal 9 2 2 2 5 2 6" xfId="48602" xr:uid="{00000000-0005-0000-0000-000034BD0000}"/>
    <cellStyle name="Normal 9 2 2 2 5 3" xfId="48603" xr:uid="{00000000-0005-0000-0000-000035BD0000}"/>
    <cellStyle name="Normal 9 2 2 2 5 3 2" xfId="48604" xr:uid="{00000000-0005-0000-0000-000036BD0000}"/>
    <cellStyle name="Normal 9 2 2 2 5 3 3" xfId="48605" xr:uid="{00000000-0005-0000-0000-000037BD0000}"/>
    <cellStyle name="Normal 9 2 2 2 5 4" xfId="48606" xr:uid="{00000000-0005-0000-0000-000038BD0000}"/>
    <cellStyle name="Normal 9 2 2 2 5 5" xfId="48607" xr:uid="{00000000-0005-0000-0000-000039BD0000}"/>
    <cellStyle name="Normal 9 2 2 2 5 6" xfId="48608" xr:uid="{00000000-0005-0000-0000-00003ABD0000}"/>
    <cellStyle name="Normal 9 2 2 2 5 7" xfId="48609" xr:uid="{00000000-0005-0000-0000-00003BBD0000}"/>
    <cellStyle name="Normal 9 2 2 2 6" xfId="48610" xr:uid="{00000000-0005-0000-0000-00003CBD0000}"/>
    <cellStyle name="Normal 9 2 2 2 6 2" xfId="48611" xr:uid="{00000000-0005-0000-0000-00003DBD0000}"/>
    <cellStyle name="Normal 9 2 2 2 6 2 2" xfId="48612" xr:uid="{00000000-0005-0000-0000-00003EBD0000}"/>
    <cellStyle name="Normal 9 2 2 2 6 2 3" xfId="48613" xr:uid="{00000000-0005-0000-0000-00003FBD0000}"/>
    <cellStyle name="Normal 9 2 2 2 6 3" xfId="48614" xr:uid="{00000000-0005-0000-0000-000040BD0000}"/>
    <cellStyle name="Normal 9 2 2 2 6 4" xfId="48615" xr:uid="{00000000-0005-0000-0000-000041BD0000}"/>
    <cellStyle name="Normal 9 2 2 2 6 5" xfId="48616" xr:uid="{00000000-0005-0000-0000-000042BD0000}"/>
    <cellStyle name="Normal 9 2 2 2 6 6" xfId="48617" xr:uid="{00000000-0005-0000-0000-000043BD0000}"/>
    <cellStyle name="Normal 9 2 2 2 7" xfId="48618" xr:uid="{00000000-0005-0000-0000-000044BD0000}"/>
    <cellStyle name="Normal 9 2 2 2 7 2" xfId="48619" xr:uid="{00000000-0005-0000-0000-000045BD0000}"/>
    <cellStyle name="Normal 9 2 2 2 7 2 2" xfId="48620" xr:uid="{00000000-0005-0000-0000-000046BD0000}"/>
    <cellStyle name="Normal 9 2 2 2 7 2 3" xfId="48621" xr:uid="{00000000-0005-0000-0000-000047BD0000}"/>
    <cellStyle name="Normal 9 2 2 2 7 3" xfId="48622" xr:uid="{00000000-0005-0000-0000-000048BD0000}"/>
    <cellStyle name="Normal 9 2 2 2 7 4" xfId="48623" xr:uid="{00000000-0005-0000-0000-000049BD0000}"/>
    <cellStyle name="Normal 9 2 2 2 7 5" xfId="48624" xr:uid="{00000000-0005-0000-0000-00004ABD0000}"/>
    <cellStyle name="Normal 9 2 2 2 7 6" xfId="48625" xr:uid="{00000000-0005-0000-0000-00004BBD0000}"/>
    <cellStyle name="Normal 9 2 2 2 8" xfId="48626" xr:uid="{00000000-0005-0000-0000-00004CBD0000}"/>
    <cellStyle name="Normal 9 2 2 2 8 2" xfId="48627" xr:uid="{00000000-0005-0000-0000-00004DBD0000}"/>
    <cellStyle name="Normal 9 2 2 2 8 2 2" xfId="48628" xr:uid="{00000000-0005-0000-0000-00004EBD0000}"/>
    <cellStyle name="Normal 9 2 2 2 8 2 3" xfId="48629" xr:uid="{00000000-0005-0000-0000-00004FBD0000}"/>
    <cellStyle name="Normal 9 2 2 2 8 3" xfId="48630" xr:uid="{00000000-0005-0000-0000-000050BD0000}"/>
    <cellStyle name="Normal 9 2 2 2 8 4" xfId="48631" xr:uid="{00000000-0005-0000-0000-000051BD0000}"/>
    <cellStyle name="Normal 9 2 2 2 8 5" xfId="48632" xr:uid="{00000000-0005-0000-0000-000052BD0000}"/>
    <cellStyle name="Normal 9 2 2 2 8 6" xfId="48633" xr:uid="{00000000-0005-0000-0000-000053BD0000}"/>
    <cellStyle name="Normal 9 2 2 2 9" xfId="48634" xr:uid="{00000000-0005-0000-0000-000054BD0000}"/>
    <cellStyle name="Normal 9 2 2 2 9 2" xfId="48635" xr:uid="{00000000-0005-0000-0000-000055BD0000}"/>
    <cellStyle name="Normal 9 2 2 2 9 2 2" xfId="48636" xr:uid="{00000000-0005-0000-0000-000056BD0000}"/>
    <cellStyle name="Normal 9 2 2 2 9 2 3" xfId="48637" xr:uid="{00000000-0005-0000-0000-000057BD0000}"/>
    <cellStyle name="Normal 9 2 2 2 9 3" xfId="48638" xr:uid="{00000000-0005-0000-0000-000058BD0000}"/>
    <cellStyle name="Normal 9 2 2 2 9 4" xfId="48639" xr:uid="{00000000-0005-0000-0000-000059BD0000}"/>
    <cellStyle name="Normal 9 2 2 2 9 5" xfId="48640" xr:uid="{00000000-0005-0000-0000-00005ABD0000}"/>
    <cellStyle name="Normal 9 2 2 2 9 6" xfId="48641" xr:uid="{00000000-0005-0000-0000-00005BBD0000}"/>
    <cellStyle name="Normal 9 2 2 3" xfId="48642" xr:uid="{00000000-0005-0000-0000-00005CBD0000}"/>
    <cellStyle name="Normal 9 2 2 3 10" xfId="48643" xr:uid="{00000000-0005-0000-0000-00005DBD0000}"/>
    <cellStyle name="Normal 9 2 2 3 10 2" xfId="48644" xr:uid="{00000000-0005-0000-0000-00005EBD0000}"/>
    <cellStyle name="Normal 9 2 2 3 10 3" xfId="48645" xr:uid="{00000000-0005-0000-0000-00005FBD0000}"/>
    <cellStyle name="Normal 9 2 2 3 11" xfId="48646" xr:uid="{00000000-0005-0000-0000-000060BD0000}"/>
    <cellStyle name="Normal 9 2 2 3 12" xfId="48647" xr:uid="{00000000-0005-0000-0000-000061BD0000}"/>
    <cellStyle name="Normal 9 2 2 3 13" xfId="48648" xr:uid="{00000000-0005-0000-0000-000062BD0000}"/>
    <cellStyle name="Normal 9 2 2 3 14" xfId="48649" xr:uid="{00000000-0005-0000-0000-000063BD0000}"/>
    <cellStyle name="Normal 9 2 2 3 2" xfId="48650" xr:uid="{00000000-0005-0000-0000-000064BD0000}"/>
    <cellStyle name="Normal 9 2 2 3 2 10" xfId="48651" xr:uid="{00000000-0005-0000-0000-000065BD0000}"/>
    <cellStyle name="Normal 9 2 2 3 2 11" xfId="48652" xr:uid="{00000000-0005-0000-0000-000066BD0000}"/>
    <cellStyle name="Normal 9 2 2 3 2 12" xfId="48653" xr:uid="{00000000-0005-0000-0000-000067BD0000}"/>
    <cellStyle name="Normal 9 2 2 3 2 13" xfId="48654" xr:uid="{00000000-0005-0000-0000-000068BD0000}"/>
    <cellStyle name="Normal 9 2 2 3 2 2" xfId="48655" xr:uid="{00000000-0005-0000-0000-000069BD0000}"/>
    <cellStyle name="Normal 9 2 2 3 2 2 10" xfId="48656" xr:uid="{00000000-0005-0000-0000-00006ABD0000}"/>
    <cellStyle name="Normal 9 2 2 3 2 2 2" xfId="48657" xr:uid="{00000000-0005-0000-0000-00006BBD0000}"/>
    <cellStyle name="Normal 9 2 2 3 2 2 2 2" xfId="48658" xr:uid="{00000000-0005-0000-0000-00006CBD0000}"/>
    <cellStyle name="Normal 9 2 2 3 2 2 2 2 2" xfId="48659" xr:uid="{00000000-0005-0000-0000-00006DBD0000}"/>
    <cellStyle name="Normal 9 2 2 3 2 2 2 2 2 2" xfId="48660" xr:uid="{00000000-0005-0000-0000-00006EBD0000}"/>
    <cellStyle name="Normal 9 2 2 3 2 2 2 2 2 3" xfId="48661" xr:uid="{00000000-0005-0000-0000-00006FBD0000}"/>
    <cellStyle name="Normal 9 2 2 3 2 2 2 2 3" xfId="48662" xr:uid="{00000000-0005-0000-0000-000070BD0000}"/>
    <cellStyle name="Normal 9 2 2 3 2 2 2 2 4" xfId="48663" xr:uid="{00000000-0005-0000-0000-000071BD0000}"/>
    <cellStyle name="Normal 9 2 2 3 2 2 2 2 5" xfId="48664" xr:uid="{00000000-0005-0000-0000-000072BD0000}"/>
    <cellStyle name="Normal 9 2 2 3 2 2 2 2 6" xfId="48665" xr:uid="{00000000-0005-0000-0000-000073BD0000}"/>
    <cellStyle name="Normal 9 2 2 3 2 2 2 3" xfId="48666" xr:uid="{00000000-0005-0000-0000-000074BD0000}"/>
    <cellStyle name="Normal 9 2 2 3 2 2 2 3 2" xfId="48667" xr:uid="{00000000-0005-0000-0000-000075BD0000}"/>
    <cellStyle name="Normal 9 2 2 3 2 2 2 3 2 2" xfId="48668" xr:uid="{00000000-0005-0000-0000-000076BD0000}"/>
    <cellStyle name="Normal 9 2 2 3 2 2 2 3 2 3" xfId="48669" xr:uid="{00000000-0005-0000-0000-000077BD0000}"/>
    <cellStyle name="Normal 9 2 2 3 2 2 2 3 3" xfId="48670" xr:uid="{00000000-0005-0000-0000-000078BD0000}"/>
    <cellStyle name="Normal 9 2 2 3 2 2 2 3 4" xfId="48671" xr:uid="{00000000-0005-0000-0000-000079BD0000}"/>
    <cellStyle name="Normal 9 2 2 3 2 2 2 3 5" xfId="48672" xr:uid="{00000000-0005-0000-0000-00007ABD0000}"/>
    <cellStyle name="Normal 9 2 2 3 2 2 2 3 6" xfId="48673" xr:uid="{00000000-0005-0000-0000-00007BBD0000}"/>
    <cellStyle name="Normal 9 2 2 3 2 2 2 4" xfId="48674" xr:uid="{00000000-0005-0000-0000-00007CBD0000}"/>
    <cellStyle name="Normal 9 2 2 3 2 2 2 4 2" xfId="48675" xr:uid="{00000000-0005-0000-0000-00007DBD0000}"/>
    <cellStyle name="Normal 9 2 2 3 2 2 2 4 3" xfId="48676" xr:uid="{00000000-0005-0000-0000-00007EBD0000}"/>
    <cellStyle name="Normal 9 2 2 3 2 2 2 5" xfId="48677" xr:uid="{00000000-0005-0000-0000-00007FBD0000}"/>
    <cellStyle name="Normal 9 2 2 3 2 2 2 6" xfId="48678" xr:uid="{00000000-0005-0000-0000-000080BD0000}"/>
    <cellStyle name="Normal 9 2 2 3 2 2 2 7" xfId="48679" xr:uid="{00000000-0005-0000-0000-000081BD0000}"/>
    <cellStyle name="Normal 9 2 2 3 2 2 2 8" xfId="48680" xr:uid="{00000000-0005-0000-0000-000082BD0000}"/>
    <cellStyle name="Normal 9 2 2 3 2 2 3" xfId="48681" xr:uid="{00000000-0005-0000-0000-000083BD0000}"/>
    <cellStyle name="Normal 9 2 2 3 2 2 3 2" xfId="48682" xr:uid="{00000000-0005-0000-0000-000084BD0000}"/>
    <cellStyle name="Normal 9 2 2 3 2 2 3 2 2" xfId="48683" xr:uid="{00000000-0005-0000-0000-000085BD0000}"/>
    <cellStyle name="Normal 9 2 2 3 2 2 3 2 2 2" xfId="48684" xr:uid="{00000000-0005-0000-0000-000086BD0000}"/>
    <cellStyle name="Normal 9 2 2 3 2 2 3 2 2 3" xfId="48685" xr:uid="{00000000-0005-0000-0000-000087BD0000}"/>
    <cellStyle name="Normal 9 2 2 3 2 2 3 2 3" xfId="48686" xr:uid="{00000000-0005-0000-0000-000088BD0000}"/>
    <cellStyle name="Normal 9 2 2 3 2 2 3 2 4" xfId="48687" xr:uid="{00000000-0005-0000-0000-000089BD0000}"/>
    <cellStyle name="Normal 9 2 2 3 2 2 3 2 5" xfId="48688" xr:uid="{00000000-0005-0000-0000-00008ABD0000}"/>
    <cellStyle name="Normal 9 2 2 3 2 2 3 2 6" xfId="48689" xr:uid="{00000000-0005-0000-0000-00008BBD0000}"/>
    <cellStyle name="Normal 9 2 2 3 2 2 3 3" xfId="48690" xr:uid="{00000000-0005-0000-0000-00008CBD0000}"/>
    <cellStyle name="Normal 9 2 2 3 2 2 3 3 2" xfId="48691" xr:uid="{00000000-0005-0000-0000-00008DBD0000}"/>
    <cellStyle name="Normal 9 2 2 3 2 2 3 3 3" xfId="48692" xr:uid="{00000000-0005-0000-0000-00008EBD0000}"/>
    <cellStyle name="Normal 9 2 2 3 2 2 3 4" xfId="48693" xr:uid="{00000000-0005-0000-0000-00008FBD0000}"/>
    <cellStyle name="Normal 9 2 2 3 2 2 3 5" xfId="48694" xr:uid="{00000000-0005-0000-0000-000090BD0000}"/>
    <cellStyle name="Normal 9 2 2 3 2 2 3 6" xfId="48695" xr:uid="{00000000-0005-0000-0000-000091BD0000}"/>
    <cellStyle name="Normal 9 2 2 3 2 2 3 7" xfId="48696" xr:uid="{00000000-0005-0000-0000-000092BD0000}"/>
    <cellStyle name="Normal 9 2 2 3 2 2 4" xfId="48697" xr:uid="{00000000-0005-0000-0000-000093BD0000}"/>
    <cellStyle name="Normal 9 2 2 3 2 2 4 2" xfId="48698" xr:uid="{00000000-0005-0000-0000-000094BD0000}"/>
    <cellStyle name="Normal 9 2 2 3 2 2 4 2 2" xfId="48699" xr:uid="{00000000-0005-0000-0000-000095BD0000}"/>
    <cellStyle name="Normal 9 2 2 3 2 2 4 2 3" xfId="48700" xr:uid="{00000000-0005-0000-0000-000096BD0000}"/>
    <cellStyle name="Normal 9 2 2 3 2 2 4 3" xfId="48701" xr:uid="{00000000-0005-0000-0000-000097BD0000}"/>
    <cellStyle name="Normal 9 2 2 3 2 2 4 4" xfId="48702" xr:uid="{00000000-0005-0000-0000-000098BD0000}"/>
    <cellStyle name="Normal 9 2 2 3 2 2 4 5" xfId="48703" xr:uid="{00000000-0005-0000-0000-000099BD0000}"/>
    <cellStyle name="Normal 9 2 2 3 2 2 4 6" xfId="48704" xr:uid="{00000000-0005-0000-0000-00009ABD0000}"/>
    <cellStyle name="Normal 9 2 2 3 2 2 5" xfId="48705" xr:uid="{00000000-0005-0000-0000-00009BBD0000}"/>
    <cellStyle name="Normal 9 2 2 3 2 2 5 2" xfId="48706" xr:uid="{00000000-0005-0000-0000-00009CBD0000}"/>
    <cellStyle name="Normal 9 2 2 3 2 2 5 2 2" xfId="48707" xr:uid="{00000000-0005-0000-0000-00009DBD0000}"/>
    <cellStyle name="Normal 9 2 2 3 2 2 5 2 3" xfId="48708" xr:uid="{00000000-0005-0000-0000-00009EBD0000}"/>
    <cellStyle name="Normal 9 2 2 3 2 2 5 3" xfId="48709" xr:uid="{00000000-0005-0000-0000-00009FBD0000}"/>
    <cellStyle name="Normal 9 2 2 3 2 2 5 4" xfId="48710" xr:uid="{00000000-0005-0000-0000-0000A0BD0000}"/>
    <cellStyle name="Normal 9 2 2 3 2 2 5 5" xfId="48711" xr:uid="{00000000-0005-0000-0000-0000A1BD0000}"/>
    <cellStyle name="Normal 9 2 2 3 2 2 5 6" xfId="48712" xr:uid="{00000000-0005-0000-0000-0000A2BD0000}"/>
    <cellStyle name="Normal 9 2 2 3 2 2 6" xfId="48713" xr:uid="{00000000-0005-0000-0000-0000A3BD0000}"/>
    <cellStyle name="Normal 9 2 2 3 2 2 6 2" xfId="48714" xr:uid="{00000000-0005-0000-0000-0000A4BD0000}"/>
    <cellStyle name="Normal 9 2 2 3 2 2 6 3" xfId="48715" xr:uid="{00000000-0005-0000-0000-0000A5BD0000}"/>
    <cellStyle name="Normal 9 2 2 3 2 2 7" xfId="48716" xr:uid="{00000000-0005-0000-0000-0000A6BD0000}"/>
    <cellStyle name="Normal 9 2 2 3 2 2 8" xfId="48717" xr:uid="{00000000-0005-0000-0000-0000A7BD0000}"/>
    <cellStyle name="Normal 9 2 2 3 2 2 9" xfId="48718" xr:uid="{00000000-0005-0000-0000-0000A8BD0000}"/>
    <cellStyle name="Normal 9 2 2 3 2 3" xfId="48719" xr:uid="{00000000-0005-0000-0000-0000A9BD0000}"/>
    <cellStyle name="Normal 9 2 2 3 2 3 2" xfId="48720" xr:uid="{00000000-0005-0000-0000-0000AABD0000}"/>
    <cellStyle name="Normal 9 2 2 3 2 3 2 2" xfId="48721" xr:uid="{00000000-0005-0000-0000-0000ABBD0000}"/>
    <cellStyle name="Normal 9 2 2 3 2 3 2 2 2" xfId="48722" xr:uid="{00000000-0005-0000-0000-0000ACBD0000}"/>
    <cellStyle name="Normal 9 2 2 3 2 3 2 2 2 2" xfId="48723" xr:uid="{00000000-0005-0000-0000-0000ADBD0000}"/>
    <cellStyle name="Normal 9 2 2 3 2 3 2 2 2 3" xfId="48724" xr:uid="{00000000-0005-0000-0000-0000AEBD0000}"/>
    <cellStyle name="Normal 9 2 2 3 2 3 2 2 3" xfId="48725" xr:uid="{00000000-0005-0000-0000-0000AFBD0000}"/>
    <cellStyle name="Normal 9 2 2 3 2 3 2 2 4" xfId="48726" xr:uid="{00000000-0005-0000-0000-0000B0BD0000}"/>
    <cellStyle name="Normal 9 2 2 3 2 3 2 2 5" xfId="48727" xr:uid="{00000000-0005-0000-0000-0000B1BD0000}"/>
    <cellStyle name="Normal 9 2 2 3 2 3 2 2 6" xfId="48728" xr:uid="{00000000-0005-0000-0000-0000B2BD0000}"/>
    <cellStyle name="Normal 9 2 2 3 2 3 2 3" xfId="48729" xr:uid="{00000000-0005-0000-0000-0000B3BD0000}"/>
    <cellStyle name="Normal 9 2 2 3 2 3 2 3 2" xfId="48730" xr:uid="{00000000-0005-0000-0000-0000B4BD0000}"/>
    <cellStyle name="Normal 9 2 2 3 2 3 2 3 3" xfId="48731" xr:uid="{00000000-0005-0000-0000-0000B5BD0000}"/>
    <cellStyle name="Normal 9 2 2 3 2 3 2 4" xfId="48732" xr:uid="{00000000-0005-0000-0000-0000B6BD0000}"/>
    <cellStyle name="Normal 9 2 2 3 2 3 2 5" xfId="48733" xr:uid="{00000000-0005-0000-0000-0000B7BD0000}"/>
    <cellStyle name="Normal 9 2 2 3 2 3 2 6" xfId="48734" xr:uid="{00000000-0005-0000-0000-0000B8BD0000}"/>
    <cellStyle name="Normal 9 2 2 3 2 3 2 7" xfId="48735" xr:uid="{00000000-0005-0000-0000-0000B9BD0000}"/>
    <cellStyle name="Normal 9 2 2 3 2 3 3" xfId="48736" xr:uid="{00000000-0005-0000-0000-0000BABD0000}"/>
    <cellStyle name="Normal 9 2 2 3 2 3 3 2" xfId="48737" xr:uid="{00000000-0005-0000-0000-0000BBBD0000}"/>
    <cellStyle name="Normal 9 2 2 3 2 3 3 2 2" xfId="48738" xr:uid="{00000000-0005-0000-0000-0000BCBD0000}"/>
    <cellStyle name="Normal 9 2 2 3 2 3 3 2 3" xfId="48739" xr:uid="{00000000-0005-0000-0000-0000BDBD0000}"/>
    <cellStyle name="Normal 9 2 2 3 2 3 3 3" xfId="48740" xr:uid="{00000000-0005-0000-0000-0000BEBD0000}"/>
    <cellStyle name="Normal 9 2 2 3 2 3 3 4" xfId="48741" xr:uid="{00000000-0005-0000-0000-0000BFBD0000}"/>
    <cellStyle name="Normal 9 2 2 3 2 3 3 5" xfId="48742" xr:uid="{00000000-0005-0000-0000-0000C0BD0000}"/>
    <cellStyle name="Normal 9 2 2 3 2 3 3 6" xfId="48743" xr:uid="{00000000-0005-0000-0000-0000C1BD0000}"/>
    <cellStyle name="Normal 9 2 2 3 2 3 4" xfId="48744" xr:uid="{00000000-0005-0000-0000-0000C2BD0000}"/>
    <cellStyle name="Normal 9 2 2 3 2 3 4 2" xfId="48745" xr:uid="{00000000-0005-0000-0000-0000C3BD0000}"/>
    <cellStyle name="Normal 9 2 2 3 2 3 4 2 2" xfId="48746" xr:uid="{00000000-0005-0000-0000-0000C4BD0000}"/>
    <cellStyle name="Normal 9 2 2 3 2 3 4 2 3" xfId="48747" xr:uid="{00000000-0005-0000-0000-0000C5BD0000}"/>
    <cellStyle name="Normal 9 2 2 3 2 3 4 3" xfId="48748" xr:uid="{00000000-0005-0000-0000-0000C6BD0000}"/>
    <cellStyle name="Normal 9 2 2 3 2 3 4 4" xfId="48749" xr:uid="{00000000-0005-0000-0000-0000C7BD0000}"/>
    <cellStyle name="Normal 9 2 2 3 2 3 4 5" xfId="48750" xr:uid="{00000000-0005-0000-0000-0000C8BD0000}"/>
    <cellStyle name="Normal 9 2 2 3 2 3 4 6" xfId="48751" xr:uid="{00000000-0005-0000-0000-0000C9BD0000}"/>
    <cellStyle name="Normal 9 2 2 3 2 3 5" xfId="48752" xr:uid="{00000000-0005-0000-0000-0000CABD0000}"/>
    <cellStyle name="Normal 9 2 2 3 2 3 5 2" xfId="48753" xr:uid="{00000000-0005-0000-0000-0000CBBD0000}"/>
    <cellStyle name="Normal 9 2 2 3 2 3 5 3" xfId="48754" xr:uid="{00000000-0005-0000-0000-0000CCBD0000}"/>
    <cellStyle name="Normal 9 2 2 3 2 3 6" xfId="48755" xr:uid="{00000000-0005-0000-0000-0000CDBD0000}"/>
    <cellStyle name="Normal 9 2 2 3 2 3 7" xfId="48756" xr:uid="{00000000-0005-0000-0000-0000CEBD0000}"/>
    <cellStyle name="Normal 9 2 2 3 2 3 8" xfId="48757" xr:uid="{00000000-0005-0000-0000-0000CFBD0000}"/>
    <cellStyle name="Normal 9 2 2 3 2 3 9" xfId="48758" xr:uid="{00000000-0005-0000-0000-0000D0BD0000}"/>
    <cellStyle name="Normal 9 2 2 3 2 4" xfId="48759" xr:uid="{00000000-0005-0000-0000-0000D1BD0000}"/>
    <cellStyle name="Normal 9 2 2 3 2 4 2" xfId="48760" xr:uid="{00000000-0005-0000-0000-0000D2BD0000}"/>
    <cellStyle name="Normal 9 2 2 3 2 4 2 2" xfId="48761" xr:uid="{00000000-0005-0000-0000-0000D3BD0000}"/>
    <cellStyle name="Normal 9 2 2 3 2 4 2 2 2" xfId="48762" xr:uid="{00000000-0005-0000-0000-0000D4BD0000}"/>
    <cellStyle name="Normal 9 2 2 3 2 4 2 2 3" xfId="48763" xr:uid="{00000000-0005-0000-0000-0000D5BD0000}"/>
    <cellStyle name="Normal 9 2 2 3 2 4 2 3" xfId="48764" xr:uid="{00000000-0005-0000-0000-0000D6BD0000}"/>
    <cellStyle name="Normal 9 2 2 3 2 4 2 4" xfId="48765" xr:uid="{00000000-0005-0000-0000-0000D7BD0000}"/>
    <cellStyle name="Normal 9 2 2 3 2 4 2 5" xfId="48766" xr:uid="{00000000-0005-0000-0000-0000D8BD0000}"/>
    <cellStyle name="Normal 9 2 2 3 2 4 2 6" xfId="48767" xr:uid="{00000000-0005-0000-0000-0000D9BD0000}"/>
    <cellStyle name="Normal 9 2 2 3 2 4 3" xfId="48768" xr:uid="{00000000-0005-0000-0000-0000DABD0000}"/>
    <cellStyle name="Normal 9 2 2 3 2 4 3 2" xfId="48769" xr:uid="{00000000-0005-0000-0000-0000DBBD0000}"/>
    <cellStyle name="Normal 9 2 2 3 2 4 3 3" xfId="48770" xr:uid="{00000000-0005-0000-0000-0000DCBD0000}"/>
    <cellStyle name="Normal 9 2 2 3 2 4 4" xfId="48771" xr:uid="{00000000-0005-0000-0000-0000DDBD0000}"/>
    <cellStyle name="Normal 9 2 2 3 2 4 5" xfId="48772" xr:uid="{00000000-0005-0000-0000-0000DEBD0000}"/>
    <cellStyle name="Normal 9 2 2 3 2 4 6" xfId="48773" xr:uid="{00000000-0005-0000-0000-0000DFBD0000}"/>
    <cellStyle name="Normal 9 2 2 3 2 4 7" xfId="48774" xr:uid="{00000000-0005-0000-0000-0000E0BD0000}"/>
    <cellStyle name="Normal 9 2 2 3 2 5" xfId="48775" xr:uid="{00000000-0005-0000-0000-0000E1BD0000}"/>
    <cellStyle name="Normal 9 2 2 3 2 5 2" xfId="48776" xr:uid="{00000000-0005-0000-0000-0000E2BD0000}"/>
    <cellStyle name="Normal 9 2 2 3 2 5 2 2" xfId="48777" xr:uid="{00000000-0005-0000-0000-0000E3BD0000}"/>
    <cellStyle name="Normal 9 2 2 3 2 5 2 3" xfId="48778" xr:uid="{00000000-0005-0000-0000-0000E4BD0000}"/>
    <cellStyle name="Normal 9 2 2 3 2 5 3" xfId="48779" xr:uid="{00000000-0005-0000-0000-0000E5BD0000}"/>
    <cellStyle name="Normal 9 2 2 3 2 5 4" xfId="48780" xr:uid="{00000000-0005-0000-0000-0000E6BD0000}"/>
    <cellStyle name="Normal 9 2 2 3 2 5 5" xfId="48781" xr:uid="{00000000-0005-0000-0000-0000E7BD0000}"/>
    <cellStyle name="Normal 9 2 2 3 2 5 6" xfId="48782" xr:uid="{00000000-0005-0000-0000-0000E8BD0000}"/>
    <cellStyle name="Normal 9 2 2 3 2 6" xfId="48783" xr:uid="{00000000-0005-0000-0000-0000E9BD0000}"/>
    <cellStyle name="Normal 9 2 2 3 2 6 2" xfId="48784" xr:uid="{00000000-0005-0000-0000-0000EABD0000}"/>
    <cellStyle name="Normal 9 2 2 3 2 6 2 2" xfId="48785" xr:uid="{00000000-0005-0000-0000-0000EBBD0000}"/>
    <cellStyle name="Normal 9 2 2 3 2 6 2 3" xfId="48786" xr:uid="{00000000-0005-0000-0000-0000ECBD0000}"/>
    <cellStyle name="Normal 9 2 2 3 2 6 3" xfId="48787" xr:uid="{00000000-0005-0000-0000-0000EDBD0000}"/>
    <cellStyle name="Normal 9 2 2 3 2 6 4" xfId="48788" xr:uid="{00000000-0005-0000-0000-0000EEBD0000}"/>
    <cellStyle name="Normal 9 2 2 3 2 6 5" xfId="48789" xr:uid="{00000000-0005-0000-0000-0000EFBD0000}"/>
    <cellStyle name="Normal 9 2 2 3 2 6 6" xfId="48790" xr:uid="{00000000-0005-0000-0000-0000F0BD0000}"/>
    <cellStyle name="Normal 9 2 2 3 2 7" xfId="48791" xr:uid="{00000000-0005-0000-0000-0000F1BD0000}"/>
    <cellStyle name="Normal 9 2 2 3 2 7 2" xfId="48792" xr:uid="{00000000-0005-0000-0000-0000F2BD0000}"/>
    <cellStyle name="Normal 9 2 2 3 2 7 2 2" xfId="48793" xr:uid="{00000000-0005-0000-0000-0000F3BD0000}"/>
    <cellStyle name="Normal 9 2 2 3 2 7 2 3" xfId="48794" xr:uid="{00000000-0005-0000-0000-0000F4BD0000}"/>
    <cellStyle name="Normal 9 2 2 3 2 7 3" xfId="48795" xr:uid="{00000000-0005-0000-0000-0000F5BD0000}"/>
    <cellStyle name="Normal 9 2 2 3 2 7 4" xfId="48796" xr:uid="{00000000-0005-0000-0000-0000F6BD0000}"/>
    <cellStyle name="Normal 9 2 2 3 2 7 5" xfId="48797" xr:uid="{00000000-0005-0000-0000-0000F7BD0000}"/>
    <cellStyle name="Normal 9 2 2 3 2 7 6" xfId="48798" xr:uid="{00000000-0005-0000-0000-0000F8BD0000}"/>
    <cellStyle name="Normal 9 2 2 3 2 8" xfId="48799" xr:uid="{00000000-0005-0000-0000-0000F9BD0000}"/>
    <cellStyle name="Normal 9 2 2 3 2 8 2" xfId="48800" xr:uid="{00000000-0005-0000-0000-0000FABD0000}"/>
    <cellStyle name="Normal 9 2 2 3 2 8 2 2" xfId="48801" xr:uid="{00000000-0005-0000-0000-0000FBBD0000}"/>
    <cellStyle name="Normal 9 2 2 3 2 8 2 3" xfId="48802" xr:uid="{00000000-0005-0000-0000-0000FCBD0000}"/>
    <cellStyle name="Normal 9 2 2 3 2 8 3" xfId="48803" xr:uid="{00000000-0005-0000-0000-0000FDBD0000}"/>
    <cellStyle name="Normal 9 2 2 3 2 8 4" xfId="48804" xr:uid="{00000000-0005-0000-0000-0000FEBD0000}"/>
    <cellStyle name="Normal 9 2 2 3 2 8 5" xfId="48805" xr:uid="{00000000-0005-0000-0000-0000FFBD0000}"/>
    <cellStyle name="Normal 9 2 2 3 2 8 6" xfId="48806" xr:uid="{00000000-0005-0000-0000-000000BE0000}"/>
    <cellStyle name="Normal 9 2 2 3 2 9" xfId="48807" xr:uid="{00000000-0005-0000-0000-000001BE0000}"/>
    <cellStyle name="Normal 9 2 2 3 2 9 2" xfId="48808" xr:uid="{00000000-0005-0000-0000-000002BE0000}"/>
    <cellStyle name="Normal 9 2 2 3 2 9 3" xfId="48809" xr:uid="{00000000-0005-0000-0000-000003BE0000}"/>
    <cellStyle name="Normal 9 2 2 3 3" xfId="48810" xr:uid="{00000000-0005-0000-0000-000004BE0000}"/>
    <cellStyle name="Normal 9 2 2 3 3 10" xfId="48811" xr:uid="{00000000-0005-0000-0000-000005BE0000}"/>
    <cellStyle name="Normal 9 2 2 3 3 2" xfId="48812" xr:uid="{00000000-0005-0000-0000-000006BE0000}"/>
    <cellStyle name="Normal 9 2 2 3 3 2 2" xfId="48813" xr:uid="{00000000-0005-0000-0000-000007BE0000}"/>
    <cellStyle name="Normal 9 2 2 3 3 2 2 2" xfId="48814" xr:uid="{00000000-0005-0000-0000-000008BE0000}"/>
    <cellStyle name="Normal 9 2 2 3 3 2 2 2 2" xfId="48815" xr:uid="{00000000-0005-0000-0000-000009BE0000}"/>
    <cellStyle name="Normal 9 2 2 3 3 2 2 2 3" xfId="48816" xr:uid="{00000000-0005-0000-0000-00000ABE0000}"/>
    <cellStyle name="Normal 9 2 2 3 3 2 2 3" xfId="48817" xr:uid="{00000000-0005-0000-0000-00000BBE0000}"/>
    <cellStyle name="Normal 9 2 2 3 3 2 2 4" xfId="48818" xr:uid="{00000000-0005-0000-0000-00000CBE0000}"/>
    <cellStyle name="Normal 9 2 2 3 3 2 2 5" xfId="48819" xr:uid="{00000000-0005-0000-0000-00000DBE0000}"/>
    <cellStyle name="Normal 9 2 2 3 3 2 2 6" xfId="48820" xr:uid="{00000000-0005-0000-0000-00000EBE0000}"/>
    <cellStyle name="Normal 9 2 2 3 3 2 3" xfId="48821" xr:uid="{00000000-0005-0000-0000-00000FBE0000}"/>
    <cellStyle name="Normal 9 2 2 3 3 2 3 2" xfId="48822" xr:uid="{00000000-0005-0000-0000-000010BE0000}"/>
    <cellStyle name="Normal 9 2 2 3 3 2 3 2 2" xfId="48823" xr:uid="{00000000-0005-0000-0000-000011BE0000}"/>
    <cellStyle name="Normal 9 2 2 3 3 2 3 2 3" xfId="48824" xr:uid="{00000000-0005-0000-0000-000012BE0000}"/>
    <cellStyle name="Normal 9 2 2 3 3 2 3 3" xfId="48825" xr:uid="{00000000-0005-0000-0000-000013BE0000}"/>
    <cellStyle name="Normal 9 2 2 3 3 2 3 4" xfId="48826" xr:uid="{00000000-0005-0000-0000-000014BE0000}"/>
    <cellStyle name="Normal 9 2 2 3 3 2 3 5" xfId="48827" xr:uid="{00000000-0005-0000-0000-000015BE0000}"/>
    <cellStyle name="Normal 9 2 2 3 3 2 3 6" xfId="48828" xr:uid="{00000000-0005-0000-0000-000016BE0000}"/>
    <cellStyle name="Normal 9 2 2 3 3 2 4" xfId="48829" xr:uid="{00000000-0005-0000-0000-000017BE0000}"/>
    <cellStyle name="Normal 9 2 2 3 3 2 4 2" xfId="48830" xr:uid="{00000000-0005-0000-0000-000018BE0000}"/>
    <cellStyle name="Normal 9 2 2 3 3 2 4 3" xfId="48831" xr:uid="{00000000-0005-0000-0000-000019BE0000}"/>
    <cellStyle name="Normal 9 2 2 3 3 2 5" xfId="48832" xr:uid="{00000000-0005-0000-0000-00001ABE0000}"/>
    <cellStyle name="Normal 9 2 2 3 3 2 6" xfId="48833" xr:uid="{00000000-0005-0000-0000-00001BBE0000}"/>
    <cellStyle name="Normal 9 2 2 3 3 2 7" xfId="48834" xr:uid="{00000000-0005-0000-0000-00001CBE0000}"/>
    <cellStyle name="Normal 9 2 2 3 3 2 8" xfId="48835" xr:uid="{00000000-0005-0000-0000-00001DBE0000}"/>
    <cellStyle name="Normal 9 2 2 3 3 3" xfId="48836" xr:uid="{00000000-0005-0000-0000-00001EBE0000}"/>
    <cellStyle name="Normal 9 2 2 3 3 3 2" xfId="48837" xr:uid="{00000000-0005-0000-0000-00001FBE0000}"/>
    <cellStyle name="Normal 9 2 2 3 3 3 2 2" xfId="48838" xr:uid="{00000000-0005-0000-0000-000020BE0000}"/>
    <cellStyle name="Normal 9 2 2 3 3 3 2 2 2" xfId="48839" xr:uid="{00000000-0005-0000-0000-000021BE0000}"/>
    <cellStyle name="Normal 9 2 2 3 3 3 2 2 3" xfId="48840" xr:uid="{00000000-0005-0000-0000-000022BE0000}"/>
    <cellStyle name="Normal 9 2 2 3 3 3 2 3" xfId="48841" xr:uid="{00000000-0005-0000-0000-000023BE0000}"/>
    <cellStyle name="Normal 9 2 2 3 3 3 2 4" xfId="48842" xr:uid="{00000000-0005-0000-0000-000024BE0000}"/>
    <cellStyle name="Normal 9 2 2 3 3 3 2 5" xfId="48843" xr:uid="{00000000-0005-0000-0000-000025BE0000}"/>
    <cellStyle name="Normal 9 2 2 3 3 3 2 6" xfId="48844" xr:uid="{00000000-0005-0000-0000-000026BE0000}"/>
    <cellStyle name="Normal 9 2 2 3 3 3 3" xfId="48845" xr:uid="{00000000-0005-0000-0000-000027BE0000}"/>
    <cellStyle name="Normal 9 2 2 3 3 3 3 2" xfId="48846" xr:uid="{00000000-0005-0000-0000-000028BE0000}"/>
    <cellStyle name="Normal 9 2 2 3 3 3 3 3" xfId="48847" xr:uid="{00000000-0005-0000-0000-000029BE0000}"/>
    <cellStyle name="Normal 9 2 2 3 3 3 4" xfId="48848" xr:uid="{00000000-0005-0000-0000-00002ABE0000}"/>
    <cellStyle name="Normal 9 2 2 3 3 3 5" xfId="48849" xr:uid="{00000000-0005-0000-0000-00002BBE0000}"/>
    <cellStyle name="Normal 9 2 2 3 3 3 6" xfId="48850" xr:uid="{00000000-0005-0000-0000-00002CBE0000}"/>
    <cellStyle name="Normal 9 2 2 3 3 3 7" xfId="48851" xr:uid="{00000000-0005-0000-0000-00002DBE0000}"/>
    <cellStyle name="Normal 9 2 2 3 3 4" xfId="48852" xr:uid="{00000000-0005-0000-0000-00002EBE0000}"/>
    <cellStyle name="Normal 9 2 2 3 3 4 2" xfId="48853" xr:uid="{00000000-0005-0000-0000-00002FBE0000}"/>
    <cellStyle name="Normal 9 2 2 3 3 4 2 2" xfId="48854" xr:uid="{00000000-0005-0000-0000-000030BE0000}"/>
    <cellStyle name="Normal 9 2 2 3 3 4 2 3" xfId="48855" xr:uid="{00000000-0005-0000-0000-000031BE0000}"/>
    <cellStyle name="Normal 9 2 2 3 3 4 3" xfId="48856" xr:uid="{00000000-0005-0000-0000-000032BE0000}"/>
    <cellStyle name="Normal 9 2 2 3 3 4 4" xfId="48857" xr:uid="{00000000-0005-0000-0000-000033BE0000}"/>
    <cellStyle name="Normal 9 2 2 3 3 4 5" xfId="48858" xr:uid="{00000000-0005-0000-0000-000034BE0000}"/>
    <cellStyle name="Normal 9 2 2 3 3 4 6" xfId="48859" xr:uid="{00000000-0005-0000-0000-000035BE0000}"/>
    <cellStyle name="Normal 9 2 2 3 3 5" xfId="48860" xr:uid="{00000000-0005-0000-0000-000036BE0000}"/>
    <cellStyle name="Normal 9 2 2 3 3 5 2" xfId="48861" xr:uid="{00000000-0005-0000-0000-000037BE0000}"/>
    <cellStyle name="Normal 9 2 2 3 3 5 2 2" xfId="48862" xr:uid="{00000000-0005-0000-0000-000038BE0000}"/>
    <cellStyle name="Normal 9 2 2 3 3 5 2 3" xfId="48863" xr:uid="{00000000-0005-0000-0000-000039BE0000}"/>
    <cellStyle name="Normal 9 2 2 3 3 5 3" xfId="48864" xr:uid="{00000000-0005-0000-0000-00003ABE0000}"/>
    <cellStyle name="Normal 9 2 2 3 3 5 4" xfId="48865" xr:uid="{00000000-0005-0000-0000-00003BBE0000}"/>
    <cellStyle name="Normal 9 2 2 3 3 5 5" xfId="48866" xr:uid="{00000000-0005-0000-0000-00003CBE0000}"/>
    <cellStyle name="Normal 9 2 2 3 3 5 6" xfId="48867" xr:uid="{00000000-0005-0000-0000-00003DBE0000}"/>
    <cellStyle name="Normal 9 2 2 3 3 6" xfId="48868" xr:uid="{00000000-0005-0000-0000-00003EBE0000}"/>
    <cellStyle name="Normal 9 2 2 3 3 6 2" xfId="48869" xr:uid="{00000000-0005-0000-0000-00003FBE0000}"/>
    <cellStyle name="Normal 9 2 2 3 3 6 3" xfId="48870" xr:uid="{00000000-0005-0000-0000-000040BE0000}"/>
    <cellStyle name="Normal 9 2 2 3 3 7" xfId="48871" xr:uid="{00000000-0005-0000-0000-000041BE0000}"/>
    <cellStyle name="Normal 9 2 2 3 3 8" xfId="48872" xr:uid="{00000000-0005-0000-0000-000042BE0000}"/>
    <cellStyle name="Normal 9 2 2 3 3 9" xfId="48873" xr:uid="{00000000-0005-0000-0000-000043BE0000}"/>
    <cellStyle name="Normal 9 2 2 3 4" xfId="48874" xr:uid="{00000000-0005-0000-0000-000044BE0000}"/>
    <cellStyle name="Normal 9 2 2 3 4 2" xfId="48875" xr:uid="{00000000-0005-0000-0000-000045BE0000}"/>
    <cellStyle name="Normal 9 2 2 3 4 2 2" xfId="48876" xr:uid="{00000000-0005-0000-0000-000046BE0000}"/>
    <cellStyle name="Normal 9 2 2 3 4 2 2 2" xfId="48877" xr:uid="{00000000-0005-0000-0000-000047BE0000}"/>
    <cellStyle name="Normal 9 2 2 3 4 2 2 2 2" xfId="48878" xr:uid="{00000000-0005-0000-0000-000048BE0000}"/>
    <cellStyle name="Normal 9 2 2 3 4 2 2 2 3" xfId="48879" xr:uid="{00000000-0005-0000-0000-000049BE0000}"/>
    <cellStyle name="Normal 9 2 2 3 4 2 2 3" xfId="48880" xr:uid="{00000000-0005-0000-0000-00004ABE0000}"/>
    <cellStyle name="Normal 9 2 2 3 4 2 2 4" xfId="48881" xr:uid="{00000000-0005-0000-0000-00004BBE0000}"/>
    <cellStyle name="Normal 9 2 2 3 4 2 2 5" xfId="48882" xr:uid="{00000000-0005-0000-0000-00004CBE0000}"/>
    <cellStyle name="Normal 9 2 2 3 4 2 2 6" xfId="48883" xr:uid="{00000000-0005-0000-0000-00004DBE0000}"/>
    <cellStyle name="Normal 9 2 2 3 4 2 3" xfId="48884" xr:uid="{00000000-0005-0000-0000-00004EBE0000}"/>
    <cellStyle name="Normal 9 2 2 3 4 2 3 2" xfId="48885" xr:uid="{00000000-0005-0000-0000-00004FBE0000}"/>
    <cellStyle name="Normal 9 2 2 3 4 2 3 3" xfId="48886" xr:uid="{00000000-0005-0000-0000-000050BE0000}"/>
    <cellStyle name="Normal 9 2 2 3 4 2 4" xfId="48887" xr:uid="{00000000-0005-0000-0000-000051BE0000}"/>
    <cellStyle name="Normal 9 2 2 3 4 2 5" xfId="48888" xr:uid="{00000000-0005-0000-0000-000052BE0000}"/>
    <cellStyle name="Normal 9 2 2 3 4 2 6" xfId="48889" xr:uid="{00000000-0005-0000-0000-000053BE0000}"/>
    <cellStyle name="Normal 9 2 2 3 4 2 7" xfId="48890" xr:uid="{00000000-0005-0000-0000-000054BE0000}"/>
    <cellStyle name="Normal 9 2 2 3 4 3" xfId="48891" xr:uid="{00000000-0005-0000-0000-000055BE0000}"/>
    <cellStyle name="Normal 9 2 2 3 4 3 2" xfId="48892" xr:uid="{00000000-0005-0000-0000-000056BE0000}"/>
    <cellStyle name="Normal 9 2 2 3 4 3 2 2" xfId="48893" xr:uid="{00000000-0005-0000-0000-000057BE0000}"/>
    <cellStyle name="Normal 9 2 2 3 4 3 2 3" xfId="48894" xr:uid="{00000000-0005-0000-0000-000058BE0000}"/>
    <cellStyle name="Normal 9 2 2 3 4 3 3" xfId="48895" xr:uid="{00000000-0005-0000-0000-000059BE0000}"/>
    <cellStyle name="Normal 9 2 2 3 4 3 4" xfId="48896" xr:uid="{00000000-0005-0000-0000-00005ABE0000}"/>
    <cellStyle name="Normal 9 2 2 3 4 3 5" xfId="48897" xr:uid="{00000000-0005-0000-0000-00005BBE0000}"/>
    <cellStyle name="Normal 9 2 2 3 4 3 6" xfId="48898" xr:uid="{00000000-0005-0000-0000-00005CBE0000}"/>
    <cellStyle name="Normal 9 2 2 3 4 4" xfId="48899" xr:uid="{00000000-0005-0000-0000-00005DBE0000}"/>
    <cellStyle name="Normal 9 2 2 3 4 4 2" xfId="48900" xr:uid="{00000000-0005-0000-0000-00005EBE0000}"/>
    <cellStyle name="Normal 9 2 2 3 4 4 2 2" xfId="48901" xr:uid="{00000000-0005-0000-0000-00005FBE0000}"/>
    <cellStyle name="Normal 9 2 2 3 4 4 2 3" xfId="48902" xr:uid="{00000000-0005-0000-0000-000060BE0000}"/>
    <cellStyle name="Normal 9 2 2 3 4 4 3" xfId="48903" xr:uid="{00000000-0005-0000-0000-000061BE0000}"/>
    <cellStyle name="Normal 9 2 2 3 4 4 4" xfId="48904" xr:uid="{00000000-0005-0000-0000-000062BE0000}"/>
    <cellStyle name="Normal 9 2 2 3 4 4 5" xfId="48905" xr:uid="{00000000-0005-0000-0000-000063BE0000}"/>
    <cellStyle name="Normal 9 2 2 3 4 4 6" xfId="48906" xr:uid="{00000000-0005-0000-0000-000064BE0000}"/>
    <cellStyle name="Normal 9 2 2 3 4 5" xfId="48907" xr:uid="{00000000-0005-0000-0000-000065BE0000}"/>
    <cellStyle name="Normal 9 2 2 3 4 5 2" xfId="48908" xr:uid="{00000000-0005-0000-0000-000066BE0000}"/>
    <cellStyle name="Normal 9 2 2 3 4 5 3" xfId="48909" xr:uid="{00000000-0005-0000-0000-000067BE0000}"/>
    <cellStyle name="Normal 9 2 2 3 4 6" xfId="48910" xr:uid="{00000000-0005-0000-0000-000068BE0000}"/>
    <cellStyle name="Normal 9 2 2 3 4 7" xfId="48911" xr:uid="{00000000-0005-0000-0000-000069BE0000}"/>
    <cellStyle name="Normal 9 2 2 3 4 8" xfId="48912" xr:uid="{00000000-0005-0000-0000-00006ABE0000}"/>
    <cellStyle name="Normal 9 2 2 3 4 9" xfId="48913" xr:uid="{00000000-0005-0000-0000-00006BBE0000}"/>
    <cellStyle name="Normal 9 2 2 3 5" xfId="48914" xr:uid="{00000000-0005-0000-0000-00006CBE0000}"/>
    <cellStyle name="Normal 9 2 2 3 5 2" xfId="48915" xr:uid="{00000000-0005-0000-0000-00006DBE0000}"/>
    <cellStyle name="Normal 9 2 2 3 5 2 2" xfId="48916" xr:uid="{00000000-0005-0000-0000-00006EBE0000}"/>
    <cellStyle name="Normal 9 2 2 3 5 2 2 2" xfId="48917" xr:uid="{00000000-0005-0000-0000-00006FBE0000}"/>
    <cellStyle name="Normal 9 2 2 3 5 2 2 3" xfId="48918" xr:uid="{00000000-0005-0000-0000-000070BE0000}"/>
    <cellStyle name="Normal 9 2 2 3 5 2 3" xfId="48919" xr:uid="{00000000-0005-0000-0000-000071BE0000}"/>
    <cellStyle name="Normal 9 2 2 3 5 2 4" xfId="48920" xr:uid="{00000000-0005-0000-0000-000072BE0000}"/>
    <cellStyle name="Normal 9 2 2 3 5 2 5" xfId="48921" xr:uid="{00000000-0005-0000-0000-000073BE0000}"/>
    <cellStyle name="Normal 9 2 2 3 5 2 6" xfId="48922" xr:uid="{00000000-0005-0000-0000-000074BE0000}"/>
    <cellStyle name="Normal 9 2 2 3 5 3" xfId="48923" xr:uid="{00000000-0005-0000-0000-000075BE0000}"/>
    <cellStyle name="Normal 9 2 2 3 5 3 2" xfId="48924" xr:uid="{00000000-0005-0000-0000-000076BE0000}"/>
    <cellStyle name="Normal 9 2 2 3 5 3 3" xfId="48925" xr:uid="{00000000-0005-0000-0000-000077BE0000}"/>
    <cellStyle name="Normal 9 2 2 3 5 4" xfId="48926" xr:uid="{00000000-0005-0000-0000-000078BE0000}"/>
    <cellStyle name="Normal 9 2 2 3 5 5" xfId="48927" xr:uid="{00000000-0005-0000-0000-000079BE0000}"/>
    <cellStyle name="Normal 9 2 2 3 5 6" xfId="48928" xr:uid="{00000000-0005-0000-0000-00007ABE0000}"/>
    <cellStyle name="Normal 9 2 2 3 5 7" xfId="48929" xr:uid="{00000000-0005-0000-0000-00007BBE0000}"/>
    <cellStyle name="Normal 9 2 2 3 6" xfId="48930" xr:uid="{00000000-0005-0000-0000-00007CBE0000}"/>
    <cellStyle name="Normal 9 2 2 3 6 2" xfId="48931" xr:uid="{00000000-0005-0000-0000-00007DBE0000}"/>
    <cellStyle name="Normal 9 2 2 3 6 2 2" xfId="48932" xr:uid="{00000000-0005-0000-0000-00007EBE0000}"/>
    <cellStyle name="Normal 9 2 2 3 6 2 3" xfId="48933" xr:uid="{00000000-0005-0000-0000-00007FBE0000}"/>
    <cellStyle name="Normal 9 2 2 3 6 3" xfId="48934" xr:uid="{00000000-0005-0000-0000-000080BE0000}"/>
    <cellStyle name="Normal 9 2 2 3 6 4" xfId="48935" xr:uid="{00000000-0005-0000-0000-000081BE0000}"/>
    <cellStyle name="Normal 9 2 2 3 6 5" xfId="48936" xr:uid="{00000000-0005-0000-0000-000082BE0000}"/>
    <cellStyle name="Normal 9 2 2 3 6 6" xfId="48937" xr:uid="{00000000-0005-0000-0000-000083BE0000}"/>
    <cellStyle name="Normal 9 2 2 3 7" xfId="48938" xr:uid="{00000000-0005-0000-0000-000084BE0000}"/>
    <cellStyle name="Normal 9 2 2 3 7 2" xfId="48939" xr:uid="{00000000-0005-0000-0000-000085BE0000}"/>
    <cellStyle name="Normal 9 2 2 3 7 2 2" xfId="48940" xr:uid="{00000000-0005-0000-0000-000086BE0000}"/>
    <cellStyle name="Normal 9 2 2 3 7 2 3" xfId="48941" xr:uid="{00000000-0005-0000-0000-000087BE0000}"/>
    <cellStyle name="Normal 9 2 2 3 7 3" xfId="48942" xr:uid="{00000000-0005-0000-0000-000088BE0000}"/>
    <cellStyle name="Normal 9 2 2 3 7 4" xfId="48943" xr:uid="{00000000-0005-0000-0000-000089BE0000}"/>
    <cellStyle name="Normal 9 2 2 3 7 5" xfId="48944" xr:uid="{00000000-0005-0000-0000-00008ABE0000}"/>
    <cellStyle name="Normal 9 2 2 3 7 6" xfId="48945" xr:uid="{00000000-0005-0000-0000-00008BBE0000}"/>
    <cellStyle name="Normal 9 2 2 3 8" xfId="48946" xr:uid="{00000000-0005-0000-0000-00008CBE0000}"/>
    <cellStyle name="Normal 9 2 2 3 8 2" xfId="48947" xr:uid="{00000000-0005-0000-0000-00008DBE0000}"/>
    <cellStyle name="Normal 9 2 2 3 8 2 2" xfId="48948" xr:uid="{00000000-0005-0000-0000-00008EBE0000}"/>
    <cellStyle name="Normal 9 2 2 3 8 2 3" xfId="48949" xr:uid="{00000000-0005-0000-0000-00008FBE0000}"/>
    <cellStyle name="Normal 9 2 2 3 8 3" xfId="48950" xr:uid="{00000000-0005-0000-0000-000090BE0000}"/>
    <cellStyle name="Normal 9 2 2 3 8 4" xfId="48951" xr:uid="{00000000-0005-0000-0000-000091BE0000}"/>
    <cellStyle name="Normal 9 2 2 3 8 5" xfId="48952" xr:uid="{00000000-0005-0000-0000-000092BE0000}"/>
    <cellStyle name="Normal 9 2 2 3 8 6" xfId="48953" xr:uid="{00000000-0005-0000-0000-000093BE0000}"/>
    <cellStyle name="Normal 9 2 2 3 9" xfId="48954" xr:uid="{00000000-0005-0000-0000-000094BE0000}"/>
    <cellStyle name="Normal 9 2 2 3 9 2" xfId="48955" xr:uid="{00000000-0005-0000-0000-000095BE0000}"/>
    <cellStyle name="Normal 9 2 2 3 9 2 2" xfId="48956" xr:uid="{00000000-0005-0000-0000-000096BE0000}"/>
    <cellStyle name="Normal 9 2 2 3 9 2 3" xfId="48957" xr:uid="{00000000-0005-0000-0000-000097BE0000}"/>
    <cellStyle name="Normal 9 2 2 3 9 3" xfId="48958" xr:uid="{00000000-0005-0000-0000-000098BE0000}"/>
    <cellStyle name="Normal 9 2 2 3 9 4" xfId="48959" xr:uid="{00000000-0005-0000-0000-000099BE0000}"/>
    <cellStyle name="Normal 9 2 2 3 9 5" xfId="48960" xr:uid="{00000000-0005-0000-0000-00009ABE0000}"/>
    <cellStyle name="Normal 9 2 2 3 9 6" xfId="48961" xr:uid="{00000000-0005-0000-0000-00009BBE0000}"/>
    <cellStyle name="Normal 9 2 2 4" xfId="48962" xr:uid="{00000000-0005-0000-0000-00009CBE0000}"/>
    <cellStyle name="Normal 9 2 2 4 10" xfId="48963" xr:uid="{00000000-0005-0000-0000-00009DBE0000}"/>
    <cellStyle name="Normal 9 2 2 4 11" xfId="48964" xr:uid="{00000000-0005-0000-0000-00009EBE0000}"/>
    <cellStyle name="Normal 9 2 2 4 12" xfId="48965" xr:uid="{00000000-0005-0000-0000-00009FBE0000}"/>
    <cellStyle name="Normal 9 2 2 4 13" xfId="48966" xr:uid="{00000000-0005-0000-0000-0000A0BE0000}"/>
    <cellStyle name="Normal 9 2 2 4 2" xfId="48967" xr:uid="{00000000-0005-0000-0000-0000A1BE0000}"/>
    <cellStyle name="Normal 9 2 2 4 2 10" xfId="48968" xr:uid="{00000000-0005-0000-0000-0000A2BE0000}"/>
    <cellStyle name="Normal 9 2 2 4 2 2" xfId="48969" xr:uid="{00000000-0005-0000-0000-0000A3BE0000}"/>
    <cellStyle name="Normal 9 2 2 4 2 2 2" xfId="48970" xr:uid="{00000000-0005-0000-0000-0000A4BE0000}"/>
    <cellStyle name="Normal 9 2 2 4 2 2 2 2" xfId="48971" xr:uid="{00000000-0005-0000-0000-0000A5BE0000}"/>
    <cellStyle name="Normal 9 2 2 4 2 2 2 2 2" xfId="48972" xr:uid="{00000000-0005-0000-0000-0000A6BE0000}"/>
    <cellStyle name="Normal 9 2 2 4 2 2 2 2 3" xfId="48973" xr:uid="{00000000-0005-0000-0000-0000A7BE0000}"/>
    <cellStyle name="Normal 9 2 2 4 2 2 2 3" xfId="48974" xr:uid="{00000000-0005-0000-0000-0000A8BE0000}"/>
    <cellStyle name="Normal 9 2 2 4 2 2 2 4" xfId="48975" xr:uid="{00000000-0005-0000-0000-0000A9BE0000}"/>
    <cellStyle name="Normal 9 2 2 4 2 2 2 5" xfId="48976" xr:uid="{00000000-0005-0000-0000-0000AABE0000}"/>
    <cellStyle name="Normal 9 2 2 4 2 2 2 6" xfId="48977" xr:uid="{00000000-0005-0000-0000-0000ABBE0000}"/>
    <cellStyle name="Normal 9 2 2 4 2 2 3" xfId="48978" xr:uid="{00000000-0005-0000-0000-0000ACBE0000}"/>
    <cellStyle name="Normal 9 2 2 4 2 2 3 2" xfId="48979" xr:uid="{00000000-0005-0000-0000-0000ADBE0000}"/>
    <cellStyle name="Normal 9 2 2 4 2 2 3 2 2" xfId="48980" xr:uid="{00000000-0005-0000-0000-0000AEBE0000}"/>
    <cellStyle name="Normal 9 2 2 4 2 2 3 2 3" xfId="48981" xr:uid="{00000000-0005-0000-0000-0000AFBE0000}"/>
    <cellStyle name="Normal 9 2 2 4 2 2 3 3" xfId="48982" xr:uid="{00000000-0005-0000-0000-0000B0BE0000}"/>
    <cellStyle name="Normal 9 2 2 4 2 2 3 4" xfId="48983" xr:uid="{00000000-0005-0000-0000-0000B1BE0000}"/>
    <cellStyle name="Normal 9 2 2 4 2 2 3 5" xfId="48984" xr:uid="{00000000-0005-0000-0000-0000B2BE0000}"/>
    <cellStyle name="Normal 9 2 2 4 2 2 3 6" xfId="48985" xr:uid="{00000000-0005-0000-0000-0000B3BE0000}"/>
    <cellStyle name="Normal 9 2 2 4 2 2 4" xfId="48986" xr:uid="{00000000-0005-0000-0000-0000B4BE0000}"/>
    <cellStyle name="Normal 9 2 2 4 2 2 4 2" xfId="48987" xr:uid="{00000000-0005-0000-0000-0000B5BE0000}"/>
    <cellStyle name="Normal 9 2 2 4 2 2 4 3" xfId="48988" xr:uid="{00000000-0005-0000-0000-0000B6BE0000}"/>
    <cellStyle name="Normal 9 2 2 4 2 2 5" xfId="48989" xr:uid="{00000000-0005-0000-0000-0000B7BE0000}"/>
    <cellStyle name="Normal 9 2 2 4 2 2 6" xfId="48990" xr:uid="{00000000-0005-0000-0000-0000B8BE0000}"/>
    <cellStyle name="Normal 9 2 2 4 2 2 7" xfId="48991" xr:uid="{00000000-0005-0000-0000-0000B9BE0000}"/>
    <cellStyle name="Normal 9 2 2 4 2 2 8" xfId="48992" xr:uid="{00000000-0005-0000-0000-0000BABE0000}"/>
    <cellStyle name="Normal 9 2 2 4 2 3" xfId="48993" xr:uid="{00000000-0005-0000-0000-0000BBBE0000}"/>
    <cellStyle name="Normal 9 2 2 4 2 3 2" xfId="48994" xr:uid="{00000000-0005-0000-0000-0000BCBE0000}"/>
    <cellStyle name="Normal 9 2 2 4 2 3 2 2" xfId="48995" xr:uid="{00000000-0005-0000-0000-0000BDBE0000}"/>
    <cellStyle name="Normal 9 2 2 4 2 3 2 2 2" xfId="48996" xr:uid="{00000000-0005-0000-0000-0000BEBE0000}"/>
    <cellStyle name="Normal 9 2 2 4 2 3 2 2 3" xfId="48997" xr:uid="{00000000-0005-0000-0000-0000BFBE0000}"/>
    <cellStyle name="Normal 9 2 2 4 2 3 2 3" xfId="48998" xr:uid="{00000000-0005-0000-0000-0000C0BE0000}"/>
    <cellStyle name="Normal 9 2 2 4 2 3 2 4" xfId="48999" xr:uid="{00000000-0005-0000-0000-0000C1BE0000}"/>
    <cellStyle name="Normal 9 2 2 4 2 3 2 5" xfId="49000" xr:uid="{00000000-0005-0000-0000-0000C2BE0000}"/>
    <cellStyle name="Normal 9 2 2 4 2 3 2 6" xfId="49001" xr:uid="{00000000-0005-0000-0000-0000C3BE0000}"/>
    <cellStyle name="Normal 9 2 2 4 2 3 3" xfId="49002" xr:uid="{00000000-0005-0000-0000-0000C4BE0000}"/>
    <cellStyle name="Normal 9 2 2 4 2 3 3 2" xfId="49003" xr:uid="{00000000-0005-0000-0000-0000C5BE0000}"/>
    <cellStyle name="Normal 9 2 2 4 2 3 3 3" xfId="49004" xr:uid="{00000000-0005-0000-0000-0000C6BE0000}"/>
    <cellStyle name="Normal 9 2 2 4 2 3 4" xfId="49005" xr:uid="{00000000-0005-0000-0000-0000C7BE0000}"/>
    <cellStyle name="Normal 9 2 2 4 2 3 5" xfId="49006" xr:uid="{00000000-0005-0000-0000-0000C8BE0000}"/>
    <cellStyle name="Normal 9 2 2 4 2 3 6" xfId="49007" xr:uid="{00000000-0005-0000-0000-0000C9BE0000}"/>
    <cellStyle name="Normal 9 2 2 4 2 3 7" xfId="49008" xr:uid="{00000000-0005-0000-0000-0000CABE0000}"/>
    <cellStyle name="Normal 9 2 2 4 2 4" xfId="49009" xr:uid="{00000000-0005-0000-0000-0000CBBE0000}"/>
    <cellStyle name="Normal 9 2 2 4 2 4 2" xfId="49010" xr:uid="{00000000-0005-0000-0000-0000CCBE0000}"/>
    <cellStyle name="Normal 9 2 2 4 2 4 2 2" xfId="49011" xr:uid="{00000000-0005-0000-0000-0000CDBE0000}"/>
    <cellStyle name="Normal 9 2 2 4 2 4 2 3" xfId="49012" xr:uid="{00000000-0005-0000-0000-0000CEBE0000}"/>
    <cellStyle name="Normal 9 2 2 4 2 4 3" xfId="49013" xr:uid="{00000000-0005-0000-0000-0000CFBE0000}"/>
    <cellStyle name="Normal 9 2 2 4 2 4 4" xfId="49014" xr:uid="{00000000-0005-0000-0000-0000D0BE0000}"/>
    <cellStyle name="Normal 9 2 2 4 2 4 5" xfId="49015" xr:uid="{00000000-0005-0000-0000-0000D1BE0000}"/>
    <cellStyle name="Normal 9 2 2 4 2 4 6" xfId="49016" xr:uid="{00000000-0005-0000-0000-0000D2BE0000}"/>
    <cellStyle name="Normal 9 2 2 4 2 5" xfId="49017" xr:uid="{00000000-0005-0000-0000-0000D3BE0000}"/>
    <cellStyle name="Normal 9 2 2 4 2 5 2" xfId="49018" xr:uid="{00000000-0005-0000-0000-0000D4BE0000}"/>
    <cellStyle name="Normal 9 2 2 4 2 5 2 2" xfId="49019" xr:uid="{00000000-0005-0000-0000-0000D5BE0000}"/>
    <cellStyle name="Normal 9 2 2 4 2 5 2 3" xfId="49020" xr:uid="{00000000-0005-0000-0000-0000D6BE0000}"/>
    <cellStyle name="Normal 9 2 2 4 2 5 3" xfId="49021" xr:uid="{00000000-0005-0000-0000-0000D7BE0000}"/>
    <cellStyle name="Normal 9 2 2 4 2 5 4" xfId="49022" xr:uid="{00000000-0005-0000-0000-0000D8BE0000}"/>
    <cellStyle name="Normal 9 2 2 4 2 5 5" xfId="49023" xr:uid="{00000000-0005-0000-0000-0000D9BE0000}"/>
    <cellStyle name="Normal 9 2 2 4 2 5 6" xfId="49024" xr:uid="{00000000-0005-0000-0000-0000DABE0000}"/>
    <cellStyle name="Normal 9 2 2 4 2 6" xfId="49025" xr:uid="{00000000-0005-0000-0000-0000DBBE0000}"/>
    <cellStyle name="Normal 9 2 2 4 2 6 2" xfId="49026" xr:uid="{00000000-0005-0000-0000-0000DCBE0000}"/>
    <cellStyle name="Normal 9 2 2 4 2 6 3" xfId="49027" xr:uid="{00000000-0005-0000-0000-0000DDBE0000}"/>
    <cellStyle name="Normal 9 2 2 4 2 7" xfId="49028" xr:uid="{00000000-0005-0000-0000-0000DEBE0000}"/>
    <cellStyle name="Normal 9 2 2 4 2 8" xfId="49029" xr:uid="{00000000-0005-0000-0000-0000DFBE0000}"/>
    <cellStyle name="Normal 9 2 2 4 2 9" xfId="49030" xr:uid="{00000000-0005-0000-0000-0000E0BE0000}"/>
    <cellStyle name="Normal 9 2 2 4 3" xfId="49031" xr:uid="{00000000-0005-0000-0000-0000E1BE0000}"/>
    <cellStyle name="Normal 9 2 2 4 3 2" xfId="49032" xr:uid="{00000000-0005-0000-0000-0000E2BE0000}"/>
    <cellStyle name="Normal 9 2 2 4 3 2 2" xfId="49033" xr:uid="{00000000-0005-0000-0000-0000E3BE0000}"/>
    <cellStyle name="Normal 9 2 2 4 3 2 2 2" xfId="49034" xr:uid="{00000000-0005-0000-0000-0000E4BE0000}"/>
    <cellStyle name="Normal 9 2 2 4 3 2 2 2 2" xfId="49035" xr:uid="{00000000-0005-0000-0000-0000E5BE0000}"/>
    <cellStyle name="Normal 9 2 2 4 3 2 2 2 3" xfId="49036" xr:uid="{00000000-0005-0000-0000-0000E6BE0000}"/>
    <cellStyle name="Normal 9 2 2 4 3 2 2 3" xfId="49037" xr:uid="{00000000-0005-0000-0000-0000E7BE0000}"/>
    <cellStyle name="Normal 9 2 2 4 3 2 2 4" xfId="49038" xr:uid="{00000000-0005-0000-0000-0000E8BE0000}"/>
    <cellStyle name="Normal 9 2 2 4 3 2 2 5" xfId="49039" xr:uid="{00000000-0005-0000-0000-0000E9BE0000}"/>
    <cellStyle name="Normal 9 2 2 4 3 2 2 6" xfId="49040" xr:uid="{00000000-0005-0000-0000-0000EABE0000}"/>
    <cellStyle name="Normal 9 2 2 4 3 2 3" xfId="49041" xr:uid="{00000000-0005-0000-0000-0000EBBE0000}"/>
    <cellStyle name="Normal 9 2 2 4 3 2 3 2" xfId="49042" xr:uid="{00000000-0005-0000-0000-0000ECBE0000}"/>
    <cellStyle name="Normal 9 2 2 4 3 2 3 3" xfId="49043" xr:uid="{00000000-0005-0000-0000-0000EDBE0000}"/>
    <cellStyle name="Normal 9 2 2 4 3 2 4" xfId="49044" xr:uid="{00000000-0005-0000-0000-0000EEBE0000}"/>
    <cellStyle name="Normal 9 2 2 4 3 2 5" xfId="49045" xr:uid="{00000000-0005-0000-0000-0000EFBE0000}"/>
    <cellStyle name="Normal 9 2 2 4 3 2 6" xfId="49046" xr:uid="{00000000-0005-0000-0000-0000F0BE0000}"/>
    <cellStyle name="Normal 9 2 2 4 3 2 7" xfId="49047" xr:uid="{00000000-0005-0000-0000-0000F1BE0000}"/>
    <cellStyle name="Normal 9 2 2 4 3 3" xfId="49048" xr:uid="{00000000-0005-0000-0000-0000F2BE0000}"/>
    <cellStyle name="Normal 9 2 2 4 3 3 2" xfId="49049" xr:uid="{00000000-0005-0000-0000-0000F3BE0000}"/>
    <cellStyle name="Normal 9 2 2 4 3 3 2 2" xfId="49050" xr:uid="{00000000-0005-0000-0000-0000F4BE0000}"/>
    <cellStyle name="Normal 9 2 2 4 3 3 2 3" xfId="49051" xr:uid="{00000000-0005-0000-0000-0000F5BE0000}"/>
    <cellStyle name="Normal 9 2 2 4 3 3 3" xfId="49052" xr:uid="{00000000-0005-0000-0000-0000F6BE0000}"/>
    <cellStyle name="Normal 9 2 2 4 3 3 4" xfId="49053" xr:uid="{00000000-0005-0000-0000-0000F7BE0000}"/>
    <cellStyle name="Normal 9 2 2 4 3 3 5" xfId="49054" xr:uid="{00000000-0005-0000-0000-0000F8BE0000}"/>
    <cellStyle name="Normal 9 2 2 4 3 3 6" xfId="49055" xr:uid="{00000000-0005-0000-0000-0000F9BE0000}"/>
    <cellStyle name="Normal 9 2 2 4 3 4" xfId="49056" xr:uid="{00000000-0005-0000-0000-0000FABE0000}"/>
    <cellStyle name="Normal 9 2 2 4 3 4 2" xfId="49057" xr:uid="{00000000-0005-0000-0000-0000FBBE0000}"/>
    <cellStyle name="Normal 9 2 2 4 3 4 2 2" xfId="49058" xr:uid="{00000000-0005-0000-0000-0000FCBE0000}"/>
    <cellStyle name="Normal 9 2 2 4 3 4 2 3" xfId="49059" xr:uid="{00000000-0005-0000-0000-0000FDBE0000}"/>
    <cellStyle name="Normal 9 2 2 4 3 4 3" xfId="49060" xr:uid="{00000000-0005-0000-0000-0000FEBE0000}"/>
    <cellStyle name="Normal 9 2 2 4 3 4 4" xfId="49061" xr:uid="{00000000-0005-0000-0000-0000FFBE0000}"/>
    <cellStyle name="Normal 9 2 2 4 3 4 5" xfId="49062" xr:uid="{00000000-0005-0000-0000-000000BF0000}"/>
    <cellStyle name="Normal 9 2 2 4 3 4 6" xfId="49063" xr:uid="{00000000-0005-0000-0000-000001BF0000}"/>
    <cellStyle name="Normal 9 2 2 4 3 5" xfId="49064" xr:uid="{00000000-0005-0000-0000-000002BF0000}"/>
    <cellStyle name="Normal 9 2 2 4 3 5 2" xfId="49065" xr:uid="{00000000-0005-0000-0000-000003BF0000}"/>
    <cellStyle name="Normal 9 2 2 4 3 5 3" xfId="49066" xr:uid="{00000000-0005-0000-0000-000004BF0000}"/>
    <cellStyle name="Normal 9 2 2 4 3 6" xfId="49067" xr:uid="{00000000-0005-0000-0000-000005BF0000}"/>
    <cellStyle name="Normal 9 2 2 4 3 7" xfId="49068" xr:uid="{00000000-0005-0000-0000-000006BF0000}"/>
    <cellStyle name="Normal 9 2 2 4 3 8" xfId="49069" xr:uid="{00000000-0005-0000-0000-000007BF0000}"/>
    <cellStyle name="Normal 9 2 2 4 3 9" xfId="49070" xr:uid="{00000000-0005-0000-0000-000008BF0000}"/>
    <cellStyle name="Normal 9 2 2 4 4" xfId="49071" xr:uid="{00000000-0005-0000-0000-000009BF0000}"/>
    <cellStyle name="Normal 9 2 2 4 4 2" xfId="49072" xr:uid="{00000000-0005-0000-0000-00000ABF0000}"/>
    <cellStyle name="Normal 9 2 2 4 4 2 2" xfId="49073" xr:uid="{00000000-0005-0000-0000-00000BBF0000}"/>
    <cellStyle name="Normal 9 2 2 4 4 2 2 2" xfId="49074" xr:uid="{00000000-0005-0000-0000-00000CBF0000}"/>
    <cellStyle name="Normal 9 2 2 4 4 2 2 3" xfId="49075" xr:uid="{00000000-0005-0000-0000-00000DBF0000}"/>
    <cellStyle name="Normal 9 2 2 4 4 2 3" xfId="49076" xr:uid="{00000000-0005-0000-0000-00000EBF0000}"/>
    <cellStyle name="Normal 9 2 2 4 4 2 4" xfId="49077" xr:uid="{00000000-0005-0000-0000-00000FBF0000}"/>
    <cellStyle name="Normal 9 2 2 4 4 2 5" xfId="49078" xr:uid="{00000000-0005-0000-0000-000010BF0000}"/>
    <cellStyle name="Normal 9 2 2 4 4 2 6" xfId="49079" xr:uid="{00000000-0005-0000-0000-000011BF0000}"/>
    <cellStyle name="Normal 9 2 2 4 4 3" xfId="49080" xr:uid="{00000000-0005-0000-0000-000012BF0000}"/>
    <cellStyle name="Normal 9 2 2 4 4 3 2" xfId="49081" xr:uid="{00000000-0005-0000-0000-000013BF0000}"/>
    <cellStyle name="Normal 9 2 2 4 4 3 3" xfId="49082" xr:uid="{00000000-0005-0000-0000-000014BF0000}"/>
    <cellStyle name="Normal 9 2 2 4 4 4" xfId="49083" xr:uid="{00000000-0005-0000-0000-000015BF0000}"/>
    <cellStyle name="Normal 9 2 2 4 4 5" xfId="49084" xr:uid="{00000000-0005-0000-0000-000016BF0000}"/>
    <cellStyle name="Normal 9 2 2 4 4 6" xfId="49085" xr:uid="{00000000-0005-0000-0000-000017BF0000}"/>
    <cellStyle name="Normal 9 2 2 4 4 7" xfId="49086" xr:uid="{00000000-0005-0000-0000-000018BF0000}"/>
    <cellStyle name="Normal 9 2 2 4 5" xfId="49087" xr:uid="{00000000-0005-0000-0000-000019BF0000}"/>
    <cellStyle name="Normal 9 2 2 4 5 2" xfId="49088" xr:uid="{00000000-0005-0000-0000-00001ABF0000}"/>
    <cellStyle name="Normal 9 2 2 4 5 2 2" xfId="49089" xr:uid="{00000000-0005-0000-0000-00001BBF0000}"/>
    <cellStyle name="Normal 9 2 2 4 5 2 3" xfId="49090" xr:uid="{00000000-0005-0000-0000-00001CBF0000}"/>
    <cellStyle name="Normal 9 2 2 4 5 3" xfId="49091" xr:uid="{00000000-0005-0000-0000-00001DBF0000}"/>
    <cellStyle name="Normal 9 2 2 4 5 4" xfId="49092" xr:uid="{00000000-0005-0000-0000-00001EBF0000}"/>
    <cellStyle name="Normal 9 2 2 4 5 5" xfId="49093" xr:uid="{00000000-0005-0000-0000-00001FBF0000}"/>
    <cellStyle name="Normal 9 2 2 4 5 6" xfId="49094" xr:uid="{00000000-0005-0000-0000-000020BF0000}"/>
    <cellStyle name="Normal 9 2 2 4 6" xfId="49095" xr:uid="{00000000-0005-0000-0000-000021BF0000}"/>
    <cellStyle name="Normal 9 2 2 4 6 2" xfId="49096" xr:uid="{00000000-0005-0000-0000-000022BF0000}"/>
    <cellStyle name="Normal 9 2 2 4 6 2 2" xfId="49097" xr:uid="{00000000-0005-0000-0000-000023BF0000}"/>
    <cellStyle name="Normal 9 2 2 4 6 2 3" xfId="49098" xr:uid="{00000000-0005-0000-0000-000024BF0000}"/>
    <cellStyle name="Normal 9 2 2 4 6 3" xfId="49099" xr:uid="{00000000-0005-0000-0000-000025BF0000}"/>
    <cellStyle name="Normal 9 2 2 4 6 4" xfId="49100" xr:uid="{00000000-0005-0000-0000-000026BF0000}"/>
    <cellStyle name="Normal 9 2 2 4 6 5" xfId="49101" xr:uid="{00000000-0005-0000-0000-000027BF0000}"/>
    <cellStyle name="Normal 9 2 2 4 6 6" xfId="49102" xr:uid="{00000000-0005-0000-0000-000028BF0000}"/>
    <cellStyle name="Normal 9 2 2 4 7" xfId="49103" xr:uid="{00000000-0005-0000-0000-000029BF0000}"/>
    <cellStyle name="Normal 9 2 2 4 7 2" xfId="49104" xr:uid="{00000000-0005-0000-0000-00002ABF0000}"/>
    <cellStyle name="Normal 9 2 2 4 7 2 2" xfId="49105" xr:uid="{00000000-0005-0000-0000-00002BBF0000}"/>
    <cellStyle name="Normal 9 2 2 4 7 2 3" xfId="49106" xr:uid="{00000000-0005-0000-0000-00002CBF0000}"/>
    <cellStyle name="Normal 9 2 2 4 7 3" xfId="49107" xr:uid="{00000000-0005-0000-0000-00002DBF0000}"/>
    <cellStyle name="Normal 9 2 2 4 7 4" xfId="49108" xr:uid="{00000000-0005-0000-0000-00002EBF0000}"/>
    <cellStyle name="Normal 9 2 2 4 7 5" xfId="49109" xr:uid="{00000000-0005-0000-0000-00002FBF0000}"/>
    <cellStyle name="Normal 9 2 2 4 7 6" xfId="49110" xr:uid="{00000000-0005-0000-0000-000030BF0000}"/>
    <cellStyle name="Normal 9 2 2 4 8" xfId="49111" xr:uid="{00000000-0005-0000-0000-000031BF0000}"/>
    <cellStyle name="Normal 9 2 2 4 8 2" xfId="49112" xr:uid="{00000000-0005-0000-0000-000032BF0000}"/>
    <cellStyle name="Normal 9 2 2 4 8 2 2" xfId="49113" xr:uid="{00000000-0005-0000-0000-000033BF0000}"/>
    <cellStyle name="Normal 9 2 2 4 8 2 3" xfId="49114" xr:uid="{00000000-0005-0000-0000-000034BF0000}"/>
    <cellStyle name="Normal 9 2 2 4 8 3" xfId="49115" xr:uid="{00000000-0005-0000-0000-000035BF0000}"/>
    <cellStyle name="Normal 9 2 2 4 8 4" xfId="49116" xr:uid="{00000000-0005-0000-0000-000036BF0000}"/>
    <cellStyle name="Normal 9 2 2 4 8 5" xfId="49117" xr:uid="{00000000-0005-0000-0000-000037BF0000}"/>
    <cellStyle name="Normal 9 2 2 4 8 6" xfId="49118" xr:uid="{00000000-0005-0000-0000-000038BF0000}"/>
    <cellStyle name="Normal 9 2 2 4 9" xfId="49119" xr:uid="{00000000-0005-0000-0000-000039BF0000}"/>
    <cellStyle name="Normal 9 2 2 4 9 2" xfId="49120" xr:uid="{00000000-0005-0000-0000-00003ABF0000}"/>
    <cellStyle name="Normal 9 2 2 4 9 3" xfId="49121" xr:uid="{00000000-0005-0000-0000-00003BBF0000}"/>
    <cellStyle name="Normal 9 2 2 5" xfId="49122" xr:uid="{00000000-0005-0000-0000-00003CBF0000}"/>
    <cellStyle name="Normal 9 2 2 5 10" xfId="49123" xr:uid="{00000000-0005-0000-0000-00003DBF0000}"/>
    <cellStyle name="Normal 9 2 2 5 2" xfId="49124" xr:uid="{00000000-0005-0000-0000-00003EBF0000}"/>
    <cellStyle name="Normal 9 2 2 5 2 2" xfId="49125" xr:uid="{00000000-0005-0000-0000-00003FBF0000}"/>
    <cellStyle name="Normal 9 2 2 5 2 2 2" xfId="49126" xr:uid="{00000000-0005-0000-0000-000040BF0000}"/>
    <cellStyle name="Normal 9 2 2 5 2 2 2 2" xfId="49127" xr:uid="{00000000-0005-0000-0000-000041BF0000}"/>
    <cellStyle name="Normal 9 2 2 5 2 2 2 3" xfId="49128" xr:uid="{00000000-0005-0000-0000-000042BF0000}"/>
    <cellStyle name="Normal 9 2 2 5 2 2 3" xfId="49129" xr:uid="{00000000-0005-0000-0000-000043BF0000}"/>
    <cellStyle name="Normal 9 2 2 5 2 2 4" xfId="49130" xr:uid="{00000000-0005-0000-0000-000044BF0000}"/>
    <cellStyle name="Normal 9 2 2 5 2 2 5" xfId="49131" xr:uid="{00000000-0005-0000-0000-000045BF0000}"/>
    <cellStyle name="Normal 9 2 2 5 2 2 6" xfId="49132" xr:uid="{00000000-0005-0000-0000-000046BF0000}"/>
    <cellStyle name="Normal 9 2 2 5 2 3" xfId="49133" xr:uid="{00000000-0005-0000-0000-000047BF0000}"/>
    <cellStyle name="Normal 9 2 2 5 2 3 2" xfId="49134" xr:uid="{00000000-0005-0000-0000-000048BF0000}"/>
    <cellStyle name="Normal 9 2 2 5 2 3 2 2" xfId="49135" xr:uid="{00000000-0005-0000-0000-000049BF0000}"/>
    <cellStyle name="Normal 9 2 2 5 2 3 2 3" xfId="49136" xr:uid="{00000000-0005-0000-0000-00004ABF0000}"/>
    <cellStyle name="Normal 9 2 2 5 2 3 3" xfId="49137" xr:uid="{00000000-0005-0000-0000-00004BBF0000}"/>
    <cellStyle name="Normal 9 2 2 5 2 3 4" xfId="49138" xr:uid="{00000000-0005-0000-0000-00004CBF0000}"/>
    <cellStyle name="Normal 9 2 2 5 2 3 5" xfId="49139" xr:uid="{00000000-0005-0000-0000-00004DBF0000}"/>
    <cellStyle name="Normal 9 2 2 5 2 3 6" xfId="49140" xr:uid="{00000000-0005-0000-0000-00004EBF0000}"/>
    <cellStyle name="Normal 9 2 2 5 2 4" xfId="49141" xr:uid="{00000000-0005-0000-0000-00004FBF0000}"/>
    <cellStyle name="Normal 9 2 2 5 2 4 2" xfId="49142" xr:uid="{00000000-0005-0000-0000-000050BF0000}"/>
    <cellStyle name="Normal 9 2 2 5 2 4 3" xfId="49143" xr:uid="{00000000-0005-0000-0000-000051BF0000}"/>
    <cellStyle name="Normal 9 2 2 5 2 5" xfId="49144" xr:uid="{00000000-0005-0000-0000-000052BF0000}"/>
    <cellStyle name="Normal 9 2 2 5 2 6" xfId="49145" xr:uid="{00000000-0005-0000-0000-000053BF0000}"/>
    <cellStyle name="Normal 9 2 2 5 2 7" xfId="49146" xr:uid="{00000000-0005-0000-0000-000054BF0000}"/>
    <cellStyle name="Normal 9 2 2 5 2 8" xfId="49147" xr:uid="{00000000-0005-0000-0000-000055BF0000}"/>
    <cellStyle name="Normal 9 2 2 5 3" xfId="49148" xr:uid="{00000000-0005-0000-0000-000056BF0000}"/>
    <cellStyle name="Normal 9 2 2 5 3 2" xfId="49149" xr:uid="{00000000-0005-0000-0000-000057BF0000}"/>
    <cellStyle name="Normal 9 2 2 5 3 2 2" xfId="49150" xr:uid="{00000000-0005-0000-0000-000058BF0000}"/>
    <cellStyle name="Normal 9 2 2 5 3 2 2 2" xfId="49151" xr:uid="{00000000-0005-0000-0000-000059BF0000}"/>
    <cellStyle name="Normal 9 2 2 5 3 2 2 3" xfId="49152" xr:uid="{00000000-0005-0000-0000-00005ABF0000}"/>
    <cellStyle name="Normal 9 2 2 5 3 2 3" xfId="49153" xr:uid="{00000000-0005-0000-0000-00005BBF0000}"/>
    <cellStyle name="Normal 9 2 2 5 3 2 4" xfId="49154" xr:uid="{00000000-0005-0000-0000-00005CBF0000}"/>
    <cellStyle name="Normal 9 2 2 5 3 2 5" xfId="49155" xr:uid="{00000000-0005-0000-0000-00005DBF0000}"/>
    <cellStyle name="Normal 9 2 2 5 3 2 6" xfId="49156" xr:uid="{00000000-0005-0000-0000-00005EBF0000}"/>
    <cellStyle name="Normal 9 2 2 5 3 3" xfId="49157" xr:uid="{00000000-0005-0000-0000-00005FBF0000}"/>
    <cellStyle name="Normal 9 2 2 5 3 3 2" xfId="49158" xr:uid="{00000000-0005-0000-0000-000060BF0000}"/>
    <cellStyle name="Normal 9 2 2 5 3 3 3" xfId="49159" xr:uid="{00000000-0005-0000-0000-000061BF0000}"/>
    <cellStyle name="Normal 9 2 2 5 3 4" xfId="49160" xr:uid="{00000000-0005-0000-0000-000062BF0000}"/>
    <cellStyle name="Normal 9 2 2 5 3 5" xfId="49161" xr:uid="{00000000-0005-0000-0000-000063BF0000}"/>
    <cellStyle name="Normal 9 2 2 5 3 6" xfId="49162" xr:uid="{00000000-0005-0000-0000-000064BF0000}"/>
    <cellStyle name="Normal 9 2 2 5 3 7" xfId="49163" xr:uid="{00000000-0005-0000-0000-000065BF0000}"/>
    <cellStyle name="Normal 9 2 2 5 4" xfId="49164" xr:uid="{00000000-0005-0000-0000-000066BF0000}"/>
    <cellStyle name="Normal 9 2 2 5 4 2" xfId="49165" xr:uid="{00000000-0005-0000-0000-000067BF0000}"/>
    <cellStyle name="Normal 9 2 2 5 4 2 2" xfId="49166" xr:uid="{00000000-0005-0000-0000-000068BF0000}"/>
    <cellStyle name="Normal 9 2 2 5 4 2 3" xfId="49167" xr:uid="{00000000-0005-0000-0000-000069BF0000}"/>
    <cellStyle name="Normal 9 2 2 5 4 3" xfId="49168" xr:uid="{00000000-0005-0000-0000-00006ABF0000}"/>
    <cellStyle name="Normal 9 2 2 5 4 4" xfId="49169" xr:uid="{00000000-0005-0000-0000-00006BBF0000}"/>
    <cellStyle name="Normal 9 2 2 5 4 5" xfId="49170" xr:uid="{00000000-0005-0000-0000-00006CBF0000}"/>
    <cellStyle name="Normal 9 2 2 5 4 6" xfId="49171" xr:uid="{00000000-0005-0000-0000-00006DBF0000}"/>
    <cellStyle name="Normal 9 2 2 5 5" xfId="49172" xr:uid="{00000000-0005-0000-0000-00006EBF0000}"/>
    <cellStyle name="Normal 9 2 2 5 5 2" xfId="49173" xr:uid="{00000000-0005-0000-0000-00006FBF0000}"/>
    <cellStyle name="Normal 9 2 2 5 5 2 2" xfId="49174" xr:uid="{00000000-0005-0000-0000-000070BF0000}"/>
    <cellStyle name="Normal 9 2 2 5 5 2 3" xfId="49175" xr:uid="{00000000-0005-0000-0000-000071BF0000}"/>
    <cellStyle name="Normal 9 2 2 5 5 3" xfId="49176" xr:uid="{00000000-0005-0000-0000-000072BF0000}"/>
    <cellStyle name="Normal 9 2 2 5 5 4" xfId="49177" xr:uid="{00000000-0005-0000-0000-000073BF0000}"/>
    <cellStyle name="Normal 9 2 2 5 5 5" xfId="49178" xr:uid="{00000000-0005-0000-0000-000074BF0000}"/>
    <cellStyle name="Normal 9 2 2 5 5 6" xfId="49179" xr:uid="{00000000-0005-0000-0000-000075BF0000}"/>
    <cellStyle name="Normal 9 2 2 5 6" xfId="49180" xr:uid="{00000000-0005-0000-0000-000076BF0000}"/>
    <cellStyle name="Normal 9 2 2 5 6 2" xfId="49181" xr:uid="{00000000-0005-0000-0000-000077BF0000}"/>
    <cellStyle name="Normal 9 2 2 5 6 3" xfId="49182" xr:uid="{00000000-0005-0000-0000-000078BF0000}"/>
    <cellStyle name="Normal 9 2 2 5 7" xfId="49183" xr:uid="{00000000-0005-0000-0000-000079BF0000}"/>
    <cellStyle name="Normal 9 2 2 5 8" xfId="49184" xr:uid="{00000000-0005-0000-0000-00007ABF0000}"/>
    <cellStyle name="Normal 9 2 2 5 9" xfId="49185" xr:uid="{00000000-0005-0000-0000-00007BBF0000}"/>
    <cellStyle name="Normal 9 2 2 6" xfId="49186" xr:uid="{00000000-0005-0000-0000-00007CBF0000}"/>
    <cellStyle name="Normal 9 2 2 6 2" xfId="49187" xr:uid="{00000000-0005-0000-0000-00007DBF0000}"/>
    <cellStyle name="Normal 9 2 2 6 2 2" xfId="49188" xr:uid="{00000000-0005-0000-0000-00007EBF0000}"/>
    <cellStyle name="Normal 9 2 2 6 2 2 2" xfId="49189" xr:uid="{00000000-0005-0000-0000-00007FBF0000}"/>
    <cellStyle name="Normal 9 2 2 6 2 2 2 2" xfId="49190" xr:uid="{00000000-0005-0000-0000-000080BF0000}"/>
    <cellStyle name="Normal 9 2 2 6 2 2 2 3" xfId="49191" xr:uid="{00000000-0005-0000-0000-000081BF0000}"/>
    <cellStyle name="Normal 9 2 2 6 2 2 3" xfId="49192" xr:uid="{00000000-0005-0000-0000-000082BF0000}"/>
    <cellStyle name="Normal 9 2 2 6 2 2 4" xfId="49193" xr:uid="{00000000-0005-0000-0000-000083BF0000}"/>
    <cellStyle name="Normal 9 2 2 6 2 2 5" xfId="49194" xr:uid="{00000000-0005-0000-0000-000084BF0000}"/>
    <cellStyle name="Normal 9 2 2 6 2 2 6" xfId="49195" xr:uid="{00000000-0005-0000-0000-000085BF0000}"/>
    <cellStyle name="Normal 9 2 2 6 2 3" xfId="49196" xr:uid="{00000000-0005-0000-0000-000086BF0000}"/>
    <cellStyle name="Normal 9 2 2 6 2 3 2" xfId="49197" xr:uid="{00000000-0005-0000-0000-000087BF0000}"/>
    <cellStyle name="Normal 9 2 2 6 2 3 3" xfId="49198" xr:uid="{00000000-0005-0000-0000-000088BF0000}"/>
    <cellStyle name="Normal 9 2 2 6 2 4" xfId="49199" xr:uid="{00000000-0005-0000-0000-000089BF0000}"/>
    <cellStyle name="Normal 9 2 2 6 2 5" xfId="49200" xr:uid="{00000000-0005-0000-0000-00008ABF0000}"/>
    <cellStyle name="Normal 9 2 2 6 2 6" xfId="49201" xr:uid="{00000000-0005-0000-0000-00008BBF0000}"/>
    <cellStyle name="Normal 9 2 2 6 2 7" xfId="49202" xr:uid="{00000000-0005-0000-0000-00008CBF0000}"/>
    <cellStyle name="Normal 9 2 2 6 3" xfId="49203" xr:uid="{00000000-0005-0000-0000-00008DBF0000}"/>
    <cellStyle name="Normal 9 2 2 6 3 2" xfId="49204" xr:uid="{00000000-0005-0000-0000-00008EBF0000}"/>
    <cellStyle name="Normal 9 2 2 6 3 2 2" xfId="49205" xr:uid="{00000000-0005-0000-0000-00008FBF0000}"/>
    <cellStyle name="Normal 9 2 2 6 3 2 3" xfId="49206" xr:uid="{00000000-0005-0000-0000-000090BF0000}"/>
    <cellStyle name="Normal 9 2 2 6 3 3" xfId="49207" xr:uid="{00000000-0005-0000-0000-000091BF0000}"/>
    <cellStyle name="Normal 9 2 2 6 3 4" xfId="49208" xr:uid="{00000000-0005-0000-0000-000092BF0000}"/>
    <cellStyle name="Normal 9 2 2 6 3 5" xfId="49209" xr:uid="{00000000-0005-0000-0000-000093BF0000}"/>
    <cellStyle name="Normal 9 2 2 6 3 6" xfId="49210" xr:uid="{00000000-0005-0000-0000-000094BF0000}"/>
    <cellStyle name="Normal 9 2 2 6 4" xfId="49211" xr:uid="{00000000-0005-0000-0000-000095BF0000}"/>
    <cellStyle name="Normal 9 2 2 6 4 2" xfId="49212" xr:uid="{00000000-0005-0000-0000-000096BF0000}"/>
    <cellStyle name="Normal 9 2 2 6 4 2 2" xfId="49213" xr:uid="{00000000-0005-0000-0000-000097BF0000}"/>
    <cellStyle name="Normal 9 2 2 6 4 2 3" xfId="49214" xr:uid="{00000000-0005-0000-0000-000098BF0000}"/>
    <cellStyle name="Normal 9 2 2 6 4 3" xfId="49215" xr:uid="{00000000-0005-0000-0000-000099BF0000}"/>
    <cellStyle name="Normal 9 2 2 6 4 4" xfId="49216" xr:uid="{00000000-0005-0000-0000-00009ABF0000}"/>
    <cellStyle name="Normal 9 2 2 6 4 5" xfId="49217" xr:uid="{00000000-0005-0000-0000-00009BBF0000}"/>
    <cellStyle name="Normal 9 2 2 6 4 6" xfId="49218" xr:uid="{00000000-0005-0000-0000-00009CBF0000}"/>
    <cellStyle name="Normal 9 2 2 6 5" xfId="49219" xr:uid="{00000000-0005-0000-0000-00009DBF0000}"/>
    <cellStyle name="Normal 9 2 2 6 5 2" xfId="49220" xr:uid="{00000000-0005-0000-0000-00009EBF0000}"/>
    <cellStyle name="Normal 9 2 2 6 5 3" xfId="49221" xr:uid="{00000000-0005-0000-0000-00009FBF0000}"/>
    <cellStyle name="Normal 9 2 2 6 6" xfId="49222" xr:uid="{00000000-0005-0000-0000-0000A0BF0000}"/>
    <cellStyle name="Normal 9 2 2 6 7" xfId="49223" xr:uid="{00000000-0005-0000-0000-0000A1BF0000}"/>
    <cellStyle name="Normal 9 2 2 6 8" xfId="49224" xr:uid="{00000000-0005-0000-0000-0000A2BF0000}"/>
    <cellStyle name="Normal 9 2 2 6 9" xfId="49225" xr:uid="{00000000-0005-0000-0000-0000A3BF0000}"/>
    <cellStyle name="Normal 9 2 2 7" xfId="49226" xr:uid="{00000000-0005-0000-0000-0000A4BF0000}"/>
    <cellStyle name="Normal 9 2 2 7 2" xfId="49227" xr:uid="{00000000-0005-0000-0000-0000A5BF0000}"/>
    <cellStyle name="Normal 9 2 2 7 2 2" xfId="49228" xr:uid="{00000000-0005-0000-0000-0000A6BF0000}"/>
    <cellStyle name="Normal 9 2 2 7 2 2 2" xfId="49229" xr:uid="{00000000-0005-0000-0000-0000A7BF0000}"/>
    <cellStyle name="Normal 9 2 2 7 2 2 3" xfId="49230" xr:uid="{00000000-0005-0000-0000-0000A8BF0000}"/>
    <cellStyle name="Normal 9 2 2 7 2 3" xfId="49231" xr:uid="{00000000-0005-0000-0000-0000A9BF0000}"/>
    <cellStyle name="Normal 9 2 2 7 2 4" xfId="49232" xr:uid="{00000000-0005-0000-0000-0000AABF0000}"/>
    <cellStyle name="Normal 9 2 2 7 2 5" xfId="49233" xr:uid="{00000000-0005-0000-0000-0000ABBF0000}"/>
    <cellStyle name="Normal 9 2 2 7 2 6" xfId="49234" xr:uid="{00000000-0005-0000-0000-0000ACBF0000}"/>
    <cellStyle name="Normal 9 2 2 7 3" xfId="49235" xr:uid="{00000000-0005-0000-0000-0000ADBF0000}"/>
    <cellStyle name="Normal 9 2 2 7 3 2" xfId="49236" xr:uid="{00000000-0005-0000-0000-0000AEBF0000}"/>
    <cellStyle name="Normal 9 2 2 7 3 3" xfId="49237" xr:uid="{00000000-0005-0000-0000-0000AFBF0000}"/>
    <cellStyle name="Normal 9 2 2 7 4" xfId="49238" xr:uid="{00000000-0005-0000-0000-0000B0BF0000}"/>
    <cellStyle name="Normal 9 2 2 7 5" xfId="49239" xr:uid="{00000000-0005-0000-0000-0000B1BF0000}"/>
    <cellStyle name="Normal 9 2 2 7 6" xfId="49240" xr:uid="{00000000-0005-0000-0000-0000B2BF0000}"/>
    <cellStyle name="Normal 9 2 2 7 7" xfId="49241" xr:uid="{00000000-0005-0000-0000-0000B3BF0000}"/>
    <cellStyle name="Normal 9 2 2 8" xfId="49242" xr:uid="{00000000-0005-0000-0000-0000B4BF0000}"/>
    <cellStyle name="Normal 9 2 2 8 2" xfId="49243" xr:uid="{00000000-0005-0000-0000-0000B5BF0000}"/>
    <cellStyle name="Normal 9 2 2 8 2 2" xfId="49244" xr:uid="{00000000-0005-0000-0000-0000B6BF0000}"/>
    <cellStyle name="Normal 9 2 2 8 2 3" xfId="49245" xr:uid="{00000000-0005-0000-0000-0000B7BF0000}"/>
    <cellStyle name="Normal 9 2 2 8 3" xfId="49246" xr:uid="{00000000-0005-0000-0000-0000B8BF0000}"/>
    <cellStyle name="Normal 9 2 2 8 4" xfId="49247" xr:uid="{00000000-0005-0000-0000-0000B9BF0000}"/>
    <cellStyle name="Normal 9 2 2 8 5" xfId="49248" xr:uid="{00000000-0005-0000-0000-0000BABF0000}"/>
    <cellStyle name="Normal 9 2 2 8 6" xfId="49249" xr:uid="{00000000-0005-0000-0000-0000BBBF0000}"/>
    <cellStyle name="Normal 9 2 2 9" xfId="49250" xr:uid="{00000000-0005-0000-0000-0000BCBF0000}"/>
    <cellStyle name="Normal 9 2 2 9 2" xfId="49251" xr:uid="{00000000-0005-0000-0000-0000BDBF0000}"/>
    <cellStyle name="Normal 9 2 2 9 2 2" xfId="49252" xr:uid="{00000000-0005-0000-0000-0000BEBF0000}"/>
    <cellStyle name="Normal 9 2 2 9 2 3" xfId="49253" xr:uid="{00000000-0005-0000-0000-0000BFBF0000}"/>
    <cellStyle name="Normal 9 2 2 9 3" xfId="49254" xr:uid="{00000000-0005-0000-0000-0000C0BF0000}"/>
    <cellStyle name="Normal 9 2 2 9 4" xfId="49255" xr:uid="{00000000-0005-0000-0000-0000C1BF0000}"/>
    <cellStyle name="Normal 9 2 2 9 5" xfId="49256" xr:uid="{00000000-0005-0000-0000-0000C2BF0000}"/>
    <cellStyle name="Normal 9 2 2 9 6" xfId="49257" xr:uid="{00000000-0005-0000-0000-0000C3BF0000}"/>
    <cellStyle name="Normal 9 2 3" xfId="49258" xr:uid="{00000000-0005-0000-0000-0000C4BF0000}"/>
    <cellStyle name="Normal 9 2 3 10" xfId="49259" xr:uid="{00000000-0005-0000-0000-0000C5BF0000}"/>
    <cellStyle name="Normal 9 2 3 10 2" xfId="49260" xr:uid="{00000000-0005-0000-0000-0000C6BF0000}"/>
    <cellStyle name="Normal 9 2 3 10 3" xfId="49261" xr:uid="{00000000-0005-0000-0000-0000C7BF0000}"/>
    <cellStyle name="Normal 9 2 3 11" xfId="49262" xr:uid="{00000000-0005-0000-0000-0000C8BF0000}"/>
    <cellStyle name="Normal 9 2 3 12" xfId="49263" xr:uid="{00000000-0005-0000-0000-0000C9BF0000}"/>
    <cellStyle name="Normal 9 2 3 13" xfId="49264" xr:uid="{00000000-0005-0000-0000-0000CABF0000}"/>
    <cellStyle name="Normal 9 2 3 14" xfId="49265" xr:uid="{00000000-0005-0000-0000-0000CBBF0000}"/>
    <cellStyle name="Normal 9 2 3 2" xfId="49266" xr:uid="{00000000-0005-0000-0000-0000CCBF0000}"/>
    <cellStyle name="Normal 9 2 3 2 10" xfId="49267" xr:uid="{00000000-0005-0000-0000-0000CDBF0000}"/>
    <cellStyle name="Normal 9 2 3 2 11" xfId="49268" xr:uid="{00000000-0005-0000-0000-0000CEBF0000}"/>
    <cellStyle name="Normal 9 2 3 2 12" xfId="49269" xr:uid="{00000000-0005-0000-0000-0000CFBF0000}"/>
    <cellStyle name="Normal 9 2 3 2 13" xfId="49270" xr:uid="{00000000-0005-0000-0000-0000D0BF0000}"/>
    <cellStyle name="Normal 9 2 3 2 2" xfId="49271" xr:uid="{00000000-0005-0000-0000-0000D1BF0000}"/>
    <cellStyle name="Normal 9 2 3 2 2 10" xfId="49272" xr:uid="{00000000-0005-0000-0000-0000D2BF0000}"/>
    <cellStyle name="Normal 9 2 3 2 2 2" xfId="49273" xr:uid="{00000000-0005-0000-0000-0000D3BF0000}"/>
    <cellStyle name="Normal 9 2 3 2 2 2 2" xfId="49274" xr:uid="{00000000-0005-0000-0000-0000D4BF0000}"/>
    <cellStyle name="Normal 9 2 3 2 2 2 2 2" xfId="49275" xr:uid="{00000000-0005-0000-0000-0000D5BF0000}"/>
    <cellStyle name="Normal 9 2 3 2 2 2 2 2 2" xfId="49276" xr:uid="{00000000-0005-0000-0000-0000D6BF0000}"/>
    <cellStyle name="Normal 9 2 3 2 2 2 2 2 3" xfId="49277" xr:uid="{00000000-0005-0000-0000-0000D7BF0000}"/>
    <cellStyle name="Normal 9 2 3 2 2 2 2 3" xfId="49278" xr:uid="{00000000-0005-0000-0000-0000D8BF0000}"/>
    <cellStyle name="Normal 9 2 3 2 2 2 2 4" xfId="49279" xr:uid="{00000000-0005-0000-0000-0000D9BF0000}"/>
    <cellStyle name="Normal 9 2 3 2 2 2 2 5" xfId="49280" xr:uid="{00000000-0005-0000-0000-0000DABF0000}"/>
    <cellStyle name="Normal 9 2 3 2 2 2 2 6" xfId="49281" xr:uid="{00000000-0005-0000-0000-0000DBBF0000}"/>
    <cellStyle name="Normal 9 2 3 2 2 2 3" xfId="49282" xr:uid="{00000000-0005-0000-0000-0000DCBF0000}"/>
    <cellStyle name="Normal 9 2 3 2 2 2 3 2" xfId="49283" xr:uid="{00000000-0005-0000-0000-0000DDBF0000}"/>
    <cellStyle name="Normal 9 2 3 2 2 2 3 2 2" xfId="49284" xr:uid="{00000000-0005-0000-0000-0000DEBF0000}"/>
    <cellStyle name="Normal 9 2 3 2 2 2 3 2 3" xfId="49285" xr:uid="{00000000-0005-0000-0000-0000DFBF0000}"/>
    <cellStyle name="Normal 9 2 3 2 2 2 3 3" xfId="49286" xr:uid="{00000000-0005-0000-0000-0000E0BF0000}"/>
    <cellStyle name="Normal 9 2 3 2 2 2 3 4" xfId="49287" xr:uid="{00000000-0005-0000-0000-0000E1BF0000}"/>
    <cellStyle name="Normal 9 2 3 2 2 2 3 5" xfId="49288" xr:uid="{00000000-0005-0000-0000-0000E2BF0000}"/>
    <cellStyle name="Normal 9 2 3 2 2 2 3 6" xfId="49289" xr:uid="{00000000-0005-0000-0000-0000E3BF0000}"/>
    <cellStyle name="Normal 9 2 3 2 2 2 4" xfId="49290" xr:uid="{00000000-0005-0000-0000-0000E4BF0000}"/>
    <cellStyle name="Normal 9 2 3 2 2 2 4 2" xfId="49291" xr:uid="{00000000-0005-0000-0000-0000E5BF0000}"/>
    <cellStyle name="Normal 9 2 3 2 2 2 4 3" xfId="49292" xr:uid="{00000000-0005-0000-0000-0000E6BF0000}"/>
    <cellStyle name="Normal 9 2 3 2 2 2 5" xfId="49293" xr:uid="{00000000-0005-0000-0000-0000E7BF0000}"/>
    <cellStyle name="Normal 9 2 3 2 2 2 6" xfId="49294" xr:uid="{00000000-0005-0000-0000-0000E8BF0000}"/>
    <cellStyle name="Normal 9 2 3 2 2 2 7" xfId="49295" xr:uid="{00000000-0005-0000-0000-0000E9BF0000}"/>
    <cellStyle name="Normal 9 2 3 2 2 2 8" xfId="49296" xr:uid="{00000000-0005-0000-0000-0000EABF0000}"/>
    <cellStyle name="Normal 9 2 3 2 2 3" xfId="49297" xr:uid="{00000000-0005-0000-0000-0000EBBF0000}"/>
    <cellStyle name="Normal 9 2 3 2 2 3 2" xfId="49298" xr:uid="{00000000-0005-0000-0000-0000ECBF0000}"/>
    <cellStyle name="Normal 9 2 3 2 2 3 2 2" xfId="49299" xr:uid="{00000000-0005-0000-0000-0000EDBF0000}"/>
    <cellStyle name="Normal 9 2 3 2 2 3 2 2 2" xfId="49300" xr:uid="{00000000-0005-0000-0000-0000EEBF0000}"/>
    <cellStyle name="Normal 9 2 3 2 2 3 2 2 3" xfId="49301" xr:uid="{00000000-0005-0000-0000-0000EFBF0000}"/>
    <cellStyle name="Normal 9 2 3 2 2 3 2 3" xfId="49302" xr:uid="{00000000-0005-0000-0000-0000F0BF0000}"/>
    <cellStyle name="Normal 9 2 3 2 2 3 2 4" xfId="49303" xr:uid="{00000000-0005-0000-0000-0000F1BF0000}"/>
    <cellStyle name="Normal 9 2 3 2 2 3 2 5" xfId="49304" xr:uid="{00000000-0005-0000-0000-0000F2BF0000}"/>
    <cellStyle name="Normal 9 2 3 2 2 3 2 6" xfId="49305" xr:uid="{00000000-0005-0000-0000-0000F3BF0000}"/>
    <cellStyle name="Normal 9 2 3 2 2 3 3" xfId="49306" xr:uid="{00000000-0005-0000-0000-0000F4BF0000}"/>
    <cellStyle name="Normal 9 2 3 2 2 3 3 2" xfId="49307" xr:uid="{00000000-0005-0000-0000-0000F5BF0000}"/>
    <cellStyle name="Normal 9 2 3 2 2 3 3 3" xfId="49308" xr:uid="{00000000-0005-0000-0000-0000F6BF0000}"/>
    <cellStyle name="Normal 9 2 3 2 2 3 4" xfId="49309" xr:uid="{00000000-0005-0000-0000-0000F7BF0000}"/>
    <cellStyle name="Normal 9 2 3 2 2 3 5" xfId="49310" xr:uid="{00000000-0005-0000-0000-0000F8BF0000}"/>
    <cellStyle name="Normal 9 2 3 2 2 3 6" xfId="49311" xr:uid="{00000000-0005-0000-0000-0000F9BF0000}"/>
    <cellStyle name="Normal 9 2 3 2 2 3 7" xfId="49312" xr:uid="{00000000-0005-0000-0000-0000FABF0000}"/>
    <cellStyle name="Normal 9 2 3 2 2 4" xfId="49313" xr:uid="{00000000-0005-0000-0000-0000FBBF0000}"/>
    <cellStyle name="Normal 9 2 3 2 2 4 2" xfId="49314" xr:uid="{00000000-0005-0000-0000-0000FCBF0000}"/>
    <cellStyle name="Normal 9 2 3 2 2 4 2 2" xfId="49315" xr:uid="{00000000-0005-0000-0000-0000FDBF0000}"/>
    <cellStyle name="Normal 9 2 3 2 2 4 2 3" xfId="49316" xr:uid="{00000000-0005-0000-0000-0000FEBF0000}"/>
    <cellStyle name="Normal 9 2 3 2 2 4 3" xfId="49317" xr:uid="{00000000-0005-0000-0000-0000FFBF0000}"/>
    <cellStyle name="Normal 9 2 3 2 2 4 4" xfId="49318" xr:uid="{00000000-0005-0000-0000-000000C00000}"/>
    <cellStyle name="Normal 9 2 3 2 2 4 5" xfId="49319" xr:uid="{00000000-0005-0000-0000-000001C00000}"/>
    <cellStyle name="Normal 9 2 3 2 2 4 6" xfId="49320" xr:uid="{00000000-0005-0000-0000-000002C00000}"/>
    <cellStyle name="Normal 9 2 3 2 2 5" xfId="49321" xr:uid="{00000000-0005-0000-0000-000003C00000}"/>
    <cellStyle name="Normal 9 2 3 2 2 5 2" xfId="49322" xr:uid="{00000000-0005-0000-0000-000004C00000}"/>
    <cellStyle name="Normal 9 2 3 2 2 5 2 2" xfId="49323" xr:uid="{00000000-0005-0000-0000-000005C00000}"/>
    <cellStyle name="Normal 9 2 3 2 2 5 2 3" xfId="49324" xr:uid="{00000000-0005-0000-0000-000006C00000}"/>
    <cellStyle name="Normal 9 2 3 2 2 5 3" xfId="49325" xr:uid="{00000000-0005-0000-0000-000007C00000}"/>
    <cellStyle name="Normal 9 2 3 2 2 5 4" xfId="49326" xr:uid="{00000000-0005-0000-0000-000008C00000}"/>
    <cellStyle name="Normal 9 2 3 2 2 5 5" xfId="49327" xr:uid="{00000000-0005-0000-0000-000009C00000}"/>
    <cellStyle name="Normal 9 2 3 2 2 5 6" xfId="49328" xr:uid="{00000000-0005-0000-0000-00000AC00000}"/>
    <cellStyle name="Normal 9 2 3 2 2 6" xfId="49329" xr:uid="{00000000-0005-0000-0000-00000BC00000}"/>
    <cellStyle name="Normal 9 2 3 2 2 6 2" xfId="49330" xr:uid="{00000000-0005-0000-0000-00000CC00000}"/>
    <cellStyle name="Normal 9 2 3 2 2 6 3" xfId="49331" xr:uid="{00000000-0005-0000-0000-00000DC00000}"/>
    <cellStyle name="Normal 9 2 3 2 2 7" xfId="49332" xr:uid="{00000000-0005-0000-0000-00000EC00000}"/>
    <cellStyle name="Normal 9 2 3 2 2 8" xfId="49333" xr:uid="{00000000-0005-0000-0000-00000FC00000}"/>
    <cellStyle name="Normal 9 2 3 2 2 9" xfId="49334" xr:uid="{00000000-0005-0000-0000-000010C00000}"/>
    <cellStyle name="Normal 9 2 3 2 3" xfId="49335" xr:uid="{00000000-0005-0000-0000-000011C00000}"/>
    <cellStyle name="Normal 9 2 3 2 3 2" xfId="49336" xr:uid="{00000000-0005-0000-0000-000012C00000}"/>
    <cellStyle name="Normal 9 2 3 2 3 2 2" xfId="49337" xr:uid="{00000000-0005-0000-0000-000013C00000}"/>
    <cellStyle name="Normal 9 2 3 2 3 2 2 2" xfId="49338" xr:uid="{00000000-0005-0000-0000-000014C00000}"/>
    <cellStyle name="Normal 9 2 3 2 3 2 2 2 2" xfId="49339" xr:uid="{00000000-0005-0000-0000-000015C00000}"/>
    <cellStyle name="Normal 9 2 3 2 3 2 2 2 3" xfId="49340" xr:uid="{00000000-0005-0000-0000-000016C00000}"/>
    <cellStyle name="Normal 9 2 3 2 3 2 2 3" xfId="49341" xr:uid="{00000000-0005-0000-0000-000017C00000}"/>
    <cellStyle name="Normal 9 2 3 2 3 2 2 4" xfId="49342" xr:uid="{00000000-0005-0000-0000-000018C00000}"/>
    <cellStyle name="Normal 9 2 3 2 3 2 2 5" xfId="49343" xr:uid="{00000000-0005-0000-0000-000019C00000}"/>
    <cellStyle name="Normal 9 2 3 2 3 2 2 6" xfId="49344" xr:uid="{00000000-0005-0000-0000-00001AC00000}"/>
    <cellStyle name="Normal 9 2 3 2 3 2 3" xfId="49345" xr:uid="{00000000-0005-0000-0000-00001BC00000}"/>
    <cellStyle name="Normal 9 2 3 2 3 2 3 2" xfId="49346" xr:uid="{00000000-0005-0000-0000-00001CC00000}"/>
    <cellStyle name="Normal 9 2 3 2 3 2 3 3" xfId="49347" xr:uid="{00000000-0005-0000-0000-00001DC00000}"/>
    <cellStyle name="Normal 9 2 3 2 3 2 4" xfId="49348" xr:uid="{00000000-0005-0000-0000-00001EC00000}"/>
    <cellStyle name="Normal 9 2 3 2 3 2 5" xfId="49349" xr:uid="{00000000-0005-0000-0000-00001FC00000}"/>
    <cellStyle name="Normal 9 2 3 2 3 2 6" xfId="49350" xr:uid="{00000000-0005-0000-0000-000020C00000}"/>
    <cellStyle name="Normal 9 2 3 2 3 2 7" xfId="49351" xr:uid="{00000000-0005-0000-0000-000021C00000}"/>
    <cellStyle name="Normal 9 2 3 2 3 3" xfId="49352" xr:uid="{00000000-0005-0000-0000-000022C00000}"/>
    <cellStyle name="Normal 9 2 3 2 3 3 2" xfId="49353" xr:uid="{00000000-0005-0000-0000-000023C00000}"/>
    <cellStyle name="Normal 9 2 3 2 3 3 2 2" xfId="49354" xr:uid="{00000000-0005-0000-0000-000024C00000}"/>
    <cellStyle name="Normal 9 2 3 2 3 3 2 3" xfId="49355" xr:uid="{00000000-0005-0000-0000-000025C00000}"/>
    <cellStyle name="Normal 9 2 3 2 3 3 3" xfId="49356" xr:uid="{00000000-0005-0000-0000-000026C00000}"/>
    <cellStyle name="Normal 9 2 3 2 3 3 4" xfId="49357" xr:uid="{00000000-0005-0000-0000-000027C00000}"/>
    <cellStyle name="Normal 9 2 3 2 3 3 5" xfId="49358" xr:uid="{00000000-0005-0000-0000-000028C00000}"/>
    <cellStyle name="Normal 9 2 3 2 3 3 6" xfId="49359" xr:uid="{00000000-0005-0000-0000-000029C00000}"/>
    <cellStyle name="Normal 9 2 3 2 3 4" xfId="49360" xr:uid="{00000000-0005-0000-0000-00002AC00000}"/>
    <cellStyle name="Normal 9 2 3 2 3 4 2" xfId="49361" xr:uid="{00000000-0005-0000-0000-00002BC00000}"/>
    <cellStyle name="Normal 9 2 3 2 3 4 2 2" xfId="49362" xr:uid="{00000000-0005-0000-0000-00002CC00000}"/>
    <cellStyle name="Normal 9 2 3 2 3 4 2 3" xfId="49363" xr:uid="{00000000-0005-0000-0000-00002DC00000}"/>
    <cellStyle name="Normal 9 2 3 2 3 4 3" xfId="49364" xr:uid="{00000000-0005-0000-0000-00002EC00000}"/>
    <cellStyle name="Normal 9 2 3 2 3 4 4" xfId="49365" xr:uid="{00000000-0005-0000-0000-00002FC00000}"/>
    <cellStyle name="Normal 9 2 3 2 3 4 5" xfId="49366" xr:uid="{00000000-0005-0000-0000-000030C00000}"/>
    <cellStyle name="Normal 9 2 3 2 3 4 6" xfId="49367" xr:uid="{00000000-0005-0000-0000-000031C00000}"/>
    <cellStyle name="Normal 9 2 3 2 3 5" xfId="49368" xr:uid="{00000000-0005-0000-0000-000032C00000}"/>
    <cellStyle name="Normal 9 2 3 2 3 5 2" xfId="49369" xr:uid="{00000000-0005-0000-0000-000033C00000}"/>
    <cellStyle name="Normal 9 2 3 2 3 5 3" xfId="49370" xr:uid="{00000000-0005-0000-0000-000034C00000}"/>
    <cellStyle name="Normal 9 2 3 2 3 6" xfId="49371" xr:uid="{00000000-0005-0000-0000-000035C00000}"/>
    <cellStyle name="Normal 9 2 3 2 3 7" xfId="49372" xr:uid="{00000000-0005-0000-0000-000036C00000}"/>
    <cellStyle name="Normal 9 2 3 2 3 8" xfId="49373" xr:uid="{00000000-0005-0000-0000-000037C00000}"/>
    <cellStyle name="Normal 9 2 3 2 3 9" xfId="49374" xr:uid="{00000000-0005-0000-0000-000038C00000}"/>
    <cellStyle name="Normal 9 2 3 2 4" xfId="49375" xr:uid="{00000000-0005-0000-0000-000039C00000}"/>
    <cellStyle name="Normal 9 2 3 2 4 2" xfId="49376" xr:uid="{00000000-0005-0000-0000-00003AC00000}"/>
    <cellStyle name="Normal 9 2 3 2 4 2 2" xfId="49377" xr:uid="{00000000-0005-0000-0000-00003BC00000}"/>
    <cellStyle name="Normal 9 2 3 2 4 2 2 2" xfId="49378" xr:uid="{00000000-0005-0000-0000-00003CC00000}"/>
    <cellStyle name="Normal 9 2 3 2 4 2 2 3" xfId="49379" xr:uid="{00000000-0005-0000-0000-00003DC00000}"/>
    <cellStyle name="Normal 9 2 3 2 4 2 3" xfId="49380" xr:uid="{00000000-0005-0000-0000-00003EC00000}"/>
    <cellStyle name="Normal 9 2 3 2 4 2 4" xfId="49381" xr:uid="{00000000-0005-0000-0000-00003FC00000}"/>
    <cellStyle name="Normal 9 2 3 2 4 2 5" xfId="49382" xr:uid="{00000000-0005-0000-0000-000040C00000}"/>
    <cellStyle name="Normal 9 2 3 2 4 2 6" xfId="49383" xr:uid="{00000000-0005-0000-0000-000041C00000}"/>
    <cellStyle name="Normal 9 2 3 2 4 3" xfId="49384" xr:uid="{00000000-0005-0000-0000-000042C00000}"/>
    <cellStyle name="Normal 9 2 3 2 4 3 2" xfId="49385" xr:uid="{00000000-0005-0000-0000-000043C00000}"/>
    <cellStyle name="Normal 9 2 3 2 4 3 3" xfId="49386" xr:uid="{00000000-0005-0000-0000-000044C00000}"/>
    <cellStyle name="Normal 9 2 3 2 4 4" xfId="49387" xr:uid="{00000000-0005-0000-0000-000045C00000}"/>
    <cellStyle name="Normal 9 2 3 2 4 5" xfId="49388" xr:uid="{00000000-0005-0000-0000-000046C00000}"/>
    <cellStyle name="Normal 9 2 3 2 4 6" xfId="49389" xr:uid="{00000000-0005-0000-0000-000047C00000}"/>
    <cellStyle name="Normal 9 2 3 2 4 7" xfId="49390" xr:uid="{00000000-0005-0000-0000-000048C00000}"/>
    <cellStyle name="Normal 9 2 3 2 5" xfId="49391" xr:uid="{00000000-0005-0000-0000-000049C00000}"/>
    <cellStyle name="Normal 9 2 3 2 5 2" xfId="49392" xr:uid="{00000000-0005-0000-0000-00004AC00000}"/>
    <cellStyle name="Normal 9 2 3 2 5 2 2" xfId="49393" xr:uid="{00000000-0005-0000-0000-00004BC00000}"/>
    <cellStyle name="Normal 9 2 3 2 5 2 3" xfId="49394" xr:uid="{00000000-0005-0000-0000-00004CC00000}"/>
    <cellStyle name="Normal 9 2 3 2 5 3" xfId="49395" xr:uid="{00000000-0005-0000-0000-00004DC00000}"/>
    <cellStyle name="Normal 9 2 3 2 5 4" xfId="49396" xr:uid="{00000000-0005-0000-0000-00004EC00000}"/>
    <cellStyle name="Normal 9 2 3 2 5 5" xfId="49397" xr:uid="{00000000-0005-0000-0000-00004FC00000}"/>
    <cellStyle name="Normal 9 2 3 2 5 6" xfId="49398" xr:uid="{00000000-0005-0000-0000-000050C00000}"/>
    <cellStyle name="Normal 9 2 3 2 6" xfId="49399" xr:uid="{00000000-0005-0000-0000-000051C00000}"/>
    <cellStyle name="Normal 9 2 3 2 6 2" xfId="49400" xr:uid="{00000000-0005-0000-0000-000052C00000}"/>
    <cellStyle name="Normal 9 2 3 2 6 2 2" xfId="49401" xr:uid="{00000000-0005-0000-0000-000053C00000}"/>
    <cellStyle name="Normal 9 2 3 2 6 2 3" xfId="49402" xr:uid="{00000000-0005-0000-0000-000054C00000}"/>
    <cellStyle name="Normal 9 2 3 2 6 3" xfId="49403" xr:uid="{00000000-0005-0000-0000-000055C00000}"/>
    <cellStyle name="Normal 9 2 3 2 6 4" xfId="49404" xr:uid="{00000000-0005-0000-0000-000056C00000}"/>
    <cellStyle name="Normal 9 2 3 2 6 5" xfId="49405" xr:uid="{00000000-0005-0000-0000-000057C00000}"/>
    <cellStyle name="Normal 9 2 3 2 6 6" xfId="49406" xr:uid="{00000000-0005-0000-0000-000058C00000}"/>
    <cellStyle name="Normal 9 2 3 2 7" xfId="49407" xr:uid="{00000000-0005-0000-0000-000059C00000}"/>
    <cellStyle name="Normal 9 2 3 2 7 2" xfId="49408" xr:uid="{00000000-0005-0000-0000-00005AC00000}"/>
    <cellStyle name="Normal 9 2 3 2 7 2 2" xfId="49409" xr:uid="{00000000-0005-0000-0000-00005BC00000}"/>
    <cellStyle name="Normal 9 2 3 2 7 2 3" xfId="49410" xr:uid="{00000000-0005-0000-0000-00005CC00000}"/>
    <cellStyle name="Normal 9 2 3 2 7 3" xfId="49411" xr:uid="{00000000-0005-0000-0000-00005DC00000}"/>
    <cellStyle name="Normal 9 2 3 2 7 4" xfId="49412" xr:uid="{00000000-0005-0000-0000-00005EC00000}"/>
    <cellStyle name="Normal 9 2 3 2 7 5" xfId="49413" xr:uid="{00000000-0005-0000-0000-00005FC00000}"/>
    <cellStyle name="Normal 9 2 3 2 7 6" xfId="49414" xr:uid="{00000000-0005-0000-0000-000060C00000}"/>
    <cellStyle name="Normal 9 2 3 2 8" xfId="49415" xr:uid="{00000000-0005-0000-0000-000061C00000}"/>
    <cellStyle name="Normal 9 2 3 2 8 2" xfId="49416" xr:uid="{00000000-0005-0000-0000-000062C00000}"/>
    <cellStyle name="Normal 9 2 3 2 8 2 2" xfId="49417" xr:uid="{00000000-0005-0000-0000-000063C00000}"/>
    <cellStyle name="Normal 9 2 3 2 8 2 3" xfId="49418" xr:uid="{00000000-0005-0000-0000-000064C00000}"/>
    <cellStyle name="Normal 9 2 3 2 8 3" xfId="49419" xr:uid="{00000000-0005-0000-0000-000065C00000}"/>
    <cellStyle name="Normal 9 2 3 2 8 4" xfId="49420" xr:uid="{00000000-0005-0000-0000-000066C00000}"/>
    <cellStyle name="Normal 9 2 3 2 8 5" xfId="49421" xr:uid="{00000000-0005-0000-0000-000067C00000}"/>
    <cellStyle name="Normal 9 2 3 2 8 6" xfId="49422" xr:uid="{00000000-0005-0000-0000-000068C00000}"/>
    <cellStyle name="Normal 9 2 3 2 9" xfId="49423" xr:uid="{00000000-0005-0000-0000-000069C00000}"/>
    <cellStyle name="Normal 9 2 3 2 9 2" xfId="49424" xr:uid="{00000000-0005-0000-0000-00006AC00000}"/>
    <cellStyle name="Normal 9 2 3 2 9 3" xfId="49425" xr:uid="{00000000-0005-0000-0000-00006BC00000}"/>
    <cellStyle name="Normal 9 2 3 3" xfId="49426" xr:uid="{00000000-0005-0000-0000-00006CC00000}"/>
    <cellStyle name="Normal 9 2 3 3 10" xfId="49427" xr:uid="{00000000-0005-0000-0000-00006DC00000}"/>
    <cellStyle name="Normal 9 2 3 3 2" xfId="49428" xr:uid="{00000000-0005-0000-0000-00006EC00000}"/>
    <cellStyle name="Normal 9 2 3 3 2 2" xfId="49429" xr:uid="{00000000-0005-0000-0000-00006FC00000}"/>
    <cellStyle name="Normal 9 2 3 3 2 2 2" xfId="49430" xr:uid="{00000000-0005-0000-0000-000070C00000}"/>
    <cellStyle name="Normal 9 2 3 3 2 2 2 2" xfId="49431" xr:uid="{00000000-0005-0000-0000-000071C00000}"/>
    <cellStyle name="Normal 9 2 3 3 2 2 2 3" xfId="49432" xr:uid="{00000000-0005-0000-0000-000072C00000}"/>
    <cellStyle name="Normal 9 2 3 3 2 2 3" xfId="49433" xr:uid="{00000000-0005-0000-0000-000073C00000}"/>
    <cellStyle name="Normal 9 2 3 3 2 2 4" xfId="49434" xr:uid="{00000000-0005-0000-0000-000074C00000}"/>
    <cellStyle name="Normal 9 2 3 3 2 2 5" xfId="49435" xr:uid="{00000000-0005-0000-0000-000075C00000}"/>
    <cellStyle name="Normal 9 2 3 3 2 2 6" xfId="49436" xr:uid="{00000000-0005-0000-0000-000076C00000}"/>
    <cellStyle name="Normal 9 2 3 3 2 3" xfId="49437" xr:uid="{00000000-0005-0000-0000-000077C00000}"/>
    <cellStyle name="Normal 9 2 3 3 2 3 2" xfId="49438" xr:uid="{00000000-0005-0000-0000-000078C00000}"/>
    <cellStyle name="Normal 9 2 3 3 2 3 2 2" xfId="49439" xr:uid="{00000000-0005-0000-0000-000079C00000}"/>
    <cellStyle name="Normal 9 2 3 3 2 3 2 3" xfId="49440" xr:uid="{00000000-0005-0000-0000-00007AC00000}"/>
    <cellStyle name="Normal 9 2 3 3 2 3 3" xfId="49441" xr:uid="{00000000-0005-0000-0000-00007BC00000}"/>
    <cellStyle name="Normal 9 2 3 3 2 3 4" xfId="49442" xr:uid="{00000000-0005-0000-0000-00007CC00000}"/>
    <cellStyle name="Normal 9 2 3 3 2 3 5" xfId="49443" xr:uid="{00000000-0005-0000-0000-00007DC00000}"/>
    <cellStyle name="Normal 9 2 3 3 2 3 6" xfId="49444" xr:uid="{00000000-0005-0000-0000-00007EC00000}"/>
    <cellStyle name="Normal 9 2 3 3 2 4" xfId="49445" xr:uid="{00000000-0005-0000-0000-00007FC00000}"/>
    <cellStyle name="Normal 9 2 3 3 2 4 2" xfId="49446" xr:uid="{00000000-0005-0000-0000-000080C00000}"/>
    <cellStyle name="Normal 9 2 3 3 2 4 3" xfId="49447" xr:uid="{00000000-0005-0000-0000-000081C00000}"/>
    <cellStyle name="Normal 9 2 3 3 2 5" xfId="49448" xr:uid="{00000000-0005-0000-0000-000082C00000}"/>
    <cellStyle name="Normal 9 2 3 3 2 6" xfId="49449" xr:uid="{00000000-0005-0000-0000-000083C00000}"/>
    <cellStyle name="Normal 9 2 3 3 2 7" xfId="49450" xr:uid="{00000000-0005-0000-0000-000084C00000}"/>
    <cellStyle name="Normal 9 2 3 3 2 8" xfId="49451" xr:uid="{00000000-0005-0000-0000-000085C00000}"/>
    <cellStyle name="Normal 9 2 3 3 3" xfId="49452" xr:uid="{00000000-0005-0000-0000-000086C00000}"/>
    <cellStyle name="Normal 9 2 3 3 3 2" xfId="49453" xr:uid="{00000000-0005-0000-0000-000087C00000}"/>
    <cellStyle name="Normal 9 2 3 3 3 2 2" xfId="49454" xr:uid="{00000000-0005-0000-0000-000088C00000}"/>
    <cellStyle name="Normal 9 2 3 3 3 2 2 2" xfId="49455" xr:uid="{00000000-0005-0000-0000-000089C00000}"/>
    <cellStyle name="Normal 9 2 3 3 3 2 2 3" xfId="49456" xr:uid="{00000000-0005-0000-0000-00008AC00000}"/>
    <cellStyle name="Normal 9 2 3 3 3 2 3" xfId="49457" xr:uid="{00000000-0005-0000-0000-00008BC00000}"/>
    <cellStyle name="Normal 9 2 3 3 3 2 4" xfId="49458" xr:uid="{00000000-0005-0000-0000-00008CC00000}"/>
    <cellStyle name="Normal 9 2 3 3 3 2 5" xfId="49459" xr:uid="{00000000-0005-0000-0000-00008DC00000}"/>
    <cellStyle name="Normal 9 2 3 3 3 2 6" xfId="49460" xr:uid="{00000000-0005-0000-0000-00008EC00000}"/>
    <cellStyle name="Normal 9 2 3 3 3 3" xfId="49461" xr:uid="{00000000-0005-0000-0000-00008FC00000}"/>
    <cellStyle name="Normal 9 2 3 3 3 3 2" xfId="49462" xr:uid="{00000000-0005-0000-0000-000090C00000}"/>
    <cellStyle name="Normal 9 2 3 3 3 3 3" xfId="49463" xr:uid="{00000000-0005-0000-0000-000091C00000}"/>
    <cellStyle name="Normal 9 2 3 3 3 4" xfId="49464" xr:uid="{00000000-0005-0000-0000-000092C00000}"/>
    <cellStyle name="Normal 9 2 3 3 3 5" xfId="49465" xr:uid="{00000000-0005-0000-0000-000093C00000}"/>
    <cellStyle name="Normal 9 2 3 3 3 6" xfId="49466" xr:uid="{00000000-0005-0000-0000-000094C00000}"/>
    <cellStyle name="Normal 9 2 3 3 3 7" xfId="49467" xr:uid="{00000000-0005-0000-0000-000095C00000}"/>
    <cellStyle name="Normal 9 2 3 3 4" xfId="49468" xr:uid="{00000000-0005-0000-0000-000096C00000}"/>
    <cellStyle name="Normal 9 2 3 3 4 2" xfId="49469" xr:uid="{00000000-0005-0000-0000-000097C00000}"/>
    <cellStyle name="Normal 9 2 3 3 4 2 2" xfId="49470" xr:uid="{00000000-0005-0000-0000-000098C00000}"/>
    <cellStyle name="Normal 9 2 3 3 4 2 3" xfId="49471" xr:uid="{00000000-0005-0000-0000-000099C00000}"/>
    <cellStyle name="Normal 9 2 3 3 4 3" xfId="49472" xr:uid="{00000000-0005-0000-0000-00009AC00000}"/>
    <cellStyle name="Normal 9 2 3 3 4 4" xfId="49473" xr:uid="{00000000-0005-0000-0000-00009BC00000}"/>
    <cellStyle name="Normal 9 2 3 3 4 5" xfId="49474" xr:uid="{00000000-0005-0000-0000-00009CC00000}"/>
    <cellStyle name="Normal 9 2 3 3 4 6" xfId="49475" xr:uid="{00000000-0005-0000-0000-00009DC00000}"/>
    <cellStyle name="Normal 9 2 3 3 5" xfId="49476" xr:uid="{00000000-0005-0000-0000-00009EC00000}"/>
    <cellStyle name="Normal 9 2 3 3 5 2" xfId="49477" xr:uid="{00000000-0005-0000-0000-00009FC00000}"/>
    <cellStyle name="Normal 9 2 3 3 5 2 2" xfId="49478" xr:uid="{00000000-0005-0000-0000-0000A0C00000}"/>
    <cellStyle name="Normal 9 2 3 3 5 2 3" xfId="49479" xr:uid="{00000000-0005-0000-0000-0000A1C00000}"/>
    <cellStyle name="Normal 9 2 3 3 5 3" xfId="49480" xr:uid="{00000000-0005-0000-0000-0000A2C00000}"/>
    <cellStyle name="Normal 9 2 3 3 5 4" xfId="49481" xr:uid="{00000000-0005-0000-0000-0000A3C00000}"/>
    <cellStyle name="Normal 9 2 3 3 5 5" xfId="49482" xr:uid="{00000000-0005-0000-0000-0000A4C00000}"/>
    <cellStyle name="Normal 9 2 3 3 5 6" xfId="49483" xr:uid="{00000000-0005-0000-0000-0000A5C00000}"/>
    <cellStyle name="Normal 9 2 3 3 6" xfId="49484" xr:uid="{00000000-0005-0000-0000-0000A6C00000}"/>
    <cellStyle name="Normal 9 2 3 3 6 2" xfId="49485" xr:uid="{00000000-0005-0000-0000-0000A7C00000}"/>
    <cellStyle name="Normal 9 2 3 3 6 3" xfId="49486" xr:uid="{00000000-0005-0000-0000-0000A8C00000}"/>
    <cellStyle name="Normal 9 2 3 3 7" xfId="49487" xr:uid="{00000000-0005-0000-0000-0000A9C00000}"/>
    <cellStyle name="Normal 9 2 3 3 8" xfId="49488" xr:uid="{00000000-0005-0000-0000-0000AAC00000}"/>
    <cellStyle name="Normal 9 2 3 3 9" xfId="49489" xr:uid="{00000000-0005-0000-0000-0000ABC00000}"/>
    <cellStyle name="Normal 9 2 3 4" xfId="49490" xr:uid="{00000000-0005-0000-0000-0000ACC00000}"/>
    <cellStyle name="Normal 9 2 3 4 2" xfId="49491" xr:uid="{00000000-0005-0000-0000-0000ADC00000}"/>
    <cellStyle name="Normal 9 2 3 4 2 2" xfId="49492" xr:uid="{00000000-0005-0000-0000-0000AEC00000}"/>
    <cellStyle name="Normal 9 2 3 4 2 2 2" xfId="49493" xr:uid="{00000000-0005-0000-0000-0000AFC00000}"/>
    <cellStyle name="Normal 9 2 3 4 2 2 2 2" xfId="49494" xr:uid="{00000000-0005-0000-0000-0000B0C00000}"/>
    <cellStyle name="Normal 9 2 3 4 2 2 2 3" xfId="49495" xr:uid="{00000000-0005-0000-0000-0000B1C00000}"/>
    <cellStyle name="Normal 9 2 3 4 2 2 3" xfId="49496" xr:uid="{00000000-0005-0000-0000-0000B2C00000}"/>
    <cellStyle name="Normal 9 2 3 4 2 2 4" xfId="49497" xr:uid="{00000000-0005-0000-0000-0000B3C00000}"/>
    <cellStyle name="Normal 9 2 3 4 2 2 5" xfId="49498" xr:uid="{00000000-0005-0000-0000-0000B4C00000}"/>
    <cellStyle name="Normal 9 2 3 4 2 2 6" xfId="49499" xr:uid="{00000000-0005-0000-0000-0000B5C00000}"/>
    <cellStyle name="Normal 9 2 3 4 2 3" xfId="49500" xr:uid="{00000000-0005-0000-0000-0000B6C00000}"/>
    <cellStyle name="Normal 9 2 3 4 2 3 2" xfId="49501" xr:uid="{00000000-0005-0000-0000-0000B7C00000}"/>
    <cellStyle name="Normal 9 2 3 4 2 3 3" xfId="49502" xr:uid="{00000000-0005-0000-0000-0000B8C00000}"/>
    <cellStyle name="Normal 9 2 3 4 2 4" xfId="49503" xr:uid="{00000000-0005-0000-0000-0000B9C00000}"/>
    <cellStyle name="Normal 9 2 3 4 2 5" xfId="49504" xr:uid="{00000000-0005-0000-0000-0000BAC00000}"/>
    <cellStyle name="Normal 9 2 3 4 2 6" xfId="49505" xr:uid="{00000000-0005-0000-0000-0000BBC00000}"/>
    <cellStyle name="Normal 9 2 3 4 2 7" xfId="49506" xr:uid="{00000000-0005-0000-0000-0000BCC00000}"/>
    <cellStyle name="Normal 9 2 3 4 3" xfId="49507" xr:uid="{00000000-0005-0000-0000-0000BDC00000}"/>
    <cellStyle name="Normal 9 2 3 4 3 2" xfId="49508" xr:uid="{00000000-0005-0000-0000-0000BEC00000}"/>
    <cellStyle name="Normal 9 2 3 4 3 2 2" xfId="49509" xr:uid="{00000000-0005-0000-0000-0000BFC00000}"/>
    <cellStyle name="Normal 9 2 3 4 3 2 3" xfId="49510" xr:uid="{00000000-0005-0000-0000-0000C0C00000}"/>
    <cellStyle name="Normal 9 2 3 4 3 3" xfId="49511" xr:uid="{00000000-0005-0000-0000-0000C1C00000}"/>
    <cellStyle name="Normal 9 2 3 4 3 4" xfId="49512" xr:uid="{00000000-0005-0000-0000-0000C2C00000}"/>
    <cellStyle name="Normal 9 2 3 4 3 5" xfId="49513" xr:uid="{00000000-0005-0000-0000-0000C3C00000}"/>
    <cellStyle name="Normal 9 2 3 4 3 6" xfId="49514" xr:uid="{00000000-0005-0000-0000-0000C4C00000}"/>
    <cellStyle name="Normal 9 2 3 4 4" xfId="49515" xr:uid="{00000000-0005-0000-0000-0000C5C00000}"/>
    <cellStyle name="Normal 9 2 3 4 4 2" xfId="49516" xr:uid="{00000000-0005-0000-0000-0000C6C00000}"/>
    <cellStyle name="Normal 9 2 3 4 4 2 2" xfId="49517" xr:uid="{00000000-0005-0000-0000-0000C7C00000}"/>
    <cellStyle name="Normal 9 2 3 4 4 2 3" xfId="49518" xr:uid="{00000000-0005-0000-0000-0000C8C00000}"/>
    <cellStyle name="Normal 9 2 3 4 4 3" xfId="49519" xr:uid="{00000000-0005-0000-0000-0000C9C00000}"/>
    <cellStyle name="Normal 9 2 3 4 4 4" xfId="49520" xr:uid="{00000000-0005-0000-0000-0000CAC00000}"/>
    <cellStyle name="Normal 9 2 3 4 4 5" xfId="49521" xr:uid="{00000000-0005-0000-0000-0000CBC00000}"/>
    <cellStyle name="Normal 9 2 3 4 4 6" xfId="49522" xr:uid="{00000000-0005-0000-0000-0000CCC00000}"/>
    <cellStyle name="Normal 9 2 3 4 5" xfId="49523" xr:uid="{00000000-0005-0000-0000-0000CDC00000}"/>
    <cellStyle name="Normal 9 2 3 4 5 2" xfId="49524" xr:uid="{00000000-0005-0000-0000-0000CEC00000}"/>
    <cellStyle name="Normal 9 2 3 4 5 3" xfId="49525" xr:uid="{00000000-0005-0000-0000-0000CFC00000}"/>
    <cellStyle name="Normal 9 2 3 4 6" xfId="49526" xr:uid="{00000000-0005-0000-0000-0000D0C00000}"/>
    <cellStyle name="Normal 9 2 3 4 7" xfId="49527" xr:uid="{00000000-0005-0000-0000-0000D1C00000}"/>
    <cellStyle name="Normal 9 2 3 4 8" xfId="49528" xr:uid="{00000000-0005-0000-0000-0000D2C00000}"/>
    <cellStyle name="Normal 9 2 3 4 9" xfId="49529" xr:uid="{00000000-0005-0000-0000-0000D3C00000}"/>
    <cellStyle name="Normal 9 2 3 5" xfId="49530" xr:uid="{00000000-0005-0000-0000-0000D4C00000}"/>
    <cellStyle name="Normal 9 2 3 5 2" xfId="49531" xr:uid="{00000000-0005-0000-0000-0000D5C00000}"/>
    <cellStyle name="Normal 9 2 3 5 2 2" xfId="49532" xr:uid="{00000000-0005-0000-0000-0000D6C00000}"/>
    <cellStyle name="Normal 9 2 3 5 2 2 2" xfId="49533" xr:uid="{00000000-0005-0000-0000-0000D7C00000}"/>
    <cellStyle name="Normal 9 2 3 5 2 2 3" xfId="49534" xr:uid="{00000000-0005-0000-0000-0000D8C00000}"/>
    <cellStyle name="Normal 9 2 3 5 2 3" xfId="49535" xr:uid="{00000000-0005-0000-0000-0000D9C00000}"/>
    <cellStyle name="Normal 9 2 3 5 2 4" xfId="49536" xr:uid="{00000000-0005-0000-0000-0000DAC00000}"/>
    <cellStyle name="Normal 9 2 3 5 2 5" xfId="49537" xr:uid="{00000000-0005-0000-0000-0000DBC00000}"/>
    <cellStyle name="Normal 9 2 3 5 2 6" xfId="49538" xr:uid="{00000000-0005-0000-0000-0000DCC00000}"/>
    <cellStyle name="Normal 9 2 3 5 3" xfId="49539" xr:uid="{00000000-0005-0000-0000-0000DDC00000}"/>
    <cellStyle name="Normal 9 2 3 5 3 2" xfId="49540" xr:uid="{00000000-0005-0000-0000-0000DEC00000}"/>
    <cellStyle name="Normal 9 2 3 5 3 3" xfId="49541" xr:uid="{00000000-0005-0000-0000-0000DFC00000}"/>
    <cellStyle name="Normal 9 2 3 5 4" xfId="49542" xr:uid="{00000000-0005-0000-0000-0000E0C00000}"/>
    <cellStyle name="Normal 9 2 3 5 5" xfId="49543" xr:uid="{00000000-0005-0000-0000-0000E1C00000}"/>
    <cellStyle name="Normal 9 2 3 5 6" xfId="49544" xr:uid="{00000000-0005-0000-0000-0000E2C00000}"/>
    <cellStyle name="Normal 9 2 3 5 7" xfId="49545" xr:uid="{00000000-0005-0000-0000-0000E3C00000}"/>
    <cellStyle name="Normal 9 2 3 6" xfId="49546" xr:uid="{00000000-0005-0000-0000-0000E4C00000}"/>
    <cellStyle name="Normal 9 2 3 6 2" xfId="49547" xr:uid="{00000000-0005-0000-0000-0000E5C00000}"/>
    <cellStyle name="Normal 9 2 3 6 2 2" xfId="49548" xr:uid="{00000000-0005-0000-0000-0000E6C00000}"/>
    <cellStyle name="Normal 9 2 3 6 2 3" xfId="49549" xr:uid="{00000000-0005-0000-0000-0000E7C00000}"/>
    <cellStyle name="Normal 9 2 3 6 3" xfId="49550" xr:uid="{00000000-0005-0000-0000-0000E8C00000}"/>
    <cellStyle name="Normal 9 2 3 6 4" xfId="49551" xr:uid="{00000000-0005-0000-0000-0000E9C00000}"/>
    <cellStyle name="Normal 9 2 3 6 5" xfId="49552" xr:uid="{00000000-0005-0000-0000-0000EAC00000}"/>
    <cellStyle name="Normal 9 2 3 6 6" xfId="49553" xr:uid="{00000000-0005-0000-0000-0000EBC00000}"/>
    <cellStyle name="Normal 9 2 3 7" xfId="49554" xr:uid="{00000000-0005-0000-0000-0000ECC00000}"/>
    <cellStyle name="Normal 9 2 3 7 2" xfId="49555" xr:uid="{00000000-0005-0000-0000-0000EDC00000}"/>
    <cellStyle name="Normal 9 2 3 7 2 2" xfId="49556" xr:uid="{00000000-0005-0000-0000-0000EEC00000}"/>
    <cellStyle name="Normal 9 2 3 7 2 3" xfId="49557" xr:uid="{00000000-0005-0000-0000-0000EFC00000}"/>
    <cellStyle name="Normal 9 2 3 7 3" xfId="49558" xr:uid="{00000000-0005-0000-0000-0000F0C00000}"/>
    <cellStyle name="Normal 9 2 3 7 4" xfId="49559" xr:uid="{00000000-0005-0000-0000-0000F1C00000}"/>
    <cellStyle name="Normal 9 2 3 7 5" xfId="49560" xr:uid="{00000000-0005-0000-0000-0000F2C00000}"/>
    <cellStyle name="Normal 9 2 3 7 6" xfId="49561" xr:uid="{00000000-0005-0000-0000-0000F3C00000}"/>
    <cellStyle name="Normal 9 2 3 8" xfId="49562" xr:uid="{00000000-0005-0000-0000-0000F4C00000}"/>
    <cellStyle name="Normal 9 2 3 8 2" xfId="49563" xr:uid="{00000000-0005-0000-0000-0000F5C00000}"/>
    <cellStyle name="Normal 9 2 3 8 2 2" xfId="49564" xr:uid="{00000000-0005-0000-0000-0000F6C00000}"/>
    <cellStyle name="Normal 9 2 3 8 2 3" xfId="49565" xr:uid="{00000000-0005-0000-0000-0000F7C00000}"/>
    <cellStyle name="Normal 9 2 3 8 3" xfId="49566" xr:uid="{00000000-0005-0000-0000-0000F8C00000}"/>
    <cellStyle name="Normal 9 2 3 8 4" xfId="49567" xr:uid="{00000000-0005-0000-0000-0000F9C00000}"/>
    <cellStyle name="Normal 9 2 3 8 5" xfId="49568" xr:uid="{00000000-0005-0000-0000-0000FAC00000}"/>
    <cellStyle name="Normal 9 2 3 8 6" xfId="49569" xr:uid="{00000000-0005-0000-0000-0000FBC00000}"/>
    <cellStyle name="Normal 9 2 3 9" xfId="49570" xr:uid="{00000000-0005-0000-0000-0000FCC00000}"/>
    <cellStyle name="Normal 9 2 3 9 2" xfId="49571" xr:uid="{00000000-0005-0000-0000-0000FDC00000}"/>
    <cellStyle name="Normal 9 2 3 9 2 2" xfId="49572" xr:uid="{00000000-0005-0000-0000-0000FEC00000}"/>
    <cellStyle name="Normal 9 2 3 9 2 3" xfId="49573" xr:uid="{00000000-0005-0000-0000-0000FFC00000}"/>
    <cellStyle name="Normal 9 2 3 9 3" xfId="49574" xr:uid="{00000000-0005-0000-0000-000000C10000}"/>
    <cellStyle name="Normal 9 2 3 9 4" xfId="49575" xr:uid="{00000000-0005-0000-0000-000001C10000}"/>
    <cellStyle name="Normal 9 2 3 9 5" xfId="49576" xr:uid="{00000000-0005-0000-0000-000002C10000}"/>
    <cellStyle name="Normal 9 2 3 9 6" xfId="49577" xr:uid="{00000000-0005-0000-0000-000003C10000}"/>
    <cellStyle name="Normal 9 2 4" xfId="49578" xr:uid="{00000000-0005-0000-0000-000004C10000}"/>
    <cellStyle name="Normal 9 2 4 10" xfId="49579" xr:uid="{00000000-0005-0000-0000-000005C10000}"/>
    <cellStyle name="Normal 9 2 4 10 2" xfId="49580" xr:uid="{00000000-0005-0000-0000-000006C10000}"/>
    <cellStyle name="Normal 9 2 4 10 3" xfId="49581" xr:uid="{00000000-0005-0000-0000-000007C10000}"/>
    <cellStyle name="Normal 9 2 4 11" xfId="49582" xr:uid="{00000000-0005-0000-0000-000008C10000}"/>
    <cellStyle name="Normal 9 2 4 12" xfId="49583" xr:uid="{00000000-0005-0000-0000-000009C10000}"/>
    <cellStyle name="Normal 9 2 4 13" xfId="49584" xr:uid="{00000000-0005-0000-0000-00000AC10000}"/>
    <cellStyle name="Normal 9 2 4 14" xfId="49585" xr:uid="{00000000-0005-0000-0000-00000BC10000}"/>
    <cellStyle name="Normal 9 2 4 2" xfId="49586" xr:uid="{00000000-0005-0000-0000-00000CC10000}"/>
    <cellStyle name="Normal 9 2 4 2 10" xfId="49587" xr:uid="{00000000-0005-0000-0000-00000DC10000}"/>
    <cellStyle name="Normal 9 2 4 2 11" xfId="49588" xr:uid="{00000000-0005-0000-0000-00000EC10000}"/>
    <cellStyle name="Normal 9 2 4 2 12" xfId="49589" xr:uid="{00000000-0005-0000-0000-00000FC10000}"/>
    <cellStyle name="Normal 9 2 4 2 13" xfId="49590" xr:uid="{00000000-0005-0000-0000-000010C10000}"/>
    <cellStyle name="Normal 9 2 4 2 2" xfId="49591" xr:uid="{00000000-0005-0000-0000-000011C10000}"/>
    <cellStyle name="Normal 9 2 4 2 2 10" xfId="49592" xr:uid="{00000000-0005-0000-0000-000012C10000}"/>
    <cellStyle name="Normal 9 2 4 2 2 2" xfId="49593" xr:uid="{00000000-0005-0000-0000-000013C10000}"/>
    <cellStyle name="Normal 9 2 4 2 2 2 2" xfId="49594" xr:uid="{00000000-0005-0000-0000-000014C10000}"/>
    <cellStyle name="Normal 9 2 4 2 2 2 2 2" xfId="49595" xr:uid="{00000000-0005-0000-0000-000015C10000}"/>
    <cellStyle name="Normal 9 2 4 2 2 2 2 2 2" xfId="49596" xr:uid="{00000000-0005-0000-0000-000016C10000}"/>
    <cellStyle name="Normal 9 2 4 2 2 2 2 2 3" xfId="49597" xr:uid="{00000000-0005-0000-0000-000017C10000}"/>
    <cellStyle name="Normal 9 2 4 2 2 2 2 3" xfId="49598" xr:uid="{00000000-0005-0000-0000-000018C10000}"/>
    <cellStyle name="Normal 9 2 4 2 2 2 2 4" xfId="49599" xr:uid="{00000000-0005-0000-0000-000019C10000}"/>
    <cellStyle name="Normal 9 2 4 2 2 2 2 5" xfId="49600" xr:uid="{00000000-0005-0000-0000-00001AC10000}"/>
    <cellStyle name="Normal 9 2 4 2 2 2 2 6" xfId="49601" xr:uid="{00000000-0005-0000-0000-00001BC10000}"/>
    <cellStyle name="Normal 9 2 4 2 2 2 3" xfId="49602" xr:uid="{00000000-0005-0000-0000-00001CC10000}"/>
    <cellStyle name="Normal 9 2 4 2 2 2 3 2" xfId="49603" xr:uid="{00000000-0005-0000-0000-00001DC10000}"/>
    <cellStyle name="Normal 9 2 4 2 2 2 3 2 2" xfId="49604" xr:uid="{00000000-0005-0000-0000-00001EC10000}"/>
    <cellStyle name="Normal 9 2 4 2 2 2 3 2 3" xfId="49605" xr:uid="{00000000-0005-0000-0000-00001FC10000}"/>
    <cellStyle name="Normal 9 2 4 2 2 2 3 3" xfId="49606" xr:uid="{00000000-0005-0000-0000-000020C10000}"/>
    <cellStyle name="Normal 9 2 4 2 2 2 3 4" xfId="49607" xr:uid="{00000000-0005-0000-0000-000021C10000}"/>
    <cellStyle name="Normal 9 2 4 2 2 2 3 5" xfId="49608" xr:uid="{00000000-0005-0000-0000-000022C10000}"/>
    <cellStyle name="Normal 9 2 4 2 2 2 3 6" xfId="49609" xr:uid="{00000000-0005-0000-0000-000023C10000}"/>
    <cellStyle name="Normal 9 2 4 2 2 2 4" xfId="49610" xr:uid="{00000000-0005-0000-0000-000024C10000}"/>
    <cellStyle name="Normal 9 2 4 2 2 2 4 2" xfId="49611" xr:uid="{00000000-0005-0000-0000-000025C10000}"/>
    <cellStyle name="Normal 9 2 4 2 2 2 4 3" xfId="49612" xr:uid="{00000000-0005-0000-0000-000026C10000}"/>
    <cellStyle name="Normal 9 2 4 2 2 2 5" xfId="49613" xr:uid="{00000000-0005-0000-0000-000027C10000}"/>
    <cellStyle name="Normal 9 2 4 2 2 2 6" xfId="49614" xr:uid="{00000000-0005-0000-0000-000028C10000}"/>
    <cellStyle name="Normal 9 2 4 2 2 2 7" xfId="49615" xr:uid="{00000000-0005-0000-0000-000029C10000}"/>
    <cellStyle name="Normal 9 2 4 2 2 2 8" xfId="49616" xr:uid="{00000000-0005-0000-0000-00002AC10000}"/>
    <cellStyle name="Normal 9 2 4 2 2 3" xfId="49617" xr:uid="{00000000-0005-0000-0000-00002BC10000}"/>
    <cellStyle name="Normal 9 2 4 2 2 3 2" xfId="49618" xr:uid="{00000000-0005-0000-0000-00002CC10000}"/>
    <cellStyle name="Normal 9 2 4 2 2 3 2 2" xfId="49619" xr:uid="{00000000-0005-0000-0000-00002DC10000}"/>
    <cellStyle name="Normal 9 2 4 2 2 3 2 2 2" xfId="49620" xr:uid="{00000000-0005-0000-0000-00002EC10000}"/>
    <cellStyle name="Normal 9 2 4 2 2 3 2 2 3" xfId="49621" xr:uid="{00000000-0005-0000-0000-00002FC10000}"/>
    <cellStyle name="Normal 9 2 4 2 2 3 2 3" xfId="49622" xr:uid="{00000000-0005-0000-0000-000030C10000}"/>
    <cellStyle name="Normal 9 2 4 2 2 3 2 4" xfId="49623" xr:uid="{00000000-0005-0000-0000-000031C10000}"/>
    <cellStyle name="Normal 9 2 4 2 2 3 2 5" xfId="49624" xr:uid="{00000000-0005-0000-0000-000032C10000}"/>
    <cellStyle name="Normal 9 2 4 2 2 3 2 6" xfId="49625" xr:uid="{00000000-0005-0000-0000-000033C10000}"/>
    <cellStyle name="Normal 9 2 4 2 2 3 3" xfId="49626" xr:uid="{00000000-0005-0000-0000-000034C10000}"/>
    <cellStyle name="Normal 9 2 4 2 2 3 3 2" xfId="49627" xr:uid="{00000000-0005-0000-0000-000035C10000}"/>
    <cellStyle name="Normal 9 2 4 2 2 3 3 3" xfId="49628" xr:uid="{00000000-0005-0000-0000-000036C10000}"/>
    <cellStyle name="Normal 9 2 4 2 2 3 4" xfId="49629" xr:uid="{00000000-0005-0000-0000-000037C10000}"/>
    <cellStyle name="Normal 9 2 4 2 2 3 5" xfId="49630" xr:uid="{00000000-0005-0000-0000-000038C10000}"/>
    <cellStyle name="Normal 9 2 4 2 2 3 6" xfId="49631" xr:uid="{00000000-0005-0000-0000-000039C10000}"/>
    <cellStyle name="Normal 9 2 4 2 2 3 7" xfId="49632" xr:uid="{00000000-0005-0000-0000-00003AC10000}"/>
    <cellStyle name="Normal 9 2 4 2 2 4" xfId="49633" xr:uid="{00000000-0005-0000-0000-00003BC10000}"/>
    <cellStyle name="Normal 9 2 4 2 2 4 2" xfId="49634" xr:uid="{00000000-0005-0000-0000-00003CC10000}"/>
    <cellStyle name="Normal 9 2 4 2 2 4 2 2" xfId="49635" xr:uid="{00000000-0005-0000-0000-00003DC10000}"/>
    <cellStyle name="Normal 9 2 4 2 2 4 2 3" xfId="49636" xr:uid="{00000000-0005-0000-0000-00003EC10000}"/>
    <cellStyle name="Normal 9 2 4 2 2 4 3" xfId="49637" xr:uid="{00000000-0005-0000-0000-00003FC10000}"/>
    <cellStyle name="Normal 9 2 4 2 2 4 4" xfId="49638" xr:uid="{00000000-0005-0000-0000-000040C10000}"/>
    <cellStyle name="Normal 9 2 4 2 2 4 5" xfId="49639" xr:uid="{00000000-0005-0000-0000-000041C10000}"/>
    <cellStyle name="Normal 9 2 4 2 2 4 6" xfId="49640" xr:uid="{00000000-0005-0000-0000-000042C10000}"/>
    <cellStyle name="Normal 9 2 4 2 2 5" xfId="49641" xr:uid="{00000000-0005-0000-0000-000043C10000}"/>
    <cellStyle name="Normal 9 2 4 2 2 5 2" xfId="49642" xr:uid="{00000000-0005-0000-0000-000044C10000}"/>
    <cellStyle name="Normal 9 2 4 2 2 5 2 2" xfId="49643" xr:uid="{00000000-0005-0000-0000-000045C10000}"/>
    <cellStyle name="Normal 9 2 4 2 2 5 2 3" xfId="49644" xr:uid="{00000000-0005-0000-0000-000046C10000}"/>
    <cellStyle name="Normal 9 2 4 2 2 5 3" xfId="49645" xr:uid="{00000000-0005-0000-0000-000047C10000}"/>
    <cellStyle name="Normal 9 2 4 2 2 5 4" xfId="49646" xr:uid="{00000000-0005-0000-0000-000048C10000}"/>
    <cellStyle name="Normal 9 2 4 2 2 5 5" xfId="49647" xr:uid="{00000000-0005-0000-0000-000049C10000}"/>
    <cellStyle name="Normal 9 2 4 2 2 5 6" xfId="49648" xr:uid="{00000000-0005-0000-0000-00004AC10000}"/>
    <cellStyle name="Normal 9 2 4 2 2 6" xfId="49649" xr:uid="{00000000-0005-0000-0000-00004BC10000}"/>
    <cellStyle name="Normal 9 2 4 2 2 6 2" xfId="49650" xr:uid="{00000000-0005-0000-0000-00004CC10000}"/>
    <cellStyle name="Normal 9 2 4 2 2 6 3" xfId="49651" xr:uid="{00000000-0005-0000-0000-00004DC10000}"/>
    <cellStyle name="Normal 9 2 4 2 2 7" xfId="49652" xr:uid="{00000000-0005-0000-0000-00004EC10000}"/>
    <cellStyle name="Normal 9 2 4 2 2 8" xfId="49653" xr:uid="{00000000-0005-0000-0000-00004FC10000}"/>
    <cellStyle name="Normal 9 2 4 2 2 9" xfId="49654" xr:uid="{00000000-0005-0000-0000-000050C10000}"/>
    <cellStyle name="Normal 9 2 4 2 3" xfId="49655" xr:uid="{00000000-0005-0000-0000-000051C10000}"/>
    <cellStyle name="Normal 9 2 4 2 3 2" xfId="49656" xr:uid="{00000000-0005-0000-0000-000052C10000}"/>
    <cellStyle name="Normal 9 2 4 2 3 2 2" xfId="49657" xr:uid="{00000000-0005-0000-0000-000053C10000}"/>
    <cellStyle name="Normal 9 2 4 2 3 2 2 2" xfId="49658" xr:uid="{00000000-0005-0000-0000-000054C10000}"/>
    <cellStyle name="Normal 9 2 4 2 3 2 2 2 2" xfId="49659" xr:uid="{00000000-0005-0000-0000-000055C10000}"/>
    <cellStyle name="Normal 9 2 4 2 3 2 2 2 3" xfId="49660" xr:uid="{00000000-0005-0000-0000-000056C10000}"/>
    <cellStyle name="Normal 9 2 4 2 3 2 2 3" xfId="49661" xr:uid="{00000000-0005-0000-0000-000057C10000}"/>
    <cellStyle name="Normal 9 2 4 2 3 2 2 4" xfId="49662" xr:uid="{00000000-0005-0000-0000-000058C10000}"/>
    <cellStyle name="Normal 9 2 4 2 3 2 2 5" xfId="49663" xr:uid="{00000000-0005-0000-0000-000059C10000}"/>
    <cellStyle name="Normal 9 2 4 2 3 2 2 6" xfId="49664" xr:uid="{00000000-0005-0000-0000-00005AC10000}"/>
    <cellStyle name="Normal 9 2 4 2 3 2 3" xfId="49665" xr:uid="{00000000-0005-0000-0000-00005BC10000}"/>
    <cellStyle name="Normal 9 2 4 2 3 2 3 2" xfId="49666" xr:uid="{00000000-0005-0000-0000-00005CC10000}"/>
    <cellStyle name="Normal 9 2 4 2 3 2 3 3" xfId="49667" xr:uid="{00000000-0005-0000-0000-00005DC10000}"/>
    <cellStyle name="Normal 9 2 4 2 3 2 4" xfId="49668" xr:uid="{00000000-0005-0000-0000-00005EC10000}"/>
    <cellStyle name="Normal 9 2 4 2 3 2 5" xfId="49669" xr:uid="{00000000-0005-0000-0000-00005FC10000}"/>
    <cellStyle name="Normal 9 2 4 2 3 2 6" xfId="49670" xr:uid="{00000000-0005-0000-0000-000060C10000}"/>
    <cellStyle name="Normal 9 2 4 2 3 2 7" xfId="49671" xr:uid="{00000000-0005-0000-0000-000061C10000}"/>
    <cellStyle name="Normal 9 2 4 2 3 3" xfId="49672" xr:uid="{00000000-0005-0000-0000-000062C10000}"/>
    <cellStyle name="Normal 9 2 4 2 3 3 2" xfId="49673" xr:uid="{00000000-0005-0000-0000-000063C10000}"/>
    <cellStyle name="Normal 9 2 4 2 3 3 2 2" xfId="49674" xr:uid="{00000000-0005-0000-0000-000064C10000}"/>
    <cellStyle name="Normal 9 2 4 2 3 3 2 3" xfId="49675" xr:uid="{00000000-0005-0000-0000-000065C10000}"/>
    <cellStyle name="Normal 9 2 4 2 3 3 3" xfId="49676" xr:uid="{00000000-0005-0000-0000-000066C10000}"/>
    <cellStyle name="Normal 9 2 4 2 3 3 4" xfId="49677" xr:uid="{00000000-0005-0000-0000-000067C10000}"/>
    <cellStyle name="Normal 9 2 4 2 3 3 5" xfId="49678" xr:uid="{00000000-0005-0000-0000-000068C10000}"/>
    <cellStyle name="Normal 9 2 4 2 3 3 6" xfId="49679" xr:uid="{00000000-0005-0000-0000-000069C10000}"/>
    <cellStyle name="Normal 9 2 4 2 3 4" xfId="49680" xr:uid="{00000000-0005-0000-0000-00006AC10000}"/>
    <cellStyle name="Normal 9 2 4 2 3 4 2" xfId="49681" xr:uid="{00000000-0005-0000-0000-00006BC10000}"/>
    <cellStyle name="Normal 9 2 4 2 3 4 2 2" xfId="49682" xr:uid="{00000000-0005-0000-0000-00006CC10000}"/>
    <cellStyle name="Normal 9 2 4 2 3 4 2 3" xfId="49683" xr:uid="{00000000-0005-0000-0000-00006DC10000}"/>
    <cellStyle name="Normal 9 2 4 2 3 4 3" xfId="49684" xr:uid="{00000000-0005-0000-0000-00006EC10000}"/>
    <cellStyle name="Normal 9 2 4 2 3 4 4" xfId="49685" xr:uid="{00000000-0005-0000-0000-00006FC10000}"/>
    <cellStyle name="Normal 9 2 4 2 3 4 5" xfId="49686" xr:uid="{00000000-0005-0000-0000-000070C10000}"/>
    <cellStyle name="Normal 9 2 4 2 3 4 6" xfId="49687" xr:uid="{00000000-0005-0000-0000-000071C10000}"/>
    <cellStyle name="Normal 9 2 4 2 3 5" xfId="49688" xr:uid="{00000000-0005-0000-0000-000072C10000}"/>
    <cellStyle name="Normal 9 2 4 2 3 5 2" xfId="49689" xr:uid="{00000000-0005-0000-0000-000073C10000}"/>
    <cellStyle name="Normal 9 2 4 2 3 5 3" xfId="49690" xr:uid="{00000000-0005-0000-0000-000074C10000}"/>
    <cellStyle name="Normal 9 2 4 2 3 6" xfId="49691" xr:uid="{00000000-0005-0000-0000-000075C10000}"/>
    <cellStyle name="Normal 9 2 4 2 3 7" xfId="49692" xr:uid="{00000000-0005-0000-0000-000076C10000}"/>
    <cellStyle name="Normal 9 2 4 2 3 8" xfId="49693" xr:uid="{00000000-0005-0000-0000-000077C10000}"/>
    <cellStyle name="Normal 9 2 4 2 3 9" xfId="49694" xr:uid="{00000000-0005-0000-0000-000078C10000}"/>
    <cellStyle name="Normal 9 2 4 2 4" xfId="49695" xr:uid="{00000000-0005-0000-0000-000079C10000}"/>
    <cellStyle name="Normal 9 2 4 2 4 2" xfId="49696" xr:uid="{00000000-0005-0000-0000-00007AC10000}"/>
    <cellStyle name="Normal 9 2 4 2 4 2 2" xfId="49697" xr:uid="{00000000-0005-0000-0000-00007BC10000}"/>
    <cellStyle name="Normal 9 2 4 2 4 2 2 2" xfId="49698" xr:uid="{00000000-0005-0000-0000-00007CC10000}"/>
    <cellStyle name="Normal 9 2 4 2 4 2 2 3" xfId="49699" xr:uid="{00000000-0005-0000-0000-00007DC10000}"/>
    <cellStyle name="Normal 9 2 4 2 4 2 3" xfId="49700" xr:uid="{00000000-0005-0000-0000-00007EC10000}"/>
    <cellStyle name="Normal 9 2 4 2 4 2 4" xfId="49701" xr:uid="{00000000-0005-0000-0000-00007FC10000}"/>
    <cellStyle name="Normal 9 2 4 2 4 2 5" xfId="49702" xr:uid="{00000000-0005-0000-0000-000080C10000}"/>
    <cellStyle name="Normal 9 2 4 2 4 2 6" xfId="49703" xr:uid="{00000000-0005-0000-0000-000081C10000}"/>
    <cellStyle name="Normal 9 2 4 2 4 3" xfId="49704" xr:uid="{00000000-0005-0000-0000-000082C10000}"/>
    <cellStyle name="Normal 9 2 4 2 4 3 2" xfId="49705" xr:uid="{00000000-0005-0000-0000-000083C10000}"/>
    <cellStyle name="Normal 9 2 4 2 4 3 3" xfId="49706" xr:uid="{00000000-0005-0000-0000-000084C10000}"/>
    <cellStyle name="Normal 9 2 4 2 4 4" xfId="49707" xr:uid="{00000000-0005-0000-0000-000085C10000}"/>
    <cellStyle name="Normal 9 2 4 2 4 5" xfId="49708" xr:uid="{00000000-0005-0000-0000-000086C10000}"/>
    <cellStyle name="Normal 9 2 4 2 4 6" xfId="49709" xr:uid="{00000000-0005-0000-0000-000087C10000}"/>
    <cellStyle name="Normal 9 2 4 2 4 7" xfId="49710" xr:uid="{00000000-0005-0000-0000-000088C10000}"/>
    <cellStyle name="Normal 9 2 4 2 5" xfId="49711" xr:uid="{00000000-0005-0000-0000-000089C10000}"/>
    <cellStyle name="Normal 9 2 4 2 5 2" xfId="49712" xr:uid="{00000000-0005-0000-0000-00008AC10000}"/>
    <cellStyle name="Normal 9 2 4 2 5 2 2" xfId="49713" xr:uid="{00000000-0005-0000-0000-00008BC10000}"/>
    <cellStyle name="Normal 9 2 4 2 5 2 3" xfId="49714" xr:uid="{00000000-0005-0000-0000-00008CC10000}"/>
    <cellStyle name="Normal 9 2 4 2 5 3" xfId="49715" xr:uid="{00000000-0005-0000-0000-00008DC10000}"/>
    <cellStyle name="Normal 9 2 4 2 5 4" xfId="49716" xr:uid="{00000000-0005-0000-0000-00008EC10000}"/>
    <cellStyle name="Normal 9 2 4 2 5 5" xfId="49717" xr:uid="{00000000-0005-0000-0000-00008FC10000}"/>
    <cellStyle name="Normal 9 2 4 2 5 6" xfId="49718" xr:uid="{00000000-0005-0000-0000-000090C10000}"/>
    <cellStyle name="Normal 9 2 4 2 6" xfId="49719" xr:uid="{00000000-0005-0000-0000-000091C10000}"/>
    <cellStyle name="Normal 9 2 4 2 6 2" xfId="49720" xr:uid="{00000000-0005-0000-0000-000092C10000}"/>
    <cellStyle name="Normal 9 2 4 2 6 2 2" xfId="49721" xr:uid="{00000000-0005-0000-0000-000093C10000}"/>
    <cellStyle name="Normal 9 2 4 2 6 2 3" xfId="49722" xr:uid="{00000000-0005-0000-0000-000094C10000}"/>
    <cellStyle name="Normal 9 2 4 2 6 3" xfId="49723" xr:uid="{00000000-0005-0000-0000-000095C10000}"/>
    <cellStyle name="Normal 9 2 4 2 6 4" xfId="49724" xr:uid="{00000000-0005-0000-0000-000096C10000}"/>
    <cellStyle name="Normal 9 2 4 2 6 5" xfId="49725" xr:uid="{00000000-0005-0000-0000-000097C10000}"/>
    <cellStyle name="Normal 9 2 4 2 6 6" xfId="49726" xr:uid="{00000000-0005-0000-0000-000098C10000}"/>
    <cellStyle name="Normal 9 2 4 2 7" xfId="49727" xr:uid="{00000000-0005-0000-0000-000099C10000}"/>
    <cellStyle name="Normal 9 2 4 2 7 2" xfId="49728" xr:uid="{00000000-0005-0000-0000-00009AC10000}"/>
    <cellStyle name="Normal 9 2 4 2 7 2 2" xfId="49729" xr:uid="{00000000-0005-0000-0000-00009BC10000}"/>
    <cellStyle name="Normal 9 2 4 2 7 2 3" xfId="49730" xr:uid="{00000000-0005-0000-0000-00009CC10000}"/>
    <cellStyle name="Normal 9 2 4 2 7 3" xfId="49731" xr:uid="{00000000-0005-0000-0000-00009DC10000}"/>
    <cellStyle name="Normal 9 2 4 2 7 4" xfId="49732" xr:uid="{00000000-0005-0000-0000-00009EC10000}"/>
    <cellStyle name="Normal 9 2 4 2 7 5" xfId="49733" xr:uid="{00000000-0005-0000-0000-00009FC10000}"/>
    <cellStyle name="Normal 9 2 4 2 7 6" xfId="49734" xr:uid="{00000000-0005-0000-0000-0000A0C10000}"/>
    <cellStyle name="Normal 9 2 4 2 8" xfId="49735" xr:uid="{00000000-0005-0000-0000-0000A1C10000}"/>
    <cellStyle name="Normal 9 2 4 2 8 2" xfId="49736" xr:uid="{00000000-0005-0000-0000-0000A2C10000}"/>
    <cellStyle name="Normal 9 2 4 2 8 2 2" xfId="49737" xr:uid="{00000000-0005-0000-0000-0000A3C10000}"/>
    <cellStyle name="Normal 9 2 4 2 8 2 3" xfId="49738" xr:uid="{00000000-0005-0000-0000-0000A4C10000}"/>
    <cellStyle name="Normal 9 2 4 2 8 3" xfId="49739" xr:uid="{00000000-0005-0000-0000-0000A5C10000}"/>
    <cellStyle name="Normal 9 2 4 2 8 4" xfId="49740" xr:uid="{00000000-0005-0000-0000-0000A6C10000}"/>
    <cellStyle name="Normal 9 2 4 2 8 5" xfId="49741" xr:uid="{00000000-0005-0000-0000-0000A7C10000}"/>
    <cellStyle name="Normal 9 2 4 2 8 6" xfId="49742" xr:uid="{00000000-0005-0000-0000-0000A8C10000}"/>
    <cellStyle name="Normal 9 2 4 2 9" xfId="49743" xr:uid="{00000000-0005-0000-0000-0000A9C10000}"/>
    <cellStyle name="Normal 9 2 4 2 9 2" xfId="49744" xr:uid="{00000000-0005-0000-0000-0000AAC10000}"/>
    <cellStyle name="Normal 9 2 4 2 9 3" xfId="49745" xr:uid="{00000000-0005-0000-0000-0000ABC10000}"/>
    <cellStyle name="Normal 9 2 4 3" xfId="49746" xr:uid="{00000000-0005-0000-0000-0000ACC10000}"/>
    <cellStyle name="Normal 9 2 4 3 10" xfId="49747" xr:uid="{00000000-0005-0000-0000-0000ADC10000}"/>
    <cellStyle name="Normal 9 2 4 3 2" xfId="49748" xr:uid="{00000000-0005-0000-0000-0000AEC10000}"/>
    <cellStyle name="Normal 9 2 4 3 2 2" xfId="49749" xr:uid="{00000000-0005-0000-0000-0000AFC10000}"/>
    <cellStyle name="Normal 9 2 4 3 2 2 2" xfId="49750" xr:uid="{00000000-0005-0000-0000-0000B0C10000}"/>
    <cellStyle name="Normal 9 2 4 3 2 2 2 2" xfId="49751" xr:uid="{00000000-0005-0000-0000-0000B1C10000}"/>
    <cellStyle name="Normal 9 2 4 3 2 2 2 3" xfId="49752" xr:uid="{00000000-0005-0000-0000-0000B2C10000}"/>
    <cellStyle name="Normal 9 2 4 3 2 2 3" xfId="49753" xr:uid="{00000000-0005-0000-0000-0000B3C10000}"/>
    <cellStyle name="Normal 9 2 4 3 2 2 4" xfId="49754" xr:uid="{00000000-0005-0000-0000-0000B4C10000}"/>
    <cellStyle name="Normal 9 2 4 3 2 2 5" xfId="49755" xr:uid="{00000000-0005-0000-0000-0000B5C10000}"/>
    <cellStyle name="Normal 9 2 4 3 2 2 6" xfId="49756" xr:uid="{00000000-0005-0000-0000-0000B6C10000}"/>
    <cellStyle name="Normal 9 2 4 3 2 3" xfId="49757" xr:uid="{00000000-0005-0000-0000-0000B7C10000}"/>
    <cellStyle name="Normal 9 2 4 3 2 3 2" xfId="49758" xr:uid="{00000000-0005-0000-0000-0000B8C10000}"/>
    <cellStyle name="Normal 9 2 4 3 2 3 2 2" xfId="49759" xr:uid="{00000000-0005-0000-0000-0000B9C10000}"/>
    <cellStyle name="Normal 9 2 4 3 2 3 2 3" xfId="49760" xr:uid="{00000000-0005-0000-0000-0000BAC10000}"/>
    <cellStyle name="Normal 9 2 4 3 2 3 3" xfId="49761" xr:uid="{00000000-0005-0000-0000-0000BBC10000}"/>
    <cellStyle name="Normal 9 2 4 3 2 3 4" xfId="49762" xr:uid="{00000000-0005-0000-0000-0000BCC10000}"/>
    <cellStyle name="Normal 9 2 4 3 2 3 5" xfId="49763" xr:uid="{00000000-0005-0000-0000-0000BDC10000}"/>
    <cellStyle name="Normal 9 2 4 3 2 3 6" xfId="49764" xr:uid="{00000000-0005-0000-0000-0000BEC10000}"/>
    <cellStyle name="Normal 9 2 4 3 2 4" xfId="49765" xr:uid="{00000000-0005-0000-0000-0000BFC10000}"/>
    <cellStyle name="Normal 9 2 4 3 2 4 2" xfId="49766" xr:uid="{00000000-0005-0000-0000-0000C0C10000}"/>
    <cellStyle name="Normal 9 2 4 3 2 4 3" xfId="49767" xr:uid="{00000000-0005-0000-0000-0000C1C10000}"/>
    <cellStyle name="Normal 9 2 4 3 2 5" xfId="49768" xr:uid="{00000000-0005-0000-0000-0000C2C10000}"/>
    <cellStyle name="Normal 9 2 4 3 2 6" xfId="49769" xr:uid="{00000000-0005-0000-0000-0000C3C10000}"/>
    <cellStyle name="Normal 9 2 4 3 2 7" xfId="49770" xr:uid="{00000000-0005-0000-0000-0000C4C10000}"/>
    <cellStyle name="Normal 9 2 4 3 2 8" xfId="49771" xr:uid="{00000000-0005-0000-0000-0000C5C10000}"/>
    <cellStyle name="Normal 9 2 4 3 3" xfId="49772" xr:uid="{00000000-0005-0000-0000-0000C6C10000}"/>
    <cellStyle name="Normal 9 2 4 3 3 2" xfId="49773" xr:uid="{00000000-0005-0000-0000-0000C7C10000}"/>
    <cellStyle name="Normal 9 2 4 3 3 2 2" xfId="49774" xr:uid="{00000000-0005-0000-0000-0000C8C10000}"/>
    <cellStyle name="Normal 9 2 4 3 3 2 2 2" xfId="49775" xr:uid="{00000000-0005-0000-0000-0000C9C10000}"/>
    <cellStyle name="Normal 9 2 4 3 3 2 2 3" xfId="49776" xr:uid="{00000000-0005-0000-0000-0000CAC10000}"/>
    <cellStyle name="Normal 9 2 4 3 3 2 3" xfId="49777" xr:uid="{00000000-0005-0000-0000-0000CBC10000}"/>
    <cellStyle name="Normal 9 2 4 3 3 2 4" xfId="49778" xr:uid="{00000000-0005-0000-0000-0000CCC10000}"/>
    <cellStyle name="Normal 9 2 4 3 3 2 5" xfId="49779" xr:uid="{00000000-0005-0000-0000-0000CDC10000}"/>
    <cellStyle name="Normal 9 2 4 3 3 2 6" xfId="49780" xr:uid="{00000000-0005-0000-0000-0000CEC10000}"/>
    <cellStyle name="Normal 9 2 4 3 3 3" xfId="49781" xr:uid="{00000000-0005-0000-0000-0000CFC10000}"/>
    <cellStyle name="Normal 9 2 4 3 3 3 2" xfId="49782" xr:uid="{00000000-0005-0000-0000-0000D0C10000}"/>
    <cellStyle name="Normal 9 2 4 3 3 3 3" xfId="49783" xr:uid="{00000000-0005-0000-0000-0000D1C10000}"/>
    <cellStyle name="Normal 9 2 4 3 3 4" xfId="49784" xr:uid="{00000000-0005-0000-0000-0000D2C10000}"/>
    <cellStyle name="Normal 9 2 4 3 3 5" xfId="49785" xr:uid="{00000000-0005-0000-0000-0000D3C10000}"/>
    <cellStyle name="Normal 9 2 4 3 3 6" xfId="49786" xr:uid="{00000000-0005-0000-0000-0000D4C10000}"/>
    <cellStyle name="Normal 9 2 4 3 3 7" xfId="49787" xr:uid="{00000000-0005-0000-0000-0000D5C10000}"/>
    <cellStyle name="Normal 9 2 4 3 4" xfId="49788" xr:uid="{00000000-0005-0000-0000-0000D6C10000}"/>
    <cellStyle name="Normal 9 2 4 3 4 2" xfId="49789" xr:uid="{00000000-0005-0000-0000-0000D7C10000}"/>
    <cellStyle name="Normal 9 2 4 3 4 2 2" xfId="49790" xr:uid="{00000000-0005-0000-0000-0000D8C10000}"/>
    <cellStyle name="Normal 9 2 4 3 4 2 3" xfId="49791" xr:uid="{00000000-0005-0000-0000-0000D9C10000}"/>
    <cellStyle name="Normal 9 2 4 3 4 3" xfId="49792" xr:uid="{00000000-0005-0000-0000-0000DAC10000}"/>
    <cellStyle name="Normal 9 2 4 3 4 4" xfId="49793" xr:uid="{00000000-0005-0000-0000-0000DBC10000}"/>
    <cellStyle name="Normal 9 2 4 3 4 5" xfId="49794" xr:uid="{00000000-0005-0000-0000-0000DCC10000}"/>
    <cellStyle name="Normal 9 2 4 3 4 6" xfId="49795" xr:uid="{00000000-0005-0000-0000-0000DDC10000}"/>
    <cellStyle name="Normal 9 2 4 3 5" xfId="49796" xr:uid="{00000000-0005-0000-0000-0000DEC10000}"/>
    <cellStyle name="Normal 9 2 4 3 5 2" xfId="49797" xr:uid="{00000000-0005-0000-0000-0000DFC10000}"/>
    <cellStyle name="Normal 9 2 4 3 5 2 2" xfId="49798" xr:uid="{00000000-0005-0000-0000-0000E0C10000}"/>
    <cellStyle name="Normal 9 2 4 3 5 2 3" xfId="49799" xr:uid="{00000000-0005-0000-0000-0000E1C10000}"/>
    <cellStyle name="Normal 9 2 4 3 5 3" xfId="49800" xr:uid="{00000000-0005-0000-0000-0000E2C10000}"/>
    <cellStyle name="Normal 9 2 4 3 5 4" xfId="49801" xr:uid="{00000000-0005-0000-0000-0000E3C10000}"/>
    <cellStyle name="Normal 9 2 4 3 5 5" xfId="49802" xr:uid="{00000000-0005-0000-0000-0000E4C10000}"/>
    <cellStyle name="Normal 9 2 4 3 5 6" xfId="49803" xr:uid="{00000000-0005-0000-0000-0000E5C10000}"/>
    <cellStyle name="Normal 9 2 4 3 6" xfId="49804" xr:uid="{00000000-0005-0000-0000-0000E6C10000}"/>
    <cellStyle name="Normal 9 2 4 3 6 2" xfId="49805" xr:uid="{00000000-0005-0000-0000-0000E7C10000}"/>
    <cellStyle name="Normal 9 2 4 3 6 3" xfId="49806" xr:uid="{00000000-0005-0000-0000-0000E8C10000}"/>
    <cellStyle name="Normal 9 2 4 3 7" xfId="49807" xr:uid="{00000000-0005-0000-0000-0000E9C10000}"/>
    <cellStyle name="Normal 9 2 4 3 8" xfId="49808" xr:uid="{00000000-0005-0000-0000-0000EAC10000}"/>
    <cellStyle name="Normal 9 2 4 3 9" xfId="49809" xr:uid="{00000000-0005-0000-0000-0000EBC10000}"/>
    <cellStyle name="Normal 9 2 4 4" xfId="49810" xr:uid="{00000000-0005-0000-0000-0000ECC10000}"/>
    <cellStyle name="Normal 9 2 4 4 2" xfId="49811" xr:uid="{00000000-0005-0000-0000-0000EDC10000}"/>
    <cellStyle name="Normal 9 2 4 4 2 2" xfId="49812" xr:uid="{00000000-0005-0000-0000-0000EEC10000}"/>
    <cellStyle name="Normal 9 2 4 4 2 2 2" xfId="49813" xr:uid="{00000000-0005-0000-0000-0000EFC10000}"/>
    <cellStyle name="Normal 9 2 4 4 2 2 2 2" xfId="49814" xr:uid="{00000000-0005-0000-0000-0000F0C10000}"/>
    <cellStyle name="Normal 9 2 4 4 2 2 2 3" xfId="49815" xr:uid="{00000000-0005-0000-0000-0000F1C10000}"/>
    <cellStyle name="Normal 9 2 4 4 2 2 3" xfId="49816" xr:uid="{00000000-0005-0000-0000-0000F2C10000}"/>
    <cellStyle name="Normal 9 2 4 4 2 2 4" xfId="49817" xr:uid="{00000000-0005-0000-0000-0000F3C10000}"/>
    <cellStyle name="Normal 9 2 4 4 2 2 5" xfId="49818" xr:uid="{00000000-0005-0000-0000-0000F4C10000}"/>
    <cellStyle name="Normal 9 2 4 4 2 2 6" xfId="49819" xr:uid="{00000000-0005-0000-0000-0000F5C10000}"/>
    <cellStyle name="Normal 9 2 4 4 2 3" xfId="49820" xr:uid="{00000000-0005-0000-0000-0000F6C10000}"/>
    <cellStyle name="Normal 9 2 4 4 2 3 2" xfId="49821" xr:uid="{00000000-0005-0000-0000-0000F7C10000}"/>
    <cellStyle name="Normal 9 2 4 4 2 3 3" xfId="49822" xr:uid="{00000000-0005-0000-0000-0000F8C10000}"/>
    <cellStyle name="Normal 9 2 4 4 2 4" xfId="49823" xr:uid="{00000000-0005-0000-0000-0000F9C10000}"/>
    <cellStyle name="Normal 9 2 4 4 2 5" xfId="49824" xr:uid="{00000000-0005-0000-0000-0000FAC10000}"/>
    <cellStyle name="Normal 9 2 4 4 2 6" xfId="49825" xr:uid="{00000000-0005-0000-0000-0000FBC10000}"/>
    <cellStyle name="Normal 9 2 4 4 2 7" xfId="49826" xr:uid="{00000000-0005-0000-0000-0000FCC10000}"/>
    <cellStyle name="Normal 9 2 4 4 3" xfId="49827" xr:uid="{00000000-0005-0000-0000-0000FDC10000}"/>
    <cellStyle name="Normal 9 2 4 4 3 2" xfId="49828" xr:uid="{00000000-0005-0000-0000-0000FEC10000}"/>
    <cellStyle name="Normal 9 2 4 4 3 2 2" xfId="49829" xr:uid="{00000000-0005-0000-0000-0000FFC10000}"/>
    <cellStyle name="Normal 9 2 4 4 3 2 3" xfId="49830" xr:uid="{00000000-0005-0000-0000-000000C20000}"/>
    <cellStyle name="Normal 9 2 4 4 3 3" xfId="49831" xr:uid="{00000000-0005-0000-0000-000001C20000}"/>
    <cellStyle name="Normal 9 2 4 4 3 4" xfId="49832" xr:uid="{00000000-0005-0000-0000-000002C20000}"/>
    <cellStyle name="Normal 9 2 4 4 3 5" xfId="49833" xr:uid="{00000000-0005-0000-0000-000003C20000}"/>
    <cellStyle name="Normal 9 2 4 4 3 6" xfId="49834" xr:uid="{00000000-0005-0000-0000-000004C20000}"/>
    <cellStyle name="Normal 9 2 4 4 4" xfId="49835" xr:uid="{00000000-0005-0000-0000-000005C20000}"/>
    <cellStyle name="Normal 9 2 4 4 4 2" xfId="49836" xr:uid="{00000000-0005-0000-0000-000006C20000}"/>
    <cellStyle name="Normal 9 2 4 4 4 2 2" xfId="49837" xr:uid="{00000000-0005-0000-0000-000007C20000}"/>
    <cellStyle name="Normal 9 2 4 4 4 2 3" xfId="49838" xr:uid="{00000000-0005-0000-0000-000008C20000}"/>
    <cellStyle name="Normal 9 2 4 4 4 3" xfId="49839" xr:uid="{00000000-0005-0000-0000-000009C20000}"/>
    <cellStyle name="Normal 9 2 4 4 4 4" xfId="49840" xr:uid="{00000000-0005-0000-0000-00000AC20000}"/>
    <cellStyle name="Normal 9 2 4 4 4 5" xfId="49841" xr:uid="{00000000-0005-0000-0000-00000BC20000}"/>
    <cellStyle name="Normal 9 2 4 4 4 6" xfId="49842" xr:uid="{00000000-0005-0000-0000-00000CC20000}"/>
    <cellStyle name="Normal 9 2 4 4 5" xfId="49843" xr:uid="{00000000-0005-0000-0000-00000DC20000}"/>
    <cellStyle name="Normal 9 2 4 4 5 2" xfId="49844" xr:uid="{00000000-0005-0000-0000-00000EC20000}"/>
    <cellStyle name="Normal 9 2 4 4 5 3" xfId="49845" xr:uid="{00000000-0005-0000-0000-00000FC20000}"/>
    <cellStyle name="Normal 9 2 4 4 6" xfId="49846" xr:uid="{00000000-0005-0000-0000-000010C20000}"/>
    <cellStyle name="Normal 9 2 4 4 7" xfId="49847" xr:uid="{00000000-0005-0000-0000-000011C20000}"/>
    <cellStyle name="Normal 9 2 4 4 8" xfId="49848" xr:uid="{00000000-0005-0000-0000-000012C20000}"/>
    <cellStyle name="Normal 9 2 4 4 9" xfId="49849" xr:uid="{00000000-0005-0000-0000-000013C20000}"/>
    <cellStyle name="Normal 9 2 4 5" xfId="49850" xr:uid="{00000000-0005-0000-0000-000014C20000}"/>
    <cellStyle name="Normal 9 2 4 5 2" xfId="49851" xr:uid="{00000000-0005-0000-0000-000015C20000}"/>
    <cellStyle name="Normal 9 2 4 5 2 2" xfId="49852" xr:uid="{00000000-0005-0000-0000-000016C20000}"/>
    <cellStyle name="Normal 9 2 4 5 2 2 2" xfId="49853" xr:uid="{00000000-0005-0000-0000-000017C20000}"/>
    <cellStyle name="Normal 9 2 4 5 2 2 3" xfId="49854" xr:uid="{00000000-0005-0000-0000-000018C20000}"/>
    <cellStyle name="Normal 9 2 4 5 2 3" xfId="49855" xr:uid="{00000000-0005-0000-0000-000019C20000}"/>
    <cellStyle name="Normal 9 2 4 5 2 4" xfId="49856" xr:uid="{00000000-0005-0000-0000-00001AC20000}"/>
    <cellStyle name="Normal 9 2 4 5 2 5" xfId="49857" xr:uid="{00000000-0005-0000-0000-00001BC20000}"/>
    <cellStyle name="Normal 9 2 4 5 2 6" xfId="49858" xr:uid="{00000000-0005-0000-0000-00001CC20000}"/>
    <cellStyle name="Normal 9 2 4 5 3" xfId="49859" xr:uid="{00000000-0005-0000-0000-00001DC20000}"/>
    <cellStyle name="Normal 9 2 4 5 3 2" xfId="49860" xr:uid="{00000000-0005-0000-0000-00001EC20000}"/>
    <cellStyle name="Normal 9 2 4 5 3 3" xfId="49861" xr:uid="{00000000-0005-0000-0000-00001FC20000}"/>
    <cellStyle name="Normal 9 2 4 5 4" xfId="49862" xr:uid="{00000000-0005-0000-0000-000020C20000}"/>
    <cellStyle name="Normal 9 2 4 5 5" xfId="49863" xr:uid="{00000000-0005-0000-0000-000021C20000}"/>
    <cellStyle name="Normal 9 2 4 5 6" xfId="49864" xr:uid="{00000000-0005-0000-0000-000022C20000}"/>
    <cellStyle name="Normal 9 2 4 5 7" xfId="49865" xr:uid="{00000000-0005-0000-0000-000023C20000}"/>
    <cellStyle name="Normal 9 2 4 6" xfId="49866" xr:uid="{00000000-0005-0000-0000-000024C20000}"/>
    <cellStyle name="Normal 9 2 4 6 2" xfId="49867" xr:uid="{00000000-0005-0000-0000-000025C20000}"/>
    <cellStyle name="Normal 9 2 4 6 2 2" xfId="49868" xr:uid="{00000000-0005-0000-0000-000026C20000}"/>
    <cellStyle name="Normal 9 2 4 6 2 3" xfId="49869" xr:uid="{00000000-0005-0000-0000-000027C20000}"/>
    <cellStyle name="Normal 9 2 4 6 3" xfId="49870" xr:uid="{00000000-0005-0000-0000-000028C20000}"/>
    <cellStyle name="Normal 9 2 4 6 4" xfId="49871" xr:uid="{00000000-0005-0000-0000-000029C20000}"/>
    <cellStyle name="Normal 9 2 4 6 5" xfId="49872" xr:uid="{00000000-0005-0000-0000-00002AC20000}"/>
    <cellStyle name="Normal 9 2 4 6 6" xfId="49873" xr:uid="{00000000-0005-0000-0000-00002BC20000}"/>
    <cellStyle name="Normal 9 2 4 7" xfId="49874" xr:uid="{00000000-0005-0000-0000-00002CC20000}"/>
    <cellStyle name="Normal 9 2 4 7 2" xfId="49875" xr:uid="{00000000-0005-0000-0000-00002DC20000}"/>
    <cellStyle name="Normal 9 2 4 7 2 2" xfId="49876" xr:uid="{00000000-0005-0000-0000-00002EC20000}"/>
    <cellStyle name="Normal 9 2 4 7 2 3" xfId="49877" xr:uid="{00000000-0005-0000-0000-00002FC20000}"/>
    <cellStyle name="Normal 9 2 4 7 3" xfId="49878" xr:uid="{00000000-0005-0000-0000-000030C20000}"/>
    <cellStyle name="Normal 9 2 4 7 4" xfId="49879" xr:uid="{00000000-0005-0000-0000-000031C20000}"/>
    <cellStyle name="Normal 9 2 4 7 5" xfId="49880" xr:uid="{00000000-0005-0000-0000-000032C20000}"/>
    <cellStyle name="Normal 9 2 4 7 6" xfId="49881" xr:uid="{00000000-0005-0000-0000-000033C20000}"/>
    <cellStyle name="Normal 9 2 4 8" xfId="49882" xr:uid="{00000000-0005-0000-0000-000034C20000}"/>
    <cellStyle name="Normal 9 2 4 8 2" xfId="49883" xr:uid="{00000000-0005-0000-0000-000035C20000}"/>
    <cellStyle name="Normal 9 2 4 8 2 2" xfId="49884" xr:uid="{00000000-0005-0000-0000-000036C20000}"/>
    <cellStyle name="Normal 9 2 4 8 2 3" xfId="49885" xr:uid="{00000000-0005-0000-0000-000037C20000}"/>
    <cellStyle name="Normal 9 2 4 8 3" xfId="49886" xr:uid="{00000000-0005-0000-0000-000038C20000}"/>
    <cellStyle name="Normal 9 2 4 8 4" xfId="49887" xr:uid="{00000000-0005-0000-0000-000039C20000}"/>
    <cellStyle name="Normal 9 2 4 8 5" xfId="49888" xr:uid="{00000000-0005-0000-0000-00003AC20000}"/>
    <cellStyle name="Normal 9 2 4 8 6" xfId="49889" xr:uid="{00000000-0005-0000-0000-00003BC20000}"/>
    <cellStyle name="Normal 9 2 4 9" xfId="49890" xr:uid="{00000000-0005-0000-0000-00003CC20000}"/>
    <cellStyle name="Normal 9 2 4 9 2" xfId="49891" xr:uid="{00000000-0005-0000-0000-00003DC20000}"/>
    <cellStyle name="Normal 9 2 4 9 2 2" xfId="49892" xr:uid="{00000000-0005-0000-0000-00003EC20000}"/>
    <cellStyle name="Normal 9 2 4 9 2 3" xfId="49893" xr:uid="{00000000-0005-0000-0000-00003FC20000}"/>
    <cellStyle name="Normal 9 2 4 9 3" xfId="49894" xr:uid="{00000000-0005-0000-0000-000040C20000}"/>
    <cellStyle name="Normal 9 2 4 9 4" xfId="49895" xr:uid="{00000000-0005-0000-0000-000041C20000}"/>
    <cellStyle name="Normal 9 2 4 9 5" xfId="49896" xr:uid="{00000000-0005-0000-0000-000042C20000}"/>
    <cellStyle name="Normal 9 2 4 9 6" xfId="49897" xr:uid="{00000000-0005-0000-0000-000043C20000}"/>
    <cellStyle name="Normal 9 2 5" xfId="49898" xr:uid="{00000000-0005-0000-0000-000044C20000}"/>
    <cellStyle name="Normal 9 2 5 10" xfId="49899" xr:uid="{00000000-0005-0000-0000-000045C20000}"/>
    <cellStyle name="Normal 9 2 5 11" xfId="49900" xr:uid="{00000000-0005-0000-0000-000046C20000}"/>
    <cellStyle name="Normal 9 2 5 12" xfId="49901" xr:uid="{00000000-0005-0000-0000-000047C20000}"/>
    <cellStyle name="Normal 9 2 5 13" xfId="49902" xr:uid="{00000000-0005-0000-0000-000048C20000}"/>
    <cellStyle name="Normal 9 2 5 2" xfId="49903" xr:uid="{00000000-0005-0000-0000-000049C20000}"/>
    <cellStyle name="Normal 9 2 5 2 10" xfId="49904" xr:uid="{00000000-0005-0000-0000-00004AC20000}"/>
    <cellStyle name="Normal 9 2 5 2 2" xfId="49905" xr:uid="{00000000-0005-0000-0000-00004BC20000}"/>
    <cellStyle name="Normal 9 2 5 2 2 2" xfId="49906" xr:uid="{00000000-0005-0000-0000-00004CC20000}"/>
    <cellStyle name="Normal 9 2 5 2 2 2 2" xfId="49907" xr:uid="{00000000-0005-0000-0000-00004DC20000}"/>
    <cellStyle name="Normal 9 2 5 2 2 2 2 2" xfId="49908" xr:uid="{00000000-0005-0000-0000-00004EC20000}"/>
    <cellStyle name="Normal 9 2 5 2 2 2 2 3" xfId="49909" xr:uid="{00000000-0005-0000-0000-00004FC20000}"/>
    <cellStyle name="Normal 9 2 5 2 2 2 3" xfId="49910" xr:uid="{00000000-0005-0000-0000-000050C20000}"/>
    <cellStyle name="Normal 9 2 5 2 2 2 4" xfId="49911" xr:uid="{00000000-0005-0000-0000-000051C20000}"/>
    <cellStyle name="Normal 9 2 5 2 2 2 5" xfId="49912" xr:uid="{00000000-0005-0000-0000-000052C20000}"/>
    <cellStyle name="Normal 9 2 5 2 2 2 6" xfId="49913" xr:uid="{00000000-0005-0000-0000-000053C20000}"/>
    <cellStyle name="Normal 9 2 5 2 2 3" xfId="49914" xr:uid="{00000000-0005-0000-0000-000054C20000}"/>
    <cellStyle name="Normal 9 2 5 2 2 3 2" xfId="49915" xr:uid="{00000000-0005-0000-0000-000055C20000}"/>
    <cellStyle name="Normal 9 2 5 2 2 3 2 2" xfId="49916" xr:uid="{00000000-0005-0000-0000-000056C20000}"/>
    <cellStyle name="Normal 9 2 5 2 2 3 2 3" xfId="49917" xr:uid="{00000000-0005-0000-0000-000057C20000}"/>
    <cellStyle name="Normal 9 2 5 2 2 3 3" xfId="49918" xr:uid="{00000000-0005-0000-0000-000058C20000}"/>
    <cellStyle name="Normal 9 2 5 2 2 3 4" xfId="49919" xr:uid="{00000000-0005-0000-0000-000059C20000}"/>
    <cellStyle name="Normal 9 2 5 2 2 3 5" xfId="49920" xr:uid="{00000000-0005-0000-0000-00005AC20000}"/>
    <cellStyle name="Normal 9 2 5 2 2 3 6" xfId="49921" xr:uid="{00000000-0005-0000-0000-00005BC20000}"/>
    <cellStyle name="Normal 9 2 5 2 2 4" xfId="49922" xr:uid="{00000000-0005-0000-0000-00005CC20000}"/>
    <cellStyle name="Normal 9 2 5 2 2 4 2" xfId="49923" xr:uid="{00000000-0005-0000-0000-00005DC20000}"/>
    <cellStyle name="Normal 9 2 5 2 2 4 3" xfId="49924" xr:uid="{00000000-0005-0000-0000-00005EC20000}"/>
    <cellStyle name="Normal 9 2 5 2 2 5" xfId="49925" xr:uid="{00000000-0005-0000-0000-00005FC20000}"/>
    <cellStyle name="Normal 9 2 5 2 2 6" xfId="49926" xr:uid="{00000000-0005-0000-0000-000060C20000}"/>
    <cellStyle name="Normal 9 2 5 2 2 7" xfId="49927" xr:uid="{00000000-0005-0000-0000-000061C20000}"/>
    <cellStyle name="Normal 9 2 5 2 2 8" xfId="49928" xr:uid="{00000000-0005-0000-0000-000062C20000}"/>
    <cellStyle name="Normal 9 2 5 2 3" xfId="49929" xr:uid="{00000000-0005-0000-0000-000063C20000}"/>
    <cellStyle name="Normal 9 2 5 2 3 2" xfId="49930" xr:uid="{00000000-0005-0000-0000-000064C20000}"/>
    <cellStyle name="Normal 9 2 5 2 3 2 2" xfId="49931" xr:uid="{00000000-0005-0000-0000-000065C20000}"/>
    <cellStyle name="Normal 9 2 5 2 3 2 2 2" xfId="49932" xr:uid="{00000000-0005-0000-0000-000066C20000}"/>
    <cellStyle name="Normal 9 2 5 2 3 2 2 3" xfId="49933" xr:uid="{00000000-0005-0000-0000-000067C20000}"/>
    <cellStyle name="Normal 9 2 5 2 3 2 3" xfId="49934" xr:uid="{00000000-0005-0000-0000-000068C20000}"/>
    <cellStyle name="Normal 9 2 5 2 3 2 4" xfId="49935" xr:uid="{00000000-0005-0000-0000-000069C20000}"/>
    <cellStyle name="Normal 9 2 5 2 3 2 5" xfId="49936" xr:uid="{00000000-0005-0000-0000-00006AC20000}"/>
    <cellStyle name="Normal 9 2 5 2 3 2 6" xfId="49937" xr:uid="{00000000-0005-0000-0000-00006BC20000}"/>
    <cellStyle name="Normal 9 2 5 2 3 3" xfId="49938" xr:uid="{00000000-0005-0000-0000-00006CC20000}"/>
    <cellStyle name="Normal 9 2 5 2 3 3 2" xfId="49939" xr:uid="{00000000-0005-0000-0000-00006DC20000}"/>
    <cellStyle name="Normal 9 2 5 2 3 3 3" xfId="49940" xr:uid="{00000000-0005-0000-0000-00006EC20000}"/>
    <cellStyle name="Normal 9 2 5 2 3 4" xfId="49941" xr:uid="{00000000-0005-0000-0000-00006FC20000}"/>
    <cellStyle name="Normal 9 2 5 2 3 5" xfId="49942" xr:uid="{00000000-0005-0000-0000-000070C20000}"/>
    <cellStyle name="Normal 9 2 5 2 3 6" xfId="49943" xr:uid="{00000000-0005-0000-0000-000071C20000}"/>
    <cellStyle name="Normal 9 2 5 2 3 7" xfId="49944" xr:uid="{00000000-0005-0000-0000-000072C20000}"/>
    <cellStyle name="Normal 9 2 5 2 4" xfId="49945" xr:uid="{00000000-0005-0000-0000-000073C20000}"/>
    <cellStyle name="Normal 9 2 5 2 4 2" xfId="49946" xr:uid="{00000000-0005-0000-0000-000074C20000}"/>
    <cellStyle name="Normal 9 2 5 2 4 2 2" xfId="49947" xr:uid="{00000000-0005-0000-0000-000075C20000}"/>
    <cellStyle name="Normal 9 2 5 2 4 2 3" xfId="49948" xr:uid="{00000000-0005-0000-0000-000076C20000}"/>
    <cellStyle name="Normal 9 2 5 2 4 3" xfId="49949" xr:uid="{00000000-0005-0000-0000-000077C20000}"/>
    <cellStyle name="Normal 9 2 5 2 4 4" xfId="49950" xr:uid="{00000000-0005-0000-0000-000078C20000}"/>
    <cellStyle name="Normal 9 2 5 2 4 5" xfId="49951" xr:uid="{00000000-0005-0000-0000-000079C20000}"/>
    <cellStyle name="Normal 9 2 5 2 4 6" xfId="49952" xr:uid="{00000000-0005-0000-0000-00007AC20000}"/>
    <cellStyle name="Normal 9 2 5 2 5" xfId="49953" xr:uid="{00000000-0005-0000-0000-00007BC20000}"/>
    <cellStyle name="Normal 9 2 5 2 5 2" xfId="49954" xr:uid="{00000000-0005-0000-0000-00007CC20000}"/>
    <cellStyle name="Normal 9 2 5 2 5 2 2" xfId="49955" xr:uid="{00000000-0005-0000-0000-00007DC20000}"/>
    <cellStyle name="Normal 9 2 5 2 5 2 3" xfId="49956" xr:uid="{00000000-0005-0000-0000-00007EC20000}"/>
    <cellStyle name="Normal 9 2 5 2 5 3" xfId="49957" xr:uid="{00000000-0005-0000-0000-00007FC20000}"/>
    <cellStyle name="Normal 9 2 5 2 5 4" xfId="49958" xr:uid="{00000000-0005-0000-0000-000080C20000}"/>
    <cellStyle name="Normal 9 2 5 2 5 5" xfId="49959" xr:uid="{00000000-0005-0000-0000-000081C20000}"/>
    <cellStyle name="Normal 9 2 5 2 5 6" xfId="49960" xr:uid="{00000000-0005-0000-0000-000082C20000}"/>
    <cellStyle name="Normal 9 2 5 2 6" xfId="49961" xr:uid="{00000000-0005-0000-0000-000083C20000}"/>
    <cellStyle name="Normal 9 2 5 2 6 2" xfId="49962" xr:uid="{00000000-0005-0000-0000-000084C20000}"/>
    <cellStyle name="Normal 9 2 5 2 6 3" xfId="49963" xr:uid="{00000000-0005-0000-0000-000085C20000}"/>
    <cellStyle name="Normal 9 2 5 2 7" xfId="49964" xr:uid="{00000000-0005-0000-0000-000086C20000}"/>
    <cellStyle name="Normal 9 2 5 2 8" xfId="49965" xr:uid="{00000000-0005-0000-0000-000087C20000}"/>
    <cellStyle name="Normal 9 2 5 2 9" xfId="49966" xr:uid="{00000000-0005-0000-0000-000088C20000}"/>
    <cellStyle name="Normal 9 2 5 3" xfId="49967" xr:uid="{00000000-0005-0000-0000-000089C20000}"/>
    <cellStyle name="Normal 9 2 5 3 2" xfId="49968" xr:uid="{00000000-0005-0000-0000-00008AC20000}"/>
    <cellStyle name="Normal 9 2 5 3 2 2" xfId="49969" xr:uid="{00000000-0005-0000-0000-00008BC20000}"/>
    <cellStyle name="Normal 9 2 5 3 2 2 2" xfId="49970" xr:uid="{00000000-0005-0000-0000-00008CC20000}"/>
    <cellStyle name="Normal 9 2 5 3 2 2 2 2" xfId="49971" xr:uid="{00000000-0005-0000-0000-00008DC20000}"/>
    <cellStyle name="Normal 9 2 5 3 2 2 2 3" xfId="49972" xr:uid="{00000000-0005-0000-0000-00008EC20000}"/>
    <cellStyle name="Normal 9 2 5 3 2 2 3" xfId="49973" xr:uid="{00000000-0005-0000-0000-00008FC20000}"/>
    <cellStyle name="Normal 9 2 5 3 2 2 4" xfId="49974" xr:uid="{00000000-0005-0000-0000-000090C20000}"/>
    <cellStyle name="Normal 9 2 5 3 2 2 5" xfId="49975" xr:uid="{00000000-0005-0000-0000-000091C20000}"/>
    <cellStyle name="Normal 9 2 5 3 2 2 6" xfId="49976" xr:uid="{00000000-0005-0000-0000-000092C20000}"/>
    <cellStyle name="Normal 9 2 5 3 2 3" xfId="49977" xr:uid="{00000000-0005-0000-0000-000093C20000}"/>
    <cellStyle name="Normal 9 2 5 3 2 3 2" xfId="49978" xr:uid="{00000000-0005-0000-0000-000094C20000}"/>
    <cellStyle name="Normal 9 2 5 3 2 3 3" xfId="49979" xr:uid="{00000000-0005-0000-0000-000095C20000}"/>
    <cellStyle name="Normal 9 2 5 3 2 4" xfId="49980" xr:uid="{00000000-0005-0000-0000-000096C20000}"/>
    <cellStyle name="Normal 9 2 5 3 2 5" xfId="49981" xr:uid="{00000000-0005-0000-0000-000097C20000}"/>
    <cellStyle name="Normal 9 2 5 3 2 6" xfId="49982" xr:uid="{00000000-0005-0000-0000-000098C20000}"/>
    <cellStyle name="Normal 9 2 5 3 2 7" xfId="49983" xr:uid="{00000000-0005-0000-0000-000099C20000}"/>
    <cellStyle name="Normal 9 2 5 3 3" xfId="49984" xr:uid="{00000000-0005-0000-0000-00009AC20000}"/>
    <cellStyle name="Normal 9 2 5 3 3 2" xfId="49985" xr:uid="{00000000-0005-0000-0000-00009BC20000}"/>
    <cellStyle name="Normal 9 2 5 3 3 2 2" xfId="49986" xr:uid="{00000000-0005-0000-0000-00009CC20000}"/>
    <cellStyle name="Normal 9 2 5 3 3 2 3" xfId="49987" xr:uid="{00000000-0005-0000-0000-00009DC20000}"/>
    <cellStyle name="Normal 9 2 5 3 3 3" xfId="49988" xr:uid="{00000000-0005-0000-0000-00009EC20000}"/>
    <cellStyle name="Normal 9 2 5 3 3 4" xfId="49989" xr:uid="{00000000-0005-0000-0000-00009FC20000}"/>
    <cellStyle name="Normal 9 2 5 3 3 5" xfId="49990" xr:uid="{00000000-0005-0000-0000-0000A0C20000}"/>
    <cellStyle name="Normal 9 2 5 3 3 6" xfId="49991" xr:uid="{00000000-0005-0000-0000-0000A1C20000}"/>
    <cellStyle name="Normal 9 2 5 3 4" xfId="49992" xr:uid="{00000000-0005-0000-0000-0000A2C20000}"/>
    <cellStyle name="Normal 9 2 5 3 4 2" xfId="49993" xr:uid="{00000000-0005-0000-0000-0000A3C20000}"/>
    <cellStyle name="Normal 9 2 5 3 4 2 2" xfId="49994" xr:uid="{00000000-0005-0000-0000-0000A4C20000}"/>
    <cellStyle name="Normal 9 2 5 3 4 2 3" xfId="49995" xr:uid="{00000000-0005-0000-0000-0000A5C20000}"/>
    <cellStyle name="Normal 9 2 5 3 4 3" xfId="49996" xr:uid="{00000000-0005-0000-0000-0000A6C20000}"/>
    <cellStyle name="Normal 9 2 5 3 4 4" xfId="49997" xr:uid="{00000000-0005-0000-0000-0000A7C20000}"/>
    <cellStyle name="Normal 9 2 5 3 4 5" xfId="49998" xr:uid="{00000000-0005-0000-0000-0000A8C20000}"/>
    <cellStyle name="Normal 9 2 5 3 4 6" xfId="49999" xr:uid="{00000000-0005-0000-0000-0000A9C20000}"/>
    <cellStyle name="Normal 9 2 5 3 5" xfId="50000" xr:uid="{00000000-0005-0000-0000-0000AAC20000}"/>
    <cellStyle name="Normal 9 2 5 3 5 2" xfId="50001" xr:uid="{00000000-0005-0000-0000-0000ABC20000}"/>
    <cellStyle name="Normal 9 2 5 3 5 3" xfId="50002" xr:uid="{00000000-0005-0000-0000-0000ACC20000}"/>
    <cellStyle name="Normal 9 2 5 3 6" xfId="50003" xr:uid="{00000000-0005-0000-0000-0000ADC20000}"/>
    <cellStyle name="Normal 9 2 5 3 7" xfId="50004" xr:uid="{00000000-0005-0000-0000-0000AEC20000}"/>
    <cellStyle name="Normal 9 2 5 3 8" xfId="50005" xr:uid="{00000000-0005-0000-0000-0000AFC20000}"/>
    <cellStyle name="Normal 9 2 5 3 9" xfId="50006" xr:uid="{00000000-0005-0000-0000-0000B0C20000}"/>
    <cellStyle name="Normal 9 2 5 4" xfId="50007" xr:uid="{00000000-0005-0000-0000-0000B1C20000}"/>
    <cellStyle name="Normal 9 2 5 4 2" xfId="50008" xr:uid="{00000000-0005-0000-0000-0000B2C20000}"/>
    <cellStyle name="Normal 9 2 5 4 2 2" xfId="50009" xr:uid="{00000000-0005-0000-0000-0000B3C20000}"/>
    <cellStyle name="Normal 9 2 5 4 2 2 2" xfId="50010" xr:uid="{00000000-0005-0000-0000-0000B4C20000}"/>
    <cellStyle name="Normal 9 2 5 4 2 2 3" xfId="50011" xr:uid="{00000000-0005-0000-0000-0000B5C20000}"/>
    <cellStyle name="Normal 9 2 5 4 2 3" xfId="50012" xr:uid="{00000000-0005-0000-0000-0000B6C20000}"/>
    <cellStyle name="Normal 9 2 5 4 2 4" xfId="50013" xr:uid="{00000000-0005-0000-0000-0000B7C20000}"/>
    <cellStyle name="Normal 9 2 5 4 2 5" xfId="50014" xr:uid="{00000000-0005-0000-0000-0000B8C20000}"/>
    <cellStyle name="Normal 9 2 5 4 2 6" xfId="50015" xr:uid="{00000000-0005-0000-0000-0000B9C20000}"/>
    <cellStyle name="Normal 9 2 5 4 3" xfId="50016" xr:uid="{00000000-0005-0000-0000-0000BAC20000}"/>
    <cellStyle name="Normal 9 2 5 4 3 2" xfId="50017" xr:uid="{00000000-0005-0000-0000-0000BBC20000}"/>
    <cellStyle name="Normal 9 2 5 4 3 3" xfId="50018" xr:uid="{00000000-0005-0000-0000-0000BCC20000}"/>
    <cellStyle name="Normal 9 2 5 4 4" xfId="50019" xr:uid="{00000000-0005-0000-0000-0000BDC20000}"/>
    <cellStyle name="Normal 9 2 5 4 5" xfId="50020" xr:uid="{00000000-0005-0000-0000-0000BEC20000}"/>
    <cellStyle name="Normal 9 2 5 4 6" xfId="50021" xr:uid="{00000000-0005-0000-0000-0000BFC20000}"/>
    <cellStyle name="Normal 9 2 5 4 7" xfId="50022" xr:uid="{00000000-0005-0000-0000-0000C0C20000}"/>
    <cellStyle name="Normal 9 2 5 5" xfId="50023" xr:uid="{00000000-0005-0000-0000-0000C1C20000}"/>
    <cellStyle name="Normal 9 2 5 5 2" xfId="50024" xr:uid="{00000000-0005-0000-0000-0000C2C20000}"/>
    <cellStyle name="Normal 9 2 5 5 2 2" xfId="50025" xr:uid="{00000000-0005-0000-0000-0000C3C20000}"/>
    <cellStyle name="Normal 9 2 5 5 2 3" xfId="50026" xr:uid="{00000000-0005-0000-0000-0000C4C20000}"/>
    <cellStyle name="Normal 9 2 5 5 3" xfId="50027" xr:uid="{00000000-0005-0000-0000-0000C5C20000}"/>
    <cellStyle name="Normal 9 2 5 5 4" xfId="50028" xr:uid="{00000000-0005-0000-0000-0000C6C20000}"/>
    <cellStyle name="Normal 9 2 5 5 5" xfId="50029" xr:uid="{00000000-0005-0000-0000-0000C7C20000}"/>
    <cellStyle name="Normal 9 2 5 5 6" xfId="50030" xr:uid="{00000000-0005-0000-0000-0000C8C20000}"/>
    <cellStyle name="Normal 9 2 5 6" xfId="50031" xr:uid="{00000000-0005-0000-0000-0000C9C20000}"/>
    <cellStyle name="Normal 9 2 5 6 2" xfId="50032" xr:uid="{00000000-0005-0000-0000-0000CAC20000}"/>
    <cellStyle name="Normal 9 2 5 6 2 2" xfId="50033" xr:uid="{00000000-0005-0000-0000-0000CBC20000}"/>
    <cellStyle name="Normal 9 2 5 6 2 3" xfId="50034" xr:uid="{00000000-0005-0000-0000-0000CCC20000}"/>
    <cellStyle name="Normal 9 2 5 6 3" xfId="50035" xr:uid="{00000000-0005-0000-0000-0000CDC20000}"/>
    <cellStyle name="Normal 9 2 5 6 4" xfId="50036" xr:uid="{00000000-0005-0000-0000-0000CEC20000}"/>
    <cellStyle name="Normal 9 2 5 6 5" xfId="50037" xr:uid="{00000000-0005-0000-0000-0000CFC20000}"/>
    <cellStyle name="Normal 9 2 5 6 6" xfId="50038" xr:uid="{00000000-0005-0000-0000-0000D0C20000}"/>
    <cellStyle name="Normal 9 2 5 7" xfId="50039" xr:uid="{00000000-0005-0000-0000-0000D1C20000}"/>
    <cellStyle name="Normal 9 2 5 7 2" xfId="50040" xr:uid="{00000000-0005-0000-0000-0000D2C20000}"/>
    <cellStyle name="Normal 9 2 5 7 2 2" xfId="50041" xr:uid="{00000000-0005-0000-0000-0000D3C20000}"/>
    <cellStyle name="Normal 9 2 5 7 2 3" xfId="50042" xr:uid="{00000000-0005-0000-0000-0000D4C20000}"/>
    <cellStyle name="Normal 9 2 5 7 3" xfId="50043" xr:uid="{00000000-0005-0000-0000-0000D5C20000}"/>
    <cellStyle name="Normal 9 2 5 7 4" xfId="50044" xr:uid="{00000000-0005-0000-0000-0000D6C20000}"/>
    <cellStyle name="Normal 9 2 5 7 5" xfId="50045" xr:uid="{00000000-0005-0000-0000-0000D7C20000}"/>
    <cellStyle name="Normal 9 2 5 7 6" xfId="50046" xr:uid="{00000000-0005-0000-0000-0000D8C20000}"/>
    <cellStyle name="Normal 9 2 5 8" xfId="50047" xr:uid="{00000000-0005-0000-0000-0000D9C20000}"/>
    <cellStyle name="Normal 9 2 5 8 2" xfId="50048" xr:uid="{00000000-0005-0000-0000-0000DAC20000}"/>
    <cellStyle name="Normal 9 2 5 8 2 2" xfId="50049" xr:uid="{00000000-0005-0000-0000-0000DBC20000}"/>
    <cellStyle name="Normal 9 2 5 8 2 3" xfId="50050" xr:uid="{00000000-0005-0000-0000-0000DCC20000}"/>
    <cellStyle name="Normal 9 2 5 8 3" xfId="50051" xr:uid="{00000000-0005-0000-0000-0000DDC20000}"/>
    <cellStyle name="Normal 9 2 5 8 4" xfId="50052" xr:uid="{00000000-0005-0000-0000-0000DEC20000}"/>
    <cellStyle name="Normal 9 2 5 8 5" xfId="50053" xr:uid="{00000000-0005-0000-0000-0000DFC20000}"/>
    <cellStyle name="Normal 9 2 5 8 6" xfId="50054" xr:uid="{00000000-0005-0000-0000-0000E0C20000}"/>
    <cellStyle name="Normal 9 2 5 9" xfId="50055" xr:uid="{00000000-0005-0000-0000-0000E1C20000}"/>
    <cellStyle name="Normal 9 2 5 9 2" xfId="50056" xr:uid="{00000000-0005-0000-0000-0000E2C20000}"/>
    <cellStyle name="Normal 9 2 5 9 3" xfId="50057" xr:uid="{00000000-0005-0000-0000-0000E3C20000}"/>
    <cellStyle name="Normal 9 2 6" xfId="50058" xr:uid="{00000000-0005-0000-0000-0000E4C20000}"/>
    <cellStyle name="Normal 9 2 6 10" xfId="50059" xr:uid="{00000000-0005-0000-0000-0000E5C20000}"/>
    <cellStyle name="Normal 9 2 6 2" xfId="50060" xr:uid="{00000000-0005-0000-0000-0000E6C20000}"/>
    <cellStyle name="Normal 9 2 6 2 2" xfId="50061" xr:uid="{00000000-0005-0000-0000-0000E7C20000}"/>
    <cellStyle name="Normal 9 2 6 2 2 2" xfId="50062" xr:uid="{00000000-0005-0000-0000-0000E8C20000}"/>
    <cellStyle name="Normal 9 2 6 2 2 2 2" xfId="50063" xr:uid="{00000000-0005-0000-0000-0000E9C20000}"/>
    <cellStyle name="Normal 9 2 6 2 2 2 3" xfId="50064" xr:uid="{00000000-0005-0000-0000-0000EAC20000}"/>
    <cellStyle name="Normal 9 2 6 2 2 3" xfId="50065" xr:uid="{00000000-0005-0000-0000-0000EBC20000}"/>
    <cellStyle name="Normal 9 2 6 2 2 4" xfId="50066" xr:uid="{00000000-0005-0000-0000-0000ECC20000}"/>
    <cellStyle name="Normal 9 2 6 2 2 5" xfId="50067" xr:uid="{00000000-0005-0000-0000-0000EDC20000}"/>
    <cellStyle name="Normal 9 2 6 2 2 6" xfId="50068" xr:uid="{00000000-0005-0000-0000-0000EEC20000}"/>
    <cellStyle name="Normal 9 2 6 2 3" xfId="50069" xr:uid="{00000000-0005-0000-0000-0000EFC20000}"/>
    <cellStyle name="Normal 9 2 6 2 3 2" xfId="50070" xr:uid="{00000000-0005-0000-0000-0000F0C20000}"/>
    <cellStyle name="Normal 9 2 6 2 3 2 2" xfId="50071" xr:uid="{00000000-0005-0000-0000-0000F1C20000}"/>
    <cellStyle name="Normal 9 2 6 2 3 2 3" xfId="50072" xr:uid="{00000000-0005-0000-0000-0000F2C20000}"/>
    <cellStyle name="Normal 9 2 6 2 3 3" xfId="50073" xr:uid="{00000000-0005-0000-0000-0000F3C20000}"/>
    <cellStyle name="Normal 9 2 6 2 3 4" xfId="50074" xr:uid="{00000000-0005-0000-0000-0000F4C20000}"/>
    <cellStyle name="Normal 9 2 6 2 3 5" xfId="50075" xr:uid="{00000000-0005-0000-0000-0000F5C20000}"/>
    <cellStyle name="Normal 9 2 6 2 3 6" xfId="50076" xr:uid="{00000000-0005-0000-0000-0000F6C20000}"/>
    <cellStyle name="Normal 9 2 6 2 4" xfId="50077" xr:uid="{00000000-0005-0000-0000-0000F7C20000}"/>
    <cellStyle name="Normal 9 2 6 2 4 2" xfId="50078" xr:uid="{00000000-0005-0000-0000-0000F8C20000}"/>
    <cellStyle name="Normal 9 2 6 2 4 3" xfId="50079" xr:uid="{00000000-0005-0000-0000-0000F9C20000}"/>
    <cellStyle name="Normal 9 2 6 2 5" xfId="50080" xr:uid="{00000000-0005-0000-0000-0000FAC20000}"/>
    <cellStyle name="Normal 9 2 6 2 6" xfId="50081" xr:uid="{00000000-0005-0000-0000-0000FBC20000}"/>
    <cellStyle name="Normal 9 2 6 2 7" xfId="50082" xr:uid="{00000000-0005-0000-0000-0000FCC20000}"/>
    <cellStyle name="Normal 9 2 6 2 8" xfId="50083" xr:uid="{00000000-0005-0000-0000-0000FDC20000}"/>
    <cellStyle name="Normal 9 2 6 3" xfId="50084" xr:uid="{00000000-0005-0000-0000-0000FEC20000}"/>
    <cellStyle name="Normal 9 2 6 3 2" xfId="50085" xr:uid="{00000000-0005-0000-0000-0000FFC20000}"/>
    <cellStyle name="Normal 9 2 6 3 2 2" xfId="50086" xr:uid="{00000000-0005-0000-0000-000000C30000}"/>
    <cellStyle name="Normal 9 2 6 3 2 2 2" xfId="50087" xr:uid="{00000000-0005-0000-0000-000001C30000}"/>
    <cellStyle name="Normal 9 2 6 3 2 2 3" xfId="50088" xr:uid="{00000000-0005-0000-0000-000002C30000}"/>
    <cellStyle name="Normal 9 2 6 3 2 3" xfId="50089" xr:uid="{00000000-0005-0000-0000-000003C30000}"/>
    <cellStyle name="Normal 9 2 6 3 2 4" xfId="50090" xr:uid="{00000000-0005-0000-0000-000004C30000}"/>
    <cellStyle name="Normal 9 2 6 3 2 5" xfId="50091" xr:uid="{00000000-0005-0000-0000-000005C30000}"/>
    <cellStyle name="Normal 9 2 6 3 2 6" xfId="50092" xr:uid="{00000000-0005-0000-0000-000006C30000}"/>
    <cellStyle name="Normal 9 2 6 3 3" xfId="50093" xr:uid="{00000000-0005-0000-0000-000007C30000}"/>
    <cellStyle name="Normal 9 2 6 3 3 2" xfId="50094" xr:uid="{00000000-0005-0000-0000-000008C30000}"/>
    <cellStyle name="Normal 9 2 6 3 3 3" xfId="50095" xr:uid="{00000000-0005-0000-0000-000009C30000}"/>
    <cellStyle name="Normal 9 2 6 3 4" xfId="50096" xr:uid="{00000000-0005-0000-0000-00000AC30000}"/>
    <cellStyle name="Normal 9 2 6 3 5" xfId="50097" xr:uid="{00000000-0005-0000-0000-00000BC30000}"/>
    <cellStyle name="Normal 9 2 6 3 6" xfId="50098" xr:uid="{00000000-0005-0000-0000-00000CC30000}"/>
    <cellStyle name="Normal 9 2 6 3 7" xfId="50099" xr:uid="{00000000-0005-0000-0000-00000DC30000}"/>
    <cellStyle name="Normal 9 2 6 4" xfId="50100" xr:uid="{00000000-0005-0000-0000-00000EC30000}"/>
    <cellStyle name="Normal 9 2 6 4 2" xfId="50101" xr:uid="{00000000-0005-0000-0000-00000FC30000}"/>
    <cellStyle name="Normal 9 2 6 4 2 2" xfId="50102" xr:uid="{00000000-0005-0000-0000-000010C30000}"/>
    <cellStyle name="Normal 9 2 6 4 2 3" xfId="50103" xr:uid="{00000000-0005-0000-0000-000011C30000}"/>
    <cellStyle name="Normal 9 2 6 4 3" xfId="50104" xr:uid="{00000000-0005-0000-0000-000012C30000}"/>
    <cellStyle name="Normal 9 2 6 4 4" xfId="50105" xr:uid="{00000000-0005-0000-0000-000013C30000}"/>
    <cellStyle name="Normal 9 2 6 4 5" xfId="50106" xr:uid="{00000000-0005-0000-0000-000014C30000}"/>
    <cellStyle name="Normal 9 2 6 4 6" xfId="50107" xr:uid="{00000000-0005-0000-0000-000015C30000}"/>
    <cellStyle name="Normal 9 2 6 5" xfId="50108" xr:uid="{00000000-0005-0000-0000-000016C30000}"/>
    <cellStyle name="Normal 9 2 6 5 2" xfId="50109" xr:uid="{00000000-0005-0000-0000-000017C30000}"/>
    <cellStyle name="Normal 9 2 6 5 2 2" xfId="50110" xr:uid="{00000000-0005-0000-0000-000018C30000}"/>
    <cellStyle name="Normal 9 2 6 5 2 3" xfId="50111" xr:uid="{00000000-0005-0000-0000-000019C30000}"/>
    <cellStyle name="Normal 9 2 6 5 3" xfId="50112" xr:uid="{00000000-0005-0000-0000-00001AC30000}"/>
    <cellStyle name="Normal 9 2 6 5 4" xfId="50113" xr:uid="{00000000-0005-0000-0000-00001BC30000}"/>
    <cellStyle name="Normal 9 2 6 5 5" xfId="50114" xr:uid="{00000000-0005-0000-0000-00001CC30000}"/>
    <cellStyle name="Normal 9 2 6 5 6" xfId="50115" xr:uid="{00000000-0005-0000-0000-00001DC30000}"/>
    <cellStyle name="Normal 9 2 6 6" xfId="50116" xr:uid="{00000000-0005-0000-0000-00001EC30000}"/>
    <cellStyle name="Normal 9 2 6 6 2" xfId="50117" xr:uid="{00000000-0005-0000-0000-00001FC30000}"/>
    <cellStyle name="Normal 9 2 6 6 3" xfId="50118" xr:uid="{00000000-0005-0000-0000-000020C30000}"/>
    <cellStyle name="Normal 9 2 6 7" xfId="50119" xr:uid="{00000000-0005-0000-0000-000021C30000}"/>
    <cellStyle name="Normal 9 2 6 8" xfId="50120" xr:uid="{00000000-0005-0000-0000-000022C30000}"/>
    <cellStyle name="Normal 9 2 6 9" xfId="50121" xr:uid="{00000000-0005-0000-0000-000023C30000}"/>
    <cellStyle name="Normal 9 2 7" xfId="50122" xr:uid="{00000000-0005-0000-0000-000024C30000}"/>
    <cellStyle name="Normal 9 2 7 2" xfId="50123" xr:uid="{00000000-0005-0000-0000-000025C30000}"/>
    <cellStyle name="Normal 9 2 7 2 2" xfId="50124" xr:uid="{00000000-0005-0000-0000-000026C30000}"/>
    <cellStyle name="Normal 9 2 7 2 2 2" xfId="50125" xr:uid="{00000000-0005-0000-0000-000027C30000}"/>
    <cellStyle name="Normal 9 2 7 2 2 2 2" xfId="50126" xr:uid="{00000000-0005-0000-0000-000028C30000}"/>
    <cellStyle name="Normal 9 2 7 2 2 2 3" xfId="50127" xr:uid="{00000000-0005-0000-0000-000029C30000}"/>
    <cellStyle name="Normal 9 2 7 2 2 3" xfId="50128" xr:uid="{00000000-0005-0000-0000-00002AC30000}"/>
    <cellStyle name="Normal 9 2 7 2 2 4" xfId="50129" xr:uid="{00000000-0005-0000-0000-00002BC30000}"/>
    <cellStyle name="Normal 9 2 7 2 2 5" xfId="50130" xr:uid="{00000000-0005-0000-0000-00002CC30000}"/>
    <cellStyle name="Normal 9 2 7 2 2 6" xfId="50131" xr:uid="{00000000-0005-0000-0000-00002DC30000}"/>
    <cellStyle name="Normal 9 2 7 2 3" xfId="50132" xr:uid="{00000000-0005-0000-0000-00002EC30000}"/>
    <cellStyle name="Normal 9 2 7 2 3 2" xfId="50133" xr:uid="{00000000-0005-0000-0000-00002FC30000}"/>
    <cellStyle name="Normal 9 2 7 2 3 3" xfId="50134" xr:uid="{00000000-0005-0000-0000-000030C30000}"/>
    <cellStyle name="Normal 9 2 7 2 4" xfId="50135" xr:uid="{00000000-0005-0000-0000-000031C30000}"/>
    <cellStyle name="Normal 9 2 7 2 5" xfId="50136" xr:uid="{00000000-0005-0000-0000-000032C30000}"/>
    <cellStyle name="Normal 9 2 7 2 6" xfId="50137" xr:uid="{00000000-0005-0000-0000-000033C30000}"/>
    <cellStyle name="Normal 9 2 7 2 7" xfId="50138" xr:uid="{00000000-0005-0000-0000-000034C30000}"/>
    <cellStyle name="Normal 9 2 7 3" xfId="50139" xr:uid="{00000000-0005-0000-0000-000035C30000}"/>
    <cellStyle name="Normal 9 2 7 3 2" xfId="50140" xr:uid="{00000000-0005-0000-0000-000036C30000}"/>
    <cellStyle name="Normal 9 2 7 3 2 2" xfId="50141" xr:uid="{00000000-0005-0000-0000-000037C30000}"/>
    <cellStyle name="Normal 9 2 7 3 2 3" xfId="50142" xr:uid="{00000000-0005-0000-0000-000038C30000}"/>
    <cellStyle name="Normal 9 2 7 3 3" xfId="50143" xr:uid="{00000000-0005-0000-0000-000039C30000}"/>
    <cellStyle name="Normal 9 2 7 3 4" xfId="50144" xr:uid="{00000000-0005-0000-0000-00003AC30000}"/>
    <cellStyle name="Normal 9 2 7 3 5" xfId="50145" xr:uid="{00000000-0005-0000-0000-00003BC30000}"/>
    <cellStyle name="Normal 9 2 7 3 6" xfId="50146" xr:uid="{00000000-0005-0000-0000-00003CC30000}"/>
    <cellStyle name="Normal 9 2 7 4" xfId="50147" xr:uid="{00000000-0005-0000-0000-00003DC30000}"/>
    <cellStyle name="Normal 9 2 7 4 2" xfId="50148" xr:uid="{00000000-0005-0000-0000-00003EC30000}"/>
    <cellStyle name="Normal 9 2 7 4 2 2" xfId="50149" xr:uid="{00000000-0005-0000-0000-00003FC30000}"/>
    <cellStyle name="Normal 9 2 7 4 2 3" xfId="50150" xr:uid="{00000000-0005-0000-0000-000040C30000}"/>
    <cellStyle name="Normal 9 2 7 4 3" xfId="50151" xr:uid="{00000000-0005-0000-0000-000041C30000}"/>
    <cellStyle name="Normal 9 2 7 4 4" xfId="50152" xr:uid="{00000000-0005-0000-0000-000042C30000}"/>
    <cellStyle name="Normal 9 2 7 4 5" xfId="50153" xr:uid="{00000000-0005-0000-0000-000043C30000}"/>
    <cellStyle name="Normal 9 2 7 4 6" xfId="50154" xr:uid="{00000000-0005-0000-0000-000044C30000}"/>
    <cellStyle name="Normal 9 2 7 5" xfId="50155" xr:uid="{00000000-0005-0000-0000-000045C30000}"/>
    <cellStyle name="Normal 9 2 7 5 2" xfId="50156" xr:uid="{00000000-0005-0000-0000-000046C30000}"/>
    <cellStyle name="Normal 9 2 7 5 3" xfId="50157" xr:uid="{00000000-0005-0000-0000-000047C30000}"/>
    <cellStyle name="Normal 9 2 7 6" xfId="50158" xr:uid="{00000000-0005-0000-0000-000048C30000}"/>
    <cellStyle name="Normal 9 2 7 7" xfId="50159" xr:uid="{00000000-0005-0000-0000-000049C30000}"/>
    <cellStyle name="Normal 9 2 7 8" xfId="50160" xr:uid="{00000000-0005-0000-0000-00004AC30000}"/>
    <cellStyle name="Normal 9 2 7 9" xfId="50161" xr:uid="{00000000-0005-0000-0000-00004BC30000}"/>
    <cellStyle name="Normal 9 2 8" xfId="50162" xr:uid="{00000000-0005-0000-0000-00004CC30000}"/>
    <cellStyle name="Normal 9 2 8 2" xfId="50163" xr:uid="{00000000-0005-0000-0000-00004DC30000}"/>
    <cellStyle name="Normal 9 2 8 2 2" xfId="50164" xr:uid="{00000000-0005-0000-0000-00004EC30000}"/>
    <cellStyle name="Normal 9 2 8 2 2 2" xfId="50165" xr:uid="{00000000-0005-0000-0000-00004FC30000}"/>
    <cellStyle name="Normal 9 2 8 2 2 3" xfId="50166" xr:uid="{00000000-0005-0000-0000-000050C30000}"/>
    <cellStyle name="Normal 9 2 8 2 3" xfId="50167" xr:uid="{00000000-0005-0000-0000-000051C30000}"/>
    <cellStyle name="Normal 9 2 8 2 4" xfId="50168" xr:uid="{00000000-0005-0000-0000-000052C30000}"/>
    <cellStyle name="Normal 9 2 8 2 5" xfId="50169" xr:uid="{00000000-0005-0000-0000-000053C30000}"/>
    <cellStyle name="Normal 9 2 8 2 6" xfId="50170" xr:uid="{00000000-0005-0000-0000-000054C30000}"/>
    <cellStyle name="Normal 9 2 8 3" xfId="50171" xr:uid="{00000000-0005-0000-0000-000055C30000}"/>
    <cellStyle name="Normal 9 2 8 3 2" xfId="50172" xr:uid="{00000000-0005-0000-0000-000056C30000}"/>
    <cellStyle name="Normal 9 2 8 3 3" xfId="50173" xr:uid="{00000000-0005-0000-0000-000057C30000}"/>
    <cellStyle name="Normal 9 2 8 4" xfId="50174" xr:uid="{00000000-0005-0000-0000-000058C30000}"/>
    <cellStyle name="Normal 9 2 8 5" xfId="50175" xr:uid="{00000000-0005-0000-0000-000059C30000}"/>
    <cellStyle name="Normal 9 2 8 6" xfId="50176" xr:uid="{00000000-0005-0000-0000-00005AC30000}"/>
    <cellStyle name="Normal 9 2 8 7" xfId="50177" xr:uid="{00000000-0005-0000-0000-00005BC30000}"/>
    <cellStyle name="Normal 9 2 9" xfId="50178" xr:uid="{00000000-0005-0000-0000-00005CC30000}"/>
    <cellStyle name="Normal 9 2 9 2" xfId="50179" xr:uid="{00000000-0005-0000-0000-00005DC30000}"/>
    <cellStyle name="Normal 9 2 9 2 2" xfId="50180" xr:uid="{00000000-0005-0000-0000-00005EC30000}"/>
    <cellStyle name="Normal 9 2 9 2 3" xfId="50181" xr:uid="{00000000-0005-0000-0000-00005FC30000}"/>
    <cellStyle name="Normal 9 2 9 3" xfId="50182" xr:uid="{00000000-0005-0000-0000-000060C30000}"/>
    <cellStyle name="Normal 9 2 9 4" xfId="50183" xr:uid="{00000000-0005-0000-0000-000061C30000}"/>
    <cellStyle name="Normal 9 2 9 5" xfId="50184" xr:uid="{00000000-0005-0000-0000-000062C30000}"/>
    <cellStyle name="Normal 9 2 9 6" xfId="50185" xr:uid="{00000000-0005-0000-0000-000063C30000}"/>
    <cellStyle name="Normal 9 3" xfId="50186" xr:uid="{00000000-0005-0000-0000-000064C30000}"/>
    <cellStyle name="Normal 9 3 10" xfId="50187" xr:uid="{00000000-0005-0000-0000-000065C30000}"/>
    <cellStyle name="Normal 9 3 10 2" xfId="50188" xr:uid="{00000000-0005-0000-0000-000066C30000}"/>
    <cellStyle name="Normal 9 3 10 2 2" xfId="50189" xr:uid="{00000000-0005-0000-0000-000067C30000}"/>
    <cellStyle name="Normal 9 3 10 2 3" xfId="50190" xr:uid="{00000000-0005-0000-0000-000068C30000}"/>
    <cellStyle name="Normal 9 3 10 3" xfId="50191" xr:uid="{00000000-0005-0000-0000-000069C30000}"/>
    <cellStyle name="Normal 9 3 10 4" xfId="50192" xr:uid="{00000000-0005-0000-0000-00006AC30000}"/>
    <cellStyle name="Normal 9 3 10 5" xfId="50193" xr:uid="{00000000-0005-0000-0000-00006BC30000}"/>
    <cellStyle name="Normal 9 3 10 6" xfId="50194" xr:uid="{00000000-0005-0000-0000-00006CC30000}"/>
    <cellStyle name="Normal 9 3 11" xfId="50195" xr:uid="{00000000-0005-0000-0000-00006DC30000}"/>
    <cellStyle name="Normal 9 3 11 2" xfId="50196" xr:uid="{00000000-0005-0000-0000-00006EC30000}"/>
    <cellStyle name="Normal 9 3 11 2 2" xfId="50197" xr:uid="{00000000-0005-0000-0000-00006FC30000}"/>
    <cellStyle name="Normal 9 3 11 2 3" xfId="50198" xr:uid="{00000000-0005-0000-0000-000070C30000}"/>
    <cellStyle name="Normal 9 3 11 3" xfId="50199" xr:uid="{00000000-0005-0000-0000-000071C30000}"/>
    <cellStyle name="Normal 9 3 11 4" xfId="50200" xr:uid="{00000000-0005-0000-0000-000072C30000}"/>
    <cellStyle name="Normal 9 3 11 5" xfId="50201" xr:uid="{00000000-0005-0000-0000-000073C30000}"/>
    <cellStyle name="Normal 9 3 11 6" xfId="50202" xr:uid="{00000000-0005-0000-0000-000074C30000}"/>
    <cellStyle name="Normal 9 3 12" xfId="50203" xr:uid="{00000000-0005-0000-0000-000075C30000}"/>
    <cellStyle name="Normal 9 3 12 2" xfId="50204" xr:uid="{00000000-0005-0000-0000-000076C30000}"/>
    <cellStyle name="Normal 9 3 12 3" xfId="50205" xr:uid="{00000000-0005-0000-0000-000077C30000}"/>
    <cellStyle name="Normal 9 3 13" xfId="50206" xr:uid="{00000000-0005-0000-0000-000078C30000}"/>
    <cellStyle name="Normal 9 3 14" xfId="50207" xr:uid="{00000000-0005-0000-0000-000079C30000}"/>
    <cellStyle name="Normal 9 3 15" xfId="50208" xr:uid="{00000000-0005-0000-0000-00007AC30000}"/>
    <cellStyle name="Normal 9 3 16" xfId="50209" xr:uid="{00000000-0005-0000-0000-00007BC30000}"/>
    <cellStyle name="Normal 9 3 2" xfId="50210" xr:uid="{00000000-0005-0000-0000-00007CC30000}"/>
    <cellStyle name="Normal 9 3 2 10" xfId="50211" xr:uid="{00000000-0005-0000-0000-00007DC30000}"/>
    <cellStyle name="Normal 9 3 2 10 2" xfId="50212" xr:uid="{00000000-0005-0000-0000-00007EC30000}"/>
    <cellStyle name="Normal 9 3 2 10 3" xfId="50213" xr:uid="{00000000-0005-0000-0000-00007FC30000}"/>
    <cellStyle name="Normal 9 3 2 11" xfId="50214" xr:uid="{00000000-0005-0000-0000-000080C30000}"/>
    <cellStyle name="Normal 9 3 2 12" xfId="50215" xr:uid="{00000000-0005-0000-0000-000081C30000}"/>
    <cellStyle name="Normal 9 3 2 13" xfId="50216" xr:uid="{00000000-0005-0000-0000-000082C30000}"/>
    <cellStyle name="Normal 9 3 2 14" xfId="50217" xr:uid="{00000000-0005-0000-0000-000083C30000}"/>
    <cellStyle name="Normal 9 3 2 2" xfId="50218" xr:uid="{00000000-0005-0000-0000-000084C30000}"/>
    <cellStyle name="Normal 9 3 2 2 10" xfId="50219" xr:uid="{00000000-0005-0000-0000-000085C30000}"/>
    <cellStyle name="Normal 9 3 2 2 11" xfId="50220" xr:uid="{00000000-0005-0000-0000-000086C30000}"/>
    <cellStyle name="Normal 9 3 2 2 12" xfId="50221" xr:uid="{00000000-0005-0000-0000-000087C30000}"/>
    <cellStyle name="Normal 9 3 2 2 13" xfId="50222" xr:uid="{00000000-0005-0000-0000-000088C30000}"/>
    <cellStyle name="Normal 9 3 2 2 2" xfId="50223" xr:uid="{00000000-0005-0000-0000-000089C30000}"/>
    <cellStyle name="Normal 9 3 2 2 2 10" xfId="50224" xr:uid="{00000000-0005-0000-0000-00008AC30000}"/>
    <cellStyle name="Normal 9 3 2 2 2 2" xfId="50225" xr:uid="{00000000-0005-0000-0000-00008BC30000}"/>
    <cellStyle name="Normal 9 3 2 2 2 2 2" xfId="50226" xr:uid="{00000000-0005-0000-0000-00008CC30000}"/>
    <cellStyle name="Normal 9 3 2 2 2 2 2 2" xfId="50227" xr:uid="{00000000-0005-0000-0000-00008DC30000}"/>
    <cellStyle name="Normal 9 3 2 2 2 2 2 2 2" xfId="50228" xr:uid="{00000000-0005-0000-0000-00008EC30000}"/>
    <cellStyle name="Normal 9 3 2 2 2 2 2 2 3" xfId="50229" xr:uid="{00000000-0005-0000-0000-00008FC30000}"/>
    <cellStyle name="Normal 9 3 2 2 2 2 2 3" xfId="50230" xr:uid="{00000000-0005-0000-0000-000090C30000}"/>
    <cellStyle name="Normal 9 3 2 2 2 2 2 4" xfId="50231" xr:uid="{00000000-0005-0000-0000-000091C30000}"/>
    <cellStyle name="Normal 9 3 2 2 2 2 2 5" xfId="50232" xr:uid="{00000000-0005-0000-0000-000092C30000}"/>
    <cellStyle name="Normal 9 3 2 2 2 2 2 6" xfId="50233" xr:uid="{00000000-0005-0000-0000-000093C30000}"/>
    <cellStyle name="Normal 9 3 2 2 2 2 3" xfId="50234" xr:uid="{00000000-0005-0000-0000-000094C30000}"/>
    <cellStyle name="Normal 9 3 2 2 2 2 3 2" xfId="50235" xr:uid="{00000000-0005-0000-0000-000095C30000}"/>
    <cellStyle name="Normal 9 3 2 2 2 2 3 2 2" xfId="50236" xr:uid="{00000000-0005-0000-0000-000096C30000}"/>
    <cellStyle name="Normal 9 3 2 2 2 2 3 2 3" xfId="50237" xr:uid="{00000000-0005-0000-0000-000097C30000}"/>
    <cellStyle name="Normal 9 3 2 2 2 2 3 3" xfId="50238" xr:uid="{00000000-0005-0000-0000-000098C30000}"/>
    <cellStyle name="Normal 9 3 2 2 2 2 3 4" xfId="50239" xr:uid="{00000000-0005-0000-0000-000099C30000}"/>
    <cellStyle name="Normal 9 3 2 2 2 2 3 5" xfId="50240" xr:uid="{00000000-0005-0000-0000-00009AC30000}"/>
    <cellStyle name="Normal 9 3 2 2 2 2 3 6" xfId="50241" xr:uid="{00000000-0005-0000-0000-00009BC30000}"/>
    <cellStyle name="Normal 9 3 2 2 2 2 4" xfId="50242" xr:uid="{00000000-0005-0000-0000-00009CC30000}"/>
    <cellStyle name="Normal 9 3 2 2 2 2 4 2" xfId="50243" xr:uid="{00000000-0005-0000-0000-00009DC30000}"/>
    <cellStyle name="Normal 9 3 2 2 2 2 4 3" xfId="50244" xr:uid="{00000000-0005-0000-0000-00009EC30000}"/>
    <cellStyle name="Normal 9 3 2 2 2 2 5" xfId="50245" xr:uid="{00000000-0005-0000-0000-00009FC30000}"/>
    <cellStyle name="Normal 9 3 2 2 2 2 6" xfId="50246" xr:uid="{00000000-0005-0000-0000-0000A0C30000}"/>
    <cellStyle name="Normal 9 3 2 2 2 2 7" xfId="50247" xr:uid="{00000000-0005-0000-0000-0000A1C30000}"/>
    <cellStyle name="Normal 9 3 2 2 2 2 8" xfId="50248" xr:uid="{00000000-0005-0000-0000-0000A2C30000}"/>
    <cellStyle name="Normal 9 3 2 2 2 3" xfId="50249" xr:uid="{00000000-0005-0000-0000-0000A3C30000}"/>
    <cellStyle name="Normal 9 3 2 2 2 3 2" xfId="50250" xr:uid="{00000000-0005-0000-0000-0000A4C30000}"/>
    <cellStyle name="Normal 9 3 2 2 2 3 2 2" xfId="50251" xr:uid="{00000000-0005-0000-0000-0000A5C30000}"/>
    <cellStyle name="Normal 9 3 2 2 2 3 2 2 2" xfId="50252" xr:uid="{00000000-0005-0000-0000-0000A6C30000}"/>
    <cellStyle name="Normal 9 3 2 2 2 3 2 2 3" xfId="50253" xr:uid="{00000000-0005-0000-0000-0000A7C30000}"/>
    <cellStyle name="Normal 9 3 2 2 2 3 2 3" xfId="50254" xr:uid="{00000000-0005-0000-0000-0000A8C30000}"/>
    <cellStyle name="Normal 9 3 2 2 2 3 2 4" xfId="50255" xr:uid="{00000000-0005-0000-0000-0000A9C30000}"/>
    <cellStyle name="Normal 9 3 2 2 2 3 2 5" xfId="50256" xr:uid="{00000000-0005-0000-0000-0000AAC30000}"/>
    <cellStyle name="Normal 9 3 2 2 2 3 2 6" xfId="50257" xr:uid="{00000000-0005-0000-0000-0000ABC30000}"/>
    <cellStyle name="Normal 9 3 2 2 2 3 3" xfId="50258" xr:uid="{00000000-0005-0000-0000-0000ACC30000}"/>
    <cellStyle name="Normal 9 3 2 2 2 3 3 2" xfId="50259" xr:uid="{00000000-0005-0000-0000-0000ADC30000}"/>
    <cellStyle name="Normal 9 3 2 2 2 3 3 3" xfId="50260" xr:uid="{00000000-0005-0000-0000-0000AEC30000}"/>
    <cellStyle name="Normal 9 3 2 2 2 3 4" xfId="50261" xr:uid="{00000000-0005-0000-0000-0000AFC30000}"/>
    <cellStyle name="Normal 9 3 2 2 2 3 5" xfId="50262" xr:uid="{00000000-0005-0000-0000-0000B0C30000}"/>
    <cellStyle name="Normal 9 3 2 2 2 3 6" xfId="50263" xr:uid="{00000000-0005-0000-0000-0000B1C30000}"/>
    <cellStyle name="Normal 9 3 2 2 2 3 7" xfId="50264" xr:uid="{00000000-0005-0000-0000-0000B2C30000}"/>
    <cellStyle name="Normal 9 3 2 2 2 4" xfId="50265" xr:uid="{00000000-0005-0000-0000-0000B3C30000}"/>
    <cellStyle name="Normal 9 3 2 2 2 4 2" xfId="50266" xr:uid="{00000000-0005-0000-0000-0000B4C30000}"/>
    <cellStyle name="Normal 9 3 2 2 2 4 2 2" xfId="50267" xr:uid="{00000000-0005-0000-0000-0000B5C30000}"/>
    <cellStyle name="Normal 9 3 2 2 2 4 2 3" xfId="50268" xr:uid="{00000000-0005-0000-0000-0000B6C30000}"/>
    <cellStyle name="Normal 9 3 2 2 2 4 3" xfId="50269" xr:uid="{00000000-0005-0000-0000-0000B7C30000}"/>
    <cellStyle name="Normal 9 3 2 2 2 4 4" xfId="50270" xr:uid="{00000000-0005-0000-0000-0000B8C30000}"/>
    <cellStyle name="Normal 9 3 2 2 2 4 5" xfId="50271" xr:uid="{00000000-0005-0000-0000-0000B9C30000}"/>
    <cellStyle name="Normal 9 3 2 2 2 4 6" xfId="50272" xr:uid="{00000000-0005-0000-0000-0000BAC30000}"/>
    <cellStyle name="Normal 9 3 2 2 2 5" xfId="50273" xr:uid="{00000000-0005-0000-0000-0000BBC30000}"/>
    <cellStyle name="Normal 9 3 2 2 2 5 2" xfId="50274" xr:uid="{00000000-0005-0000-0000-0000BCC30000}"/>
    <cellStyle name="Normal 9 3 2 2 2 5 2 2" xfId="50275" xr:uid="{00000000-0005-0000-0000-0000BDC30000}"/>
    <cellStyle name="Normal 9 3 2 2 2 5 2 3" xfId="50276" xr:uid="{00000000-0005-0000-0000-0000BEC30000}"/>
    <cellStyle name="Normal 9 3 2 2 2 5 3" xfId="50277" xr:uid="{00000000-0005-0000-0000-0000BFC30000}"/>
    <cellStyle name="Normal 9 3 2 2 2 5 4" xfId="50278" xr:uid="{00000000-0005-0000-0000-0000C0C30000}"/>
    <cellStyle name="Normal 9 3 2 2 2 5 5" xfId="50279" xr:uid="{00000000-0005-0000-0000-0000C1C30000}"/>
    <cellStyle name="Normal 9 3 2 2 2 5 6" xfId="50280" xr:uid="{00000000-0005-0000-0000-0000C2C30000}"/>
    <cellStyle name="Normal 9 3 2 2 2 6" xfId="50281" xr:uid="{00000000-0005-0000-0000-0000C3C30000}"/>
    <cellStyle name="Normal 9 3 2 2 2 6 2" xfId="50282" xr:uid="{00000000-0005-0000-0000-0000C4C30000}"/>
    <cellStyle name="Normal 9 3 2 2 2 6 3" xfId="50283" xr:uid="{00000000-0005-0000-0000-0000C5C30000}"/>
    <cellStyle name="Normal 9 3 2 2 2 7" xfId="50284" xr:uid="{00000000-0005-0000-0000-0000C6C30000}"/>
    <cellStyle name="Normal 9 3 2 2 2 8" xfId="50285" xr:uid="{00000000-0005-0000-0000-0000C7C30000}"/>
    <cellStyle name="Normal 9 3 2 2 2 9" xfId="50286" xr:uid="{00000000-0005-0000-0000-0000C8C30000}"/>
    <cellStyle name="Normal 9 3 2 2 3" xfId="50287" xr:uid="{00000000-0005-0000-0000-0000C9C30000}"/>
    <cellStyle name="Normal 9 3 2 2 3 2" xfId="50288" xr:uid="{00000000-0005-0000-0000-0000CAC30000}"/>
    <cellStyle name="Normal 9 3 2 2 3 2 2" xfId="50289" xr:uid="{00000000-0005-0000-0000-0000CBC30000}"/>
    <cellStyle name="Normal 9 3 2 2 3 2 2 2" xfId="50290" xr:uid="{00000000-0005-0000-0000-0000CCC30000}"/>
    <cellStyle name="Normal 9 3 2 2 3 2 2 2 2" xfId="50291" xr:uid="{00000000-0005-0000-0000-0000CDC30000}"/>
    <cellStyle name="Normal 9 3 2 2 3 2 2 2 3" xfId="50292" xr:uid="{00000000-0005-0000-0000-0000CEC30000}"/>
    <cellStyle name="Normal 9 3 2 2 3 2 2 3" xfId="50293" xr:uid="{00000000-0005-0000-0000-0000CFC30000}"/>
    <cellStyle name="Normal 9 3 2 2 3 2 2 4" xfId="50294" xr:uid="{00000000-0005-0000-0000-0000D0C30000}"/>
    <cellStyle name="Normal 9 3 2 2 3 2 2 5" xfId="50295" xr:uid="{00000000-0005-0000-0000-0000D1C30000}"/>
    <cellStyle name="Normal 9 3 2 2 3 2 2 6" xfId="50296" xr:uid="{00000000-0005-0000-0000-0000D2C30000}"/>
    <cellStyle name="Normal 9 3 2 2 3 2 3" xfId="50297" xr:uid="{00000000-0005-0000-0000-0000D3C30000}"/>
    <cellStyle name="Normal 9 3 2 2 3 2 3 2" xfId="50298" xr:uid="{00000000-0005-0000-0000-0000D4C30000}"/>
    <cellStyle name="Normal 9 3 2 2 3 2 3 3" xfId="50299" xr:uid="{00000000-0005-0000-0000-0000D5C30000}"/>
    <cellStyle name="Normal 9 3 2 2 3 2 4" xfId="50300" xr:uid="{00000000-0005-0000-0000-0000D6C30000}"/>
    <cellStyle name="Normal 9 3 2 2 3 2 5" xfId="50301" xr:uid="{00000000-0005-0000-0000-0000D7C30000}"/>
    <cellStyle name="Normal 9 3 2 2 3 2 6" xfId="50302" xr:uid="{00000000-0005-0000-0000-0000D8C30000}"/>
    <cellStyle name="Normal 9 3 2 2 3 2 7" xfId="50303" xr:uid="{00000000-0005-0000-0000-0000D9C30000}"/>
    <cellStyle name="Normal 9 3 2 2 3 3" xfId="50304" xr:uid="{00000000-0005-0000-0000-0000DAC30000}"/>
    <cellStyle name="Normal 9 3 2 2 3 3 2" xfId="50305" xr:uid="{00000000-0005-0000-0000-0000DBC30000}"/>
    <cellStyle name="Normal 9 3 2 2 3 3 2 2" xfId="50306" xr:uid="{00000000-0005-0000-0000-0000DCC30000}"/>
    <cellStyle name="Normal 9 3 2 2 3 3 2 3" xfId="50307" xr:uid="{00000000-0005-0000-0000-0000DDC30000}"/>
    <cellStyle name="Normal 9 3 2 2 3 3 3" xfId="50308" xr:uid="{00000000-0005-0000-0000-0000DEC30000}"/>
    <cellStyle name="Normal 9 3 2 2 3 3 4" xfId="50309" xr:uid="{00000000-0005-0000-0000-0000DFC30000}"/>
    <cellStyle name="Normal 9 3 2 2 3 3 5" xfId="50310" xr:uid="{00000000-0005-0000-0000-0000E0C30000}"/>
    <cellStyle name="Normal 9 3 2 2 3 3 6" xfId="50311" xr:uid="{00000000-0005-0000-0000-0000E1C30000}"/>
    <cellStyle name="Normal 9 3 2 2 3 4" xfId="50312" xr:uid="{00000000-0005-0000-0000-0000E2C30000}"/>
    <cellStyle name="Normal 9 3 2 2 3 4 2" xfId="50313" xr:uid="{00000000-0005-0000-0000-0000E3C30000}"/>
    <cellStyle name="Normal 9 3 2 2 3 4 2 2" xfId="50314" xr:uid="{00000000-0005-0000-0000-0000E4C30000}"/>
    <cellStyle name="Normal 9 3 2 2 3 4 2 3" xfId="50315" xr:uid="{00000000-0005-0000-0000-0000E5C30000}"/>
    <cellStyle name="Normal 9 3 2 2 3 4 3" xfId="50316" xr:uid="{00000000-0005-0000-0000-0000E6C30000}"/>
    <cellStyle name="Normal 9 3 2 2 3 4 4" xfId="50317" xr:uid="{00000000-0005-0000-0000-0000E7C30000}"/>
    <cellStyle name="Normal 9 3 2 2 3 4 5" xfId="50318" xr:uid="{00000000-0005-0000-0000-0000E8C30000}"/>
    <cellStyle name="Normal 9 3 2 2 3 4 6" xfId="50319" xr:uid="{00000000-0005-0000-0000-0000E9C30000}"/>
    <cellStyle name="Normal 9 3 2 2 3 5" xfId="50320" xr:uid="{00000000-0005-0000-0000-0000EAC30000}"/>
    <cellStyle name="Normal 9 3 2 2 3 5 2" xfId="50321" xr:uid="{00000000-0005-0000-0000-0000EBC30000}"/>
    <cellStyle name="Normal 9 3 2 2 3 5 3" xfId="50322" xr:uid="{00000000-0005-0000-0000-0000ECC30000}"/>
    <cellStyle name="Normal 9 3 2 2 3 6" xfId="50323" xr:uid="{00000000-0005-0000-0000-0000EDC30000}"/>
    <cellStyle name="Normal 9 3 2 2 3 7" xfId="50324" xr:uid="{00000000-0005-0000-0000-0000EEC30000}"/>
    <cellStyle name="Normal 9 3 2 2 3 8" xfId="50325" xr:uid="{00000000-0005-0000-0000-0000EFC30000}"/>
    <cellStyle name="Normal 9 3 2 2 3 9" xfId="50326" xr:uid="{00000000-0005-0000-0000-0000F0C30000}"/>
    <cellStyle name="Normal 9 3 2 2 4" xfId="50327" xr:uid="{00000000-0005-0000-0000-0000F1C30000}"/>
    <cellStyle name="Normal 9 3 2 2 4 2" xfId="50328" xr:uid="{00000000-0005-0000-0000-0000F2C30000}"/>
    <cellStyle name="Normal 9 3 2 2 4 2 2" xfId="50329" xr:uid="{00000000-0005-0000-0000-0000F3C30000}"/>
    <cellStyle name="Normal 9 3 2 2 4 2 2 2" xfId="50330" xr:uid="{00000000-0005-0000-0000-0000F4C30000}"/>
    <cellStyle name="Normal 9 3 2 2 4 2 2 3" xfId="50331" xr:uid="{00000000-0005-0000-0000-0000F5C30000}"/>
    <cellStyle name="Normal 9 3 2 2 4 2 3" xfId="50332" xr:uid="{00000000-0005-0000-0000-0000F6C30000}"/>
    <cellStyle name="Normal 9 3 2 2 4 2 4" xfId="50333" xr:uid="{00000000-0005-0000-0000-0000F7C30000}"/>
    <cellStyle name="Normal 9 3 2 2 4 2 5" xfId="50334" xr:uid="{00000000-0005-0000-0000-0000F8C30000}"/>
    <cellStyle name="Normal 9 3 2 2 4 2 6" xfId="50335" xr:uid="{00000000-0005-0000-0000-0000F9C30000}"/>
    <cellStyle name="Normal 9 3 2 2 4 3" xfId="50336" xr:uid="{00000000-0005-0000-0000-0000FAC30000}"/>
    <cellStyle name="Normal 9 3 2 2 4 3 2" xfId="50337" xr:uid="{00000000-0005-0000-0000-0000FBC30000}"/>
    <cellStyle name="Normal 9 3 2 2 4 3 3" xfId="50338" xr:uid="{00000000-0005-0000-0000-0000FCC30000}"/>
    <cellStyle name="Normal 9 3 2 2 4 4" xfId="50339" xr:uid="{00000000-0005-0000-0000-0000FDC30000}"/>
    <cellStyle name="Normal 9 3 2 2 4 5" xfId="50340" xr:uid="{00000000-0005-0000-0000-0000FEC30000}"/>
    <cellStyle name="Normal 9 3 2 2 4 6" xfId="50341" xr:uid="{00000000-0005-0000-0000-0000FFC30000}"/>
    <cellStyle name="Normal 9 3 2 2 4 7" xfId="50342" xr:uid="{00000000-0005-0000-0000-000000C40000}"/>
    <cellStyle name="Normal 9 3 2 2 5" xfId="50343" xr:uid="{00000000-0005-0000-0000-000001C40000}"/>
    <cellStyle name="Normal 9 3 2 2 5 2" xfId="50344" xr:uid="{00000000-0005-0000-0000-000002C40000}"/>
    <cellStyle name="Normal 9 3 2 2 5 2 2" xfId="50345" xr:uid="{00000000-0005-0000-0000-000003C40000}"/>
    <cellStyle name="Normal 9 3 2 2 5 2 3" xfId="50346" xr:uid="{00000000-0005-0000-0000-000004C40000}"/>
    <cellStyle name="Normal 9 3 2 2 5 3" xfId="50347" xr:uid="{00000000-0005-0000-0000-000005C40000}"/>
    <cellStyle name="Normal 9 3 2 2 5 4" xfId="50348" xr:uid="{00000000-0005-0000-0000-000006C40000}"/>
    <cellStyle name="Normal 9 3 2 2 5 5" xfId="50349" xr:uid="{00000000-0005-0000-0000-000007C40000}"/>
    <cellStyle name="Normal 9 3 2 2 5 6" xfId="50350" xr:uid="{00000000-0005-0000-0000-000008C40000}"/>
    <cellStyle name="Normal 9 3 2 2 6" xfId="50351" xr:uid="{00000000-0005-0000-0000-000009C40000}"/>
    <cellStyle name="Normal 9 3 2 2 6 2" xfId="50352" xr:uid="{00000000-0005-0000-0000-00000AC40000}"/>
    <cellStyle name="Normal 9 3 2 2 6 2 2" xfId="50353" xr:uid="{00000000-0005-0000-0000-00000BC40000}"/>
    <cellStyle name="Normal 9 3 2 2 6 2 3" xfId="50354" xr:uid="{00000000-0005-0000-0000-00000CC40000}"/>
    <cellStyle name="Normal 9 3 2 2 6 3" xfId="50355" xr:uid="{00000000-0005-0000-0000-00000DC40000}"/>
    <cellStyle name="Normal 9 3 2 2 6 4" xfId="50356" xr:uid="{00000000-0005-0000-0000-00000EC40000}"/>
    <cellStyle name="Normal 9 3 2 2 6 5" xfId="50357" xr:uid="{00000000-0005-0000-0000-00000FC40000}"/>
    <cellStyle name="Normal 9 3 2 2 6 6" xfId="50358" xr:uid="{00000000-0005-0000-0000-000010C40000}"/>
    <cellStyle name="Normal 9 3 2 2 7" xfId="50359" xr:uid="{00000000-0005-0000-0000-000011C40000}"/>
    <cellStyle name="Normal 9 3 2 2 7 2" xfId="50360" xr:uid="{00000000-0005-0000-0000-000012C40000}"/>
    <cellStyle name="Normal 9 3 2 2 7 2 2" xfId="50361" xr:uid="{00000000-0005-0000-0000-000013C40000}"/>
    <cellStyle name="Normal 9 3 2 2 7 2 3" xfId="50362" xr:uid="{00000000-0005-0000-0000-000014C40000}"/>
    <cellStyle name="Normal 9 3 2 2 7 3" xfId="50363" xr:uid="{00000000-0005-0000-0000-000015C40000}"/>
    <cellStyle name="Normal 9 3 2 2 7 4" xfId="50364" xr:uid="{00000000-0005-0000-0000-000016C40000}"/>
    <cellStyle name="Normal 9 3 2 2 7 5" xfId="50365" xr:uid="{00000000-0005-0000-0000-000017C40000}"/>
    <cellStyle name="Normal 9 3 2 2 7 6" xfId="50366" xr:uid="{00000000-0005-0000-0000-000018C40000}"/>
    <cellStyle name="Normal 9 3 2 2 8" xfId="50367" xr:uid="{00000000-0005-0000-0000-000019C40000}"/>
    <cellStyle name="Normal 9 3 2 2 8 2" xfId="50368" xr:uid="{00000000-0005-0000-0000-00001AC40000}"/>
    <cellStyle name="Normal 9 3 2 2 8 2 2" xfId="50369" xr:uid="{00000000-0005-0000-0000-00001BC40000}"/>
    <cellStyle name="Normal 9 3 2 2 8 2 3" xfId="50370" xr:uid="{00000000-0005-0000-0000-00001CC40000}"/>
    <cellStyle name="Normal 9 3 2 2 8 3" xfId="50371" xr:uid="{00000000-0005-0000-0000-00001DC40000}"/>
    <cellStyle name="Normal 9 3 2 2 8 4" xfId="50372" xr:uid="{00000000-0005-0000-0000-00001EC40000}"/>
    <cellStyle name="Normal 9 3 2 2 8 5" xfId="50373" xr:uid="{00000000-0005-0000-0000-00001FC40000}"/>
    <cellStyle name="Normal 9 3 2 2 8 6" xfId="50374" xr:uid="{00000000-0005-0000-0000-000020C40000}"/>
    <cellStyle name="Normal 9 3 2 2 9" xfId="50375" xr:uid="{00000000-0005-0000-0000-000021C40000}"/>
    <cellStyle name="Normal 9 3 2 2 9 2" xfId="50376" xr:uid="{00000000-0005-0000-0000-000022C40000}"/>
    <cellStyle name="Normal 9 3 2 2 9 3" xfId="50377" xr:uid="{00000000-0005-0000-0000-000023C40000}"/>
    <cellStyle name="Normal 9 3 2 3" xfId="50378" xr:uid="{00000000-0005-0000-0000-000024C40000}"/>
    <cellStyle name="Normal 9 3 2 3 10" xfId="50379" xr:uid="{00000000-0005-0000-0000-000025C40000}"/>
    <cellStyle name="Normal 9 3 2 3 2" xfId="50380" xr:uid="{00000000-0005-0000-0000-000026C40000}"/>
    <cellStyle name="Normal 9 3 2 3 2 2" xfId="50381" xr:uid="{00000000-0005-0000-0000-000027C40000}"/>
    <cellStyle name="Normal 9 3 2 3 2 2 2" xfId="50382" xr:uid="{00000000-0005-0000-0000-000028C40000}"/>
    <cellStyle name="Normal 9 3 2 3 2 2 2 2" xfId="50383" xr:uid="{00000000-0005-0000-0000-000029C40000}"/>
    <cellStyle name="Normal 9 3 2 3 2 2 2 3" xfId="50384" xr:uid="{00000000-0005-0000-0000-00002AC40000}"/>
    <cellStyle name="Normal 9 3 2 3 2 2 3" xfId="50385" xr:uid="{00000000-0005-0000-0000-00002BC40000}"/>
    <cellStyle name="Normal 9 3 2 3 2 2 4" xfId="50386" xr:uid="{00000000-0005-0000-0000-00002CC40000}"/>
    <cellStyle name="Normal 9 3 2 3 2 2 5" xfId="50387" xr:uid="{00000000-0005-0000-0000-00002DC40000}"/>
    <cellStyle name="Normal 9 3 2 3 2 2 6" xfId="50388" xr:uid="{00000000-0005-0000-0000-00002EC40000}"/>
    <cellStyle name="Normal 9 3 2 3 2 3" xfId="50389" xr:uid="{00000000-0005-0000-0000-00002FC40000}"/>
    <cellStyle name="Normal 9 3 2 3 2 3 2" xfId="50390" xr:uid="{00000000-0005-0000-0000-000030C40000}"/>
    <cellStyle name="Normal 9 3 2 3 2 3 2 2" xfId="50391" xr:uid="{00000000-0005-0000-0000-000031C40000}"/>
    <cellStyle name="Normal 9 3 2 3 2 3 2 3" xfId="50392" xr:uid="{00000000-0005-0000-0000-000032C40000}"/>
    <cellStyle name="Normal 9 3 2 3 2 3 3" xfId="50393" xr:uid="{00000000-0005-0000-0000-000033C40000}"/>
    <cellStyle name="Normal 9 3 2 3 2 3 4" xfId="50394" xr:uid="{00000000-0005-0000-0000-000034C40000}"/>
    <cellStyle name="Normal 9 3 2 3 2 3 5" xfId="50395" xr:uid="{00000000-0005-0000-0000-000035C40000}"/>
    <cellStyle name="Normal 9 3 2 3 2 3 6" xfId="50396" xr:uid="{00000000-0005-0000-0000-000036C40000}"/>
    <cellStyle name="Normal 9 3 2 3 2 4" xfId="50397" xr:uid="{00000000-0005-0000-0000-000037C40000}"/>
    <cellStyle name="Normal 9 3 2 3 2 4 2" xfId="50398" xr:uid="{00000000-0005-0000-0000-000038C40000}"/>
    <cellStyle name="Normal 9 3 2 3 2 4 3" xfId="50399" xr:uid="{00000000-0005-0000-0000-000039C40000}"/>
    <cellStyle name="Normal 9 3 2 3 2 5" xfId="50400" xr:uid="{00000000-0005-0000-0000-00003AC40000}"/>
    <cellStyle name="Normal 9 3 2 3 2 6" xfId="50401" xr:uid="{00000000-0005-0000-0000-00003BC40000}"/>
    <cellStyle name="Normal 9 3 2 3 2 7" xfId="50402" xr:uid="{00000000-0005-0000-0000-00003CC40000}"/>
    <cellStyle name="Normal 9 3 2 3 2 8" xfId="50403" xr:uid="{00000000-0005-0000-0000-00003DC40000}"/>
    <cellStyle name="Normal 9 3 2 3 3" xfId="50404" xr:uid="{00000000-0005-0000-0000-00003EC40000}"/>
    <cellStyle name="Normal 9 3 2 3 3 2" xfId="50405" xr:uid="{00000000-0005-0000-0000-00003FC40000}"/>
    <cellStyle name="Normal 9 3 2 3 3 2 2" xfId="50406" xr:uid="{00000000-0005-0000-0000-000040C40000}"/>
    <cellStyle name="Normal 9 3 2 3 3 2 2 2" xfId="50407" xr:uid="{00000000-0005-0000-0000-000041C40000}"/>
    <cellStyle name="Normal 9 3 2 3 3 2 2 3" xfId="50408" xr:uid="{00000000-0005-0000-0000-000042C40000}"/>
    <cellStyle name="Normal 9 3 2 3 3 2 3" xfId="50409" xr:uid="{00000000-0005-0000-0000-000043C40000}"/>
    <cellStyle name="Normal 9 3 2 3 3 2 4" xfId="50410" xr:uid="{00000000-0005-0000-0000-000044C40000}"/>
    <cellStyle name="Normal 9 3 2 3 3 2 5" xfId="50411" xr:uid="{00000000-0005-0000-0000-000045C40000}"/>
    <cellStyle name="Normal 9 3 2 3 3 2 6" xfId="50412" xr:uid="{00000000-0005-0000-0000-000046C40000}"/>
    <cellStyle name="Normal 9 3 2 3 3 3" xfId="50413" xr:uid="{00000000-0005-0000-0000-000047C40000}"/>
    <cellStyle name="Normal 9 3 2 3 3 3 2" xfId="50414" xr:uid="{00000000-0005-0000-0000-000048C40000}"/>
    <cellStyle name="Normal 9 3 2 3 3 3 3" xfId="50415" xr:uid="{00000000-0005-0000-0000-000049C40000}"/>
    <cellStyle name="Normal 9 3 2 3 3 4" xfId="50416" xr:uid="{00000000-0005-0000-0000-00004AC40000}"/>
    <cellStyle name="Normal 9 3 2 3 3 5" xfId="50417" xr:uid="{00000000-0005-0000-0000-00004BC40000}"/>
    <cellStyle name="Normal 9 3 2 3 3 6" xfId="50418" xr:uid="{00000000-0005-0000-0000-00004CC40000}"/>
    <cellStyle name="Normal 9 3 2 3 3 7" xfId="50419" xr:uid="{00000000-0005-0000-0000-00004DC40000}"/>
    <cellStyle name="Normal 9 3 2 3 4" xfId="50420" xr:uid="{00000000-0005-0000-0000-00004EC40000}"/>
    <cellStyle name="Normal 9 3 2 3 4 2" xfId="50421" xr:uid="{00000000-0005-0000-0000-00004FC40000}"/>
    <cellStyle name="Normal 9 3 2 3 4 2 2" xfId="50422" xr:uid="{00000000-0005-0000-0000-000050C40000}"/>
    <cellStyle name="Normal 9 3 2 3 4 2 3" xfId="50423" xr:uid="{00000000-0005-0000-0000-000051C40000}"/>
    <cellStyle name="Normal 9 3 2 3 4 3" xfId="50424" xr:uid="{00000000-0005-0000-0000-000052C40000}"/>
    <cellStyle name="Normal 9 3 2 3 4 4" xfId="50425" xr:uid="{00000000-0005-0000-0000-000053C40000}"/>
    <cellStyle name="Normal 9 3 2 3 4 5" xfId="50426" xr:uid="{00000000-0005-0000-0000-000054C40000}"/>
    <cellStyle name="Normal 9 3 2 3 4 6" xfId="50427" xr:uid="{00000000-0005-0000-0000-000055C40000}"/>
    <cellStyle name="Normal 9 3 2 3 5" xfId="50428" xr:uid="{00000000-0005-0000-0000-000056C40000}"/>
    <cellStyle name="Normal 9 3 2 3 5 2" xfId="50429" xr:uid="{00000000-0005-0000-0000-000057C40000}"/>
    <cellStyle name="Normal 9 3 2 3 5 2 2" xfId="50430" xr:uid="{00000000-0005-0000-0000-000058C40000}"/>
    <cellStyle name="Normal 9 3 2 3 5 2 3" xfId="50431" xr:uid="{00000000-0005-0000-0000-000059C40000}"/>
    <cellStyle name="Normal 9 3 2 3 5 3" xfId="50432" xr:uid="{00000000-0005-0000-0000-00005AC40000}"/>
    <cellStyle name="Normal 9 3 2 3 5 4" xfId="50433" xr:uid="{00000000-0005-0000-0000-00005BC40000}"/>
    <cellStyle name="Normal 9 3 2 3 5 5" xfId="50434" xr:uid="{00000000-0005-0000-0000-00005CC40000}"/>
    <cellStyle name="Normal 9 3 2 3 5 6" xfId="50435" xr:uid="{00000000-0005-0000-0000-00005DC40000}"/>
    <cellStyle name="Normal 9 3 2 3 6" xfId="50436" xr:uid="{00000000-0005-0000-0000-00005EC40000}"/>
    <cellStyle name="Normal 9 3 2 3 6 2" xfId="50437" xr:uid="{00000000-0005-0000-0000-00005FC40000}"/>
    <cellStyle name="Normal 9 3 2 3 6 3" xfId="50438" xr:uid="{00000000-0005-0000-0000-000060C40000}"/>
    <cellStyle name="Normal 9 3 2 3 7" xfId="50439" xr:uid="{00000000-0005-0000-0000-000061C40000}"/>
    <cellStyle name="Normal 9 3 2 3 8" xfId="50440" xr:uid="{00000000-0005-0000-0000-000062C40000}"/>
    <cellStyle name="Normal 9 3 2 3 9" xfId="50441" xr:uid="{00000000-0005-0000-0000-000063C40000}"/>
    <cellStyle name="Normal 9 3 2 4" xfId="50442" xr:uid="{00000000-0005-0000-0000-000064C40000}"/>
    <cellStyle name="Normal 9 3 2 4 2" xfId="50443" xr:uid="{00000000-0005-0000-0000-000065C40000}"/>
    <cellStyle name="Normal 9 3 2 4 2 2" xfId="50444" xr:uid="{00000000-0005-0000-0000-000066C40000}"/>
    <cellStyle name="Normal 9 3 2 4 2 2 2" xfId="50445" xr:uid="{00000000-0005-0000-0000-000067C40000}"/>
    <cellStyle name="Normal 9 3 2 4 2 2 2 2" xfId="50446" xr:uid="{00000000-0005-0000-0000-000068C40000}"/>
    <cellStyle name="Normal 9 3 2 4 2 2 2 3" xfId="50447" xr:uid="{00000000-0005-0000-0000-000069C40000}"/>
    <cellStyle name="Normal 9 3 2 4 2 2 3" xfId="50448" xr:uid="{00000000-0005-0000-0000-00006AC40000}"/>
    <cellStyle name="Normal 9 3 2 4 2 2 4" xfId="50449" xr:uid="{00000000-0005-0000-0000-00006BC40000}"/>
    <cellStyle name="Normal 9 3 2 4 2 2 5" xfId="50450" xr:uid="{00000000-0005-0000-0000-00006CC40000}"/>
    <cellStyle name="Normal 9 3 2 4 2 2 6" xfId="50451" xr:uid="{00000000-0005-0000-0000-00006DC40000}"/>
    <cellStyle name="Normal 9 3 2 4 2 3" xfId="50452" xr:uid="{00000000-0005-0000-0000-00006EC40000}"/>
    <cellStyle name="Normal 9 3 2 4 2 3 2" xfId="50453" xr:uid="{00000000-0005-0000-0000-00006FC40000}"/>
    <cellStyle name="Normal 9 3 2 4 2 3 3" xfId="50454" xr:uid="{00000000-0005-0000-0000-000070C40000}"/>
    <cellStyle name="Normal 9 3 2 4 2 4" xfId="50455" xr:uid="{00000000-0005-0000-0000-000071C40000}"/>
    <cellStyle name="Normal 9 3 2 4 2 5" xfId="50456" xr:uid="{00000000-0005-0000-0000-000072C40000}"/>
    <cellStyle name="Normal 9 3 2 4 2 6" xfId="50457" xr:uid="{00000000-0005-0000-0000-000073C40000}"/>
    <cellStyle name="Normal 9 3 2 4 2 7" xfId="50458" xr:uid="{00000000-0005-0000-0000-000074C40000}"/>
    <cellStyle name="Normal 9 3 2 4 3" xfId="50459" xr:uid="{00000000-0005-0000-0000-000075C40000}"/>
    <cellStyle name="Normal 9 3 2 4 3 2" xfId="50460" xr:uid="{00000000-0005-0000-0000-000076C40000}"/>
    <cellStyle name="Normal 9 3 2 4 3 2 2" xfId="50461" xr:uid="{00000000-0005-0000-0000-000077C40000}"/>
    <cellStyle name="Normal 9 3 2 4 3 2 3" xfId="50462" xr:uid="{00000000-0005-0000-0000-000078C40000}"/>
    <cellStyle name="Normal 9 3 2 4 3 3" xfId="50463" xr:uid="{00000000-0005-0000-0000-000079C40000}"/>
    <cellStyle name="Normal 9 3 2 4 3 4" xfId="50464" xr:uid="{00000000-0005-0000-0000-00007AC40000}"/>
    <cellStyle name="Normal 9 3 2 4 3 5" xfId="50465" xr:uid="{00000000-0005-0000-0000-00007BC40000}"/>
    <cellStyle name="Normal 9 3 2 4 3 6" xfId="50466" xr:uid="{00000000-0005-0000-0000-00007CC40000}"/>
    <cellStyle name="Normal 9 3 2 4 4" xfId="50467" xr:uid="{00000000-0005-0000-0000-00007DC40000}"/>
    <cellStyle name="Normal 9 3 2 4 4 2" xfId="50468" xr:uid="{00000000-0005-0000-0000-00007EC40000}"/>
    <cellStyle name="Normal 9 3 2 4 4 2 2" xfId="50469" xr:uid="{00000000-0005-0000-0000-00007FC40000}"/>
    <cellStyle name="Normal 9 3 2 4 4 2 3" xfId="50470" xr:uid="{00000000-0005-0000-0000-000080C40000}"/>
    <cellStyle name="Normal 9 3 2 4 4 3" xfId="50471" xr:uid="{00000000-0005-0000-0000-000081C40000}"/>
    <cellStyle name="Normal 9 3 2 4 4 4" xfId="50472" xr:uid="{00000000-0005-0000-0000-000082C40000}"/>
    <cellStyle name="Normal 9 3 2 4 4 5" xfId="50473" xr:uid="{00000000-0005-0000-0000-000083C40000}"/>
    <cellStyle name="Normal 9 3 2 4 4 6" xfId="50474" xr:uid="{00000000-0005-0000-0000-000084C40000}"/>
    <cellStyle name="Normal 9 3 2 4 5" xfId="50475" xr:uid="{00000000-0005-0000-0000-000085C40000}"/>
    <cellStyle name="Normal 9 3 2 4 5 2" xfId="50476" xr:uid="{00000000-0005-0000-0000-000086C40000}"/>
    <cellStyle name="Normal 9 3 2 4 5 3" xfId="50477" xr:uid="{00000000-0005-0000-0000-000087C40000}"/>
    <cellStyle name="Normal 9 3 2 4 6" xfId="50478" xr:uid="{00000000-0005-0000-0000-000088C40000}"/>
    <cellStyle name="Normal 9 3 2 4 7" xfId="50479" xr:uid="{00000000-0005-0000-0000-000089C40000}"/>
    <cellStyle name="Normal 9 3 2 4 8" xfId="50480" xr:uid="{00000000-0005-0000-0000-00008AC40000}"/>
    <cellStyle name="Normal 9 3 2 4 9" xfId="50481" xr:uid="{00000000-0005-0000-0000-00008BC40000}"/>
    <cellStyle name="Normal 9 3 2 5" xfId="50482" xr:uid="{00000000-0005-0000-0000-00008CC40000}"/>
    <cellStyle name="Normal 9 3 2 5 2" xfId="50483" xr:uid="{00000000-0005-0000-0000-00008DC40000}"/>
    <cellStyle name="Normal 9 3 2 5 2 2" xfId="50484" xr:uid="{00000000-0005-0000-0000-00008EC40000}"/>
    <cellStyle name="Normal 9 3 2 5 2 2 2" xfId="50485" xr:uid="{00000000-0005-0000-0000-00008FC40000}"/>
    <cellStyle name="Normal 9 3 2 5 2 2 3" xfId="50486" xr:uid="{00000000-0005-0000-0000-000090C40000}"/>
    <cellStyle name="Normal 9 3 2 5 2 3" xfId="50487" xr:uid="{00000000-0005-0000-0000-000091C40000}"/>
    <cellStyle name="Normal 9 3 2 5 2 4" xfId="50488" xr:uid="{00000000-0005-0000-0000-000092C40000}"/>
    <cellStyle name="Normal 9 3 2 5 2 5" xfId="50489" xr:uid="{00000000-0005-0000-0000-000093C40000}"/>
    <cellStyle name="Normal 9 3 2 5 2 6" xfId="50490" xr:uid="{00000000-0005-0000-0000-000094C40000}"/>
    <cellStyle name="Normal 9 3 2 5 3" xfId="50491" xr:uid="{00000000-0005-0000-0000-000095C40000}"/>
    <cellStyle name="Normal 9 3 2 5 3 2" xfId="50492" xr:uid="{00000000-0005-0000-0000-000096C40000}"/>
    <cellStyle name="Normal 9 3 2 5 3 3" xfId="50493" xr:uid="{00000000-0005-0000-0000-000097C40000}"/>
    <cellStyle name="Normal 9 3 2 5 4" xfId="50494" xr:uid="{00000000-0005-0000-0000-000098C40000}"/>
    <cellStyle name="Normal 9 3 2 5 5" xfId="50495" xr:uid="{00000000-0005-0000-0000-000099C40000}"/>
    <cellStyle name="Normal 9 3 2 5 6" xfId="50496" xr:uid="{00000000-0005-0000-0000-00009AC40000}"/>
    <cellStyle name="Normal 9 3 2 5 7" xfId="50497" xr:uid="{00000000-0005-0000-0000-00009BC40000}"/>
    <cellStyle name="Normal 9 3 2 6" xfId="50498" xr:uid="{00000000-0005-0000-0000-00009CC40000}"/>
    <cellStyle name="Normal 9 3 2 6 2" xfId="50499" xr:uid="{00000000-0005-0000-0000-00009DC40000}"/>
    <cellStyle name="Normal 9 3 2 6 2 2" xfId="50500" xr:uid="{00000000-0005-0000-0000-00009EC40000}"/>
    <cellStyle name="Normal 9 3 2 6 2 3" xfId="50501" xr:uid="{00000000-0005-0000-0000-00009FC40000}"/>
    <cellStyle name="Normal 9 3 2 6 3" xfId="50502" xr:uid="{00000000-0005-0000-0000-0000A0C40000}"/>
    <cellStyle name="Normal 9 3 2 6 4" xfId="50503" xr:uid="{00000000-0005-0000-0000-0000A1C40000}"/>
    <cellStyle name="Normal 9 3 2 6 5" xfId="50504" xr:uid="{00000000-0005-0000-0000-0000A2C40000}"/>
    <cellStyle name="Normal 9 3 2 6 6" xfId="50505" xr:uid="{00000000-0005-0000-0000-0000A3C40000}"/>
    <cellStyle name="Normal 9 3 2 7" xfId="50506" xr:uid="{00000000-0005-0000-0000-0000A4C40000}"/>
    <cellStyle name="Normal 9 3 2 7 2" xfId="50507" xr:uid="{00000000-0005-0000-0000-0000A5C40000}"/>
    <cellStyle name="Normal 9 3 2 7 2 2" xfId="50508" xr:uid="{00000000-0005-0000-0000-0000A6C40000}"/>
    <cellStyle name="Normal 9 3 2 7 2 3" xfId="50509" xr:uid="{00000000-0005-0000-0000-0000A7C40000}"/>
    <cellStyle name="Normal 9 3 2 7 3" xfId="50510" xr:uid="{00000000-0005-0000-0000-0000A8C40000}"/>
    <cellStyle name="Normal 9 3 2 7 4" xfId="50511" xr:uid="{00000000-0005-0000-0000-0000A9C40000}"/>
    <cellStyle name="Normal 9 3 2 7 5" xfId="50512" xr:uid="{00000000-0005-0000-0000-0000AAC40000}"/>
    <cellStyle name="Normal 9 3 2 7 6" xfId="50513" xr:uid="{00000000-0005-0000-0000-0000ABC40000}"/>
    <cellStyle name="Normal 9 3 2 8" xfId="50514" xr:uid="{00000000-0005-0000-0000-0000ACC40000}"/>
    <cellStyle name="Normal 9 3 2 8 2" xfId="50515" xr:uid="{00000000-0005-0000-0000-0000ADC40000}"/>
    <cellStyle name="Normal 9 3 2 8 2 2" xfId="50516" xr:uid="{00000000-0005-0000-0000-0000AEC40000}"/>
    <cellStyle name="Normal 9 3 2 8 2 3" xfId="50517" xr:uid="{00000000-0005-0000-0000-0000AFC40000}"/>
    <cellStyle name="Normal 9 3 2 8 3" xfId="50518" xr:uid="{00000000-0005-0000-0000-0000B0C40000}"/>
    <cellStyle name="Normal 9 3 2 8 4" xfId="50519" xr:uid="{00000000-0005-0000-0000-0000B1C40000}"/>
    <cellStyle name="Normal 9 3 2 8 5" xfId="50520" xr:uid="{00000000-0005-0000-0000-0000B2C40000}"/>
    <cellStyle name="Normal 9 3 2 8 6" xfId="50521" xr:uid="{00000000-0005-0000-0000-0000B3C40000}"/>
    <cellStyle name="Normal 9 3 2 9" xfId="50522" xr:uid="{00000000-0005-0000-0000-0000B4C40000}"/>
    <cellStyle name="Normal 9 3 2 9 2" xfId="50523" xr:uid="{00000000-0005-0000-0000-0000B5C40000}"/>
    <cellStyle name="Normal 9 3 2 9 2 2" xfId="50524" xr:uid="{00000000-0005-0000-0000-0000B6C40000}"/>
    <cellStyle name="Normal 9 3 2 9 2 3" xfId="50525" xr:uid="{00000000-0005-0000-0000-0000B7C40000}"/>
    <cellStyle name="Normal 9 3 2 9 3" xfId="50526" xr:uid="{00000000-0005-0000-0000-0000B8C40000}"/>
    <cellStyle name="Normal 9 3 2 9 4" xfId="50527" xr:uid="{00000000-0005-0000-0000-0000B9C40000}"/>
    <cellStyle name="Normal 9 3 2 9 5" xfId="50528" xr:uid="{00000000-0005-0000-0000-0000BAC40000}"/>
    <cellStyle name="Normal 9 3 2 9 6" xfId="50529" xr:uid="{00000000-0005-0000-0000-0000BBC40000}"/>
    <cellStyle name="Normal 9 3 3" xfId="50530" xr:uid="{00000000-0005-0000-0000-0000BCC40000}"/>
    <cellStyle name="Normal 9 3 3 10" xfId="50531" xr:uid="{00000000-0005-0000-0000-0000BDC40000}"/>
    <cellStyle name="Normal 9 3 3 10 2" xfId="50532" xr:uid="{00000000-0005-0000-0000-0000BEC40000}"/>
    <cellStyle name="Normal 9 3 3 10 3" xfId="50533" xr:uid="{00000000-0005-0000-0000-0000BFC40000}"/>
    <cellStyle name="Normal 9 3 3 11" xfId="50534" xr:uid="{00000000-0005-0000-0000-0000C0C40000}"/>
    <cellStyle name="Normal 9 3 3 12" xfId="50535" xr:uid="{00000000-0005-0000-0000-0000C1C40000}"/>
    <cellStyle name="Normal 9 3 3 13" xfId="50536" xr:uid="{00000000-0005-0000-0000-0000C2C40000}"/>
    <cellStyle name="Normal 9 3 3 14" xfId="50537" xr:uid="{00000000-0005-0000-0000-0000C3C40000}"/>
    <cellStyle name="Normal 9 3 3 2" xfId="50538" xr:uid="{00000000-0005-0000-0000-0000C4C40000}"/>
    <cellStyle name="Normal 9 3 3 2 10" xfId="50539" xr:uid="{00000000-0005-0000-0000-0000C5C40000}"/>
    <cellStyle name="Normal 9 3 3 2 11" xfId="50540" xr:uid="{00000000-0005-0000-0000-0000C6C40000}"/>
    <cellStyle name="Normal 9 3 3 2 12" xfId="50541" xr:uid="{00000000-0005-0000-0000-0000C7C40000}"/>
    <cellStyle name="Normal 9 3 3 2 13" xfId="50542" xr:uid="{00000000-0005-0000-0000-0000C8C40000}"/>
    <cellStyle name="Normal 9 3 3 2 2" xfId="50543" xr:uid="{00000000-0005-0000-0000-0000C9C40000}"/>
    <cellStyle name="Normal 9 3 3 2 2 10" xfId="50544" xr:uid="{00000000-0005-0000-0000-0000CAC40000}"/>
    <cellStyle name="Normal 9 3 3 2 2 2" xfId="50545" xr:uid="{00000000-0005-0000-0000-0000CBC40000}"/>
    <cellStyle name="Normal 9 3 3 2 2 2 2" xfId="50546" xr:uid="{00000000-0005-0000-0000-0000CCC40000}"/>
    <cellStyle name="Normal 9 3 3 2 2 2 2 2" xfId="50547" xr:uid="{00000000-0005-0000-0000-0000CDC40000}"/>
    <cellStyle name="Normal 9 3 3 2 2 2 2 2 2" xfId="50548" xr:uid="{00000000-0005-0000-0000-0000CEC40000}"/>
    <cellStyle name="Normal 9 3 3 2 2 2 2 2 3" xfId="50549" xr:uid="{00000000-0005-0000-0000-0000CFC40000}"/>
    <cellStyle name="Normal 9 3 3 2 2 2 2 3" xfId="50550" xr:uid="{00000000-0005-0000-0000-0000D0C40000}"/>
    <cellStyle name="Normal 9 3 3 2 2 2 2 4" xfId="50551" xr:uid="{00000000-0005-0000-0000-0000D1C40000}"/>
    <cellStyle name="Normal 9 3 3 2 2 2 2 5" xfId="50552" xr:uid="{00000000-0005-0000-0000-0000D2C40000}"/>
    <cellStyle name="Normal 9 3 3 2 2 2 2 6" xfId="50553" xr:uid="{00000000-0005-0000-0000-0000D3C40000}"/>
    <cellStyle name="Normal 9 3 3 2 2 2 3" xfId="50554" xr:uid="{00000000-0005-0000-0000-0000D4C40000}"/>
    <cellStyle name="Normal 9 3 3 2 2 2 3 2" xfId="50555" xr:uid="{00000000-0005-0000-0000-0000D5C40000}"/>
    <cellStyle name="Normal 9 3 3 2 2 2 3 2 2" xfId="50556" xr:uid="{00000000-0005-0000-0000-0000D6C40000}"/>
    <cellStyle name="Normal 9 3 3 2 2 2 3 2 3" xfId="50557" xr:uid="{00000000-0005-0000-0000-0000D7C40000}"/>
    <cellStyle name="Normal 9 3 3 2 2 2 3 3" xfId="50558" xr:uid="{00000000-0005-0000-0000-0000D8C40000}"/>
    <cellStyle name="Normal 9 3 3 2 2 2 3 4" xfId="50559" xr:uid="{00000000-0005-0000-0000-0000D9C40000}"/>
    <cellStyle name="Normal 9 3 3 2 2 2 3 5" xfId="50560" xr:uid="{00000000-0005-0000-0000-0000DAC40000}"/>
    <cellStyle name="Normal 9 3 3 2 2 2 3 6" xfId="50561" xr:uid="{00000000-0005-0000-0000-0000DBC40000}"/>
    <cellStyle name="Normal 9 3 3 2 2 2 4" xfId="50562" xr:uid="{00000000-0005-0000-0000-0000DCC40000}"/>
    <cellStyle name="Normal 9 3 3 2 2 2 4 2" xfId="50563" xr:uid="{00000000-0005-0000-0000-0000DDC40000}"/>
    <cellStyle name="Normal 9 3 3 2 2 2 4 3" xfId="50564" xr:uid="{00000000-0005-0000-0000-0000DEC40000}"/>
    <cellStyle name="Normal 9 3 3 2 2 2 5" xfId="50565" xr:uid="{00000000-0005-0000-0000-0000DFC40000}"/>
    <cellStyle name="Normal 9 3 3 2 2 2 6" xfId="50566" xr:uid="{00000000-0005-0000-0000-0000E0C40000}"/>
    <cellStyle name="Normal 9 3 3 2 2 2 7" xfId="50567" xr:uid="{00000000-0005-0000-0000-0000E1C40000}"/>
    <cellStyle name="Normal 9 3 3 2 2 2 8" xfId="50568" xr:uid="{00000000-0005-0000-0000-0000E2C40000}"/>
    <cellStyle name="Normal 9 3 3 2 2 3" xfId="50569" xr:uid="{00000000-0005-0000-0000-0000E3C40000}"/>
    <cellStyle name="Normal 9 3 3 2 2 3 2" xfId="50570" xr:uid="{00000000-0005-0000-0000-0000E4C40000}"/>
    <cellStyle name="Normal 9 3 3 2 2 3 2 2" xfId="50571" xr:uid="{00000000-0005-0000-0000-0000E5C40000}"/>
    <cellStyle name="Normal 9 3 3 2 2 3 2 2 2" xfId="50572" xr:uid="{00000000-0005-0000-0000-0000E6C40000}"/>
    <cellStyle name="Normal 9 3 3 2 2 3 2 2 3" xfId="50573" xr:uid="{00000000-0005-0000-0000-0000E7C40000}"/>
    <cellStyle name="Normal 9 3 3 2 2 3 2 3" xfId="50574" xr:uid="{00000000-0005-0000-0000-0000E8C40000}"/>
    <cellStyle name="Normal 9 3 3 2 2 3 2 4" xfId="50575" xr:uid="{00000000-0005-0000-0000-0000E9C40000}"/>
    <cellStyle name="Normal 9 3 3 2 2 3 2 5" xfId="50576" xr:uid="{00000000-0005-0000-0000-0000EAC40000}"/>
    <cellStyle name="Normal 9 3 3 2 2 3 2 6" xfId="50577" xr:uid="{00000000-0005-0000-0000-0000EBC40000}"/>
    <cellStyle name="Normal 9 3 3 2 2 3 3" xfId="50578" xr:uid="{00000000-0005-0000-0000-0000ECC40000}"/>
    <cellStyle name="Normal 9 3 3 2 2 3 3 2" xfId="50579" xr:uid="{00000000-0005-0000-0000-0000EDC40000}"/>
    <cellStyle name="Normal 9 3 3 2 2 3 3 3" xfId="50580" xr:uid="{00000000-0005-0000-0000-0000EEC40000}"/>
    <cellStyle name="Normal 9 3 3 2 2 3 4" xfId="50581" xr:uid="{00000000-0005-0000-0000-0000EFC40000}"/>
    <cellStyle name="Normal 9 3 3 2 2 3 5" xfId="50582" xr:uid="{00000000-0005-0000-0000-0000F0C40000}"/>
    <cellStyle name="Normal 9 3 3 2 2 3 6" xfId="50583" xr:uid="{00000000-0005-0000-0000-0000F1C40000}"/>
    <cellStyle name="Normal 9 3 3 2 2 3 7" xfId="50584" xr:uid="{00000000-0005-0000-0000-0000F2C40000}"/>
    <cellStyle name="Normal 9 3 3 2 2 4" xfId="50585" xr:uid="{00000000-0005-0000-0000-0000F3C40000}"/>
    <cellStyle name="Normal 9 3 3 2 2 4 2" xfId="50586" xr:uid="{00000000-0005-0000-0000-0000F4C40000}"/>
    <cellStyle name="Normal 9 3 3 2 2 4 2 2" xfId="50587" xr:uid="{00000000-0005-0000-0000-0000F5C40000}"/>
    <cellStyle name="Normal 9 3 3 2 2 4 2 3" xfId="50588" xr:uid="{00000000-0005-0000-0000-0000F6C40000}"/>
    <cellStyle name="Normal 9 3 3 2 2 4 3" xfId="50589" xr:uid="{00000000-0005-0000-0000-0000F7C40000}"/>
    <cellStyle name="Normal 9 3 3 2 2 4 4" xfId="50590" xr:uid="{00000000-0005-0000-0000-0000F8C40000}"/>
    <cellStyle name="Normal 9 3 3 2 2 4 5" xfId="50591" xr:uid="{00000000-0005-0000-0000-0000F9C40000}"/>
    <cellStyle name="Normal 9 3 3 2 2 4 6" xfId="50592" xr:uid="{00000000-0005-0000-0000-0000FAC40000}"/>
    <cellStyle name="Normal 9 3 3 2 2 5" xfId="50593" xr:uid="{00000000-0005-0000-0000-0000FBC40000}"/>
    <cellStyle name="Normal 9 3 3 2 2 5 2" xfId="50594" xr:uid="{00000000-0005-0000-0000-0000FCC40000}"/>
    <cellStyle name="Normal 9 3 3 2 2 5 2 2" xfId="50595" xr:uid="{00000000-0005-0000-0000-0000FDC40000}"/>
    <cellStyle name="Normal 9 3 3 2 2 5 2 3" xfId="50596" xr:uid="{00000000-0005-0000-0000-0000FEC40000}"/>
    <cellStyle name="Normal 9 3 3 2 2 5 3" xfId="50597" xr:uid="{00000000-0005-0000-0000-0000FFC40000}"/>
    <cellStyle name="Normal 9 3 3 2 2 5 4" xfId="50598" xr:uid="{00000000-0005-0000-0000-000000C50000}"/>
    <cellStyle name="Normal 9 3 3 2 2 5 5" xfId="50599" xr:uid="{00000000-0005-0000-0000-000001C50000}"/>
    <cellStyle name="Normal 9 3 3 2 2 5 6" xfId="50600" xr:uid="{00000000-0005-0000-0000-000002C50000}"/>
    <cellStyle name="Normal 9 3 3 2 2 6" xfId="50601" xr:uid="{00000000-0005-0000-0000-000003C50000}"/>
    <cellStyle name="Normal 9 3 3 2 2 6 2" xfId="50602" xr:uid="{00000000-0005-0000-0000-000004C50000}"/>
    <cellStyle name="Normal 9 3 3 2 2 6 3" xfId="50603" xr:uid="{00000000-0005-0000-0000-000005C50000}"/>
    <cellStyle name="Normal 9 3 3 2 2 7" xfId="50604" xr:uid="{00000000-0005-0000-0000-000006C50000}"/>
    <cellStyle name="Normal 9 3 3 2 2 8" xfId="50605" xr:uid="{00000000-0005-0000-0000-000007C50000}"/>
    <cellStyle name="Normal 9 3 3 2 2 9" xfId="50606" xr:uid="{00000000-0005-0000-0000-000008C50000}"/>
    <cellStyle name="Normal 9 3 3 2 3" xfId="50607" xr:uid="{00000000-0005-0000-0000-000009C50000}"/>
    <cellStyle name="Normal 9 3 3 2 3 2" xfId="50608" xr:uid="{00000000-0005-0000-0000-00000AC50000}"/>
    <cellStyle name="Normal 9 3 3 2 3 2 2" xfId="50609" xr:uid="{00000000-0005-0000-0000-00000BC50000}"/>
    <cellStyle name="Normal 9 3 3 2 3 2 2 2" xfId="50610" xr:uid="{00000000-0005-0000-0000-00000CC50000}"/>
    <cellStyle name="Normal 9 3 3 2 3 2 2 2 2" xfId="50611" xr:uid="{00000000-0005-0000-0000-00000DC50000}"/>
    <cellStyle name="Normal 9 3 3 2 3 2 2 2 3" xfId="50612" xr:uid="{00000000-0005-0000-0000-00000EC50000}"/>
    <cellStyle name="Normal 9 3 3 2 3 2 2 3" xfId="50613" xr:uid="{00000000-0005-0000-0000-00000FC50000}"/>
    <cellStyle name="Normal 9 3 3 2 3 2 2 4" xfId="50614" xr:uid="{00000000-0005-0000-0000-000010C50000}"/>
    <cellStyle name="Normal 9 3 3 2 3 2 2 5" xfId="50615" xr:uid="{00000000-0005-0000-0000-000011C50000}"/>
    <cellStyle name="Normal 9 3 3 2 3 2 2 6" xfId="50616" xr:uid="{00000000-0005-0000-0000-000012C50000}"/>
    <cellStyle name="Normal 9 3 3 2 3 2 3" xfId="50617" xr:uid="{00000000-0005-0000-0000-000013C50000}"/>
    <cellStyle name="Normal 9 3 3 2 3 2 3 2" xfId="50618" xr:uid="{00000000-0005-0000-0000-000014C50000}"/>
    <cellStyle name="Normal 9 3 3 2 3 2 3 3" xfId="50619" xr:uid="{00000000-0005-0000-0000-000015C50000}"/>
    <cellStyle name="Normal 9 3 3 2 3 2 4" xfId="50620" xr:uid="{00000000-0005-0000-0000-000016C50000}"/>
    <cellStyle name="Normal 9 3 3 2 3 2 5" xfId="50621" xr:uid="{00000000-0005-0000-0000-000017C50000}"/>
    <cellStyle name="Normal 9 3 3 2 3 2 6" xfId="50622" xr:uid="{00000000-0005-0000-0000-000018C50000}"/>
    <cellStyle name="Normal 9 3 3 2 3 2 7" xfId="50623" xr:uid="{00000000-0005-0000-0000-000019C50000}"/>
    <cellStyle name="Normal 9 3 3 2 3 3" xfId="50624" xr:uid="{00000000-0005-0000-0000-00001AC50000}"/>
    <cellStyle name="Normal 9 3 3 2 3 3 2" xfId="50625" xr:uid="{00000000-0005-0000-0000-00001BC50000}"/>
    <cellStyle name="Normal 9 3 3 2 3 3 2 2" xfId="50626" xr:uid="{00000000-0005-0000-0000-00001CC50000}"/>
    <cellStyle name="Normal 9 3 3 2 3 3 2 3" xfId="50627" xr:uid="{00000000-0005-0000-0000-00001DC50000}"/>
    <cellStyle name="Normal 9 3 3 2 3 3 3" xfId="50628" xr:uid="{00000000-0005-0000-0000-00001EC50000}"/>
    <cellStyle name="Normal 9 3 3 2 3 3 4" xfId="50629" xr:uid="{00000000-0005-0000-0000-00001FC50000}"/>
    <cellStyle name="Normal 9 3 3 2 3 3 5" xfId="50630" xr:uid="{00000000-0005-0000-0000-000020C50000}"/>
    <cellStyle name="Normal 9 3 3 2 3 3 6" xfId="50631" xr:uid="{00000000-0005-0000-0000-000021C50000}"/>
    <cellStyle name="Normal 9 3 3 2 3 4" xfId="50632" xr:uid="{00000000-0005-0000-0000-000022C50000}"/>
    <cellStyle name="Normal 9 3 3 2 3 4 2" xfId="50633" xr:uid="{00000000-0005-0000-0000-000023C50000}"/>
    <cellStyle name="Normal 9 3 3 2 3 4 2 2" xfId="50634" xr:uid="{00000000-0005-0000-0000-000024C50000}"/>
    <cellStyle name="Normal 9 3 3 2 3 4 2 3" xfId="50635" xr:uid="{00000000-0005-0000-0000-000025C50000}"/>
    <cellStyle name="Normal 9 3 3 2 3 4 3" xfId="50636" xr:uid="{00000000-0005-0000-0000-000026C50000}"/>
    <cellStyle name="Normal 9 3 3 2 3 4 4" xfId="50637" xr:uid="{00000000-0005-0000-0000-000027C50000}"/>
    <cellStyle name="Normal 9 3 3 2 3 4 5" xfId="50638" xr:uid="{00000000-0005-0000-0000-000028C50000}"/>
    <cellStyle name="Normal 9 3 3 2 3 4 6" xfId="50639" xr:uid="{00000000-0005-0000-0000-000029C50000}"/>
    <cellStyle name="Normal 9 3 3 2 3 5" xfId="50640" xr:uid="{00000000-0005-0000-0000-00002AC50000}"/>
    <cellStyle name="Normal 9 3 3 2 3 5 2" xfId="50641" xr:uid="{00000000-0005-0000-0000-00002BC50000}"/>
    <cellStyle name="Normal 9 3 3 2 3 5 3" xfId="50642" xr:uid="{00000000-0005-0000-0000-00002CC50000}"/>
    <cellStyle name="Normal 9 3 3 2 3 6" xfId="50643" xr:uid="{00000000-0005-0000-0000-00002DC50000}"/>
    <cellStyle name="Normal 9 3 3 2 3 7" xfId="50644" xr:uid="{00000000-0005-0000-0000-00002EC50000}"/>
    <cellStyle name="Normal 9 3 3 2 3 8" xfId="50645" xr:uid="{00000000-0005-0000-0000-00002FC50000}"/>
    <cellStyle name="Normal 9 3 3 2 3 9" xfId="50646" xr:uid="{00000000-0005-0000-0000-000030C50000}"/>
    <cellStyle name="Normal 9 3 3 2 4" xfId="50647" xr:uid="{00000000-0005-0000-0000-000031C50000}"/>
    <cellStyle name="Normal 9 3 3 2 4 2" xfId="50648" xr:uid="{00000000-0005-0000-0000-000032C50000}"/>
    <cellStyle name="Normal 9 3 3 2 4 2 2" xfId="50649" xr:uid="{00000000-0005-0000-0000-000033C50000}"/>
    <cellStyle name="Normal 9 3 3 2 4 2 2 2" xfId="50650" xr:uid="{00000000-0005-0000-0000-000034C50000}"/>
    <cellStyle name="Normal 9 3 3 2 4 2 2 3" xfId="50651" xr:uid="{00000000-0005-0000-0000-000035C50000}"/>
    <cellStyle name="Normal 9 3 3 2 4 2 3" xfId="50652" xr:uid="{00000000-0005-0000-0000-000036C50000}"/>
    <cellStyle name="Normal 9 3 3 2 4 2 4" xfId="50653" xr:uid="{00000000-0005-0000-0000-000037C50000}"/>
    <cellStyle name="Normal 9 3 3 2 4 2 5" xfId="50654" xr:uid="{00000000-0005-0000-0000-000038C50000}"/>
    <cellStyle name="Normal 9 3 3 2 4 2 6" xfId="50655" xr:uid="{00000000-0005-0000-0000-000039C50000}"/>
    <cellStyle name="Normal 9 3 3 2 4 3" xfId="50656" xr:uid="{00000000-0005-0000-0000-00003AC50000}"/>
    <cellStyle name="Normal 9 3 3 2 4 3 2" xfId="50657" xr:uid="{00000000-0005-0000-0000-00003BC50000}"/>
    <cellStyle name="Normal 9 3 3 2 4 3 3" xfId="50658" xr:uid="{00000000-0005-0000-0000-00003CC50000}"/>
    <cellStyle name="Normal 9 3 3 2 4 4" xfId="50659" xr:uid="{00000000-0005-0000-0000-00003DC50000}"/>
    <cellStyle name="Normal 9 3 3 2 4 5" xfId="50660" xr:uid="{00000000-0005-0000-0000-00003EC50000}"/>
    <cellStyle name="Normal 9 3 3 2 4 6" xfId="50661" xr:uid="{00000000-0005-0000-0000-00003FC50000}"/>
    <cellStyle name="Normal 9 3 3 2 4 7" xfId="50662" xr:uid="{00000000-0005-0000-0000-000040C50000}"/>
    <cellStyle name="Normal 9 3 3 2 5" xfId="50663" xr:uid="{00000000-0005-0000-0000-000041C50000}"/>
    <cellStyle name="Normal 9 3 3 2 5 2" xfId="50664" xr:uid="{00000000-0005-0000-0000-000042C50000}"/>
    <cellStyle name="Normal 9 3 3 2 5 2 2" xfId="50665" xr:uid="{00000000-0005-0000-0000-000043C50000}"/>
    <cellStyle name="Normal 9 3 3 2 5 2 3" xfId="50666" xr:uid="{00000000-0005-0000-0000-000044C50000}"/>
    <cellStyle name="Normal 9 3 3 2 5 3" xfId="50667" xr:uid="{00000000-0005-0000-0000-000045C50000}"/>
    <cellStyle name="Normal 9 3 3 2 5 4" xfId="50668" xr:uid="{00000000-0005-0000-0000-000046C50000}"/>
    <cellStyle name="Normal 9 3 3 2 5 5" xfId="50669" xr:uid="{00000000-0005-0000-0000-000047C50000}"/>
    <cellStyle name="Normal 9 3 3 2 5 6" xfId="50670" xr:uid="{00000000-0005-0000-0000-000048C50000}"/>
    <cellStyle name="Normal 9 3 3 2 6" xfId="50671" xr:uid="{00000000-0005-0000-0000-000049C50000}"/>
    <cellStyle name="Normal 9 3 3 2 6 2" xfId="50672" xr:uid="{00000000-0005-0000-0000-00004AC50000}"/>
    <cellStyle name="Normal 9 3 3 2 6 2 2" xfId="50673" xr:uid="{00000000-0005-0000-0000-00004BC50000}"/>
    <cellStyle name="Normal 9 3 3 2 6 2 3" xfId="50674" xr:uid="{00000000-0005-0000-0000-00004CC50000}"/>
    <cellStyle name="Normal 9 3 3 2 6 3" xfId="50675" xr:uid="{00000000-0005-0000-0000-00004DC50000}"/>
    <cellStyle name="Normal 9 3 3 2 6 4" xfId="50676" xr:uid="{00000000-0005-0000-0000-00004EC50000}"/>
    <cellStyle name="Normal 9 3 3 2 6 5" xfId="50677" xr:uid="{00000000-0005-0000-0000-00004FC50000}"/>
    <cellStyle name="Normal 9 3 3 2 6 6" xfId="50678" xr:uid="{00000000-0005-0000-0000-000050C50000}"/>
    <cellStyle name="Normal 9 3 3 2 7" xfId="50679" xr:uid="{00000000-0005-0000-0000-000051C50000}"/>
    <cellStyle name="Normal 9 3 3 2 7 2" xfId="50680" xr:uid="{00000000-0005-0000-0000-000052C50000}"/>
    <cellStyle name="Normal 9 3 3 2 7 2 2" xfId="50681" xr:uid="{00000000-0005-0000-0000-000053C50000}"/>
    <cellStyle name="Normal 9 3 3 2 7 2 3" xfId="50682" xr:uid="{00000000-0005-0000-0000-000054C50000}"/>
    <cellStyle name="Normal 9 3 3 2 7 3" xfId="50683" xr:uid="{00000000-0005-0000-0000-000055C50000}"/>
    <cellStyle name="Normal 9 3 3 2 7 4" xfId="50684" xr:uid="{00000000-0005-0000-0000-000056C50000}"/>
    <cellStyle name="Normal 9 3 3 2 7 5" xfId="50685" xr:uid="{00000000-0005-0000-0000-000057C50000}"/>
    <cellStyle name="Normal 9 3 3 2 7 6" xfId="50686" xr:uid="{00000000-0005-0000-0000-000058C50000}"/>
    <cellStyle name="Normal 9 3 3 2 8" xfId="50687" xr:uid="{00000000-0005-0000-0000-000059C50000}"/>
    <cellStyle name="Normal 9 3 3 2 8 2" xfId="50688" xr:uid="{00000000-0005-0000-0000-00005AC50000}"/>
    <cellStyle name="Normal 9 3 3 2 8 2 2" xfId="50689" xr:uid="{00000000-0005-0000-0000-00005BC50000}"/>
    <cellStyle name="Normal 9 3 3 2 8 2 3" xfId="50690" xr:uid="{00000000-0005-0000-0000-00005CC50000}"/>
    <cellStyle name="Normal 9 3 3 2 8 3" xfId="50691" xr:uid="{00000000-0005-0000-0000-00005DC50000}"/>
    <cellStyle name="Normal 9 3 3 2 8 4" xfId="50692" xr:uid="{00000000-0005-0000-0000-00005EC50000}"/>
    <cellStyle name="Normal 9 3 3 2 8 5" xfId="50693" xr:uid="{00000000-0005-0000-0000-00005FC50000}"/>
    <cellStyle name="Normal 9 3 3 2 8 6" xfId="50694" xr:uid="{00000000-0005-0000-0000-000060C50000}"/>
    <cellStyle name="Normal 9 3 3 2 9" xfId="50695" xr:uid="{00000000-0005-0000-0000-000061C50000}"/>
    <cellStyle name="Normal 9 3 3 2 9 2" xfId="50696" xr:uid="{00000000-0005-0000-0000-000062C50000}"/>
    <cellStyle name="Normal 9 3 3 2 9 3" xfId="50697" xr:uid="{00000000-0005-0000-0000-000063C50000}"/>
    <cellStyle name="Normal 9 3 3 3" xfId="50698" xr:uid="{00000000-0005-0000-0000-000064C50000}"/>
    <cellStyle name="Normal 9 3 3 3 10" xfId="50699" xr:uid="{00000000-0005-0000-0000-000065C50000}"/>
    <cellStyle name="Normal 9 3 3 3 2" xfId="50700" xr:uid="{00000000-0005-0000-0000-000066C50000}"/>
    <cellStyle name="Normal 9 3 3 3 2 2" xfId="50701" xr:uid="{00000000-0005-0000-0000-000067C50000}"/>
    <cellStyle name="Normal 9 3 3 3 2 2 2" xfId="50702" xr:uid="{00000000-0005-0000-0000-000068C50000}"/>
    <cellStyle name="Normal 9 3 3 3 2 2 2 2" xfId="50703" xr:uid="{00000000-0005-0000-0000-000069C50000}"/>
    <cellStyle name="Normal 9 3 3 3 2 2 2 3" xfId="50704" xr:uid="{00000000-0005-0000-0000-00006AC50000}"/>
    <cellStyle name="Normal 9 3 3 3 2 2 3" xfId="50705" xr:uid="{00000000-0005-0000-0000-00006BC50000}"/>
    <cellStyle name="Normal 9 3 3 3 2 2 4" xfId="50706" xr:uid="{00000000-0005-0000-0000-00006CC50000}"/>
    <cellStyle name="Normal 9 3 3 3 2 2 5" xfId="50707" xr:uid="{00000000-0005-0000-0000-00006DC50000}"/>
    <cellStyle name="Normal 9 3 3 3 2 2 6" xfId="50708" xr:uid="{00000000-0005-0000-0000-00006EC50000}"/>
    <cellStyle name="Normal 9 3 3 3 2 3" xfId="50709" xr:uid="{00000000-0005-0000-0000-00006FC50000}"/>
    <cellStyle name="Normal 9 3 3 3 2 3 2" xfId="50710" xr:uid="{00000000-0005-0000-0000-000070C50000}"/>
    <cellStyle name="Normal 9 3 3 3 2 3 2 2" xfId="50711" xr:uid="{00000000-0005-0000-0000-000071C50000}"/>
    <cellStyle name="Normal 9 3 3 3 2 3 2 3" xfId="50712" xr:uid="{00000000-0005-0000-0000-000072C50000}"/>
    <cellStyle name="Normal 9 3 3 3 2 3 3" xfId="50713" xr:uid="{00000000-0005-0000-0000-000073C50000}"/>
    <cellStyle name="Normal 9 3 3 3 2 3 4" xfId="50714" xr:uid="{00000000-0005-0000-0000-000074C50000}"/>
    <cellStyle name="Normal 9 3 3 3 2 3 5" xfId="50715" xr:uid="{00000000-0005-0000-0000-000075C50000}"/>
    <cellStyle name="Normal 9 3 3 3 2 3 6" xfId="50716" xr:uid="{00000000-0005-0000-0000-000076C50000}"/>
    <cellStyle name="Normal 9 3 3 3 2 4" xfId="50717" xr:uid="{00000000-0005-0000-0000-000077C50000}"/>
    <cellStyle name="Normal 9 3 3 3 2 4 2" xfId="50718" xr:uid="{00000000-0005-0000-0000-000078C50000}"/>
    <cellStyle name="Normal 9 3 3 3 2 4 3" xfId="50719" xr:uid="{00000000-0005-0000-0000-000079C50000}"/>
    <cellStyle name="Normal 9 3 3 3 2 5" xfId="50720" xr:uid="{00000000-0005-0000-0000-00007AC50000}"/>
    <cellStyle name="Normal 9 3 3 3 2 6" xfId="50721" xr:uid="{00000000-0005-0000-0000-00007BC50000}"/>
    <cellStyle name="Normal 9 3 3 3 2 7" xfId="50722" xr:uid="{00000000-0005-0000-0000-00007CC50000}"/>
    <cellStyle name="Normal 9 3 3 3 2 8" xfId="50723" xr:uid="{00000000-0005-0000-0000-00007DC50000}"/>
    <cellStyle name="Normal 9 3 3 3 3" xfId="50724" xr:uid="{00000000-0005-0000-0000-00007EC50000}"/>
    <cellStyle name="Normal 9 3 3 3 3 2" xfId="50725" xr:uid="{00000000-0005-0000-0000-00007FC50000}"/>
    <cellStyle name="Normal 9 3 3 3 3 2 2" xfId="50726" xr:uid="{00000000-0005-0000-0000-000080C50000}"/>
    <cellStyle name="Normal 9 3 3 3 3 2 2 2" xfId="50727" xr:uid="{00000000-0005-0000-0000-000081C50000}"/>
    <cellStyle name="Normal 9 3 3 3 3 2 2 3" xfId="50728" xr:uid="{00000000-0005-0000-0000-000082C50000}"/>
    <cellStyle name="Normal 9 3 3 3 3 2 3" xfId="50729" xr:uid="{00000000-0005-0000-0000-000083C50000}"/>
    <cellStyle name="Normal 9 3 3 3 3 2 4" xfId="50730" xr:uid="{00000000-0005-0000-0000-000084C50000}"/>
    <cellStyle name="Normal 9 3 3 3 3 2 5" xfId="50731" xr:uid="{00000000-0005-0000-0000-000085C50000}"/>
    <cellStyle name="Normal 9 3 3 3 3 2 6" xfId="50732" xr:uid="{00000000-0005-0000-0000-000086C50000}"/>
    <cellStyle name="Normal 9 3 3 3 3 3" xfId="50733" xr:uid="{00000000-0005-0000-0000-000087C50000}"/>
    <cellStyle name="Normal 9 3 3 3 3 3 2" xfId="50734" xr:uid="{00000000-0005-0000-0000-000088C50000}"/>
    <cellStyle name="Normal 9 3 3 3 3 3 3" xfId="50735" xr:uid="{00000000-0005-0000-0000-000089C50000}"/>
    <cellStyle name="Normal 9 3 3 3 3 4" xfId="50736" xr:uid="{00000000-0005-0000-0000-00008AC50000}"/>
    <cellStyle name="Normal 9 3 3 3 3 5" xfId="50737" xr:uid="{00000000-0005-0000-0000-00008BC50000}"/>
    <cellStyle name="Normal 9 3 3 3 3 6" xfId="50738" xr:uid="{00000000-0005-0000-0000-00008CC50000}"/>
    <cellStyle name="Normal 9 3 3 3 3 7" xfId="50739" xr:uid="{00000000-0005-0000-0000-00008DC50000}"/>
    <cellStyle name="Normal 9 3 3 3 4" xfId="50740" xr:uid="{00000000-0005-0000-0000-00008EC50000}"/>
    <cellStyle name="Normal 9 3 3 3 4 2" xfId="50741" xr:uid="{00000000-0005-0000-0000-00008FC50000}"/>
    <cellStyle name="Normal 9 3 3 3 4 2 2" xfId="50742" xr:uid="{00000000-0005-0000-0000-000090C50000}"/>
    <cellStyle name="Normal 9 3 3 3 4 2 3" xfId="50743" xr:uid="{00000000-0005-0000-0000-000091C50000}"/>
    <cellStyle name="Normal 9 3 3 3 4 3" xfId="50744" xr:uid="{00000000-0005-0000-0000-000092C50000}"/>
    <cellStyle name="Normal 9 3 3 3 4 4" xfId="50745" xr:uid="{00000000-0005-0000-0000-000093C50000}"/>
    <cellStyle name="Normal 9 3 3 3 4 5" xfId="50746" xr:uid="{00000000-0005-0000-0000-000094C50000}"/>
    <cellStyle name="Normal 9 3 3 3 4 6" xfId="50747" xr:uid="{00000000-0005-0000-0000-000095C50000}"/>
    <cellStyle name="Normal 9 3 3 3 5" xfId="50748" xr:uid="{00000000-0005-0000-0000-000096C50000}"/>
    <cellStyle name="Normal 9 3 3 3 5 2" xfId="50749" xr:uid="{00000000-0005-0000-0000-000097C50000}"/>
    <cellStyle name="Normal 9 3 3 3 5 2 2" xfId="50750" xr:uid="{00000000-0005-0000-0000-000098C50000}"/>
    <cellStyle name="Normal 9 3 3 3 5 2 3" xfId="50751" xr:uid="{00000000-0005-0000-0000-000099C50000}"/>
    <cellStyle name="Normal 9 3 3 3 5 3" xfId="50752" xr:uid="{00000000-0005-0000-0000-00009AC50000}"/>
    <cellStyle name="Normal 9 3 3 3 5 4" xfId="50753" xr:uid="{00000000-0005-0000-0000-00009BC50000}"/>
    <cellStyle name="Normal 9 3 3 3 5 5" xfId="50754" xr:uid="{00000000-0005-0000-0000-00009CC50000}"/>
    <cellStyle name="Normal 9 3 3 3 5 6" xfId="50755" xr:uid="{00000000-0005-0000-0000-00009DC50000}"/>
    <cellStyle name="Normal 9 3 3 3 6" xfId="50756" xr:uid="{00000000-0005-0000-0000-00009EC50000}"/>
    <cellStyle name="Normal 9 3 3 3 6 2" xfId="50757" xr:uid="{00000000-0005-0000-0000-00009FC50000}"/>
    <cellStyle name="Normal 9 3 3 3 6 3" xfId="50758" xr:uid="{00000000-0005-0000-0000-0000A0C50000}"/>
    <cellStyle name="Normal 9 3 3 3 7" xfId="50759" xr:uid="{00000000-0005-0000-0000-0000A1C50000}"/>
    <cellStyle name="Normal 9 3 3 3 8" xfId="50760" xr:uid="{00000000-0005-0000-0000-0000A2C50000}"/>
    <cellStyle name="Normal 9 3 3 3 9" xfId="50761" xr:uid="{00000000-0005-0000-0000-0000A3C50000}"/>
    <cellStyle name="Normal 9 3 3 4" xfId="50762" xr:uid="{00000000-0005-0000-0000-0000A4C50000}"/>
    <cellStyle name="Normal 9 3 3 4 2" xfId="50763" xr:uid="{00000000-0005-0000-0000-0000A5C50000}"/>
    <cellStyle name="Normal 9 3 3 4 2 2" xfId="50764" xr:uid="{00000000-0005-0000-0000-0000A6C50000}"/>
    <cellStyle name="Normal 9 3 3 4 2 2 2" xfId="50765" xr:uid="{00000000-0005-0000-0000-0000A7C50000}"/>
    <cellStyle name="Normal 9 3 3 4 2 2 2 2" xfId="50766" xr:uid="{00000000-0005-0000-0000-0000A8C50000}"/>
    <cellStyle name="Normal 9 3 3 4 2 2 2 3" xfId="50767" xr:uid="{00000000-0005-0000-0000-0000A9C50000}"/>
    <cellStyle name="Normal 9 3 3 4 2 2 3" xfId="50768" xr:uid="{00000000-0005-0000-0000-0000AAC50000}"/>
    <cellStyle name="Normal 9 3 3 4 2 2 4" xfId="50769" xr:uid="{00000000-0005-0000-0000-0000ABC50000}"/>
    <cellStyle name="Normal 9 3 3 4 2 2 5" xfId="50770" xr:uid="{00000000-0005-0000-0000-0000ACC50000}"/>
    <cellStyle name="Normal 9 3 3 4 2 2 6" xfId="50771" xr:uid="{00000000-0005-0000-0000-0000ADC50000}"/>
    <cellStyle name="Normal 9 3 3 4 2 3" xfId="50772" xr:uid="{00000000-0005-0000-0000-0000AEC50000}"/>
    <cellStyle name="Normal 9 3 3 4 2 3 2" xfId="50773" xr:uid="{00000000-0005-0000-0000-0000AFC50000}"/>
    <cellStyle name="Normal 9 3 3 4 2 3 3" xfId="50774" xr:uid="{00000000-0005-0000-0000-0000B0C50000}"/>
    <cellStyle name="Normal 9 3 3 4 2 4" xfId="50775" xr:uid="{00000000-0005-0000-0000-0000B1C50000}"/>
    <cellStyle name="Normal 9 3 3 4 2 5" xfId="50776" xr:uid="{00000000-0005-0000-0000-0000B2C50000}"/>
    <cellStyle name="Normal 9 3 3 4 2 6" xfId="50777" xr:uid="{00000000-0005-0000-0000-0000B3C50000}"/>
    <cellStyle name="Normal 9 3 3 4 2 7" xfId="50778" xr:uid="{00000000-0005-0000-0000-0000B4C50000}"/>
    <cellStyle name="Normal 9 3 3 4 3" xfId="50779" xr:uid="{00000000-0005-0000-0000-0000B5C50000}"/>
    <cellStyle name="Normal 9 3 3 4 3 2" xfId="50780" xr:uid="{00000000-0005-0000-0000-0000B6C50000}"/>
    <cellStyle name="Normal 9 3 3 4 3 2 2" xfId="50781" xr:uid="{00000000-0005-0000-0000-0000B7C50000}"/>
    <cellStyle name="Normal 9 3 3 4 3 2 3" xfId="50782" xr:uid="{00000000-0005-0000-0000-0000B8C50000}"/>
    <cellStyle name="Normal 9 3 3 4 3 3" xfId="50783" xr:uid="{00000000-0005-0000-0000-0000B9C50000}"/>
    <cellStyle name="Normal 9 3 3 4 3 4" xfId="50784" xr:uid="{00000000-0005-0000-0000-0000BAC50000}"/>
    <cellStyle name="Normal 9 3 3 4 3 5" xfId="50785" xr:uid="{00000000-0005-0000-0000-0000BBC50000}"/>
    <cellStyle name="Normal 9 3 3 4 3 6" xfId="50786" xr:uid="{00000000-0005-0000-0000-0000BCC50000}"/>
    <cellStyle name="Normal 9 3 3 4 4" xfId="50787" xr:uid="{00000000-0005-0000-0000-0000BDC50000}"/>
    <cellStyle name="Normal 9 3 3 4 4 2" xfId="50788" xr:uid="{00000000-0005-0000-0000-0000BEC50000}"/>
    <cellStyle name="Normal 9 3 3 4 4 2 2" xfId="50789" xr:uid="{00000000-0005-0000-0000-0000BFC50000}"/>
    <cellStyle name="Normal 9 3 3 4 4 2 3" xfId="50790" xr:uid="{00000000-0005-0000-0000-0000C0C50000}"/>
    <cellStyle name="Normal 9 3 3 4 4 3" xfId="50791" xr:uid="{00000000-0005-0000-0000-0000C1C50000}"/>
    <cellStyle name="Normal 9 3 3 4 4 4" xfId="50792" xr:uid="{00000000-0005-0000-0000-0000C2C50000}"/>
    <cellStyle name="Normal 9 3 3 4 4 5" xfId="50793" xr:uid="{00000000-0005-0000-0000-0000C3C50000}"/>
    <cellStyle name="Normal 9 3 3 4 4 6" xfId="50794" xr:uid="{00000000-0005-0000-0000-0000C4C50000}"/>
    <cellStyle name="Normal 9 3 3 4 5" xfId="50795" xr:uid="{00000000-0005-0000-0000-0000C5C50000}"/>
    <cellStyle name="Normal 9 3 3 4 5 2" xfId="50796" xr:uid="{00000000-0005-0000-0000-0000C6C50000}"/>
    <cellStyle name="Normal 9 3 3 4 5 3" xfId="50797" xr:uid="{00000000-0005-0000-0000-0000C7C50000}"/>
    <cellStyle name="Normal 9 3 3 4 6" xfId="50798" xr:uid="{00000000-0005-0000-0000-0000C8C50000}"/>
    <cellStyle name="Normal 9 3 3 4 7" xfId="50799" xr:uid="{00000000-0005-0000-0000-0000C9C50000}"/>
    <cellStyle name="Normal 9 3 3 4 8" xfId="50800" xr:uid="{00000000-0005-0000-0000-0000CAC50000}"/>
    <cellStyle name="Normal 9 3 3 4 9" xfId="50801" xr:uid="{00000000-0005-0000-0000-0000CBC50000}"/>
    <cellStyle name="Normal 9 3 3 5" xfId="50802" xr:uid="{00000000-0005-0000-0000-0000CCC50000}"/>
    <cellStyle name="Normal 9 3 3 5 2" xfId="50803" xr:uid="{00000000-0005-0000-0000-0000CDC50000}"/>
    <cellStyle name="Normal 9 3 3 5 2 2" xfId="50804" xr:uid="{00000000-0005-0000-0000-0000CEC50000}"/>
    <cellStyle name="Normal 9 3 3 5 2 2 2" xfId="50805" xr:uid="{00000000-0005-0000-0000-0000CFC50000}"/>
    <cellStyle name="Normal 9 3 3 5 2 2 3" xfId="50806" xr:uid="{00000000-0005-0000-0000-0000D0C50000}"/>
    <cellStyle name="Normal 9 3 3 5 2 3" xfId="50807" xr:uid="{00000000-0005-0000-0000-0000D1C50000}"/>
    <cellStyle name="Normal 9 3 3 5 2 4" xfId="50808" xr:uid="{00000000-0005-0000-0000-0000D2C50000}"/>
    <cellStyle name="Normal 9 3 3 5 2 5" xfId="50809" xr:uid="{00000000-0005-0000-0000-0000D3C50000}"/>
    <cellStyle name="Normal 9 3 3 5 2 6" xfId="50810" xr:uid="{00000000-0005-0000-0000-0000D4C50000}"/>
    <cellStyle name="Normal 9 3 3 5 3" xfId="50811" xr:uid="{00000000-0005-0000-0000-0000D5C50000}"/>
    <cellStyle name="Normal 9 3 3 5 3 2" xfId="50812" xr:uid="{00000000-0005-0000-0000-0000D6C50000}"/>
    <cellStyle name="Normal 9 3 3 5 3 3" xfId="50813" xr:uid="{00000000-0005-0000-0000-0000D7C50000}"/>
    <cellStyle name="Normal 9 3 3 5 4" xfId="50814" xr:uid="{00000000-0005-0000-0000-0000D8C50000}"/>
    <cellStyle name="Normal 9 3 3 5 5" xfId="50815" xr:uid="{00000000-0005-0000-0000-0000D9C50000}"/>
    <cellStyle name="Normal 9 3 3 5 6" xfId="50816" xr:uid="{00000000-0005-0000-0000-0000DAC50000}"/>
    <cellStyle name="Normal 9 3 3 5 7" xfId="50817" xr:uid="{00000000-0005-0000-0000-0000DBC50000}"/>
    <cellStyle name="Normal 9 3 3 6" xfId="50818" xr:uid="{00000000-0005-0000-0000-0000DCC50000}"/>
    <cellStyle name="Normal 9 3 3 6 2" xfId="50819" xr:uid="{00000000-0005-0000-0000-0000DDC50000}"/>
    <cellStyle name="Normal 9 3 3 6 2 2" xfId="50820" xr:uid="{00000000-0005-0000-0000-0000DEC50000}"/>
    <cellStyle name="Normal 9 3 3 6 2 3" xfId="50821" xr:uid="{00000000-0005-0000-0000-0000DFC50000}"/>
    <cellStyle name="Normal 9 3 3 6 3" xfId="50822" xr:uid="{00000000-0005-0000-0000-0000E0C50000}"/>
    <cellStyle name="Normal 9 3 3 6 4" xfId="50823" xr:uid="{00000000-0005-0000-0000-0000E1C50000}"/>
    <cellStyle name="Normal 9 3 3 6 5" xfId="50824" xr:uid="{00000000-0005-0000-0000-0000E2C50000}"/>
    <cellStyle name="Normal 9 3 3 6 6" xfId="50825" xr:uid="{00000000-0005-0000-0000-0000E3C50000}"/>
    <cellStyle name="Normal 9 3 3 7" xfId="50826" xr:uid="{00000000-0005-0000-0000-0000E4C50000}"/>
    <cellStyle name="Normal 9 3 3 7 2" xfId="50827" xr:uid="{00000000-0005-0000-0000-0000E5C50000}"/>
    <cellStyle name="Normal 9 3 3 7 2 2" xfId="50828" xr:uid="{00000000-0005-0000-0000-0000E6C50000}"/>
    <cellStyle name="Normal 9 3 3 7 2 3" xfId="50829" xr:uid="{00000000-0005-0000-0000-0000E7C50000}"/>
    <cellStyle name="Normal 9 3 3 7 3" xfId="50830" xr:uid="{00000000-0005-0000-0000-0000E8C50000}"/>
    <cellStyle name="Normal 9 3 3 7 4" xfId="50831" xr:uid="{00000000-0005-0000-0000-0000E9C50000}"/>
    <cellStyle name="Normal 9 3 3 7 5" xfId="50832" xr:uid="{00000000-0005-0000-0000-0000EAC50000}"/>
    <cellStyle name="Normal 9 3 3 7 6" xfId="50833" xr:uid="{00000000-0005-0000-0000-0000EBC50000}"/>
    <cellStyle name="Normal 9 3 3 8" xfId="50834" xr:uid="{00000000-0005-0000-0000-0000ECC50000}"/>
    <cellStyle name="Normal 9 3 3 8 2" xfId="50835" xr:uid="{00000000-0005-0000-0000-0000EDC50000}"/>
    <cellStyle name="Normal 9 3 3 8 2 2" xfId="50836" xr:uid="{00000000-0005-0000-0000-0000EEC50000}"/>
    <cellStyle name="Normal 9 3 3 8 2 3" xfId="50837" xr:uid="{00000000-0005-0000-0000-0000EFC50000}"/>
    <cellStyle name="Normal 9 3 3 8 3" xfId="50838" xr:uid="{00000000-0005-0000-0000-0000F0C50000}"/>
    <cellStyle name="Normal 9 3 3 8 4" xfId="50839" xr:uid="{00000000-0005-0000-0000-0000F1C50000}"/>
    <cellStyle name="Normal 9 3 3 8 5" xfId="50840" xr:uid="{00000000-0005-0000-0000-0000F2C50000}"/>
    <cellStyle name="Normal 9 3 3 8 6" xfId="50841" xr:uid="{00000000-0005-0000-0000-0000F3C50000}"/>
    <cellStyle name="Normal 9 3 3 9" xfId="50842" xr:uid="{00000000-0005-0000-0000-0000F4C50000}"/>
    <cellStyle name="Normal 9 3 3 9 2" xfId="50843" xr:uid="{00000000-0005-0000-0000-0000F5C50000}"/>
    <cellStyle name="Normal 9 3 3 9 2 2" xfId="50844" xr:uid="{00000000-0005-0000-0000-0000F6C50000}"/>
    <cellStyle name="Normal 9 3 3 9 2 3" xfId="50845" xr:uid="{00000000-0005-0000-0000-0000F7C50000}"/>
    <cellStyle name="Normal 9 3 3 9 3" xfId="50846" xr:uid="{00000000-0005-0000-0000-0000F8C50000}"/>
    <cellStyle name="Normal 9 3 3 9 4" xfId="50847" xr:uid="{00000000-0005-0000-0000-0000F9C50000}"/>
    <cellStyle name="Normal 9 3 3 9 5" xfId="50848" xr:uid="{00000000-0005-0000-0000-0000FAC50000}"/>
    <cellStyle name="Normal 9 3 3 9 6" xfId="50849" xr:uid="{00000000-0005-0000-0000-0000FBC50000}"/>
    <cellStyle name="Normal 9 3 4" xfId="50850" xr:uid="{00000000-0005-0000-0000-0000FCC50000}"/>
    <cellStyle name="Normal 9 3 4 10" xfId="50851" xr:uid="{00000000-0005-0000-0000-0000FDC50000}"/>
    <cellStyle name="Normal 9 3 4 11" xfId="50852" xr:uid="{00000000-0005-0000-0000-0000FEC50000}"/>
    <cellStyle name="Normal 9 3 4 12" xfId="50853" xr:uid="{00000000-0005-0000-0000-0000FFC50000}"/>
    <cellStyle name="Normal 9 3 4 13" xfId="50854" xr:uid="{00000000-0005-0000-0000-000000C60000}"/>
    <cellStyle name="Normal 9 3 4 2" xfId="50855" xr:uid="{00000000-0005-0000-0000-000001C60000}"/>
    <cellStyle name="Normal 9 3 4 2 10" xfId="50856" xr:uid="{00000000-0005-0000-0000-000002C60000}"/>
    <cellStyle name="Normal 9 3 4 2 2" xfId="50857" xr:uid="{00000000-0005-0000-0000-000003C60000}"/>
    <cellStyle name="Normal 9 3 4 2 2 2" xfId="50858" xr:uid="{00000000-0005-0000-0000-000004C60000}"/>
    <cellStyle name="Normal 9 3 4 2 2 2 2" xfId="50859" xr:uid="{00000000-0005-0000-0000-000005C60000}"/>
    <cellStyle name="Normal 9 3 4 2 2 2 2 2" xfId="50860" xr:uid="{00000000-0005-0000-0000-000006C60000}"/>
    <cellStyle name="Normal 9 3 4 2 2 2 2 3" xfId="50861" xr:uid="{00000000-0005-0000-0000-000007C60000}"/>
    <cellStyle name="Normal 9 3 4 2 2 2 3" xfId="50862" xr:uid="{00000000-0005-0000-0000-000008C60000}"/>
    <cellStyle name="Normal 9 3 4 2 2 2 4" xfId="50863" xr:uid="{00000000-0005-0000-0000-000009C60000}"/>
    <cellStyle name="Normal 9 3 4 2 2 2 5" xfId="50864" xr:uid="{00000000-0005-0000-0000-00000AC60000}"/>
    <cellStyle name="Normal 9 3 4 2 2 2 6" xfId="50865" xr:uid="{00000000-0005-0000-0000-00000BC60000}"/>
    <cellStyle name="Normal 9 3 4 2 2 3" xfId="50866" xr:uid="{00000000-0005-0000-0000-00000CC60000}"/>
    <cellStyle name="Normal 9 3 4 2 2 3 2" xfId="50867" xr:uid="{00000000-0005-0000-0000-00000DC60000}"/>
    <cellStyle name="Normal 9 3 4 2 2 3 2 2" xfId="50868" xr:uid="{00000000-0005-0000-0000-00000EC60000}"/>
    <cellStyle name="Normal 9 3 4 2 2 3 2 3" xfId="50869" xr:uid="{00000000-0005-0000-0000-00000FC60000}"/>
    <cellStyle name="Normal 9 3 4 2 2 3 3" xfId="50870" xr:uid="{00000000-0005-0000-0000-000010C60000}"/>
    <cellStyle name="Normal 9 3 4 2 2 3 4" xfId="50871" xr:uid="{00000000-0005-0000-0000-000011C60000}"/>
    <cellStyle name="Normal 9 3 4 2 2 3 5" xfId="50872" xr:uid="{00000000-0005-0000-0000-000012C60000}"/>
    <cellStyle name="Normal 9 3 4 2 2 3 6" xfId="50873" xr:uid="{00000000-0005-0000-0000-000013C60000}"/>
    <cellStyle name="Normal 9 3 4 2 2 4" xfId="50874" xr:uid="{00000000-0005-0000-0000-000014C60000}"/>
    <cellStyle name="Normal 9 3 4 2 2 4 2" xfId="50875" xr:uid="{00000000-0005-0000-0000-000015C60000}"/>
    <cellStyle name="Normal 9 3 4 2 2 4 3" xfId="50876" xr:uid="{00000000-0005-0000-0000-000016C60000}"/>
    <cellStyle name="Normal 9 3 4 2 2 5" xfId="50877" xr:uid="{00000000-0005-0000-0000-000017C60000}"/>
    <cellStyle name="Normal 9 3 4 2 2 6" xfId="50878" xr:uid="{00000000-0005-0000-0000-000018C60000}"/>
    <cellStyle name="Normal 9 3 4 2 2 7" xfId="50879" xr:uid="{00000000-0005-0000-0000-000019C60000}"/>
    <cellStyle name="Normal 9 3 4 2 2 8" xfId="50880" xr:uid="{00000000-0005-0000-0000-00001AC60000}"/>
    <cellStyle name="Normal 9 3 4 2 3" xfId="50881" xr:uid="{00000000-0005-0000-0000-00001BC60000}"/>
    <cellStyle name="Normal 9 3 4 2 3 2" xfId="50882" xr:uid="{00000000-0005-0000-0000-00001CC60000}"/>
    <cellStyle name="Normal 9 3 4 2 3 2 2" xfId="50883" xr:uid="{00000000-0005-0000-0000-00001DC60000}"/>
    <cellStyle name="Normal 9 3 4 2 3 2 2 2" xfId="50884" xr:uid="{00000000-0005-0000-0000-00001EC60000}"/>
    <cellStyle name="Normal 9 3 4 2 3 2 2 3" xfId="50885" xr:uid="{00000000-0005-0000-0000-00001FC60000}"/>
    <cellStyle name="Normal 9 3 4 2 3 2 3" xfId="50886" xr:uid="{00000000-0005-0000-0000-000020C60000}"/>
    <cellStyle name="Normal 9 3 4 2 3 2 4" xfId="50887" xr:uid="{00000000-0005-0000-0000-000021C60000}"/>
    <cellStyle name="Normal 9 3 4 2 3 2 5" xfId="50888" xr:uid="{00000000-0005-0000-0000-000022C60000}"/>
    <cellStyle name="Normal 9 3 4 2 3 2 6" xfId="50889" xr:uid="{00000000-0005-0000-0000-000023C60000}"/>
    <cellStyle name="Normal 9 3 4 2 3 3" xfId="50890" xr:uid="{00000000-0005-0000-0000-000024C60000}"/>
    <cellStyle name="Normal 9 3 4 2 3 3 2" xfId="50891" xr:uid="{00000000-0005-0000-0000-000025C60000}"/>
    <cellStyle name="Normal 9 3 4 2 3 3 3" xfId="50892" xr:uid="{00000000-0005-0000-0000-000026C60000}"/>
    <cellStyle name="Normal 9 3 4 2 3 4" xfId="50893" xr:uid="{00000000-0005-0000-0000-000027C60000}"/>
    <cellStyle name="Normal 9 3 4 2 3 5" xfId="50894" xr:uid="{00000000-0005-0000-0000-000028C60000}"/>
    <cellStyle name="Normal 9 3 4 2 3 6" xfId="50895" xr:uid="{00000000-0005-0000-0000-000029C60000}"/>
    <cellStyle name="Normal 9 3 4 2 3 7" xfId="50896" xr:uid="{00000000-0005-0000-0000-00002AC60000}"/>
    <cellStyle name="Normal 9 3 4 2 4" xfId="50897" xr:uid="{00000000-0005-0000-0000-00002BC60000}"/>
    <cellStyle name="Normal 9 3 4 2 4 2" xfId="50898" xr:uid="{00000000-0005-0000-0000-00002CC60000}"/>
    <cellStyle name="Normal 9 3 4 2 4 2 2" xfId="50899" xr:uid="{00000000-0005-0000-0000-00002DC60000}"/>
    <cellStyle name="Normal 9 3 4 2 4 2 3" xfId="50900" xr:uid="{00000000-0005-0000-0000-00002EC60000}"/>
    <cellStyle name="Normal 9 3 4 2 4 3" xfId="50901" xr:uid="{00000000-0005-0000-0000-00002FC60000}"/>
    <cellStyle name="Normal 9 3 4 2 4 4" xfId="50902" xr:uid="{00000000-0005-0000-0000-000030C60000}"/>
    <cellStyle name="Normal 9 3 4 2 4 5" xfId="50903" xr:uid="{00000000-0005-0000-0000-000031C60000}"/>
    <cellStyle name="Normal 9 3 4 2 4 6" xfId="50904" xr:uid="{00000000-0005-0000-0000-000032C60000}"/>
    <cellStyle name="Normal 9 3 4 2 5" xfId="50905" xr:uid="{00000000-0005-0000-0000-000033C60000}"/>
    <cellStyle name="Normal 9 3 4 2 5 2" xfId="50906" xr:uid="{00000000-0005-0000-0000-000034C60000}"/>
    <cellStyle name="Normal 9 3 4 2 5 2 2" xfId="50907" xr:uid="{00000000-0005-0000-0000-000035C60000}"/>
    <cellStyle name="Normal 9 3 4 2 5 2 3" xfId="50908" xr:uid="{00000000-0005-0000-0000-000036C60000}"/>
    <cellStyle name="Normal 9 3 4 2 5 3" xfId="50909" xr:uid="{00000000-0005-0000-0000-000037C60000}"/>
    <cellStyle name="Normal 9 3 4 2 5 4" xfId="50910" xr:uid="{00000000-0005-0000-0000-000038C60000}"/>
    <cellStyle name="Normal 9 3 4 2 5 5" xfId="50911" xr:uid="{00000000-0005-0000-0000-000039C60000}"/>
    <cellStyle name="Normal 9 3 4 2 5 6" xfId="50912" xr:uid="{00000000-0005-0000-0000-00003AC60000}"/>
    <cellStyle name="Normal 9 3 4 2 6" xfId="50913" xr:uid="{00000000-0005-0000-0000-00003BC60000}"/>
    <cellStyle name="Normal 9 3 4 2 6 2" xfId="50914" xr:uid="{00000000-0005-0000-0000-00003CC60000}"/>
    <cellStyle name="Normal 9 3 4 2 6 3" xfId="50915" xr:uid="{00000000-0005-0000-0000-00003DC60000}"/>
    <cellStyle name="Normal 9 3 4 2 7" xfId="50916" xr:uid="{00000000-0005-0000-0000-00003EC60000}"/>
    <cellStyle name="Normal 9 3 4 2 8" xfId="50917" xr:uid="{00000000-0005-0000-0000-00003FC60000}"/>
    <cellStyle name="Normal 9 3 4 2 9" xfId="50918" xr:uid="{00000000-0005-0000-0000-000040C60000}"/>
    <cellStyle name="Normal 9 3 4 3" xfId="50919" xr:uid="{00000000-0005-0000-0000-000041C60000}"/>
    <cellStyle name="Normal 9 3 4 3 2" xfId="50920" xr:uid="{00000000-0005-0000-0000-000042C60000}"/>
    <cellStyle name="Normal 9 3 4 3 2 2" xfId="50921" xr:uid="{00000000-0005-0000-0000-000043C60000}"/>
    <cellStyle name="Normal 9 3 4 3 2 2 2" xfId="50922" xr:uid="{00000000-0005-0000-0000-000044C60000}"/>
    <cellStyle name="Normal 9 3 4 3 2 2 2 2" xfId="50923" xr:uid="{00000000-0005-0000-0000-000045C60000}"/>
    <cellStyle name="Normal 9 3 4 3 2 2 2 3" xfId="50924" xr:uid="{00000000-0005-0000-0000-000046C60000}"/>
    <cellStyle name="Normal 9 3 4 3 2 2 3" xfId="50925" xr:uid="{00000000-0005-0000-0000-000047C60000}"/>
    <cellStyle name="Normal 9 3 4 3 2 2 4" xfId="50926" xr:uid="{00000000-0005-0000-0000-000048C60000}"/>
    <cellStyle name="Normal 9 3 4 3 2 2 5" xfId="50927" xr:uid="{00000000-0005-0000-0000-000049C60000}"/>
    <cellStyle name="Normal 9 3 4 3 2 2 6" xfId="50928" xr:uid="{00000000-0005-0000-0000-00004AC60000}"/>
    <cellStyle name="Normal 9 3 4 3 2 3" xfId="50929" xr:uid="{00000000-0005-0000-0000-00004BC60000}"/>
    <cellStyle name="Normal 9 3 4 3 2 3 2" xfId="50930" xr:uid="{00000000-0005-0000-0000-00004CC60000}"/>
    <cellStyle name="Normal 9 3 4 3 2 3 3" xfId="50931" xr:uid="{00000000-0005-0000-0000-00004DC60000}"/>
    <cellStyle name="Normal 9 3 4 3 2 4" xfId="50932" xr:uid="{00000000-0005-0000-0000-00004EC60000}"/>
    <cellStyle name="Normal 9 3 4 3 2 5" xfId="50933" xr:uid="{00000000-0005-0000-0000-00004FC60000}"/>
    <cellStyle name="Normal 9 3 4 3 2 6" xfId="50934" xr:uid="{00000000-0005-0000-0000-000050C60000}"/>
    <cellStyle name="Normal 9 3 4 3 2 7" xfId="50935" xr:uid="{00000000-0005-0000-0000-000051C60000}"/>
    <cellStyle name="Normal 9 3 4 3 3" xfId="50936" xr:uid="{00000000-0005-0000-0000-000052C60000}"/>
    <cellStyle name="Normal 9 3 4 3 3 2" xfId="50937" xr:uid="{00000000-0005-0000-0000-000053C60000}"/>
    <cellStyle name="Normal 9 3 4 3 3 2 2" xfId="50938" xr:uid="{00000000-0005-0000-0000-000054C60000}"/>
    <cellStyle name="Normal 9 3 4 3 3 2 3" xfId="50939" xr:uid="{00000000-0005-0000-0000-000055C60000}"/>
    <cellStyle name="Normal 9 3 4 3 3 3" xfId="50940" xr:uid="{00000000-0005-0000-0000-000056C60000}"/>
    <cellStyle name="Normal 9 3 4 3 3 4" xfId="50941" xr:uid="{00000000-0005-0000-0000-000057C60000}"/>
    <cellStyle name="Normal 9 3 4 3 3 5" xfId="50942" xr:uid="{00000000-0005-0000-0000-000058C60000}"/>
    <cellStyle name="Normal 9 3 4 3 3 6" xfId="50943" xr:uid="{00000000-0005-0000-0000-000059C60000}"/>
    <cellStyle name="Normal 9 3 4 3 4" xfId="50944" xr:uid="{00000000-0005-0000-0000-00005AC60000}"/>
    <cellStyle name="Normal 9 3 4 3 4 2" xfId="50945" xr:uid="{00000000-0005-0000-0000-00005BC60000}"/>
    <cellStyle name="Normal 9 3 4 3 4 2 2" xfId="50946" xr:uid="{00000000-0005-0000-0000-00005CC60000}"/>
    <cellStyle name="Normal 9 3 4 3 4 2 3" xfId="50947" xr:uid="{00000000-0005-0000-0000-00005DC60000}"/>
    <cellStyle name="Normal 9 3 4 3 4 3" xfId="50948" xr:uid="{00000000-0005-0000-0000-00005EC60000}"/>
    <cellStyle name="Normal 9 3 4 3 4 4" xfId="50949" xr:uid="{00000000-0005-0000-0000-00005FC60000}"/>
    <cellStyle name="Normal 9 3 4 3 4 5" xfId="50950" xr:uid="{00000000-0005-0000-0000-000060C60000}"/>
    <cellStyle name="Normal 9 3 4 3 4 6" xfId="50951" xr:uid="{00000000-0005-0000-0000-000061C60000}"/>
    <cellStyle name="Normal 9 3 4 3 5" xfId="50952" xr:uid="{00000000-0005-0000-0000-000062C60000}"/>
    <cellStyle name="Normal 9 3 4 3 5 2" xfId="50953" xr:uid="{00000000-0005-0000-0000-000063C60000}"/>
    <cellStyle name="Normal 9 3 4 3 5 3" xfId="50954" xr:uid="{00000000-0005-0000-0000-000064C60000}"/>
    <cellStyle name="Normal 9 3 4 3 6" xfId="50955" xr:uid="{00000000-0005-0000-0000-000065C60000}"/>
    <cellStyle name="Normal 9 3 4 3 7" xfId="50956" xr:uid="{00000000-0005-0000-0000-000066C60000}"/>
    <cellStyle name="Normal 9 3 4 3 8" xfId="50957" xr:uid="{00000000-0005-0000-0000-000067C60000}"/>
    <cellStyle name="Normal 9 3 4 3 9" xfId="50958" xr:uid="{00000000-0005-0000-0000-000068C60000}"/>
    <cellStyle name="Normal 9 3 4 4" xfId="50959" xr:uid="{00000000-0005-0000-0000-000069C60000}"/>
    <cellStyle name="Normal 9 3 4 4 2" xfId="50960" xr:uid="{00000000-0005-0000-0000-00006AC60000}"/>
    <cellStyle name="Normal 9 3 4 4 2 2" xfId="50961" xr:uid="{00000000-0005-0000-0000-00006BC60000}"/>
    <cellStyle name="Normal 9 3 4 4 2 2 2" xfId="50962" xr:uid="{00000000-0005-0000-0000-00006CC60000}"/>
    <cellStyle name="Normal 9 3 4 4 2 2 3" xfId="50963" xr:uid="{00000000-0005-0000-0000-00006DC60000}"/>
    <cellStyle name="Normal 9 3 4 4 2 3" xfId="50964" xr:uid="{00000000-0005-0000-0000-00006EC60000}"/>
    <cellStyle name="Normal 9 3 4 4 2 4" xfId="50965" xr:uid="{00000000-0005-0000-0000-00006FC60000}"/>
    <cellStyle name="Normal 9 3 4 4 2 5" xfId="50966" xr:uid="{00000000-0005-0000-0000-000070C60000}"/>
    <cellStyle name="Normal 9 3 4 4 2 6" xfId="50967" xr:uid="{00000000-0005-0000-0000-000071C60000}"/>
    <cellStyle name="Normal 9 3 4 4 3" xfId="50968" xr:uid="{00000000-0005-0000-0000-000072C60000}"/>
    <cellStyle name="Normal 9 3 4 4 3 2" xfId="50969" xr:uid="{00000000-0005-0000-0000-000073C60000}"/>
    <cellStyle name="Normal 9 3 4 4 3 3" xfId="50970" xr:uid="{00000000-0005-0000-0000-000074C60000}"/>
    <cellStyle name="Normal 9 3 4 4 4" xfId="50971" xr:uid="{00000000-0005-0000-0000-000075C60000}"/>
    <cellStyle name="Normal 9 3 4 4 5" xfId="50972" xr:uid="{00000000-0005-0000-0000-000076C60000}"/>
    <cellStyle name="Normal 9 3 4 4 6" xfId="50973" xr:uid="{00000000-0005-0000-0000-000077C60000}"/>
    <cellStyle name="Normal 9 3 4 4 7" xfId="50974" xr:uid="{00000000-0005-0000-0000-000078C60000}"/>
    <cellStyle name="Normal 9 3 4 5" xfId="50975" xr:uid="{00000000-0005-0000-0000-000079C60000}"/>
    <cellStyle name="Normal 9 3 4 5 2" xfId="50976" xr:uid="{00000000-0005-0000-0000-00007AC60000}"/>
    <cellStyle name="Normal 9 3 4 5 2 2" xfId="50977" xr:uid="{00000000-0005-0000-0000-00007BC60000}"/>
    <cellStyle name="Normal 9 3 4 5 2 3" xfId="50978" xr:uid="{00000000-0005-0000-0000-00007CC60000}"/>
    <cellStyle name="Normal 9 3 4 5 3" xfId="50979" xr:uid="{00000000-0005-0000-0000-00007DC60000}"/>
    <cellStyle name="Normal 9 3 4 5 4" xfId="50980" xr:uid="{00000000-0005-0000-0000-00007EC60000}"/>
    <cellStyle name="Normal 9 3 4 5 5" xfId="50981" xr:uid="{00000000-0005-0000-0000-00007FC60000}"/>
    <cellStyle name="Normal 9 3 4 5 6" xfId="50982" xr:uid="{00000000-0005-0000-0000-000080C60000}"/>
    <cellStyle name="Normal 9 3 4 6" xfId="50983" xr:uid="{00000000-0005-0000-0000-000081C60000}"/>
    <cellStyle name="Normal 9 3 4 6 2" xfId="50984" xr:uid="{00000000-0005-0000-0000-000082C60000}"/>
    <cellStyle name="Normal 9 3 4 6 2 2" xfId="50985" xr:uid="{00000000-0005-0000-0000-000083C60000}"/>
    <cellStyle name="Normal 9 3 4 6 2 3" xfId="50986" xr:uid="{00000000-0005-0000-0000-000084C60000}"/>
    <cellStyle name="Normal 9 3 4 6 3" xfId="50987" xr:uid="{00000000-0005-0000-0000-000085C60000}"/>
    <cellStyle name="Normal 9 3 4 6 4" xfId="50988" xr:uid="{00000000-0005-0000-0000-000086C60000}"/>
    <cellStyle name="Normal 9 3 4 6 5" xfId="50989" xr:uid="{00000000-0005-0000-0000-000087C60000}"/>
    <cellStyle name="Normal 9 3 4 6 6" xfId="50990" xr:uid="{00000000-0005-0000-0000-000088C60000}"/>
    <cellStyle name="Normal 9 3 4 7" xfId="50991" xr:uid="{00000000-0005-0000-0000-000089C60000}"/>
    <cellStyle name="Normal 9 3 4 7 2" xfId="50992" xr:uid="{00000000-0005-0000-0000-00008AC60000}"/>
    <cellStyle name="Normal 9 3 4 7 2 2" xfId="50993" xr:uid="{00000000-0005-0000-0000-00008BC60000}"/>
    <cellStyle name="Normal 9 3 4 7 2 3" xfId="50994" xr:uid="{00000000-0005-0000-0000-00008CC60000}"/>
    <cellStyle name="Normal 9 3 4 7 3" xfId="50995" xr:uid="{00000000-0005-0000-0000-00008DC60000}"/>
    <cellStyle name="Normal 9 3 4 7 4" xfId="50996" xr:uid="{00000000-0005-0000-0000-00008EC60000}"/>
    <cellStyle name="Normal 9 3 4 7 5" xfId="50997" xr:uid="{00000000-0005-0000-0000-00008FC60000}"/>
    <cellStyle name="Normal 9 3 4 7 6" xfId="50998" xr:uid="{00000000-0005-0000-0000-000090C60000}"/>
    <cellStyle name="Normal 9 3 4 8" xfId="50999" xr:uid="{00000000-0005-0000-0000-000091C60000}"/>
    <cellStyle name="Normal 9 3 4 8 2" xfId="51000" xr:uid="{00000000-0005-0000-0000-000092C60000}"/>
    <cellStyle name="Normal 9 3 4 8 2 2" xfId="51001" xr:uid="{00000000-0005-0000-0000-000093C60000}"/>
    <cellStyle name="Normal 9 3 4 8 2 3" xfId="51002" xr:uid="{00000000-0005-0000-0000-000094C60000}"/>
    <cellStyle name="Normal 9 3 4 8 3" xfId="51003" xr:uid="{00000000-0005-0000-0000-000095C60000}"/>
    <cellStyle name="Normal 9 3 4 8 4" xfId="51004" xr:uid="{00000000-0005-0000-0000-000096C60000}"/>
    <cellStyle name="Normal 9 3 4 8 5" xfId="51005" xr:uid="{00000000-0005-0000-0000-000097C60000}"/>
    <cellStyle name="Normal 9 3 4 8 6" xfId="51006" xr:uid="{00000000-0005-0000-0000-000098C60000}"/>
    <cellStyle name="Normal 9 3 4 9" xfId="51007" xr:uid="{00000000-0005-0000-0000-000099C60000}"/>
    <cellStyle name="Normal 9 3 4 9 2" xfId="51008" xr:uid="{00000000-0005-0000-0000-00009AC60000}"/>
    <cellStyle name="Normal 9 3 4 9 3" xfId="51009" xr:uid="{00000000-0005-0000-0000-00009BC60000}"/>
    <cellStyle name="Normal 9 3 5" xfId="51010" xr:uid="{00000000-0005-0000-0000-00009CC60000}"/>
    <cellStyle name="Normal 9 3 5 10" xfId="51011" xr:uid="{00000000-0005-0000-0000-00009DC60000}"/>
    <cellStyle name="Normal 9 3 5 2" xfId="51012" xr:uid="{00000000-0005-0000-0000-00009EC60000}"/>
    <cellStyle name="Normal 9 3 5 2 2" xfId="51013" xr:uid="{00000000-0005-0000-0000-00009FC60000}"/>
    <cellStyle name="Normal 9 3 5 2 2 2" xfId="51014" xr:uid="{00000000-0005-0000-0000-0000A0C60000}"/>
    <cellStyle name="Normal 9 3 5 2 2 2 2" xfId="51015" xr:uid="{00000000-0005-0000-0000-0000A1C60000}"/>
    <cellStyle name="Normal 9 3 5 2 2 2 3" xfId="51016" xr:uid="{00000000-0005-0000-0000-0000A2C60000}"/>
    <cellStyle name="Normal 9 3 5 2 2 3" xfId="51017" xr:uid="{00000000-0005-0000-0000-0000A3C60000}"/>
    <cellStyle name="Normal 9 3 5 2 2 4" xfId="51018" xr:uid="{00000000-0005-0000-0000-0000A4C60000}"/>
    <cellStyle name="Normal 9 3 5 2 2 5" xfId="51019" xr:uid="{00000000-0005-0000-0000-0000A5C60000}"/>
    <cellStyle name="Normal 9 3 5 2 2 6" xfId="51020" xr:uid="{00000000-0005-0000-0000-0000A6C60000}"/>
    <cellStyle name="Normal 9 3 5 2 3" xfId="51021" xr:uid="{00000000-0005-0000-0000-0000A7C60000}"/>
    <cellStyle name="Normal 9 3 5 2 3 2" xfId="51022" xr:uid="{00000000-0005-0000-0000-0000A8C60000}"/>
    <cellStyle name="Normal 9 3 5 2 3 2 2" xfId="51023" xr:uid="{00000000-0005-0000-0000-0000A9C60000}"/>
    <cellStyle name="Normal 9 3 5 2 3 2 3" xfId="51024" xr:uid="{00000000-0005-0000-0000-0000AAC60000}"/>
    <cellStyle name="Normal 9 3 5 2 3 3" xfId="51025" xr:uid="{00000000-0005-0000-0000-0000ABC60000}"/>
    <cellStyle name="Normal 9 3 5 2 3 4" xfId="51026" xr:uid="{00000000-0005-0000-0000-0000ACC60000}"/>
    <cellStyle name="Normal 9 3 5 2 3 5" xfId="51027" xr:uid="{00000000-0005-0000-0000-0000ADC60000}"/>
    <cellStyle name="Normal 9 3 5 2 3 6" xfId="51028" xr:uid="{00000000-0005-0000-0000-0000AEC60000}"/>
    <cellStyle name="Normal 9 3 5 2 4" xfId="51029" xr:uid="{00000000-0005-0000-0000-0000AFC60000}"/>
    <cellStyle name="Normal 9 3 5 2 4 2" xfId="51030" xr:uid="{00000000-0005-0000-0000-0000B0C60000}"/>
    <cellStyle name="Normal 9 3 5 2 4 3" xfId="51031" xr:uid="{00000000-0005-0000-0000-0000B1C60000}"/>
    <cellStyle name="Normal 9 3 5 2 5" xfId="51032" xr:uid="{00000000-0005-0000-0000-0000B2C60000}"/>
    <cellStyle name="Normal 9 3 5 2 6" xfId="51033" xr:uid="{00000000-0005-0000-0000-0000B3C60000}"/>
    <cellStyle name="Normal 9 3 5 2 7" xfId="51034" xr:uid="{00000000-0005-0000-0000-0000B4C60000}"/>
    <cellStyle name="Normal 9 3 5 2 8" xfId="51035" xr:uid="{00000000-0005-0000-0000-0000B5C60000}"/>
    <cellStyle name="Normal 9 3 5 3" xfId="51036" xr:uid="{00000000-0005-0000-0000-0000B6C60000}"/>
    <cellStyle name="Normal 9 3 5 3 2" xfId="51037" xr:uid="{00000000-0005-0000-0000-0000B7C60000}"/>
    <cellStyle name="Normal 9 3 5 3 2 2" xfId="51038" xr:uid="{00000000-0005-0000-0000-0000B8C60000}"/>
    <cellStyle name="Normal 9 3 5 3 2 2 2" xfId="51039" xr:uid="{00000000-0005-0000-0000-0000B9C60000}"/>
    <cellStyle name="Normal 9 3 5 3 2 2 3" xfId="51040" xr:uid="{00000000-0005-0000-0000-0000BAC60000}"/>
    <cellStyle name="Normal 9 3 5 3 2 3" xfId="51041" xr:uid="{00000000-0005-0000-0000-0000BBC60000}"/>
    <cellStyle name="Normal 9 3 5 3 2 4" xfId="51042" xr:uid="{00000000-0005-0000-0000-0000BCC60000}"/>
    <cellStyle name="Normal 9 3 5 3 2 5" xfId="51043" xr:uid="{00000000-0005-0000-0000-0000BDC60000}"/>
    <cellStyle name="Normal 9 3 5 3 2 6" xfId="51044" xr:uid="{00000000-0005-0000-0000-0000BEC60000}"/>
    <cellStyle name="Normal 9 3 5 3 3" xfId="51045" xr:uid="{00000000-0005-0000-0000-0000BFC60000}"/>
    <cellStyle name="Normal 9 3 5 3 3 2" xfId="51046" xr:uid="{00000000-0005-0000-0000-0000C0C60000}"/>
    <cellStyle name="Normal 9 3 5 3 3 3" xfId="51047" xr:uid="{00000000-0005-0000-0000-0000C1C60000}"/>
    <cellStyle name="Normal 9 3 5 3 4" xfId="51048" xr:uid="{00000000-0005-0000-0000-0000C2C60000}"/>
    <cellStyle name="Normal 9 3 5 3 5" xfId="51049" xr:uid="{00000000-0005-0000-0000-0000C3C60000}"/>
    <cellStyle name="Normal 9 3 5 3 6" xfId="51050" xr:uid="{00000000-0005-0000-0000-0000C4C60000}"/>
    <cellStyle name="Normal 9 3 5 3 7" xfId="51051" xr:uid="{00000000-0005-0000-0000-0000C5C60000}"/>
    <cellStyle name="Normal 9 3 5 4" xfId="51052" xr:uid="{00000000-0005-0000-0000-0000C6C60000}"/>
    <cellStyle name="Normal 9 3 5 4 2" xfId="51053" xr:uid="{00000000-0005-0000-0000-0000C7C60000}"/>
    <cellStyle name="Normal 9 3 5 4 2 2" xfId="51054" xr:uid="{00000000-0005-0000-0000-0000C8C60000}"/>
    <cellStyle name="Normal 9 3 5 4 2 3" xfId="51055" xr:uid="{00000000-0005-0000-0000-0000C9C60000}"/>
    <cellStyle name="Normal 9 3 5 4 3" xfId="51056" xr:uid="{00000000-0005-0000-0000-0000CAC60000}"/>
    <cellStyle name="Normal 9 3 5 4 4" xfId="51057" xr:uid="{00000000-0005-0000-0000-0000CBC60000}"/>
    <cellStyle name="Normal 9 3 5 4 5" xfId="51058" xr:uid="{00000000-0005-0000-0000-0000CCC60000}"/>
    <cellStyle name="Normal 9 3 5 4 6" xfId="51059" xr:uid="{00000000-0005-0000-0000-0000CDC60000}"/>
    <cellStyle name="Normal 9 3 5 5" xfId="51060" xr:uid="{00000000-0005-0000-0000-0000CEC60000}"/>
    <cellStyle name="Normal 9 3 5 5 2" xfId="51061" xr:uid="{00000000-0005-0000-0000-0000CFC60000}"/>
    <cellStyle name="Normal 9 3 5 5 2 2" xfId="51062" xr:uid="{00000000-0005-0000-0000-0000D0C60000}"/>
    <cellStyle name="Normal 9 3 5 5 2 3" xfId="51063" xr:uid="{00000000-0005-0000-0000-0000D1C60000}"/>
    <cellStyle name="Normal 9 3 5 5 3" xfId="51064" xr:uid="{00000000-0005-0000-0000-0000D2C60000}"/>
    <cellStyle name="Normal 9 3 5 5 4" xfId="51065" xr:uid="{00000000-0005-0000-0000-0000D3C60000}"/>
    <cellStyle name="Normal 9 3 5 5 5" xfId="51066" xr:uid="{00000000-0005-0000-0000-0000D4C60000}"/>
    <cellStyle name="Normal 9 3 5 5 6" xfId="51067" xr:uid="{00000000-0005-0000-0000-0000D5C60000}"/>
    <cellStyle name="Normal 9 3 5 6" xfId="51068" xr:uid="{00000000-0005-0000-0000-0000D6C60000}"/>
    <cellStyle name="Normal 9 3 5 6 2" xfId="51069" xr:uid="{00000000-0005-0000-0000-0000D7C60000}"/>
    <cellStyle name="Normal 9 3 5 6 3" xfId="51070" xr:uid="{00000000-0005-0000-0000-0000D8C60000}"/>
    <cellStyle name="Normal 9 3 5 7" xfId="51071" xr:uid="{00000000-0005-0000-0000-0000D9C60000}"/>
    <cellStyle name="Normal 9 3 5 8" xfId="51072" xr:uid="{00000000-0005-0000-0000-0000DAC60000}"/>
    <cellStyle name="Normal 9 3 5 9" xfId="51073" xr:uid="{00000000-0005-0000-0000-0000DBC60000}"/>
    <cellStyle name="Normal 9 3 6" xfId="51074" xr:uid="{00000000-0005-0000-0000-0000DCC60000}"/>
    <cellStyle name="Normal 9 3 6 2" xfId="51075" xr:uid="{00000000-0005-0000-0000-0000DDC60000}"/>
    <cellStyle name="Normal 9 3 6 2 2" xfId="51076" xr:uid="{00000000-0005-0000-0000-0000DEC60000}"/>
    <cellStyle name="Normal 9 3 6 2 2 2" xfId="51077" xr:uid="{00000000-0005-0000-0000-0000DFC60000}"/>
    <cellStyle name="Normal 9 3 6 2 2 2 2" xfId="51078" xr:uid="{00000000-0005-0000-0000-0000E0C60000}"/>
    <cellStyle name="Normal 9 3 6 2 2 2 3" xfId="51079" xr:uid="{00000000-0005-0000-0000-0000E1C60000}"/>
    <cellStyle name="Normal 9 3 6 2 2 3" xfId="51080" xr:uid="{00000000-0005-0000-0000-0000E2C60000}"/>
    <cellStyle name="Normal 9 3 6 2 2 4" xfId="51081" xr:uid="{00000000-0005-0000-0000-0000E3C60000}"/>
    <cellStyle name="Normal 9 3 6 2 2 5" xfId="51082" xr:uid="{00000000-0005-0000-0000-0000E4C60000}"/>
    <cellStyle name="Normal 9 3 6 2 2 6" xfId="51083" xr:uid="{00000000-0005-0000-0000-0000E5C60000}"/>
    <cellStyle name="Normal 9 3 6 2 3" xfId="51084" xr:uid="{00000000-0005-0000-0000-0000E6C60000}"/>
    <cellStyle name="Normal 9 3 6 2 3 2" xfId="51085" xr:uid="{00000000-0005-0000-0000-0000E7C60000}"/>
    <cellStyle name="Normal 9 3 6 2 3 3" xfId="51086" xr:uid="{00000000-0005-0000-0000-0000E8C60000}"/>
    <cellStyle name="Normal 9 3 6 2 4" xfId="51087" xr:uid="{00000000-0005-0000-0000-0000E9C60000}"/>
    <cellStyle name="Normal 9 3 6 2 5" xfId="51088" xr:uid="{00000000-0005-0000-0000-0000EAC60000}"/>
    <cellStyle name="Normal 9 3 6 2 6" xfId="51089" xr:uid="{00000000-0005-0000-0000-0000EBC60000}"/>
    <cellStyle name="Normal 9 3 6 2 7" xfId="51090" xr:uid="{00000000-0005-0000-0000-0000ECC60000}"/>
    <cellStyle name="Normal 9 3 6 3" xfId="51091" xr:uid="{00000000-0005-0000-0000-0000EDC60000}"/>
    <cellStyle name="Normal 9 3 6 3 2" xfId="51092" xr:uid="{00000000-0005-0000-0000-0000EEC60000}"/>
    <cellStyle name="Normal 9 3 6 3 2 2" xfId="51093" xr:uid="{00000000-0005-0000-0000-0000EFC60000}"/>
    <cellStyle name="Normal 9 3 6 3 2 3" xfId="51094" xr:uid="{00000000-0005-0000-0000-0000F0C60000}"/>
    <cellStyle name="Normal 9 3 6 3 3" xfId="51095" xr:uid="{00000000-0005-0000-0000-0000F1C60000}"/>
    <cellStyle name="Normal 9 3 6 3 4" xfId="51096" xr:uid="{00000000-0005-0000-0000-0000F2C60000}"/>
    <cellStyle name="Normal 9 3 6 3 5" xfId="51097" xr:uid="{00000000-0005-0000-0000-0000F3C60000}"/>
    <cellStyle name="Normal 9 3 6 3 6" xfId="51098" xr:uid="{00000000-0005-0000-0000-0000F4C60000}"/>
    <cellStyle name="Normal 9 3 6 4" xfId="51099" xr:uid="{00000000-0005-0000-0000-0000F5C60000}"/>
    <cellStyle name="Normal 9 3 6 4 2" xfId="51100" xr:uid="{00000000-0005-0000-0000-0000F6C60000}"/>
    <cellStyle name="Normal 9 3 6 4 2 2" xfId="51101" xr:uid="{00000000-0005-0000-0000-0000F7C60000}"/>
    <cellStyle name="Normal 9 3 6 4 2 3" xfId="51102" xr:uid="{00000000-0005-0000-0000-0000F8C60000}"/>
    <cellStyle name="Normal 9 3 6 4 3" xfId="51103" xr:uid="{00000000-0005-0000-0000-0000F9C60000}"/>
    <cellStyle name="Normal 9 3 6 4 4" xfId="51104" xr:uid="{00000000-0005-0000-0000-0000FAC60000}"/>
    <cellStyle name="Normal 9 3 6 4 5" xfId="51105" xr:uid="{00000000-0005-0000-0000-0000FBC60000}"/>
    <cellStyle name="Normal 9 3 6 4 6" xfId="51106" xr:uid="{00000000-0005-0000-0000-0000FCC60000}"/>
    <cellStyle name="Normal 9 3 6 5" xfId="51107" xr:uid="{00000000-0005-0000-0000-0000FDC60000}"/>
    <cellStyle name="Normal 9 3 6 5 2" xfId="51108" xr:uid="{00000000-0005-0000-0000-0000FEC60000}"/>
    <cellStyle name="Normal 9 3 6 5 3" xfId="51109" xr:uid="{00000000-0005-0000-0000-0000FFC60000}"/>
    <cellStyle name="Normal 9 3 6 6" xfId="51110" xr:uid="{00000000-0005-0000-0000-000000C70000}"/>
    <cellStyle name="Normal 9 3 6 7" xfId="51111" xr:uid="{00000000-0005-0000-0000-000001C70000}"/>
    <cellStyle name="Normal 9 3 6 8" xfId="51112" xr:uid="{00000000-0005-0000-0000-000002C70000}"/>
    <cellStyle name="Normal 9 3 6 9" xfId="51113" xr:uid="{00000000-0005-0000-0000-000003C70000}"/>
    <cellStyle name="Normal 9 3 7" xfId="51114" xr:uid="{00000000-0005-0000-0000-000004C70000}"/>
    <cellStyle name="Normal 9 3 7 2" xfId="51115" xr:uid="{00000000-0005-0000-0000-000005C70000}"/>
    <cellStyle name="Normal 9 3 7 2 2" xfId="51116" xr:uid="{00000000-0005-0000-0000-000006C70000}"/>
    <cellStyle name="Normal 9 3 7 2 2 2" xfId="51117" xr:uid="{00000000-0005-0000-0000-000007C70000}"/>
    <cellStyle name="Normal 9 3 7 2 2 3" xfId="51118" xr:uid="{00000000-0005-0000-0000-000008C70000}"/>
    <cellStyle name="Normal 9 3 7 2 3" xfId="51119" xr:uid="{00000000-0005-0000-0000-000009C70000}"/>
    <cellStyle name="Normal 9 3 7 2 4" xfId="51120" xr:uid="{00000000-0005-0000-0000-00000AC70000}"/>
    <cellStyle name="Normal 9 3 7 2 5" xfId="51121" xr:uid="{00000000-0005-0000-0000-00000BC70000}"/>
    <cellStyle name="Normal 9 3 7 2 6" xfId="51122" xr:uid="{00000000-0005-0000-0000-00000CC70000}"/>
    <cellStyle name="Normal 9 3 7 3" xfId="51123" xr:uid="{00000000-0005-0000-0000-00000DC70000}"/>
    <cellStyle name="Normal 9 3 7 3 2" xfId="51124" xr:uid="{00000000-0005-0000-0000-00000EC70000}"/>
    <cellStyle name="Normal 9 3 7 3 3" xfId="51125" xr:uid="{00000000-0005-0000-0000-00000FC70000}"/>
    <cellStyle name="Normal 9 3 7 4" xfId="51126" xr:uid="{00000000-0005-0000-0000-000010C70000}"/>
    <cellStyle name="Normal 9 3 7 5" xfId="51127" xr:uid="{00000000-0005-0000-0000-000011C70000}"/>
    <cellStyle name="Normal 9 3 7 6" xfId="51128" xr:uid="{00000000-0005-0000-0000-000012C70000}"/>
    <cellStyle name="Normal 9 3 7 7" xfId="51129" xr:uid="{00000000-0005-0000-0000-000013C70000}"/>
    <cellStyle name="Normal 9 3 8" xfId="51130" xr:uid="{00000000-0005-0000-0000-000014C70000}"/>
    <cellStyle name="Normal 9 3 8 2" xfId="51131" xr:uid="{00000000-0005-0000-0000-000015C70000}"/>
    <cellStyle name="Normal 9 3 8 2 2" xfId="51132" xr:uid="{00000000-0005-0000-0000-000016C70000}"/>
    <cellStyle name="Normal 9 3 8 2 3" xfId="51133" xr:uid="{00000000-0005-0000-0000-000017C70000}"/>
    <cellStyle name="Normal 9 3 8 3" xfId="51134" xr:uid="{00000000-0005-0000-0000-000018C70000}"/>
    <cellStyle name="Normal 9 3 8 4" xfId="51135" xr:uid="{00000000-0005-0000-0000-000019C70000}"/>
    <cellStyle name="Normal 9 3 8 5" xfId="51136" xr:uid="{00000000-0005-0000-0000-00001AC70000}"/>
    <cellStyle name="Normal 9 3 8 6" xfId="51137" xr:uid="{00000000-0005-0000-0000-00001BC70000}"/>
    <cellStyle name="Normal 9 3 9" xfId="51138" xr:uid="{00000000-0005-0000-0000-00001CC70000}"/>
    <cellStyle name="Normal 9 3 9 2" xfId="51139" xr:uid="{00000000-0005-0000-0000-00001DC70000}"/>
    <cellStyle name="Normal 9 3 9 2 2" xfId="51140" xr:uid="{00000000-0005-0000-0000-00001EC70000}"/>
    <cellStyle name="Normal 9 3 9 2 3" xfId="51141" xr:uid="{00000000-0005-0000-0000-00001FC70000}"/>
    <cellStyle name="Normal 9 3 9 3" xfId="51142" xr:uid="{00000000-0005-0000-0000-000020C70000}"/>
    <cellStyle name="Normal 9 3 9 4" xfId="51143" xr:uid="{00000000-0005-0000-0000-000021C70000}"/>
    <cellStyle name="Normal 9 3 9 5" xfId="51144" xr:uid="{00000000-0005-0000-0000-000022C70000}"/>
    <cellStyle name="Normal 9 3 9 6" xfId="51145" xr:uid="{00000000-0005-0000-0000-000023C70000}"/>
    <cellStyle name="Normal 9 4" xfId="51146" xr:uid="{00000000-0005-0000-0000-000024C70000}"/>
    <cellStyle name="Normal 9 4 10" xfId="51147" xr:uid="{00000000-0005-0000-0000-000025C70000}"/>
    <cellStyle name="Normal 9 4 10 2" xfId="51148" xr:uid="{00000000-0005-0000-0000-000026C70000}"/>
    <cellStyle name="Normal 9 4 10 3" xfId="51149" xr:uid="{00000000-0005-0000-0000-000027C70000}"/>
    <cellStyle name="Normal 9 4 11" xfId="51150" xr:uid="{00000000-0005-0000-0000-000028C70000}"/>
    <cellStyle name="Normal 9 4 12" xfId="51151" xr:uid="{00000000-0005-0000-0000-000029C70000}"/>
    <cellStyle name="Normal 9 4 13" xfId="51152" xr:uid="{00000000-0005-0000-0000-00002AC70000}"/>
    <cellStyle name="Normal 9 4 14" xfId="51153" xr:uid="{00000000-0005-0000-0000-00002BC70000}"/>
    <cellStyle name="Normal 9 4 2" xfId="51154" xr:uid="{00000000-0005-0000-0000-00002CC70000}"/>
    <cellStyle name="Normal 9 4 2 10" xfId="51155" xr:uid="{00000000-0005-0000-0000-00002DC70000}"/>
    <cellStyle name="Normal 9 4 2 11" xfId="51156" xr:uid="{00000000-0005-0000-0000-00002EC70000}"/>
    <cellStyle name="Normal 9 4 2 12" xfId="51157" xr:uid="{00000000-0005-0000-0000-00002FC70000}"/>
    <cellStyle name="Normal 9 4 2 13" xfId="51158" xr:uid="{00000000-0005-0000-0000-000030C70000}"/>
    <cellStyle name="Normal 9 4 2 2" xfId="51159" xr:uid="{00000000-0005-0000-0000-000031C70000}"/>
    <cellStyle name="Normal 9 4 2 2 10" xfId="51160" xr:uid="{00000000-0005-0000-0000-000032C70000}"/>
    <cellStyle name="Normal 9 4 2 2 2" xfId="51161" xr:uid="{00000000-0005-0000-0000-000033C70000}"/>
    <cellStyle name="Normal 9 4 2 2 2 2" xfId="51162" xr:uid="{00000000-0005-0000-0000-000034C70000}"/>
    <cellStyle name="Normal 9 4 2 2 2 2 2" xfId="51163" xr:uid="{00000000-0005-0000-0000-000035C70000}"/>
    <cellStyle name="Normal 9 4 2 2 2 2 2 2" xfId="51164" xr:uid="{00000000-0005-0000-0000-000036C70000}"/>
    <cellStyle name="Normal 9 4 2 2 2 2 2 3" xfId="51165" xr:uid="{00000000-0005-0000-0000-000037C70000}"/>
    <cellStyle name="Normal 9 4 2 2 2 2 3" xfId="51166" xr:uid="{00000000-0005-0000-0000-000038C70000}"/>
    <cellStyle name="Normal 9 4 2 2 2 2 4" xfId="51167" xr:uid="{00000000-0005-0000-0000-000039C70000}"/>
    <cellStyle name="Normal 9 4 2 2 2 2 5" xfId="51168" xr:uid="{00000000-0005-0000-0000-00003AC70000}"/>
    <cellStyle name="Normal 9 4 2 2 2 2 6" xfId="51169" xr:uid="{00000000-0005-0000-0000-00003BC70000}"/>
    <cellStyle name="Normal 9 4 2 2 2 3" xfId="51170" xr:uid="{00000000-0005-0000-0000-00003CC70000}"/>
    <cellStyle name="Normal 9 4 2 2 2 3 2" xfId="51171" xr:uid="{00000000-0005-0000-0000-00003DC70000}"/>
    <cellStyle name="Normal 9 4 2 2 2 3 2 2" xfId="51172" xr:uid="{00000000-0005-0000-0000-00003EC70000}"/>
    <cellStyle name="Normal 9 4 2 2 2 3 2 3" xfId="51173" xr:uid="{00000000-0005-0000-0000-00003FC70000}"/>
    <cellStyle name="Normal 9 4 2 2 2 3 3" xfId="51174" xr:uid="{00000000-0005-0000-0000-000040C70000}"/>
    <cellStyle name="Normal 9 4 2 2 2 3 4" xfId="51175" xr:uid="{00000000-0005-0000-0000-000041C70000}"/>
    <cellStyle name="Normal 9 4 2 2 2 3 5" xfId="51176" xr:uid="{00000000-0005-0000-0000-000042C70000}"/>
    <cellStyle name="Normal 9 4 2 2 2 3 6" xfId="51177" xr:uid="{00000000-0005-0000-0000-000043C70000}"/>
    <cellStyle name="Normal 9 4 2 2 2 4" xfId="51178" xr:uid="{00000000-0005-0000-0000-000044C70000}"/>
    <cellStyle name="Normal 9 4 2 2 2 4 2" xfId="51179" xr:uid="{00000000-0005-0000-0000-000045C70000}"/>
    <cellStyle name="Normal 9 4 2 2 2 4 3" xfId="51180" xr:uid="{00000000-0005-0000-0000-000046C70000}"/>
    <cellStyle name="Normal 9 4 2 2 2 5" xfId="51181" xr:uid="{00000000-0005-0000-0000-000047C70000}"/>
    <cellStyle name="Normal 9 4 2 2 2 6" xfId="51182" xr:uid="{00000000-0005-0000-0000-000048C70000}"/>
    <cellStyle name="Normal 9 4 2 2 2 7" xfId="51183" xr:uid="{00000000-0005-0000-0000-000049C70000}"/>
    <cellStyle name="Normal 9 4 2 2 2 8" xfId="51184" xr:uid="{00000000-0005-0000-0000-00004AC70000}"/>
    <cellStyle name="Normal 9 4 2 2 3" xfId="51185" xr:uid="{00000000-0005-0000-0000-00004BC70000}"/>
    <cellStyle name="Normal 9 4 2 2 3 2" xfId="51186" xr:uid="{00000000-0005-0000-0000-00004CC70000}"/>
    <cellStyle name="Normal 9 4 2 2 3 2 2" xfId="51187" xr:uid="{00000000-0005-0000-0000-00004DC70000}"/>
    <cellStyle name="Normal 9 4 2 2 3 2 2 2" xfId="51188" xr:uid="{00000000-0005-0000-0000-00004EC70000}"/>
    <cellStyle name="Normal 9 4 2 2 3 2 2 3" xfId="51189" xr:uid="{00000000-0005-0000-0000-00004FC70000}"/>
    <cellStyle name="Normal 9 4 2 2 3 2 3" xfId="51190" xr:uid="{00000000-0005-0000-0000-000050C70000}"/>
    <cellStyle name="Normal 9 4 2 2 3 2 4" xfId="51191" xr:uid="{00000000-0005-0000-0000-000051C70000}"/>
    <cellStyle name="Normal 9 4 2 2 3 2 5" xfId="51192" xr:uid="{00000000-0005-0000-0000-000052C70000}"/>
    <cellStyle name="Normal 9 4 2 2 3 2 6" xfId="51193" xr:uid="{00000000-0005-0000-0000-000053C70000}"/>
    <cellStyle name="Normal 9 4 2 2 3 3" xfId="51194" xr:uid="{00000000-0005-0000-0000-000054C70000}"/>
    <cellStyle name="Normal 9 4 2 2 3 3 2" xfId="51195" xr:uid="{00000000-0005-0000-0000-000055C70000}"/>
    <cellStyle name="Normal 9 4 2 2 3 3 3" xfId="51196" xr:uid="{00000000-0005-0000-0000-000056C70000}"/>
    <cellStyle name="Normal 9 4 2 2 3 4" xfId="51197" xr:uid="{00000000-0005-0000-0000-000057C70000}"/>
    <cellStyle name="Normal 9 4 2 2 3 5" xfId="51198" xr:uid="{00000000-0005-0000-0000-000058C70000}"/>
    <cellStyle name="Normal 9 4 2 2 3 6" xfId="51199" xr:uid="{00000000-0005-0000-0000-000059C70000}"/>
    <cellStyle name="Normal 9 4 2 2 3 7" xfId="51200" xr:uid="{00000000-0005-0000-0000-00005AC70000}"/>
    <cellStyle name="Normal 9 4 2 2 4" xfId="51201" xr:uid="{00000000-0005-0000-0000-00005BC70000}"/>
    <cellStyle name="Normal 9 4 2 2 4 2" xfId="51202" xr:uid="{00000000-0005-0000-0000-00005CC70000}"/>
    <cellStyle name="Normal 9 4 2 2 4 2 2" xfId="51203" xr:uid="{00000000-0005-0000-0000-00005DC70000}"/>
    <cellStyle name="Normal 9 4 2 2 4 2 3" xfId="51204" xr:uid="{00000000-0005-0000-0000-00005EC70000}"/>
    <cellStyle name="Normal 9 4 2 2 4 3" xfId="51205" xr:uid="{00000000-0005-0000-0000-00005FC70000}"/>
    <cellStyle name="Normal 9 4 2 2 4 4" xfId="51206" xr:uid="{00000000-0005-0000-0000-000060C70000}"/>
    <cellStyle name="Normal 9 4 2 2 4 5" xfId="51207" xr:uid="{00000000-0005-0000-0000-000061C70000}"/>
    <cellStyle name="Normal 9 4 2 2 4 6" xfId="51208" xr:uid="{00000000-0005-0000-0000-000062C70000}"/>
    <cellStyle name="Normal 9 4 2 2 5" xfId="51209" xr:uid="{00000000-0005-0000-0000-000063C70000}"/>
    <cellStyle name="Normal 9 4 2 2 5 2" xfId="51210" xr:uid="{00000000-0005-0000-0000-000064C70000}"/>
    <cellStyle name="Normal 9 4 2 2 5 2 2" xfId="51211" xr:uid="{00000000-0005-0000-0000-000065C70000}"/>
    <cellStyle name="Normal 9 4 2 2 5 2 3" xfId="51212" xr:uid="{00000000-0005-0000-0000-000066C70000}"/>
    <cellStyle name="Normal 9 4 2 2 5 3" xfId="51213" xr:uid="{00000000-0005-0000-0000-000067C70000}"/>
    <cellStyle name="Normal 9 4 2 2 5 4" xfId="51214" xr:uid="{00000000-0005-0000-0000-000068C70000}"/>
    <cellStyle name="Normal 9 4 2 2 5 5" xfId="51215" xr:uid="{00000000-0005-0000-0000-000069C70000}"/>
    <cellStyle name="Normal 9 4 2 2 5 6" xfId="51216" xr:uid="{00000000-0005-0000-0000-00006AC70000}"/>
    <cellStyle name="Normal 9 4 2 2 6" xfId="51217" xr:uid="{00000000-0005-0000-0000-00006BC70000}"/>
    <cellStyle name="Normal 9 4 2 2 6 2" xfId="51218" xr:uid="{00000000-0005-0000-0000-00006CC70000}"/>
    <cellStyle name="Normal 9 4 2 2 6 3" xfId="51219" xr:uid="{00000000-0005-0000-0000-00006DC70000}"/>
    <cellStyle name="Normal 9 4 2 2 7" xfId="51220" xr:uid="{00000000-0005-0000-0000-00006EC70000}"/>
    <cellStyle name="Normal 9 4 2 2 8" xfId="51221" xr:uid="{00000000-0005-0000-0000-00006FC70000}"/>
    <cellStyle name="Normal 9 4 2 2 9" xfId="51222" xr:uid="{00000000-0005-0000-0000-000070C70000}"/>
    <cellStyle name="Normal 9 4 2 3" xfId="51223" xr:uid="{00000000-0005-0000-0000-000071C70000}"/>
    <cellStyle name="Normal 9 4 2 3 2" xfId="51224" xr:uid="{00000000-0005-0000-0000-000072C70000}"/>
    <cellStyle name="Normal 9 4 2 3 2 2" xfId="51225" xr:uid="{00000000-0005-0000-0000-000073C70000}"/>
    <cellStyle name="Normal 9 4 2 3 2 2 2" xfId="51226" xr:uid="{00000000-0005-0000-0000-000074C70000}"/>
    <cellStyle name="Normal 9 4 2 3 2 2 2 2" xfId="51227" xr:uid="{00000000-0005-0000-0000-000075C70000}"/>
    <cellStyle name="Normal 9 4 2 3 2 2 2 3" xfId="51228" xr:uid="{00000000-0005-0000-0000-000076C70000}"/>
    <cellStyle name="Normal 9 4 2 3 2 2 3" xfId="51229" xr:uid="{00000000-0005-0000-0000-000077C70000}"/>
    <cellStyle name="Normal 9 4 2 3 2 2 4" xfId="51230" xr:uid="{00000000-0005-0000-0000-000078C70000}"/>
    <cellStyle name="Normal 9 4 2 3 2 2 5" xfId="51231" xr:uid="{00000000-0005-0000-0000-000079C70000}"/>
    <cellStyle name="Normal 9 4 2 3 2 2 6" xfId="51232" xr:uid="{00000000-0005-0000-0000-00007AC70000}"/>
    <cellStyle name="Normal 9 4 2 3 2 3" xfId="51233" xr:uid="{00000000-0005-0000-0000-00007BC70000}"/>
    <cellStyle name="Normal 9 4 2 3 2 3 2" xfId="51234" xr:uid="{00000000-0005-0000-0000-00007CC70000}"/>
    <cellStyle name="Normal 9 4 2 3 2 3 3" xfId="51235" xr:uid="{00000000-0005-0000-0000-00007DC70000}"/>
    <cellStyle name="Normal 9 4 2 3 2 4" xfId="51236" xr:uid="{00000000-0005-0000-0000-00007EC70000}"/>
    <cellStyle name="Normal 9 4 2 3 2 5" xfId="51237" xr:uid="{00000000-0005-0000-0000-00007FC70000}"/>
    <cellStyle name="Normal 9 4 2 3 2 6" xfId="51238" xr:uid="{00000000-0005-0000-0000-000080C70000}"/>
    <cellStyle name="Normal 9 4 2 3 2 7" xfId="51239" xr:uid="{00000000-0005-0000-0000-000081C70000}"/>
    <cellStyle name="Normal 9 4 2 3 3" xfId="51240" xr:uid="{00000000-0005-0000-0000-000082C70000}"/>
    <cellStyle name="Normal 9 4 2 3 3 2" xfId="51241" xr:uid="{00000000-0005-0000-0000-000083C70000}"/>
    <cellStyle name="Normal 9 4 2 3 3 2 2" xfId="51242" xr:uid="{00000000-0005-0000-0000-000084C70000}"/>
    <cellStyle name="Normal 9 4 2 3 3 2 3" xfId="51243" xr:uid="{00000000-0005-0000-0000-000085C70000}"/>
    <cellStyle name="Normal 9 4 2 3 3 3" xfId="51244" xr:uid="{00000000-0005-0000-0000-000086C70000}"/>
    <cellStyle name="Normal 9 4 2 3 3 4" xfId="51245" xr:uid="{00000000-0005-0000-0000-000087C70000}"/>
    <cellStyle name="Normal 9 4 2 3 3 5" xfId="51246" xr:uid="{00000000-0005-0000-0000-000088C70000}"/>
    <cellStyle name="Normal 9 4 2 3 3 6" xfId="51247" xr:uid="{00000000-0005-0000-0000-000089C70000}"/>
    <cellStyle name="Normal 9 4 2 3 4" xfId="51248" xr:uid="{00000000-0005-0000-0000-00008AC70000}"/>
    <cellStyle name="Normal 9 4 2 3 4 2" xfId="51249" xr:uid="{00000000-0005-0000-0000-00008BC70000}"/>
    <cellStyle name="Normal 9 4 2 3 4 2 2" xfId="51250" xr:uid="{00000000-0005-0000-0000-00008CC70000}"/>
    <cellStyle name="Normal 9 4 2 3 4 2 3" xfId="51251" xr:uid="{00000000-0005-0000-0000-00008DC70000}"/>
    <cellStyle name="Normal 9 4 2 3 4 3" xfId="51252" xr:uid="{00000000-0005-0000-0000-00008EC70000}"/>
    <cellStyle name="Normal 9 4 2 3 4 4" xfId="51253" xr:uid="{00000000-0005-0000-0000-00008FC70000}"/>
    <cellStyle name="Normal 9 4 2 3 4 5" xfId="51254" xr:uid="{00000000-0005-0000-0000-000090C70000}"/>
    <cellStyle name="Normal 9 4 2 3 4 6" xfId="51255" xr:uid="{00000000-0005-0000-0000-000091C70000}"/>
    <cellStyle name="Normal 9 4 2 3 5" xfId="51256" xr:uid="{00000000-0005-0000-0000-000092C70000}"/>
    <cellStyle name="Normal 9 4 2 3 5 2" xfId="51257" xr:uid="{00000000-0005-0000-0000-000093C70000}"/>
    <cellStyle name="Normal 9 4 2 3 5 3" xfId="51258" xr:uid="{00000000-0005-0000-0000-000094C70000}"/>
    <cellStyle name="Normal 9 4 2 3 6" xfId="51259" xr:uid="{00000000-0005-0000-0000-000095C70000}"/>
    <cellStyle name="Normal 9 4 2 3 7" xfId="51260" xr:uid="{00000000-0005-0000-0000-000096C70000}"/>
    <cellStyle name="Normal 9 4 2 3 8" xfId="51261" xr:uid="{00000000-0005-0000-0000-000097C70000}"/>
    <cellStyle name="Normal 9 4 2 3 9" xfId="51262" xr:uid="{00000000-0005-0000-0000-000098C70000}"/>
    <cellStyle name="Normal 9 4 2 4" xfId="51263" xr:uid="{00000000-0005-0000-0000-000099C70000}"/>
    <cellStyle name="Normal 9 4 2 4 2" xfId="51264" xr:uid="{00000000-0005-0000-0000-00009AC70000}"/>
    <cellStyle name="Normal 9 4 2 4 2 2" xfId="51265" xr:uid="{00000000-0005-0000-0000-00009BC70000}"/>
    <cellStyle name="Normal 9 4 2 4 2 2 2" xfId="51266" xr:uid="{00000000-0005-0000-0000-00009CC70000}"/>
    <cellStyle name="Normal 9 4 2 4 2 2 3" xfId="51267" xr:uid="{00000000-0005-0000-0000-00009DC70000}"/>
    <cellStyle name="Normal 9 4 2 4 2 3" xfId="51268" xr:uid="{00000000-0005-0000-0000-00009EC70000}"/>
    <cellStyle name="Normal 9 4 2 4 2 4" xfId="51269" xr:uid="{00000000-0005-0000-0000-00009FC70000}"/>
    <cellStyle name="Normal 9 4 2 4 2 5" xfId="51270" xr:uid="{00000000-0005-0000-0000-0000A0C70000}"/>
    <cellStyle name="Normal 9 4 2 4 2 6" xfId="51271" xr:uid="{00000000-0005-0000-0000-0000A1C70000}"/>
    <cellStyle name="Normal 9 4 2 4 3" xfId="51272" xr:uid="{00000000-0005-0000-0000-0000A2C70000}"/>
    <cellStyle name="Normal 9 4 2 4 3 2" xfId="51273" xr:uid="{00000000-0005-0000-0000-0000A3C70000}"/>
    <cellStyle name="Normal 9 4 2 4 3 3" xfId="51274" xr:uid="{00000000-0005-0000-0000-0000A4C70000}"/>
    <cellStyle name="Normal 9 4 2 4 4" xfId="51275" xr:uid="{00000000-0005-0000-0000-0000A5C70000}"/>
    <cellStyle name="Normal 9 4 2 4 5" xfId="51276" xr:uid="{00000000-0005-0000-0000-0000A6C70000}"/>
    <cellStyle name="Normal 9 4 2 4 6" xfId="51277" xr:uid="{00000000-0005-0000-0000-0000A7C70000}"/>
    <cellStyle name="Normal 9 4 2 4 7" xfId="51278" xr:uid="{00000000-0005-0000-0000-0000A8C70000}"/>
    <cellStyle name="Normal 9 4 2 5" xfId="51279" xr:uid="{00000000-0005-0000-0000-0000A9C70000}"/>
    <cellStyle name="Normal 9 4 2 5 2" xfId="51280" xr:uid="{00000000-0005-0000-0000-0000AAC70000}"/>
    <cellStyle name="Normal 9 4 2 5 2 2" xfId="51281" xr:uid="{00000000-0005-0000-0000-0000ABC70000}"/>
    <cellStyle name="Normal 9 4 2 5 2 3" xfId="51282" xr:uid="{00000000-0005-0000-0000-0000ACC70000}"/>
    <cellStyle name="Normal 9 4 2 5 3" xfId="51283" xr:uid="{00000000-0005-0000-0000-0000ADC70000}"/>
    <cellStyle name="Normal 9 4 2 5 4" xfId="51284" xr:uid="{00000000-0005-0000-0000-0000AEC70000}"/>
    <cellStyle name="Normal 9 4 2 5 5" xfId="51285" xr:uid="{00000000-0005-0000-0000-0000AFC70000}"/>
    <cellStyle name="Normal 9 4 2 5 6" xfId="51286" xr:uid="{00000000-0005-0000-0000-0000B0C70000}"/>
    <cellStyle name="Normal 9 4 2 6" xfId="51287" xr:uid="{00000000-0005-0000-0000-0000B1C70000}"/>
    <cellStyle name="Normal 9 4 2 6 2" xfId="51288" xr:uid="{00000000-0005-0000-0000-0000B2C70000}"/>
    <cellStyle name="Normal 9 4 2 6 2 2" xfId="51289" xr:uid="{00000000-0005-0000-0000-0000B3C70000}"/>
    <cellStyle name="Normal 9 4 2 6 2 3" xfId="51290" xr:uid="{00000000-0005-0000-0000-0000B4C70000}"/>
    <cellStyle name="Normal 9 4 2 6 3" xfId="51291" xr:uid="{00000000-0005-0000-0000-0000B5C70000}"/>
    <cellStyle name="Normal 9 4 2 6 4" xfId="51292" xr:uid="{00000000-0005-0000-0000-0000B6C70000}"/>
    <cellStyle name="Normal 9 4 2 6 5" xfId="51293" xr:uid="{00000000-0005-0000-0000-0000B7C70000}"/>
    <cellStyle name="Normal 9 4 2 6 6" xfId="51294" xr:uid="{00000000-0005-0000-0000-0000B8C70000}"/>
    <cellStyle name="Normal 9 4 2 7" xfId="51295" xr:uid="{00000000-0005-0000-0000-0000B9C70000}"/>
    <cellStyle name="Normal 9 4 2 7 2" xfId="51296" xr:uid="{00000000-0005-0000-0000-0000BAC70000}"/>
    <cellStyle name="Normal 9 4 2 7 2 2" xfId="51297" xr:uid="{00000000-0005-0000-0000-0000BBC70000}"/>
    <cellStyle name="Normal 9 4 2 7 2 3" xfId="51298" xr:uid="{00000000-0005-0000-0000-0000BCC70000}"/>
    <cellStyle name="Normal 9 4 2 7 3" xfId="51299" xr:uid="{00000000-0005-0000-0000-0000BDC70000}"/>
    <cellStyle name="Normal 9 4 2 7 4" xfId="51300" xr:uid="{00000000-0005-0000-0000-0000BEC70000}"/>
    <cellStyle name="Normal 9 4 2 7 5" xfId="51301" xr:uid="{00000000-0005-0000-0000-0000BFC70000}"/>
    <cellStyle name="Normal 9 4 2 7 6" xfId="51302" xr:uid="{00000000-0005-0000-0000-0000C0C70000}"/>
    <cellStyle name="Normal 9 4 2 8" xfId="51303" xr:uid="{00000000-0005-0000-0000-0000C1C70000}"/>
    <cellStyle name="Normal 9 4 2 8 2" xfId="51304" xr:uid="{00000000-0005-0000-0000-0000C2C70000}"/>
    <cellStyle name="Normal 9 4 2 8 2 2" xfId="51305" xr:uid="{00000000-0005-0000-0000-0000C3C70000}"/>
    <cellStyle name="Normal 9 4 2 8 2 3" xfId="51306" xr:uid="{00000000-0005-0000-0000-0000C4C70000}"/>
    <cellStyle name="Normal 9 4 2 8 3" xfId="51307" xr:uid="{00000000-0005-0000-0000-0000C5C70000}"/>
    <cellStyle name="Normal 9 4 2 8 4" xfId="51308" xr:uid="{00000000-0005-0000-0000-0000C6C70000}"/>
    <cellStyle name="Normal 9 4 2 8 5" xfId="51309" xr:uid="{00000000-0005-0000-0000-0000C7C70000}"/>
    <cellStyle name="Normal 9 4 2 8 6" xfId="51310" xr:uid="{00000000-0005-0000-0000-0000C8C70000}"/>
    <cellStyle name="Normal 9 4 2 9" xfId="51311" xr:uid="{00000000-0005-0000-0000-0000C9C70000}"/>
    <cellStyle name="Normal 9 4 2 9 2" xfId="51312" xr:uid="{00000000-0005-0000-0000-0000CAC70000}"/>
    <cellStyle name="Normal 9 4 2 9 3" xfId="51313" xr:uid="{00000000-0005-0000-0000-0000CBC70000}"/>
    <cellStyle name="Normal 9 4 3" xfId="51314" xr:uid="{00000000-0005-0000-0000-0000CCC70000}"/>
    <cellStyle name="Normal 9 4 3 10" xfId="51315" xr:uid="{00000000-0005-0000-0000-0000CDC70000}"/>
    <cellStyle name="Normal 9 4 3 2" xfId="51316" xr:uid="{00000000-0005-0000-0000-0000CEC70000}"/>
    <cellStyle name="Normal 9 4 3 2 2" xfId="51317" xr:uid="{00000000-0005-0000-0000-0000CFC70000}"/>
    <cellStyle name="Normal 9 4 3 2 2 2" xfId="51318" xr:uid="{00000000-0005-0000-0000-0000D0C70000}"/>
    <cellStyle name="Normal 9 4 3 2 2 2 2" xfId="51319" xr:uid="{00000000-0005-0000-0000-0000D1C70000}"/>
    <cellStyle name="Normal 9 4 3 2 2 2 3" xfId="51320" xr:uid="{00000000-0005-0000-0000-0000D2C70000}"/>
    <cellStyle name="Normal 9 4 3 2 2 3" xfId="51321" xr:uid="{00000000-0005-0000-0000-0000D3C70000}"/>
    <cellStyle name="Normal 9 4 3 2 2 4" xfId="51322" xr:uid="{00000000-0005-0000-0000-0000D4C70000}"/>
    <cellStyle name="Normal 9 4 3 2 2 5" xfId="51323" xr:uid="{00000000-0005-0000-0000-0000D5C70000}"/>
    <cellStyle name="Normal 9 4 3 2 2 6" xfId="51324" xr:uid="{00000000-0005-0000-0000-0000D6C70000}"/>
    <cellStyle name="Normal 9 4 3 2 3" xfId="51325" xr:uid="{00000000-0005-0000-0000-0000D7C70000}"/>
    <cellStyle name="Normal 9 4 3 2 3 2" xfId="51326" xr:uid="{00000000-0005-0000-0000-0000D8C70000}"/>
    <cellStyle name="Normal 9 4 3 2 3 2 2" xfId="51327" xr:uid="{00000000-0005-0000-0000-0000D9C70000}"/>
    <cellStyle name="Normal 9 4 3 2 3 2 3" xfId="51328" xr:uid="{00000000-0005-0000-0000-0000DAC70000}"/>
    <cellStyle name="Normal 9 4 3 2 3 3" xfId="51329" xr:uid="{00000000-0005-0000-0000-0000DBC70000}"/>
    <cellStyle name="Normal 9 4 3 2 3 4" xfId="51330" xr:uid="{00000000-0005-0000-0000-0000DCC70000}"/>
    <cellStyle name="Normal 9 4 3 2 3 5" xfId="51331" xr:uid="{00000000-0005-0000-0000-0000DDC70000}"/>
    <cellStyle name="Normal 9 4 3 2 3 6" xfId="51332" xr:uid="{00000000-0005-0000-0000-0000DEC70000}"/>
    <cellStyle name="Normal 9 4 3 2 4" xfId="51333" xr:uid="{00000000-0005-0000-0000-0000DFC70000}"/>
    <cellStyle name="Normal 9 4 3 2 4 2" xfId="51334" xr:uid="{00000000-0005-0000-0000-0000E0C70000}"/>
    <cellStyle name="Normal 9 4 3 2 4 3" xfId="51335" xr:uid="{00000000-0005-0000-0000-0000E1C70000}"/>
    <cellStyle name="Normal 9 4 3 2 5" xfId="51336" xr:uid="{00000000-0005-0000-0000-0000E2C70000}"/>
    <cellStyle name="Normal 9 4 3 2 6" xfId="51337" xr:uid="{00000000-0005-0000-0000-0000E3C70000}"/>
    <cellStyle name="Normal 9 4 3 2 7" xfId="51338" xr:uid="{00000000-0005-0000-0000-0000E4C70000}"/>
    <cellStyle name="Normal 9 4 3 2 8" xfId="51339" xr:uid="{00000000-0005-0000-0000-0000E5C70000}"/>
    <cellStyle name="Normal 9 4 3 3" xfId="51340" xr:uid="{00000000-0005-0000-0000-0000E6C70000}"/>
    <cellStyle name="Normal 9 4 3 3 2" xfId="51341" xr:uid="{00000000-0005-0000-0000-0000E7C70000}"/>
    <cellStyle name="Normal 9 4 3 3 2 2" xfId="51342" xr:uid="{00000000-0005-0000-0000-0000E8C70000}"/>
    <cellStyle name="Normal 9 4 3 3 2 2 2" xfId="51343" xr:uid="{00000000-0005-0000-0000-0000E9C70000}"/>
    <cellStyle name="Normal 9 4 3 3 2 2 3" xfId="51344" xr:uid="{00000000-0005-0000-0000-0000EAC70000}"/>
    <cellStyle name="Normal 9 4 3 3 2 3" xfId="51345" xr:uid="{00000000-0005-0000-0000-0000EBC70000}"/>
    <cellStyle name="Normal 9 4 3 3 2 4" xfId="51346" xr:uid="{00000000-0005-0000-0000-0000ECC70000}"/>
    <cellStyle name="Normal 9 4 3 3 2 5" xfId="51347" xr:uid="{00000000-0005-0000-0000-0000EDC70000}"/>
    <cellStyle name="Normal 9 4 3 3 2 6" xfId="51348" xr:uid="{00000000-0005-0000-0000-0000EEC70000}"/>
    <cellStyle name="Normal 9 4 3 3 3" xfId="51349" xr:uid="{00000000-0005-0000-0000-0000EFC70000}"/>
    <cellStyle name="Normal 9 4 3 3 3 2" xfId="51350" xr:uid="{00000000-0005-0000-0000-0000F0C70000}"/>
    <cellStyle name="Normal 9 4 3 3 3 3" xfId="51351" xr:uid="{00000000-0005-0000-0000-0000F1C70000}"/>
    <cellStyle name="Normal 9 4 3 3 4" xfId="51352" xr:uid="{00000000-0005-0000-0000-0000F2C70000}"/>
    <cellStyle name="Normal 9 4 3 3 5" xfId="51353" xr:uid="{00000000-0005-0000-0000-0000F3C70000}"/>
    <cellStyle name="Normal 9 4 3 3 6" xfId="51354" xr:uid="{00000000-0005-0000-0000-0000F4C70000}"/>
    <cellStyle name="Normal 9 4 3 3 7" xfId="51355" xr:uid="{00000000-0005-0000-0000-0000F5C70000}"/>
    <cellStyle name="Normal 9 4 3 4" xfId="51356" xr:uid="{00000000-0005-0000-0000-0000F6C70000}"/>
    <cellStyle name="Normal 9 4 3 4 2" xfId="51357" xr:uid="{00000000-0005-0000-0000-0000F7C70000}"/>
    <cellStyle name="Normal 9 4 3 4 2 2" xfId="51358" xr:uid="{00000000-0005-0000-0000-0000F8C70000}"/>
    <cellStyle name="Normal 9 4 3 4 2 3" xfId="51359" xr:uid="{00000000-0005-0000-0000-0000F9C70000}"/>
    <cellStyle name="Normal 9 4 3 4 3" xfId="51360" xr:uid="{00000000-0005-0000-0000-0000FAC70000}"/>
    <cellStyle name="Normal 9 4 3 4 4" xfId="51361" xr:uid="{00000000-0005-0000-0000-0000FBC70000}"/>
    <cellStyle name="Normal 9 4 3 4 5" xfId="51362" xr:uid="{00000000-0005-0000-0000-0000FCC70000}"/>
    <cellStyle name="Normal 9 4 3 4 6" xfId="51363" xr:uid="{00000000-0005-0000-0000-0000FDC70000}"/>
    <cellStyle name="Normal 9 4 3 5" xfId="51364" xr:uid="{00000000-0005-0000-0000-0000FEC70000}"/>
    <cellStyle name="Normal 9 4 3 5 2" xfId="51365" xr:uid="{00000000-0005-0000-0000-0000FFC70000}"/>
    <cellStyle name="Normal 9 4 3 5 2 2" xfId="51366" xr:uid="{00000000-0005-0000-0000-000000C80000}"/>
    <cellStyle name="Normal 9 4 3 5 2 3" xfId="51367" xr:uid="{00000000-0005-0000-0000-000001C80000}"/>
    <cellStyle name="Normal 9 4 3 5 3" xfId="51368" xr:uid="{00000000-0005-0000-0000-000002C80000}"/>
    <cellStyle name="Normal 9 4 3 5 4" xfId="51369" xr:uid="{00000000-0005-0000-0000-000003C80000}"/>
    <cellStyle name="Normal 9 4 3 5 5" xfId="51370" xr:uid="{00000000-0005-0000-0000-000004C80000}"/>
    <cellStyle name="Normal 9 4 3 5 6" xfId="51371" xr:uid="{00000000-0005-0000-0000-000005C80000}"/>
    <cellStyle name="Normal 9 4 3 6" xfId="51372" xr:uid="{00000000-0005-0000-0000-000006C80000}"/>
    <cellStyle name="Normal 9 4 3 6 2" xfId="51373" xr:uid="{00000000-0005-0000-0000-000007C80000}"/>
    <cellStyle name="Normal 9 4 3 6 3" xfId="51374" xr:uid="{00000000-0005-0000-0000-000008C80000}"/>
    <cellStyle name="Normal 9 4 3 7" xfId="51375" xr:uid="{00000000-0005-0000-0000-000009C80000}"/>
    <cellStyle name="Normal 9 4 3 8" xfId="51376" xr:uid="{00000000-0005-0000-0000-00000AC80000}"/>
    <cellStyle name="Normal 9 4 3 9" xfId="51377" xr:uid="{00000000-0005-0000-0000-00000BC80000}"/>
    <cellStyle name="Normal 9 4 4" xfId="51378" xr:uid="{00000000-0005-0000-0000-00000CC80000}"/>
    <cellStyle name="Normal 9 4 4 2" xfId="51379" xr:uid="{00000000-0005-0000-0000-00000DC80000}"/>
    <cellStyle name="Normal 9 4 4 2 2" xfId="51380" xr:uid="{00000000-0005-0000-0000-00000EC80000}"/>
    <cellStyle name="Normal 9 4 4 2 2 2" xfId="51381" xr:uid="{00000000-0005-0000-0000-00000FC80000}"/>
    <cellStyle name="Normal 9 4 4 2 2 2 2" xfId="51382" xr:uid="{00000000-0005-0000-0000-000010C80000}"/>
    <cellStyle name="Normal 9 4 4 2 2 2 3" xfId="51383" xr:uid="{00000000-0005-0000-0000-000011C80000}"/>
    <cellStyle name="Normal 9 4 4 2 2 3" xfId="51384" xr:uid="{00000000-0005-0000-0000-000012C80000}"/>
    <cellStyle name="Normal 9 4 4 2 2 4" xfId="51385" xr:uid="{00000000-0005-0000-0000-000013C80000}"/>
    <cellStyle name="Normal 9 4 4 2 2 5" xfId="51386" xr:uid="{00000000-0005-0000-0000-000014C80000}"/>
    <cellStyle name="Normal 9 4 4 2 2 6" xfId="51387" xr:uid="{00000000-0005-0000-0000-000015C80000}"/>
    <cellStyle name="Normal 9 4 4 2 3" xfId="51388" xr:uid="{00000000-0005-0000-0000-000016C80000}"/>
    <cellStyle name="Normal 9 4 4 2 3 2" xfId="51389" xr:uid="{00000000-0005-0000-0000-000017C80000}"/>
    <cellStyle name="Normal 9 4 4 2 3 3" xfId="51390" xr:uid="{00000000-0005-0000-0000-000018C80000}"/>
    <cellStyle name="Normal 9 4 4 2 4" xfId="51391" xr:uid="{00000000-0005-0000-0000-000019C80000}"/>
    <cellStyle name="Normal 9 4 4 2 5" xfId="51392" xr:uid="{00000000-0005-0000-0000-00001AC80000}"/>
    <cellStyle name="Normal 9 4 4 2 6" xfId="51393" xr:uid="{00000000-0005-0000-0000-00001BC80000}"/>
    <cellStyle name="Normal 9 4 4 2 7" xfId="51394" xr:uid="{00000000-0005-0000-0000-00001CC80000}"/>
    <cellStyle name="Normal 9 4 4 3" xfId="51395" xr:uid="{00000000-0005-0000-0000-00001DC80000}"/>
    <cellStyle name="Normal 9 4 4 3 2" xfId="51396" xr:uid="{00000000-0005-0000-0000-00001EC80000}"/>
    <cellStyle name="Normal 9 4 4 3 2 2" xfId="51397" xr:uid="{00000000-0005-0000-0000-00001FC80000}"/>
    <cellStyle name="Normal 9 4 4 3 2 3" xfId="51398" xr:uid="{00000000-0005-0000-0000-000020C80000}"/>
    <cellStyle name="Normal 9 4 4 3 3" xfId="51399" xr:uid="{00000000-0005-0000-0000-000021C80000}"/>
    <cellStyle name="Normal 9 4 4 3 4" xfId="51400" xr:uid="{00000000-0005-0000-0000-000022C80000}"/>
    <cellStyle name="Normal 9 4 4 3 5" xfId="51401" xr:uid="{00000000-0005-0000-0000-000023C80000}"/>
    <cellStyle name="Normal 9 4 4 3 6" xfId="51402" xr:uid="{00000000-0005-0000-0000-000024C80000}"/>
    <cellStyle name="Normal 9 4 4 4" xfId="51403" xr:uid="{00000000-0005-0000-0000-000025C80000}"/>
    <cellStyle name="Normal 9 4 4 4 2" xfId="51404" xr:uid="{00000000-0005-0000-0000-000026C80000}"/>
    <cellStyle name="Normal 9 4 4 4 2 2" xfId="51405" xr:uid="{00000000-0005-0000-0000-000027C80000}"/>
    <cellStyle name="Normal 9 4 4 4 2 3" xfId="51406" xr:uid="{00000000-0005-0000-0000-000028C80000}"/>
    <cellStyle name="Normal 9 4 4 4 3" xfId="51407" xr:uid="{00000000-0005-0000-0000-000029C80000}"/>
    <cellStyle name="Normal 9 4 4 4 4" xfId="51408" xr:uid="{00000000-0005-0000-0000-00002AC80000}"/>
    <cellStyle name="Normal 9 4 4 4 5" xfId="51409" xr:uid="{00000000-0005-0000-0000-00002BC80000}"/>
    <cellStyle name="Normal 9 4 4 4 6" xfId="51410" xr:uid="{00000000-0005-0000-0000-00002CC80000}"/>
    <cellStyle name="Normal 9 4 4 5" xfId="51411" xr:uid="{00000000-0005-0000-0000-00002DC80000}"/>
    <cellStyle name="Normal 9 4 4 5 2" xfId="51412" xr:uid="{00000000-0005-0000-0000-00002EC80000}"/>
    <cellStyle name="Normal 9 4 4 5 3" xfId="51413" xr:uid="{00000000-0005-0000-0000-00002FC80000}"/>
    <cellStyle name="Normal 9 4 4 6" xfId="51414" xr:uid="{00000000-0005-0000-0000-000030C80000}"/>
    <cellStyle name="Normal 9 4 4 7" xfId="51415" xr:uid="{00000000-0005-0000-0000-000031C80000}"/>
    <cellStyle name="Normal 9 4 4 8" xfId="51416" xr:uid="{00000000-0005-0000-0000-000032C80000}"/>
    <cellStyle name="Normal 9 4 4 9" xfId="51417" xr:uid="{00000000-0005-0000-0000-000033C80000}"/>
    <cellStyle name="Normal 9 4 5" xfId="51418" xr:uid="{00000000-0005-0000-0000-000034C80000}"/>
    <cellStyle name="Normal 9 4 5 2" xfId="51419" xr:uid="{00000000-0005-0000-0000-000035C80000}"/>
    <cellStyle name="Normal 9 4 5 2 2" xfId="51420" xr:uid="{00000000-0005-0000-0000-000036C80000}"/>
    <cellStyle name="Normal 9 4 5 2 2 2" xfId="51421" xr:uid="{00000000-0005-0000-0000-000037C80000}"/>
    <cellStyle name="Normal 9 4 5 2 2 3" xfId="51422" xr:uid="{00000000-0005-0000-0000-000038C80000}"/>
    <cellStyle name="Normal 9 4 5 2 3" xfId="51423" xr:uid="{00000000-0005-0000-0000-000039C80000}"/>
    <cellStyle name="Normal 9 4 5 2 4" xfId="51424" xr:uid="{00000000-0005-0000-0000-00003AC80000}"/>
    <cellStyle name="Normal 9 4 5 2 5" xfId="51425" xr:uid="{00000000-0005-0000-0000-00003BC80000}"/>
    <cellStyle name="Normal 9 4 5 2 6" xfId="51426" xr:uid="{00000000-0005-0000-0000-00003CC80000}"/>
    <cellStyle name="Normal 9 4 5 3" xfId="51427" xr:uid="{00000000-0005-0000-0000-00003DC80000}"/>
    <cellStyle name="Normal 9 4 5 3 2" xfId="51428" xr:uid="{00000000-0005-0000-0000-00003EC80000}"/>
    <cellStyle name="Normal 9 4 5 3 3" xfId="51429" xr:uid="{00000000-0005-0000-0000-00003FC80000}"/>
    <cellStyle name="Normal 9 4 5 4" xfId="51430" xr:uid="{00000000-0005-0000-0000-000040C80000}"/>
    <cellStyle name="Normal 9 4 5 5" xfId="51431" xr:uid="{00000000-0005-0000-0000-000041C80000}"/>
    <cellStyle name="Normal 9 4 5 6" xfId="51432" xr:uid="{00000000-0005-0000-0000-000042C80000}"/>
    <cellStyle name="Normal 9 4 5 7" xfId="51433" xr:uid="{00000000-0005-0000-0000-000043C80000}"/>
    <cellStyle name="Normal 9 4 6" xfId="51434" xr:uid="{00000000-0005-0000-0000-000044C80000}"/>
    <cellStyle name="Normal 9 4 6 2" xfId="51435" xr:uid="{00000000-0005-0000-0000-000045C80000}"/>
    <cellStyle name="Normal 9 4 6 2 2" xfId="51436" xr:uid="{00000000-0005-0000-0000-000046C80000}"/>
    <cellStyle name="Normal 9 4 6 2 3" xfId="51437" xr:uid="{00000000-0005-0000-0000-000047C80000}"/>
    <cellStyle name="Normal 9 4 6 3" xfId="51438" xr:uid="{00000000-0005-0000-0000-000048C80000}"/>
    <cellStyle name="Normal 9 4 6 4" xfId="51439" xr:uid="{00000000-0005-0000-0000-000049C80000}"/>
    <cellStyle name="Normal 9 4 6 5" xfId="51440" xr:uid="{00000000-0005-0000-0000-00004AC80000}"/>
    <cellStyle name="Normal 9 4 6 6" xfId="51441" xr:uid="{00000000-0005-0000-0000-00004BC80000}"/>
    <cellStyle name="Normal 9 4 7" xfId="51442" xr:uid="{00000000-0005-0000-0000-00004CC80000}"/>
    <cellStyle name="Normal 9 4 7 2" xfId="51443" xr:uid="{00000000-0005-0000-0000-00004DC80000}"/>
    <cellStyle name="Normal 9 4 7 2 2" xfId="51444" xr:uid="{00000000-0005-0000-0000-00004EC80000}"/>
    <cellStyle name="Normal 9 4 7 2 3" xfId="51445" xr:uid="{00000000-0005-0000-0000-00004FC80000}"/>
    <cellStyle name="Normal 9 4 7 3" xfId="51446" xr:uid="{00000000-0005-0000-0000-000050C80000}"/>
    <cellStyle name="Normal 9 4 7 4" xfId="51447" xr:uid="{00000000-0005-0000-0000-000051C80000}"/>
    <cellStyle name="Normal 9 4 7 5" xfId="51448" xr:uid="{00000000-0005-0000-0000-000052C80000}"/>
    <cellStyle name="Normal 9 4 7 6" xfId="51449" xr:uid="{00000000-0005-0000-0000-000053C80000}"/>
    <cellStyle name="Normal 9 4 8" xfId="51450" xr:uid="{00000000-0005-0000-0000-000054C80000}"/>
    <cellStyle name="Normal 9 4 8 2" xfId="51451" xr:uid="{00000000-0005-0000-0000-000055C80000}"/>
    <cellStyle name="Normal 9 4 8 2 2" xfId="51452" xr:uid="{00000000-0005-0000-0000-000056C80000}"/>
    <cellStyle name="Normal 9 4 8 2 3" xfId="51453" xr:uid="{00000000-0005-0000-0000-000057C80000}"/>
    <cellStyle name="Normal 9 4 8 3" xfId="51454" xr:uid="{00000000-0005-0000-0000-000058C80000}"/>
    <cellStyle name="Normal 9 4 8 4" xfId="51455" xr:uid="{00000000-0005-0000-0000-000059C80000}"/>
    <cellStyle name="Normal 9 4 8 5" xfId="51456" xr:uid="{00000000-0005-0000-0000-00005AC80000}"/>
    <cellStyle name="Normal 9 4 8 6" xfId="51457" xr:uid="{00000000-0005-0000-0000-00005BC80000}"/>
    <cellStyle name="Normal 9 4 9" xfId="51458" xr:uid="{00000000-0005-0000-0000-00005CC80000}"/>
    <cellStyle name="Normal 9 4 9 2" xfId="51459" xr:uid="{00000000-0005-0000-0000-00005DC80000}"/>
    <cellStyle name="Normal 9 4 9 2 2" xfId="51460" xr:uid="{00000000-0005-0000-0000-00005EC80000}"/>
    <cellStyle name="Normal 9 4 9 2 3" xfId="51461" xr:uid="{00000000-0005-0000-0000-00005FC80000}"/>
    <cellStyle name="Normal 9 4 9 3" xfId="51462" xr:uid="{00000000-0005-0000-0000-000060C80000}"/>
    <cellStyle name="Normal 9 4 9 4" xfId="51463" xr:uid="{00000000-0005-0000-0000-000061C80000}"/>
    <cellStyle name="Normal 9 4 9 5" xfId="51464" xr:uid="{00000000-0005-0000-0000-000062C80000}"/>
    <cellStyle name="Normal 9 4 9 6" xfId="51465" xr:uid="{00000000-0005-0000-0000-000063C80000}"/>
    <cellStyle name="Normal 9 5" xfId="51466" xr:uid="{00000000-0005-0000-0000-000064C80000}"/>
    <cellStyle name="Normal 9 5 10" xfId="51467" xr:uid="{00000000-0005-0000-0000-000065C80000}"/>
    <cellStyle name="Normal 9 5 10 2" xfId="51468" xr:uid="{00000000-0005-0000-0000-000066C80000}"/>
    <cellStyle name="Normal 9 5 10 3" xfId="51469" xr:uid="{00000000-0005-0000-0000-000067C80000}"/>
    <cellStyle name="Normal 9 5 11" xfId="51470" xr:uid="{00000000-0005-0000-0000-000068C80000}"/>
    <cellStyle name="Normal 9 5 12" xfId="51471" xr:uid="{00000000-0005-0000-0000-000069C80000}"/>
    <cellStyle name="Normal 9 5 13" xfId="51472" xr:uid="{00000000-0005-0000-0000-00006AC80000}"/>
    <cellStyle name="Normal 9 5 14" xfId="51473" xr:uid="{00000000-0005-0000-0000-00006BC80000}"/>
    <cellStyle name="Normal 9 5 2" xfId="51474" xr:uid="{00000000-0005-0000-0000-00006CC80000}"/>
    <cellStyle name="Normal 9 5 2 10" xfId="51475" xr:uid="{00000000-0005-0000-0000-00006DC80000}"/>
    <cellStyle name="Normal 9 5 2 11" xfId="51476" xr:uid="{00000000-0005-0000-0000-00006EC80000}"/>
    <cellStyle name="Normal 9 5 2 12" xfId="51477" xr:uid="{00000000-0005-0000-0000-00006FC80000}"/>
    <cellStyle name="Normal 9 5 2 13" xfId="51478" xr:uid="{00000000-0005-0000-0000-000070C80000}"/>
    <cellStyle name="Normal 9 5 2 2" xfId="51479" xr:uid="{00000000-0005-0000-0000-000071C80000}"/>
    <cellStyle name="Normal 9 5 2 2 10" xfId="51480" xr:uid="{00000000-0005-0000-0000-000072C80000}"/>
    <cellStyle name="Normal 9 5 2 2 2" xfId="51481" xr:uid="{00000000-0005-0000-0000-000073C80000}"/>
    <cellStyle name="Normal 9 5 2 2 2 2" xfId="51482" xr:uid="{00000000-0005-0000-0000-000074C80000}"/>
    <cellStyle name="Normal 9 5 2 2 2 2 2" xfId="51483" xr:uid="{00000000-0005-0000-0000-000075C80000}"/>
    <cellStyle name="Normal 9 5 2 2 2 2 2 2" xfId="51484" xr:uid="{00000000-0005-0000-0000-000076C80000}"/>
    <cellStyle name="Normal 9 5 2 2 2 2 2 3" xfId="51485" xr:uid="{00000000-0005-0000-0000-000077C80000}"/>
    <cellStyle name="Normal 9 5 2 2 2 2 3" xfId="51486" xr:uid="{00000000-0005-0000-0000-000078C80000}"/>
    <cellStyle name="Normal 9 5 2 2 2 2 4" xfId="51487" xr:uid="{00000000-0005-0000-0000-000079C80000}"/>
    <cellStyle name="Normal 9 5 2 2 2 2 5" xfId="51488" xr:uid="{00000000-0005-0000-0000-00007AC80000}"/>
    <cellStyle name="Normal 9 5 2 2 2 2 6" xfId="51489" xr:uid="{00000000-0005-0000-0000-00007BC80000}"/>
    <cellStyle name="Normal 9 5 2 2 2 3" xfId="51490" xr:uid="{00000000-0005-0000-0000-00007CC80000}"/>
    <cellStyle name="Normal 9 5 2 2 2 3 2" xfId="51491" xr:uid="{00000000-0005-0000-0000-00007DC80000}"/>
    <cellStyle name="Normal 9 5 2 2 2 3 2 2" xfId="51492" xr:uid="{00000000-0005-0000-0000-00007EC80000}"/>
    <cellStyle name="Normal 9 5 2 2 2 3 2 3" xfId="51493" xr:uid="{00000000-0005-0000-0000-00007FC80000}"/>
    <cellStyle name="Normal 9 5 2 2 2 3 3" xfId="51494" xr:uid="{00000000-0005-0000-0000-000080C80000}"/>
    <cellStyle name="Normal 9 5 2 2 2 3 4" xfId="51495" xr:uid="{00000000-0005-0000-0000-000081C80000}"/>
    <cellStyle name="Normal 9 5 2 2 2 3 5" xfId="51496" xr:uid="{00000000-0005-0000-0000-000082C80000}"/>
    <cellStyle name="Normal 9 5 2 2 2 3 6" xfId="51497" xr:uid="{00000000-0005-0000-0000-000083C80000}"/>
    <cellStyle name="Normal 9 5 2 2 2 4" xfId="51498" xr:uid="{00000000-0005-0000-0000-000084C80000}"/>
    <cellStyle name="Normal 9 5 2 2 2 4 2" xfId="51499" xr:uid="{00000000-0005-0000-0000-000085C80000}"/>
    <cellStyle name="Normal 9 5 2 2 2 4 3" xfId="51500" xr:uid="{00000000-0005-0000-0000-000086C80000}"/>
    <cellStyle name="Normal 9 5 2 2 2 5" xfId="51501" xr:uid="{00000000-0005-0000-0000-000087C80000}"/>
    <cellStyle name="Normal 9 5 2 2 2 6" xfId="51502" xr:uid="{00000000-0005-0000-0000-000088C80000}"/>
    <cellStyle name="Normal 9 5 2 2 2 7" xfId="51503" xr:uid="{00000000-0005-0000-0000-000089C80000}"/>
    <cellStyle name="Normal 9 5 2 2 2 8" xfId="51504" xr:uid="{00000000-0005-0000-0000-00008AC80000}"/>
    <cellStyle name="Normal 9 5 2 2 3" xfId="51505" xr:uid="{00000000-0005-0000-0000-00008BC80000}"/>
    <cellStyle name="Normal 9 5 2 2 3 2" xfId="51506" xr:uid="{00000000-0005-0000-0000-00008CC80000}"/>
    <cellStyle name="Normal 9 5 2 2 3 2 2" xfId="51507" xr:uid="{00000000-0005-0000-0000-00008DC80000}"/>
    <cellStyle name="Normal 9 5 2 2 3 2 2 2" xfId="51508" xr:uid="{00000000-0005-0000-0000-00008EC80000}"/>
    <cellStyle name="Normal 9 5 2 2 3 2 2 3" xfId="51509" xr:uid="{00000000-0005-0000-0000-00008FC80000}"/>
    <cellStyle name="Normal 9 5 2 2 3 2 3" xfId="51510" xr:uid="{00000000-0005-0000-0000-000090C80000}"/>
    <cellStyle name="Normal 9 5 2 2 3 2 4" xfId="51511" xr:uid="{00000000-0005-0000-0000-000091C80000}"/>
    <cellStyle name="Normal 9 5 2 2 3 2 5" xfId="51512" xr:uid="{00000000-0005-0000-0000-000092C80000}"/>
    <cellStyle name="Normal 9 5 2 2 3 2 6" xfId="51513" xr:uid="{00000000-0005-0000-0000-000093C80000}"/>
    <cellStyle name="Normal 9 5 2 2 3 3" xfId="51514" xr:uid="{00000000-0005-0000-0000-000094C80000}"/>
    <cellStyle name="Normal 9 5 2 2 3 3 2" xfId="51515" xr:uid="{00000000-0005-0000-0000-000095C80000}"/>
    <cellStyle name="Normal 9 5 2 2 3 3 3" xfId="51516" xr:uid="{00000000-0005-0000-0000-000096C80000}"/>
    <cellStyle name="Normal 9 5 2 2 3 4" xfId="51517" xr:uid="{00000000-0005-0000-0000-000097C80000}"/>
    <cellStyle name="Normal 9 5 2 2 3 5" xfId="51518" xr:uid="{00000000-0005-0000-0000-000098C80000}"/>
    <cellStyle name="Normal 9 5 2 2 3 6" xfId="51519" xr:uid="{00000000-0005-0000-0000-000099C80000}"/>
    <cellStyle name="Normal 9 5 2 2 3 7" xfId="51520" xr:uid="{00000000-0005-0000-0000-00009AC80000}"/>
    <cellStyle name="Normal 9 5 2 2 4" xfId="51521" xr:uid="{00000000-0005-0000-0000-00009BC80000}"/>
    <cellStyle name="Normal 9 5 2 2 4 2" xfId="51522" xr:uid="{00000000-0005-0000-0000-00009CC80000}"/>
    <cellStyle name="Normal 9 5 2 2 4 2 2" xfId="51523" xr:uid="{00000000-0005-0000-0000-00009DC80000}"/>
    <cellStyle name="Normal 9 5 2 2 4 2 3" xfId="51524" xr:uid="{00000000-0005-0000-0000-00009EC80000}"/>
    <cellStyle name="Normal 9 5 2 2 4 3" xfId="51525" xr:uid="{00000000-0005-0000-0000-00009FC80000}"/>
    <cellStyle name="Normal 9 5 2 2 4 4" xfId="51526" xr:uid="{00000000-0005-0000-0000-0000A0C80000}"/>
    <cellStyle name="Normal 9 5 2 2 4 5" xfId="51527" xr:uid="{00000000-0005-0000-0000-0000A1C80000}"/>
    <cellStyle name="Normal 9 5 2 2 4 6" xfId="51528" xr:uid="{00000000-0005-0000-0000-0000A2C80000}"/>
    <cellStyle name="Normal 9 5 2 2 5" xfId="51529" xr:uid="{00000000-0005-0000-0000-0000A3C80000}"/>
    <cellStyle name="Normal 9 5 2 2 5 2" xfId="51530" xr:uid="{00000000-0005-0000-0000-0000A4C80000}"/>
    <cellStyle name="Normal 9 5 2 2 5 2 2" xfId="51531" xr:uid="{00000000-0005-0000-0000-0000A5C80000}"/>
    <cellStyle name="Normal 9 5 2 2 5 2 3" xfId="51532" xr:uid="{00000000-0005-0000-0000-0000A6C80000}"/>
    <cellStyle name="Normal 9 5 2 2 5 3" xfId="51533" xr:uid="{00000000-0005-0000-0000-0000A7C80000}"/>
    <cellStyle name="Normal 9 5 2 2 5 4" xfId="51534" xr:uid="{00000000-0005-0000-0000-0000A8C80000}"/>
    <cellStyle name="Normal 9 5 2 2 5 5" xfId="51535" xr:uid="{00000000-0005-0000-0000-0000A9C80000}"/>
    <cellStyle name="Normal 9 5 2 2 5 6" xfId="51536" xr:uid="{00000000-0005-0000-0000-0000AAC80000}"/>
    <cellStyle name="Normal 9 5 2 2 6" xfId="51537" xr:uid="{00000000-0005-0000-0000-0000ABC80000}"/>
    <cellStyle name="Normal 9 5 2 2 6 2" xfId="51538" xr:uid="{00000000-0005-0000-0000-0000ACC80000}"/>
    <cellStyle name="Normal 9 5 2 2 6 3" xfId="51539" xr:uid="{00000000-0005-0000-0000-0000ADC80000}"/>
    <cellStyle name="Normal 9 5 2 2 7" xfId="51540" xr:uid="{00000000-0005-0000-0000-0000AEC80000}"/>
    <cellStyle name="Normal 9 5 2 2 8" xfId="51541" xr:uid="{00000000-0005-0000-0000-0000AFC80000}"/>
    <cellStyle name="Normal 9 5 2 2 9" xfId="51542" xr:uid="{00000000-0005-0000-0000-0000B0C80000}"/>
    <cellStyle name="Normal 9 5 2 3" xfId="51543" xr:uid="{00000000-0005-0000-0000-0000B1C80000}"/>
    <cellStyle name="Normal 9 5 2 3 2" xfId="51544" xr:uid="{00000000-0005-0000-0000-0000B2C80000}"/>
    <cellStyle name="Normal 9 5 2 3 2 2" xfId="51545" xr:uid="{00000000-0005-0000-0000-0000B3C80000}"/>
    <cellStyle name="Normal 9 5 2 3 2 2 2" xfId="51546" xr:uid="{00000000-0005-0000-0000-0000B4C80000}"/>
    <cellStyle name="Normal 9 5 2 3 2 2 2 2" xfId="51547" xr:uid="{00000000-0005-0000-0000-0000B5C80000}"/>
    <cellStyle name="Normal 9 5 2 3 2 2 2 3" xfId="51548" xr:uid="{00000000-0005-0000-0000-0000B6C80000}"/>
    <cellStyle name="Normal 9 5 2 3 2 2 3" xfId="51549" xr:uid="{00000000-0005-0000-0000-0000B7C80000}"/>
    <cellStyle name="Normal 9 5 2 3 2 2 4" xfId="51550" xr:uid="{00000000-0005-0000-0000-0000B8C80000}"/>
    <cellStyle name="Normal 9 5 2 3 2 2 5" xfId="51551" xr:uid="{00000000-0005-0000-0000-0000B9C80000}"/>
    <cellStyle name="Normal 9 5 2 3 2 2 6" xfId="51552" xr:uid="{00000000-0005-0000-0000-0000BAC80000}"/>
    <cellStyle name="Normal 9 5 2 3 2 3" xfId="51553" xr:uid="{00000000-0005-0000-0000-0000BBC80000}"/>
    <cellStyle name="Normal 9 5 2 3 2 3 2" xfId="51554" xr:uid="{00000000-0005-0000-0000-0000BCC80000}"/>
    <cellStyle name="Normal 9 5 2 3 2 3 3" xfId="51555" xr:uid="{00000000-0005-0000-0000-0000BDC80000}"/>
    <cellStyle name="Normal 9 5 2 3 2 4" xfId="51556" xr:uid="{00000000-0005-0000-0000-0000BEC80000}"/>
    <cellStyle name="Normal 9 5 2 3 2 5" xfId="51557" xr:uid="{00000000-0005-0000-0000-0000BFC80000}"/>
    <cellStyle name="Normal 9 5 2 3 2 6" xfId="51558" xr:uid="{00000000-0005-0000-0000-0000C0C80000}"/>
    <cellStyle name="Normal 9 5 2 3 2 7" xfId="51559" xr:uid="{00000000-0005-0000-0000-0000C1C80000}"/>
    <cellStyle name="Normal 9 5 2 3 3" xfId="51560" xr:uid="{00000000-0005-0000-0000-0000C2C80000}"/>
    <cellStyle name="Normal 9 5 2 3 3 2" xfId="51561" xr:uid="{00000000-0005-0000-0000-0000C3C80000}"/>
    <cellStyle name="Normal 9 5 2 3 3 2 2" xfId="51562" xr:uid="{00000000-0005-0000-0000-0000C4C80000}"/>
    <cellStyle name="Normal 9 5 2 3 3 2 3" xfId="51563" xr:uid="{00000000-0005-0000-0000-0000C5C80000}"/>
    <cellStyle name="Normal 9 5 2 3 3 3" xfId="51564" xr:uid="{00000000-0005-0000-0000-0000C6C80000}"/>
    <cellStyle name="Normal 9 5 2 3 3 4" xfId="51565" xr:uid="{00000000-0005-0000-0000-0000C7C80000}"/>
    <cellStyle name="Normal 9 5 2 3 3 5" xfId="51566" xr:uid="{00000000-0005-0000-0000-0000C8C80000}"/>
    <cellStyle name="Normal 9 5 2 3 3 6" xfId="51567" xr:uid="{00000000-0005-0000-0000-0000C9C80000}"/>
    <cellStyle name="Normal 9 5 2 3 4" xfId="51568" xr:uid="{00000000-0005-0000-0000-0000CAC80000}"/>
    <cellStyle name="Normal 9 5 2 3 4 2" xfId="51569" xr:uid="{00000000-0005-0000-0000-0000CBC80000}"/>
    <cellStyle name="Normal 9 5 2 3 4 2 2" xfId="51570" xr:uid="{00000000-0005-0000-0000-0000CCC80000}"/>
    <cellStyle name="Normal 9 5 2 3 4 2 3" xfId="51571" xr:uid="{00000000-0005-0000-0000-0000CDC80000}"/>
    <cellStyle name="Normal 9 5 2 3 4 3" xfId="51572" xr:uid="{00000000-0005-0000-0000-0000CEC80000}"/>
    <cellStyle name="Normal 9 5 2 3 4 4" xfId="51573" xr:uid="{00000000-0005-0000-0000-0000CFC80000}"/>
    <cellStyle name="Normal 9 5 2 3 4 5" xfId="51574" xr:uid="{00000000-0005-0000-0000-0000D0C80000}"/>
    <cellStyle name="Normal 9 5 2 3 4 6" xfId="51575" xr:uid="{00000000-0005-0000-0000-0000D1C80000}"/>
    <cellStyle name="Normal 9 5 2 3 5" xfId="51576" xr:uid="{00000000-0005-0000-0000-0000D2C80000}"/>
    <cellStyle name="Normal 9 5 2 3 5 2" xfId="51577" xr:uid="{00000000-0005-0000-0000-0000D3C80000}"/>
    <cellStyle name="Normal 9 5 2 3 5 3" xfId="51578" xr:uid="{00000000-0005-0000-0000-0000D4C80000}"/>
    <cellStyle name="Normal 9 5 2 3 6" xfId="51579" xr:uid="{00000000-0005-0000-0000-0000D5C80000}"/>
    <cellStyle name="Normal 9 5 2 3 7" xfId="51580" xr:uid="{00000000-0005-0000-0000-0000D6C80000}"/>
    <cellStyle name="Normal 9 5 2 3 8" xfId="51581" xr:uid="{00000000-0005-0000-0000-0000D7C80000}"/>
    <cellStyle name="Normal 9 5 2 3 9" xfId="51582" xr:uid="{00000000-0005-0000-0000-0000D8C80000}"/>
    <cellStyle name="Normal 9 5 2 4" xfId="51583" xr:uid="{00000000-0005-0000-0000-0000D9C80000}"/>
    <cellStyle name="Normal 9 5 2 4 2" xfId="51584" xr:uid="{00000000-0005-0000-0000-0000DAC80000}"/>
    <cellStyle name="Normal 9 5 2 4 2 2" xfId="51585" xr:uid="{00000000-0005-0000-0000-0000DBC80000}"/>
    <cellStyle name="Normal 9 5 2 4 2 2 2" xfId="51586" xr:uid="{00000000-0005-0000-0000-0000DCC80000}"/>
    <cellStyle name="Normal 9 5 2 4 2 2 3" xfId="51587" xr:uid="{00000000-0005-0000-0000-0000DDC80000}"/>
    <cellStyle name="Normal 9 5 2 4 2 3" xfId="51588" xr:uid="{00000000-0005-0000-0000-0000DEC80000}"/>
    <cellStyle name="Normal 9 5 2 4 2 4" xfId="51589" xr:uid="{00000000-0005-0000-0000-0000DFC80000}"/>
    <cellStyle name="Normal 9 5 2 4 2 5" xfId="51590" xr:uid="{00000000-0005-0000-0000-0000E0C80000}"/>
    <cellStyle name="Normal 9 5 2 4 2 6" xfId="51591" xr:uid="{00000000-0005-0000-0000-0000E1C80000}"/>
    <cellStyle name="Normal 9 5 2 4 3" xfId="51592" xr:uid="{00000000-0005-0000-0000-0000E2C80000}"/>
    <cellStyle name="Normal 9 5 2 4 3 2" xfId="51593" xr:uid="{00000000-0005-0000-0000-0000E3C80000}"/>
    <cellStyle name="Normal 9 5 2 4 3 3" xfId="51594" xr:uid="{00000000-0005-0000-0000-0000E4C80000}"/>
    <cellStyle name="Normal 9 5 2 4 4" xfId="51595" xr:uid="{00000000-0005-0000-0000-0000E5C80000}"/>
    <cellStyle name="Normal 9 5 2 4 5" xfId="51596" xr:uid="{00000000-0005-0000-0000-0000E6C80000}"/>
    <cellStyle name="Normal 9 5 2 4 6" xfId="51597" xr:uid="{00000000-0005-0000-0000-0000E7C80000}"/>
    <cellStyle name="Normal 9 5 2 4 7" xfId="51598" xr:uid="{00000000-0005-0000-0000-0000E8C80000}"/>
    <cellStyle name="Normal 9 5 2 5" xfId="51599" xr:uid="{00000000-0005-0000-0000-0000E9C80000}"/>
    <cellStyle name="Normal 9 5 2 5 2" xfId="51600" xr:uid="{00000000-0005-0000-0000-0000EAC80000}"/>
    <cellStyle name="Normal 9 5 2 5 2 2" xfId="51601" xr:uid="{00000000-0005-0000-0000-0000EBC80000}"/>
    <cellStyle name="Normal 9 5 2 5 2 3" xfId="51602" xr:uid="{00000000-0005-0000-0000-0000ECC80000}"/>
    <cellStyle name="Normal 9 5 2 5 3" xfId="51603" xr:uid="{00000000-0005-0000-0000-0000EDC80000}"/>
    <cellStyle name="Normal 9 5 2 5 4" xfId="51604" xr:uid="{00000000-0005-0000-0000-0000EEC80000}"/>
    <cellStyle name="Normal 9 5 2 5 5" xfId="51605" xr:uid="{00000000-0005-0000-0000-0000EFC80000}"/>
    <cellStyle name="Normal 9 5 2 5 6" xfId="51606" xr:uid="{00000000-0005-0000-0000-0000F0C80000}"/>
    <cellStyle name="Normal 9 5 2 6" xfId="51607" xr:uid="{00000000-0005-0000-0000-0000F1C80000}"/>
    <cellStyle name="Normal 9 5 2 6 2" xfId="51608" xr:uid="{00000000-0005-0000-0000-0000F2C80000}"/>
    <cellStyle name="Normal 9 5 2 6 2 2" xfId="51609" xr:uid="{00000000-0005-0000-0000-0000F3C80000}"/>
    <cellStyle name="Normal 9 5 2 6 2 3" xfId="51610" xr:uid="{00000000-0005-0000-0000-0000F4C80000}"/>
    <cellStyle name="Normal 9 5 2 6 3" xfId="51611" xr:uid="{00000000-0005-0000-0000-0000F5C80000}"/>
    <cellStyle name="Normal 9 5 2 6 4" xfId="51612" xr:uid="{00000000-0005-0000-0000-0000F6C80000}"/>
    <cellStyle name="Normal 9 5 2 6 5" xfId="51613" xr:uid="{00000000-0005-0000-0000-0000F7C80000}"/>
    <cellStyle name="Normal 9 5 2 6 6" xfId="51614" xr:uid="{00000000-0005-0000-0000-0000F8C80000}"/>
    <cellStyle name="Normal 9 5 2 7" xfId="51615" xr:uid="{00000000-0005-0000-0000-0000F9C80000}"/>
    <cellStyle name="Normal 9 5 2 7 2" xfId="51616" xr:uid="{00000000-0005-0000-0000-0000FAC80000}"/>
    <cellStyle name="Normal 9 5 2 7 2 2" xfId="51617" xr:uid="{00000000-0005-0000-0000-0000FBC80000}"/>
    <cellStyle name="Normal 9 5 2 7 2 3" xfId="51618" xr:uid="{00000000-0005-0000-0000-0000FCC80000}"/>
    <cellStyle name="Normal 9 5 2 7 3" xfId="51619" xr:uid="{00000000-0005-0000-0000-0000FDC80000}"/>
    <cellStyle name="Normal 9 5 2 7 4" xfId="51620" xr:uid="{00000000-0005-0000-0000-0000FEC80000}"/>
    <cellStyle name="Normal 9 5 2 7 5" xfId="51621" xr:uid="{00000000-0005-0000-0000-0000FFC80000}"/>
    <cellStyle name="Normal 9 5 2 7 6" xfId="51622" xr:uid="{00000000-0005-0000-0000-000000C90000}"/>
    <cellStyle name="Normal 9 5 2 8" xfId="51623" xr:uid="{00000000-0005-0000-0000-000001C90000}"/>
    <cellStyle name="Normal 9 5 2 8 2" xfId="51624" xr:uid="{00000000-0005-0000-0000-000002C90000}"/>
    <cellStyle name="Normal 9 5 2 8 2 2" xfId="51625" xr:uid="{00000000-0005-0000-0000-000003C90000}"/>
    <cellStyle name="Normal 9 5 2 8 2 3" xfId="51626" xr:uid="{00000000-0005-0000-0000-000004C90000}"/>
    <cellStyle name="Normal 9 5 2 8 3" xfId="51627" xr:uid="{00000000-0005-0000-0000-000005C90000}"/>
    <cellStyle name="Normal 9 5 2 8 4" xfId="51628" xr:uid="{00000000-0005-0000-0000-000006C90000}"/>
    <cellStyle name="Normal 9 5 2 8 5" xfId="51629" xr:uid="{00000000-0005-0000-0000-000007C90000}"/>
    <cellStyle name="Normal 9 5 2 8 6" xfId="51630" xr:uid="{00000000-0005-0000-0000-000008C90000}"/>
    <cellStyle name="Normal 9 5 2 9" xfId="51631" xr:uid="{00000000-0005-0000-0000-000009C90000}"/>
    <cellStyle name="Normal 9 5 2 9 2" xfId="51632" xr:uid="{00000000-0005-0000-0000-00000AC90000}"/>
    <cellStyle name="Normal 9 5 2 9 3" xfId="51633" xr:uid="{00000000-0005-0000-0000-00000BC90000}"/>
    <cellStyle name="Normal 9 5 3" xfId="51634" xr:uid="{00000000-0005-0000-0000-00000CC90000}"/>
    <cellStyle name="Normal 9 5 3 10" xfId="51635" xr:uid="{00000000-0005-0000-0000-00000DC90000}"/>
    <cellStyle name="Normal 9 5 3 2" xfId="51636" xr:uid="{00000000-0005-0000-0000-00000EC90000}"/>
    <cellStyle name="Normal 9 5 3 2 2" xfId="51637" xr:uid="{00000000-0005-0000-0000-00000FC90000}"/>
    <cellStyle name="Normal 9 5 3 2 2 2" xfId="51638" xr:uid="{00000000-0005-0000-0000-000010C90000}"/>
    <cellStyle name="Normal 9 5 3 2 2 2 2" xfId="51639" xr:uid="{00000000-0005-0000-0000-000011C90000}"/>
    <cellStyle name="Normal 9 5 3 2 2 2 3" xfId="51640" xr:uid="{00000000-0005-0000-0000-000012C90000}"/>
    <cellStyle name="Normal 9 5 3 2 2 3" xfId="51641" xr:uid="{00000000-0005-0000-0000-000013C90000}"/>
    <cellStyle name="Normal 9 5 3 2 2 4" xfId="51642" xr:uid="{00000000-0005-0000-0000-000014C90000}"/>
    <cellStyle name="Normal 9 5 3 2 2 5" xfId="51643" xr:uid="{00000000-0005-0000-0000-000015C90000}"/>
    <cellStyle name="Normal 9 5 3 2 2 6" xfId="51644" xr:uid="{00000000-0005-0000-0000-000016C90000}"/>
    <cellStyle name="Normal 9 5 3 2 3" xfId="51645" xr:uid="{00000000-0005-0000-0000-000017C90000}"/>
    <cellStyle name="Normal 9 5 3 2 3 2" xfId="51646" xr:uid="{00000000-0005-0000-0000-000018C90000}"/>
    <cellStyle name="Normal 9 5 3 2 3 2 2" xfId="51647" xr:uid="{00000000-0005-0000-0000-000019C90000}"/>
    <cellStyle name="Normal 9 5 3 2 3 2 3" xfId="51648" xr:uid="{00000000-0005-0000-0000-00001AC90000}"/>
    <cellStyle name="Normal 9 5 3 2 3 3" xfId="51649" xr:uid="{00000000-0005-0000-0000-00001BC90000}"/>
    <cellStyle name="Normal 9 5 3 2 3 4" xfId="51650" xr:uid="{00000000-0005-0000-0000-00001CC90000}"/>
    <cellStyle name="Normal 9 5 3 2 3 5" xfId="51651" xr:uid="{00000000-0005-0000-0000-00001DC90000}"/>
    <cellStyle name="Normal 9 5 3 2 3 6" xfId="51652" xr:uid="{00000000-0005-0000-0000-00001EC90000}"/>
    <cellStyle name="Normal 9 5 3 2 4" xfId="51653" xr:uid="{00000000-0005-0000-0000-00001FC90000}"/>
    <cellStyle name="Normal 9 5 3 2 4 2" xfId="51654" xr:uid="{00000000-0005-0000-0000-000020C90000}"/>
    <cellStyle name="Normal 9 5 3 2 4 3" xfId="51655" xr:uid="{00000000-0005-0000-0000-000021C90000}"/>
    <cellStyle name="Normal 9 5 3 2 5" xfId="51656" xr:uid="{00000000-0005-0000-0000-000022C90000}"/>
    <cellStyle name="Normal 9 5 3 2 6" xfId="51657" xr:uid="{00000000-0005-0000-0000-000023C90000}"/>
    <cellStyle name="Normal 9 5 3 2 7" xfId="51658" xr:uid="{00000000-0005-0000-0000-000024C90000}"/>
    <cellStyle name="Normal 9 5 3 2 8" xfId="51659" xr:uid="{00000000-0005-0000-0000-000025C90000}"/>
    <cellStyle name="Normal 9 5 3 3" xfId="51660" xr:uid="{00000000-0005-0000-0000-000026C90000}"/>
    <cellStyle name="Normal 9 5 3 3 2" xfId="51661" xr:uid="{00000000-0005-0000-0000-000027C90000}"/>
    <cellStyle name="Normal 9 5 3 3 2 2" xfId="51662" xr:uid="{00000000-0005-0000-0000-000028C90000}"/>
    <cellStyle name="Normal 9 5 3 3 2 2 2" xfId="51663" xr:uid="{00000000-0005-0000-0000-000029C90000}"/>
    <cellStyle name="Normal 9 5 3 3 2 2 3" xfId="51664" xr:uid="{00000000-0005-0000-0000-00002AC90000}"/>
    <cellStyle name="Normal 9 5 3 3 2 3" xfId="51665" xr:uid="{00000000-0005-0000-0000-00002BC90000}"/>
    <cellStyle name="Normal 9 5 3 3 2 4" xfId="51666" xr:uid="{00000000-0005-0000-0000-00002CC90000}"/>
    <cellStyle name="Normal 9 5 3 3 2 5" xfId="51667" xr:uid="{00000000-0005-0000-0000-00002DC90000}"/>
    <cellStyle name="Normal 9 5 3 3 2 6" xfId="51668" xr:uid="{00000000-0005-0000-0000-00002EC90000}"/>
    <cellStyle name="Normal 9 5 3 3 3" xfId="51669" xr:uid="{00000000-0005-0000-0000-00002FC90000}"/>
    <cellStyle name="Normal 9 5 3 3 3 2" xfId="51670" xr:uid="{00000000-0005-0000-0000-000030C90000}"/>
    <cellStyle name="Normal 9 5 3 3 3 3" xfId="51671" xr:uid="{00000000-0005-0000-0000-000031C90000}"/>
    <cellStyle name="Normal 9 5 3 3 4" xfId="51672" xr:uid="{00000000-0005-0000-0000-000032C90000}"/>
    <cellStyle name="Normal 9 5 3 3 5" xfId="51673" xr:uid="{00000000-0005-0000-0000-000033C90000}"/>
    <cellStyle name="Normal 9 5 3 3 6" xfId="51674" xr:uid="{00000000-0005-0000-0000-000034C90000}"/>
    <cellStyle name="Normal 9 5 3 3 7" xfId="51675" xr:uid="{00000000-0005-0000-0000-000035C90000}"/>
    <cellStyle name="Normal 9 5 3 4" xfId="51676" xr:uid="{00000000-0005-0000-0000-000036C90000}"/>
    <cellStyle name="Normal 9 5 3 4 2" xfId="51677" xr:uid="{00000000-0005-0000-0000-000037C90000}"/>
    <cellStyle name="Normal 9 5 3 4 2 2" xfId="51678" xr:uid="{00000000-0005-0000-0000-000038C90000}"/>
    <cellStyle name="Normal 9 5 3 4 2 3" xfId="51679" xr:uid="{00000000-0005-0000-0000-000039C90000}"/>
    <cellStyle name="Normal 9 5 3 4 3" xfId="51680" xr:uid="{00000000-0005-0000-0000-00003AC90000}"/>
    <cellStyle name="Normal 9 5 3 4 4" xfId="51681" xr:uid="{00000000-0005-0000-0000-00003BC90000}"/>
    <cellStyle name="Normal 9 5 3 4 5" xfId="51682" xr:uid="{00000000-0005-0000-0000-00003CC90000}"/>
    <cellStyle name="Normal 9 5 3 4 6" xfId="51683" xr:uid="{00000000-0005-0000-0000-00003DC90000}"/>
    <cellStyle name="Normal 9 5 3 5" xfId="51684" xr:uid="{00000000-0005-0000-0000-00003EC90000}"/>
    <cellStyle name="Normal 9 5 3 5 2" xfId="51685" xr:uid="{00000000-0005-0000-0000-00003FC90000}"/>
    <cellStyle name="Normal 9 5 3 5 2 2" xfId="51686" xr:uid="{00000000-0005-0000-0000-000040C90000}"/>
    <cellStyle name="Normal 9 5 3 5 2 3" xfId="51687" xr:uid="{00000000-0005-0000-0000-000041C90000}"/>
    <cellStyle name="Normal 9 5 3 5 3" xfId="51688" xr:uid="{00000000-0005-0000-0000-000042C90000}"/>
    <cellStyle name="Normal 9 5 3 5 4" xfId="51689" xr:uid="{00000000-0005-0000-0000-000043C90000}"/>
    <cellStyle name="Normal 9 5 3 5 5" xfId="51690" xr:uid="{00000000-0005-0000-0000-000044C90000}"/>
    <cellStyle name="Normal 9 5 3 5 6" xfId="51691" xr:uid="{00000000-0005-0000-0000-000045C90000}"/>
    <cellStyle name="Normal 9 5 3 6" xfId="51692" xr:uid="{00000000-0005-0000-0000-000046C90000}"/>
    <cellStyle name="Normal 9 5 3 6 2" xfId="51693" xr:uid="{00000000-0005-0000-0000-000047C90000}"/>
    <cellStyle name="Normal 9 5 3 6 3" xfId="51694" xr:uid="{00000000-0005-0000-0000-000048C90000}"/>
    <cellStyle name="Normal 9 5 3 7" xfId="51695" xr:uid="{00000000-0005-0000-0000-000049C90000}"/>
    <cellStyle name="Normal 9 5 3 8" xfId="51696" xr:uid="{00000000-0005-0000-0000-00004AC90000}"/>
    <cellStyle name="Normal 9 5 3 9" xfId="51697" xr:uid="{00000000-0005-0000-0000-00004BC90000}"/>
    <cellStyle name="Normal 9 5 4" xfId="51698" xr:uid="{00000000-0005-0000-0000-00004CC90000}"/>
    <cellStyle name="Normal 9 5 4 2" xfId="51699" xr:uid="{00000000-0005-0000-0000-00004DC90000}"/>
    <cellStyle name="Normal 9 5 4 2 2" xfId="51700" xr:uid="{00000000-0005-0000-0000-00004EC90000}"/>
    <cellStyle name="Normal 9 5 4 2 2 2" xfId="51701" xr:uid="{00000000-0005-0000-0000-00004FC90000}"/>
    <cellStyle name="Normal 9 5 4 2 2 2 2" xfId="51702" xr:uid="{00000000-0005-0000-0000-000050C90000}"/>
    <cellStyle name="Normal 9 5 4 2 2 2 3" xfId="51703" xr:uid="{00000000-0005-0000-0000-000051C90000}"/>
    <cellStyle name="Normal 9 5 4 2 2 3" xfId="51704" xr:uid="{00000000-0005-0000-0000-000052C90000}"/>
    <cellStyle name="Normal 9 5 4 2 2 4" xfId="51705" xr:uid="{00000000-0005-0000-0000-000053C90000}"/>
    <cellStyle name="Normal 9 5 4 2 2 5" xfId="51706" xr:uid="{00000000-0005-0000-0000-000054C90000}"/>
    <cellStyle name="Normal 9 5 4 2 2 6" xfId="51707" xr:uid="{00000000-0005-0000-0000-000055C90000}"/>
    <cellStyle name="Normal 9 5 4 2 3" xfId="51708" xr:uid="{00000000-0005-0000-0000-000056C90000}"/>
    <cellStyle name="Normal 9 5 4 2 3 2" xfId="51709" xr:uid="{00000000-0005-0000-0000-000057C90000}"/>
    <cellStyle name="Normal 9 5 4 2 3 3" xfId="51710" xr:uid="{00000000-0005-0000-0000-000058C90000}"/>
    <cellStyle name="Normal 9 5 4 2 4" xfId="51711" xr:uid="{00000000-0005-0000-0000-000059C90000}"/>
    <cellStyle name="Normal 9 5 4 2 5" xfId="51712" xr:uid="{00000000-0005-0000-0000-00005AC90000}"/>
    <cellStyle name="Normal 9 5 4 2 6" xfId="51713" xr:uid="{00000000-0005-0000-0000-00005BC90000}"/>
    <cellStyle name="Normal 9 5 4 2 7" xfId="51714" xr:uid="{00000000-0005-0000-0000-00005CC90000}"/>
    <cellStyle name="Normal 9 5 4 3" xfId="51715" xr:uid="{00000000-0005-0000-0000-00005DC90000}"/>
    <cellStyle name="Normal 9 5 4 3 2" xfId="51716" xr:uid="{00000000-0005-0000-0000-00005EC90000}"/>
    <cellStyle name="Normal 9 5 4 3 2 2" xfId="51717" xr:uid="{00000000-0005-0000-0000-00005FC90000}"/>
    <cellStyle name="Normal 9 5 4 3 2 3" xfId="51718" xr:uid="{00000000-0005-0000-0000-000060C90000}"/>
    <cellStyle name="Normal 9 5 4 3 3" xfId="51719" xr:uid="{00000000-0005-0000-0000-000061C90000}"/>
    <cellStyle name="Normal 9 5 4 3 4" xfId="51720" xr:uid="{00000000-0005-0000-0000-000062C90000}"/>
    <cellStyle name="Normal 9 5 4 3 5" xfId="51721" xr:uid="{00000000-0005-0000-0000-000063C90000}"/>
    <cellStyle name="Normal 9 5 4 3 6" xfId="51722" xr:uid="{00000000-0005-0000-0000-000064C90000}"/>
    <cellStyle name="Normal 9 5 4 4" xfId="51723" xr:uid="{00000000-0005-0000-0000-000065C90000}"/>
    <cellStyle name="Normal 9 5 4 4 2" xfId="51724" xr:uid="{00000000-0005-0000-0000-000066C90000}"/>
    <cellStyle name="Normal 9 5 4 4 2 2" xfId="51725" xr:uid="{00000000-0005-0000-0000-000067C90000}"/>
    <cellStyle name="Normal 9 5 4 4 2 3" xfId="51726" xr:uid="{00000000-0005-0000-0000-000068C90000}"/>
    <cellStyle name="Normal 9 5 4 4 3" xfId="51727" xr:uid="{00000000-0005-0000-0000-000069C90000}"/>
    <cellStyle name="Normal 9 5 4 4 4" xfId="51728" xr:uid="{00000000-0005-0000-0000-00006AC90000}"/>
    <cellStyle name="Normal 9 5 4 4 5" xfId="51729" xr:uid="{00000000-0005-0000-0000-00006BC90000}"/>
    <cellStyle name="Normal 9 5 4 4 6" xfId="51730" xr:uid="{00000000-0005-0000-0000-00006CC90000}"/>
    <cellStyle name="Normal 9 5 4 5" xfId="51731" xr:uid="{00000000-0005-0000-0000-00006DC90000}"/>
    <cellStyle name="Normal 9 5 4 5 2" xfId="51732" xr:uid="{00000000-0005-0000-0000-00006EC90000}"/>
    <cellStyle name="Normal 9 5 4 5 3" xfId="51733" xr:uid="{00000000-0005-0000-0000-00006FC90000}"/>
    <cellStyle name="Normal 9 5 4 6" xfId="51734" xr:uid="{00000000-0005-0000-0000-000070C90000}"/>
    <cellStyle name="Normal 9 5 4 7" xfId="51735" xr:uid="{00000000-0005-0000-0000-000071C90000}"/>
    <cellStyle name="Normal 9 5 4 8" xfId="51736" xr:uid="{00000000-0005-0000-0000-000072C90000}"/>
    <cellStyle name="Normal 9 5 4 9" xfId="51737" xr:uid="{00000000-0005-0000-0000-000073C90000}"/>
    <cellStyle name="Normal 9 5 5" xfId="51738" xr:uid="{00000000-0005-0000-0000-000074C90000}"/>
    <cellStyle name="Normal 9 5 5 2" xfId="51739" xr:uid="{00000000-0005-0000-0000-000075C90000}"/>
    <cellStyle name="Normal 9 5 5 2 2" xfId="51740" xr:uid="{00000000-0005-0000-0000-000076C90000}"/>
    <cellStyle name="Normal 9 5 5 2 2 2" xfId="51741" xr:uid="{00000000-0005-0000-0000-000077C90000}"/>
    <cellStyle name="Normal 9 5 5 2 2 3" xfId="51742" xr:uid="{00000000-0005-0000-0000-000078C90000}"/>
    <cellStyle name="Normal 9 5 5 2 3" xfId="51743" xr:uid="{00000000-0005-0000-0000-000079C90000}"/>
    <cellStyle name="Normal 9 5 5 2 4" xfId="51744" xr:uid="{00000000-0005-0000-0000-00007AC90000}"/>
    <cellStyle name="Normal 9 5 5 2 5" xfId="51745" xr:uid="{00000000-0005-0000-0000-00007BC90000}"/>
    <cellStyle name="Normal 9 5 5 2 6" xfId="51746" xr:uid="{00000000-0005-0000-0000-00007CC90000}"/>
    <cellStyle name="Normal 9 5 5 3" xfId="51747" xr:uid="{00000000-0005-0000-0000-00007DC90000}"/>
    <cellStyle name="Normal 9 5 5 3 2" xfId="51748" xr:uid="{00000000-0005-0000-0000-00007EC90000}"/>
    <cellStyle name="Normal 9 5 5 3 3" xfId="51749" xr:uid="{00000000-0005-0000-0000-00007FC90000}"/>
    <cellStyle name="Normal 9 5 5 4" xfId="51750" xr:uid="{00000000-0005-0000-0000-000080C90000}"/>
    <cellStyle name="Normal 9 5 5 5" xfId="51751" xr:uid="{00000000-0005-0000-0000-000081C90000}"/>
    <cellStyle name="Normal 9 5 5 6" xfId="51752" xr:uid="{00000000-0005-0000-0000-000082C90000}"/>
    <cellStyle name="Normal 9 5 5 7" xfId="51753" xr:uid="{00000000-0005-0000-0000-000083C90000}"/>
    <cellStyle name="Normal 9 5 6" xfId="51754" xr:uid="{00000000-0005-0000-0000-000084C90000}"/>
    <cellStyle name="Normal 9 5 6 2" xfId="51755" xr:uid="{00000000-0005-0000-0000-000085C90000}"/>
    <cellStyle name="Normal 9 5 6 2 2" xfId="51756" xr:uid="{00000000-0005-0000-0000-000086C90000}"/>
    <cellStyle name="Normal 9 5 6 2 3" xfId="51757" xr:uid="{00000000-0005-0000-0000-000087C90000}"/>
    <cellStyle name="Normal 9 5 6 3" xfId="51758" xr:uid="{00000000-0005-0000-0000-000088C90000}"/>
    <cellStyle name="Normal 9 5 6 4" xfId="51759" xr:uid="{00000000-0005-0000-0000-000089C90000}"/>
    <cellStyle name="Normal 9 5 6 5" xfId="51760" xr:uid="{00000000-0005-0000-0000-00008AC90000}"/>
    <cellStyle name="Normal 9 5 6 6" xfId="51761" xr:uid="{00000000-0005-0000-0000-00008BC90000}"/>
    <cellStyle name="Normal 9 5 7" xfId="51762" xr:uid="{00000000-0005-0000-0000-00008CC90000}"/>
    <cellStyle name="Normal 9 5 7 2" xfId="51763" xr:uid="{00000000-0005-0000-0000-00008DC90000}"/>
    <cellStyle name="Normal 9 5 7 2 2" xfId="51764" xr:uid="{00000000-0005-0000-0000-00008EC90000}"/>
    <cellStyle name="Normal 9 5 7 2 3" xfId="51765" xr:uid="{00000000-0005-0000-0000-00008FC90000}"/>
    <cellStyle name="Normal 9 5 7 3" xfId="51766" xr:uid="{00000000-0005-0000-0000-000090C90000}"/>
    <cellStyle name="Normal 9 5 7 4" xfId="51767" xr:uid="{00000000-0005-0000-0000-000091C90000}"/>
    <cellStyle name="Normal 9 5 7 5" xfId="51768" xr:uid="{00000000-0005-0000-0000-000092C90000}"/>
    <cellStyle name="Normal 9 5 7 6" xfId="51769" xr:uid="{00000000-0005-0000-0000-000093C90000}"/>
    <cellStyle name="Normal 9 5 8" xfId="51770" xr:uid="{00000000-0005-0000-0000-000094C90000}"/>
    <cellStyle name="Normal 9 5 8 2" xfId="51771" xr:uid="{00000000-0005-0000-0000-000095C90000}"/>
    <cellStyle name="Normal 9 5 8 2 2" xfId="51772" xr:uid="{00000000-0005-0000-0000-000096C90000}"/>
    <cellStyle name="Normal 9 5 8 2 3" xfId="51773" xr:uid="{00000000-0005-0000-0000-000097C90000}"/>
    <cellStyle name="Normal 9 5 8 3" xfId="51774" xr:uid="{00000000-0005-0000-0000-000098C90000}"/>
    <cellStyle name="Normal 9 5 8 4" xfId="51775" xr:uid="{00000000-0005-0000-0000-000099C90000}"/>
    <cellStyle name="Normal 9 5 8 5" xfId="51776" xr:uid="{00000000-0005-0000-0000-00009AC90000}"/>
    <cellStyle name="Normal 9 5 8 6" xfId="51777" xr:uid="{00000000-0005-0000-0000-00009BC90000}"/>
    <cellStyle name="Normal 9 5 9" xfId="51778" xr:uid="{00000000-0005-0000-0000-00009CC90000}"/>
    <cellStyle name="Normal 9 5 9 2" xfId="51779" xr:uid="{00000000-0005-0000-0000-00009DC90000}"/>
    <cellStyle name="Normal 9 5 9 2 2" xfId="51780" xr:uid="{00000000-0005-0000-0000-00009EC90000}"/>
    <cellStyle name="Normal 9 5 9 2 3" xfId="51781" xr:uid="{00000000-0005-0000-0000-00009FC90000}"/>
    <cellStyle name="Normal 9 5 9 3" xfId="51782" xr:uid="{00000000-0005-0000-0000-0000A0C90000}"/>
    <cellStyle name="Normal 9 5 9 4" xfId="51783" xr:uid="{00000000-0005-0000-0000-0000A1C90000}"/>
    <cellStyle name="Normal 9 5 9 5" xfId="51784" xr:uid="{00000000-0005-0000-0000-0000A2C90000}"/>
    <cellStyle name="Normal 9 5 9 6" xfId="51785" xr:uid="{00000000-0005-0000-0000-0000A3C90000}"/>
    <cellStyle name="Normal 9 6" xfId="51786" xr:uid="{00000000-0005-0000-0000-0000A4C90000}"/>
    <cellStyle name="Normal 9 6 10" xfId="51787" xr:uid="{00000000-0005-0000-0000-0000A5C90000}"/>
    <cellStyle name="Normal 9 6 11" xfId="51788" xr:uid="{00000000-0005-0000-0000-0000A6C90000}"/>
    <cellStyle name="Normal 9 6 12" xfId="51789" xr:uid="{00000000-0005-0000-0000-0000A7C90000}"/>
    <cellStyle name="Normal 9 6 13" xfId="51790" xr:uid="{00000000-0005-0000-0000-0000A8C90000}"/>
    <cellStyle name="Normal 9 6 2" xfId="51791" xr:uid="{00000000-0005-0000-0000-0000A9C90000}"/>
    <cellStyle name="Normal 9 6 2 10" xfId="51792" xr:uid="{00000000-0005-0000-0000-0000AAC90000}"/>
    <cellStyle name="Normal 9 6 2 2" xfId="51793" xr:uid="{00000000-0005-0000-0000-0000ABC90000}"/>
    <cellStyle name="Normal 9 6 2 2 2" xfId="51794" xr:uid="{00000000-0005-0000-0000-0000ACC90000}"/>
    <cellStyle name="Normal 9 6 2 2 2 2" xfId="51795" xr:uid="{00000000-0005-0000-0000-0000ADC90000}"/>
    <cellStyle name="Normal 9 6 2 2 2 2 2" xfId="51796" xr:uid="{00000000-0005-0000-0000-0000AEC90000}"/>
    <cellStyle name="Normal 9 6 2 2 2 2 3" xfId="51797" xr:uid="{00000000-0005-0000-0000-0000AFC90000}"/>
    <cellStyle name="Normal 9 6 2 2 2 3" xfId="51798" xr:uid="{00000000-0005-0000-0000-0000B0C90000}"/>
    <cellStyle name="Normal 9 6 2 2 2 4" xfId="51799" xr:uid="{00000000-0005-0000-0000-0000B1C90000}"/>
    <cellStyle name="Normal 9 6 2 2 2 5" xfId="51800" xr:uid="{00000000-0005-0000-0000-0000B2C90000}"/>
    <cellStyle name="Normal 9 6 2 2 2 6" xfId="51801" xr:uid="{00000000-0005-0000-0000-0000B3C90000}"/>
    <cellStyle name="Normal 9 6 2 2 3" xfId="51802" xr:uid="{00000000-0005-0000-0000-0000B4C90000}"/>
    <cellStyle name="Normal 9 6 2 2 3 2" xfId="51803" xr:uid="{00000000-0005-0000-0000-0000B5C90000}"/>
    <cellStyle name="Normal 9 6 2 2 3 2 2" xfId="51804" xr:uid="{00000000-0005-0000-0000-0000B6C90000}"/>
    <cellStyle name="Normal 9 6 2 2 3 2 3" xfId="51805" xr:uid="{00000000-0005-0000-0000-0000B7C90000}"/>
    <cellStyle name="Normal 9 6 2 2 3 3" xfId="51806" xr:uid="{00000000-0005-0000-0000-0000B8C90000}"/>
    <cellStyle name="Normal 9 6 2 2 3 4" xfId="51807" xr:uid="{00000000-0005-0000-0000-0000B9C90000}"/>
    <cellStyle name="Normal 9 6 2 2 3 5" xfId="51808" xr:uid="{00000000-0005-0000-0000-0000BAC90000}"/>
    <cellStyle name="Normal 9 6 2 2 3 6" xfId="51809" xr:uid="{00000000-0005-0000-0000-0000BBC90000}"/>
    <cellStyle name="Normal 9 6 2 2 4" xfId="51810" xr:uid="{00000000-0005-0000-0000-0000BCC90000}"/>
    <cellStyle name="Normal 9 6 2 2 4 2" xfId="51811" xr:uid="{00000000-0005-0000-0000-0000BDC90000}"/>
    <cellStyle name="Normal 9 6 2 2 4 3" xfId="51812" xr:uid="{00000000-0005-0000-0000-0000BEC90000}"/>
    <cellStyle name="Normal 9 6 2 2 5" xfId="51813" xr:uid="{00000000-0005-0000-0000-0000BFC90000}"/>
    <cellStyle name="Normal 9 6 2 2 6" xfId="51814" xr:uid="{00000000-0005-0000-0000-0000C0C90000}"/>
    <cellStyle name="Normal 9 6 2 2 7" xfId="51815" xr:uid="{00000000-0005-0000-0000-0000C1C90000}"/>
    <cellStyle name="Normal 9 6 2 2 8" xfId="51816" xr:uid="{00000000-0005-0000-0000-0000C2C90000}"/>
    <cellStyle name="Normal 9 6 2 3" xfId="51817" xr:uid="{00000000-0005-0000-0000-0000C3C90000}"/>
    <cellStyle name="Normal 9 6 2 3 2" xfId="51818" xr:uid="{00000000-0005-0000-0000-0000C4C90000}"/>
    <cellStyle name="Normal 9 6 2 3 2 2" xfId="51819" xr:uid="{00000000-0005-0000-0000-0000C5C90000}"/>
    <cellStyle name="Normal 9 6 2 3 2 2 2" xfId="51820" xr:uid="{00000000-0005-0000-0000-0000C6C90000}"/>
    <cellStyle name="Normal 9 6 2 3 2 2 3" xfId="51821" xr:uid="{00000000-0005-0000-0000-0000C7C90000}"/>
    <cellStyle name="Normal 9 6 2 3 2 3" xfId="51822" xr:uid="{00000000-0005-0000-0000-0000C8C90000}"/>
    <cellStyle name="Normal 9 6 2 3 2 4" xfId="51823" xr:uid="{00000000-0005-0000-0000-0000C9C90000}"/>
    <cellStyle name="Normal 9 6 2 3 2 5" xfId="51824" xr:uid="{00000000-0005-0000-0000-0000CAC90000}"/>
    <cellStyle name="Normal 9 6 2 3 2 6" xfId="51825" xr:uid="{00000000-0005-0000-0000-0000CBC90000}"/>
    <cellStyle name="Normal 9 6 2 3 3" xfId="51826" xr:uid="{00000000-0005-0000-0000-0000CCC90000}"/>
    <cellStyle name="Normal 9 6 2 3 3 2" xfId="51827" xr:uid="{00000000-0005-0000-0000-0000CDC90000}"/>
    <cellStyle name="Normal 9 6 2 3 3 3" xfId="51828" xr:uid="{00000000-0005-0000-0000-0000CEC90000}"/>
    <cellStyle name="Normal 9 6 2 3 4" xfId="51829" xr:uid="{00000000-0005-0000-0000-0000CFC90000}"/>
    <cellStyle name="Normal 9 6 2 3 5" xfId="51830" xr:uid="{00000000-0005-0000-0000-0000D0C90000}"/>
    <cellStyle name="Normal 9 6 2 3 6" xfId="51831" xr:uid="{00000000-0005-0000-0000-0000D1C90000}"/>
    <cellStyle name="Normal 9 6 2 3 7" xfId="51832" xr:uid="{00000000-0005-0000-0000-0000D2C90000}"/>
    <cellStyle name="Normal 9 6 2 4" xfId="51833" xr:uid="{00000000-0005-0000-0000-0000D3C90000}"/>
    <cellStyle name="Normal 9 6 2 4 2" xfId="51834" xr:uid="{00000000-0005-0000-0000-0000D4C90000}"/>
    <cellStyle name="Normal 9 6 2 4 2 2" xfId="51835" xr:uid="{00000000-0005-0000-0000-0000D5C90000}"/>
    <cellStyle name="Normal 9 6 2 4 2 3" xfId="51836" xr:uid="{00000000-0005-0000-0000-0000D6C90000}"/>
    <cellStyle name="Normal 9 6 2 4 3" xfId="51837" xr:uid="{00000000-0005-0000-0000-0000D7C90000}"/>
    <cellStyle name="Normal 9 6 2 4 4" xfId="51838" xr:uid="{00000000-0005-0000-0000-0000D8C90000}"/>
    <cellStyle name="Normal 9 6 2 4 5" xfId="51839" xr:uid="{00000000-0005-0000-0000-0000D9C90000}"/>
    <cellStyle name="Normal 9 6 2 4 6" xfId="51840" xr:uid="{00000000-0005-0000-0000-0000DAC90000}"/>
    <cellStyle name="Normal 9 6 2 5" xfId="51841" xr:uid="{00000000-0005-0000-0000-0000DBC90000}"/>
    <cellStyle name="Normal 9 6 2 5 2" xfId="51842" xr:uid="{00000000-0005-0000-0000-0000DCC90000}"/>
    <cellStyle name="Normal 9 6 2 5 2 2" xfId="51843" xr:uid="{00000000-0005-0000-0000-0000DDC90000}"/>
    <cellStyle name="Normal 9 6 2 5 2 3" xfId="51844" xr:uid="{00000000-0005-0000-0000-0000DEC90000}"/>
    <cellStyle name="Normal 9 6 2 5 3" xfId="51845" xr:uid="{00000000-0005-0000-0000-0000DFC90000}"/>
    <cellStyle name="Normal 9 6 2 5 4" xfId="51846" xr:uid="{00000000-0005-0000-0000-0000E0C90000}"/>
    <cellStyle name="Normal 9 6 2 5 5" xfId="51847" xr:uid="{00000000-0005-0000-0000-0000E1C90000}"/>
    <cellStyle name="Normal 9 6 2 5 6" xfId="51848" xr:uid="{00000000-0005-0000-0000-0000E2C90000}"/>
    <cellStyle name="Normal 9 6 2 6" xfId="51849" xr:uid="{00000000-0005-0000-0000-0000E3C90000}"/>
    <cellStyle name="Normal 9 6 2 6 2" xfId="51850" xr:uid="{00000000-0005-0000-0000-0000E4C90000}"/>
    <cellStyle name="Normal 9 6 2 6 3" xfId="51851" xr:uid="{00000000-0005-0000-0000-0000E5C90000}"/>
    <cellStyle name="Normal 9 6 2 7" xfId="51852" xr:uid="{00000000-0005-0000-0000-0000E6C90000}"/>
    <cellStyle name="Normal 9 6 2 8" xfId="51853" xr:uid="{00000000-0005-0000-0000-0000E7C90000}"/>
    <cellStyle name="Normal 9 6 2 9" xfId="51854" xr:uid="{00000000-0005-0000-0000-0000E8C90000}"/>
    <cellStyle name="Normal 9 6 3" xfId="51855" xr:uid="{00000000-0005-0000-0000-0000E9C90000}"/>
    <cellStyle name="Normal 9 6 3 2" xfId="51856" xr:uid="{00000000-0005-0000-0000-0000EAC90000}"/>
    <cellStyle name="Normal 9 6 3 2 2" xfId="51857" xr:uid="{00000000-0005-0000-0000-0000EBC90000}"/>
    <cellStyle name="Normal 9 6 3 2 2 2" xfId="51858" xr:uid="{00000000-0005-0000-0000-0000ECC90000}"/>
    <cellStyle name="Normal 9 6 3 2 2 2 2" xfId="51859" xr:uid="{00000000-0005-0000-0000-0000EDC90000}"/>
    <cellStyle name="Normal 9 6 3 2 2 2 3" xfId="51860" xr:uid="{00000000-0005-0000-0000-0000EEC90000}"/>
    <cellStyle name="Normal 9 6 3 2 2 3" xfId="51861" xr:uid="{00000000-0005-0000-0000-0000EFC90000}"/>
    <cellStyle name="Normal 9 6 3 2 2 4" xfId="51862" xr:uid="{00000000-0005-0000-0000-0000F0C90000}"/>
    <cellStyle name="Normal 9 6 3 2 2 5" xfId="51863" xr:uid="{00000000-0005-0000-0000-0000F1C90000}"/>
    <cellStyle name="Normal 9 6 3 2 2 6" xfId="51864" xr:uid="{00000000-0005-0000-0000-0000F2C90000}"/>
    <cellStyle name="Normal 9 6 3 2 3" xfId="51865" xr:uid="{00000000-0005-0000-0000-0000F3C90000}"/>
    <cellStyle name="Normal 9 6 3 2 3 2" xfId="51866" xr:uid="{00000000-0005-0000-0000-0000F4C90000}"/>
    <cellStyle name="Normal 9 6 3 2 3 3" xfId="51867" xr:uid="{00000000-0005-0000-0000-0000F5C90000}"/>
    <cellStyle name="Normal 9 6 3 2 4" xfId="51868" xr:uid="{00000000-0005-0000-0000-0000F6C90000}"/>
    <cellStyle name="Normal 9 6 3 2 5" xfId="51869" xr:uid="{00000000-0005-0000-0000-0000F7C90000}"/>
    <cellStyle name="Normal 9 6 3 2 6" xfId="51870" xr:uid="{00000000-0005-0000-0000-0000F8C90000}"/>
    <cellStyle name="Normal 9 6 3 2 7" xfId="51871" xr:uid="{00000000-0005-0000-0000-0000F9C90000}"/>
    <cellStyle name="Normal 9 6 3 3" xfId="51872" xr:uid="{00000000-0005-0000-0000-0000FAC90000}"/>
    <cellStyle name="Normal 9 6 3 3 2" xfId="51873" xr:uid="{00000000-0005-0000-0000-0000FBC90000}"/>
    <cellStyle name="Normal 9 6 3 3 2 2" xfId="51874" xr:uid="{00000000-0005-0000-0000-0000FCC90000}"/>
    <cellStyle name="Normal 9 6 3 3 2 3" xfId="51875" xr:uid="{00000000-0005-0000-0000-0000FDC90000}"/>
    <cellStyle name="Normal 9 6 3 3 3" xfId="51876" xr:uid="{00000000-0005-0000-0000-0000FEC90000}"/>
    <cellStyle name="Normal 9 6 3 3 4" xfId="51877" xr:uid="{00000000-0005-0000-0000-0000FFC90000}"/>
    <cellStyle name="Normal 9 6 3 3 5" xfId="51878" xr:uid="{00000000-0005-0000-0000-000000CA0000}"/>
    <cellStyle name="Normal 9 6 3 3 6" xfId="51879" xr:uid="{00000000-0005-0000-0000-000001CA0000}"/>
    <cellStyle name="Normal 9 6 3 4" xfId="51880" xr:uid="{00000000-0005-0000-0000-000002CA0000}"/>
    <cellStyle name="Normal 9 6 3 4 2" xfId="51881" xr:uid="{00000000-0005-0000-0000-000003CA0000}"/>
    <cellStyle name="Normal 9 6 3 4 2 2" xfId="51882" xr:uid="{00000000-0005-0000-0000-000004CA0000}"/>
    <cellStyle name="Normal 9 6 3 4 2 3" xfId="51883" xr:uid="{00000000-0005-0000-0000-000005CA0000}"/>
    <cellStyle name="Normal 9 6 3 4 3" xfId="51884" xr:uid="{00000000-0005-0000-0000-000006CA0000}"/>
    <cellStyle name="Normal 9 6 3 4 4" xfId="51885" xr:uid="{00000000-0005-0000-0000-000007CA0000}"/>
    <cellStyle name="Normal 9 6 3 4 5" xfId="51886" xr:uid="{00000000-0005-0000-0000-000008CA0000}"/>
    <cellStyle name="Normal 9 6 3 4 6" xfId="51887" xr:uid="{00000000-0005-0000-0000-000009CA0000}"/>
    <cellStyle name="Normal 9 6 3 5" xfId="51888" xr:uid="{00000000-0005-0000-0000-00000ACA0000}"/>
    <cellStyle name="Normal 9 6 3 5 2" xfId="51889" xr:uid="{00000000-0005-0000-0000-00000BCA0000}"/>
    <cellStyle name="Normal 9 6 3 5 3" xfId="51890" xr:uid="{00000000-0005-0000-0000-00000CCA0000}"/>
    <cellStyle name="Normal 9 6 3 6" xfId="51891" xr:uid="{00000000-0005-0000-0000-00000DCA0000}"/>
    <cellStyle name="Normal 9 6 3 7" xfId="51892" xr:uid="{00000000-0005-0000-0000-00000ECA0000}"/>
    <cellStyle name="Normal 9 6 3 8" xfId="51893" xr:uid="{00000000-0005-0000-0000-00000FCA0000}"/>
    <cellStyle name="Normal 9 6 3 9" xfId="51894" xr:uid="{00000000-0005-0000-0000-000010CA0000}"/>
    <cellStyle name="Normal 9 6 4" xfId="51895" xr:uid="{00000000-0005-0000-0000-000011CA0000}"/>
    <cellStyle name="Normal 9 6 4 2" xfId="51896" xr:uid="{00000000-0005-0000-0000-000012CA0000}"/>
    <cellStyle name="Normal 9 6 4 2 2" xfId="51897" xr:uid="{00000000-0005-0000-0000-000013CA0000}"/>
    <cellStyle name="Normal 9 6 4 2 2 2" xfId="51898" xr:uid="{00000000-0005-0000-0000-000014CA0000}"/>
    <cellStyle name="Normal 9 6 4 2 2 3" xfId="51899" xr:uid="{00000000-0005-0000-0000-000015CA0000}"/>
    <cellStyle name="Normal 9 6 4 2 3" xfId="51900" xr:uid="{00000000-0005-0000-0000-000016CA0000}"/>
    <cellStyle name="Normal 9 6 4 2 4" xfId="51901" xr:uid="{00000000-0005-0000-0000-000017CA0000}"/>
    <cellStyle name="Normal 9 6 4 2 5" xfId="51902" xr:uid="{00000000-0005-0000-0000-000018CA0000}"/>
    <cellStyle name="Normal 9 6 4 2 6" xfId="51903" xr:uid="{00000000-0005-0000-0000-000019CA0000}"/>
    <cellStyle name="Normal 9 6 4 3" xfId="51904" xr:uid="{00000000-0005-0000-0000-00001ACA0000}"/>
    <cellStyle name="Normal 9 6 4 3 2" xfId="51905" xr:uid="{00000000-0005-0000-0000-00001BCA0000}"/>
    <cellStyle name="Normal 9 6 4 3 3" xfId="51906" xr:uid="{00000000-0005-0000-0000-00001CCA0000}"/>
    <cellStyle name="Normal 9 6 4 4" xfId="51907" xr:uid="{00000000-0005-0000-0000-00001DCA0000}"/>
    <cellStyle name="Normal 9 6 4 5" xfId="51908" xr:uid="{00000000-0005-0000-0000-00001ECA0000}"/>
    <cellStyle name="Normal 9 6 4 6" xfId="51909" xr:uid="{00000000-0005-0000-0000-00001FCA0000}"/>
    <cellStyle name="Normal 9 6 4 7" xfId="51910" xr:uid="{00000000-0005-0000-0000-000020CA0000}"/>
    <cellStyle name="Normal 9 6 5" xfId="51911" xr:uid="{00000000-0005-0000-0000-000021CA0000}"/>
    <cellStyle name="Normal 9 6 5 2" xfId="51912" xr:uid="{00000000-0005-0000-0000-000022CA0000}"/>
    <cellStyle name="Normal 9 6 5 2 2" xfId="51913" xr:uid="{00000000-0005-0000-0000-000023CA0000}"/>
    <cellStyle name="Normal 9 6 5 2 3" xfId="51914" xr:uid="{00000000-0005-0000-0000-000024CA0000}"/>
    <cellStyle name="Normal 9 6 5 3" xfId="51915" xr:uid="{00000000-0005-0000-0000-000025CA0000}"/>
    <cellStyle name="Normal 9 6 5 4" xfId="51916" xr:uid="{00000000-0005-0000-0000-000026CA0000}"/>
    <cellStyle name="Normal 9 6 5 5" xfId="51917" xr:uid="{00000000-0005-0000-0000-000027CA0000}"/>
    <cellStyle name="Normal 9 6 5 6" xfId="51918" xr:uid="{00000000-0005-0000-0000-000028CA0000}"/>
    <cellStyle name="Normal 9 6 6" xfId="51919" xr:uid="{00000000-0005-0000-0000-000029CA0000}"/>
    <cellStyle name="Normal 9 6 6 2" xfId="51920" xr:uid="{00000000-0005-0000-0000-00002ACA0000}"/>
    <cellStyle name="Normal 9 6 6 2 2" xfId="51921" xr:uid="{00000000-0005-0000-0000-00002BCA0000}"/>
    <cellStyle name="Normal 9 6 6 2 3" xfId="51922" xr:uid="{00000000-0005-0000-0000-00002CCA0000}"/>
    <cellStyle name="Normal 9 6 6 3" xfId="51923" xr:uid="{00000000-0005-0000-0000-00002DCA0000}"/>
    <cellStyle name="Normal 9 6 6 4" xfId="51924" xr:uid="{00000000-0005-0000-0000-00002ECA0000}"/>
    <cellStyle name="Normal 9 6 6 5" xfId="51925" xr:uid="{00000000-0005-0000-0000-00002FCA0000}"/>
    <cellStyle name="Normal 9 6 6 6" xfId="51926" xr:uid="{00000000-0005-0000-0000-000030CA0000}"/>
    <cellStyle name="Normal 9 6 7" xfId="51927" xr:uid="{00000000-0005-0000-0000-000031CA0000}"/>
    <cellStyle name="Normal 9 6 7 2" xfId="51928" xr:uid="{00000000-0005-0000-0000-000032CA0000}"/>
    <cellStyle name="Normal 9 6 7 2 2" xfId="51929" xr:uid="{00000000-0005-0000-0000-000033CA0000}"/>
    <cellStyle name="Normal 9 6 7 2 3" xfId="51930" xr:uid="{00000000-0005-0000-0000-000034CA0000}"/>
    <cellStyle name="Normal 9 6 7 3" xfId="51931" xr:uid="{00000000-0005-0000-0000-000035CA0000}"/>
    <cellStyle name="Normal 9 6 7 4" xfId="51932" xr:uid="{00000000-0005-0000-0000-000036CA0000}"/>
    <cellStyle name="Normal 9 6 7 5" xfId="51933" xr:uid="{00000000-0005-0000-0000-000037CA0000}"/>
    <cellStyle name="Normal 9 6 7 6" xfId="51934" xr:uid="{00000000-0005-0000-0000-000038CA0000}"/>
    <cellStyle name="Normal 9 6 8" xfId="51935" xr:uid="{00000000-0005-0000-0000-000039CA0000}"/>
    <cellStyle name="Normal 9 6 8 2" xfId="51936" xr:uid="{00000000-0005-0000-0000-00003ACA0000}"/>
    <cellStyle name="Normal 9 6 8 2 2" xfId="51937" xr:uid="{00000000-0005-0000-0000-00003BCA0000}"/>
    <cellStyle name="Normal 9 6 8 2 3" xfId="51938" xr:uid="{00000000-0005-0000-0000-00003CCA0000}"/>
    <cellStyle name="Normal 9 6 8 3" xfId="51939" xr:uid="{00000000-0005-0000-0000-00003DCA0000}"/>
    <cellStyle name="Normal 9 6 8 4" xfId="51940" xr:uid="{00000000-0005-0000-0000-00003ECA0000}"/>
    <cellStyle name="Normal 9 6 8 5" xfId="51941" xr:uid="{00000000-0005-0000-0000-00003FCA0000}"/>
    <cellStyle name="Normal 9 6 8 6" xfId="51942" xr:uid="{00000000-0005-0000-0000-000040CA0000}"/>
    <cellStyle name="Normal 9 6 9" xfId="51943" xr:uid="{00000000-0005-0000-0000-000041CA0000}"/>
    <cellStyle name="Normal 9 6 9 2" xfId="51944" xr:uid="{00000000-0005-0000-0000-000042CA0000}"/>
    <cellStyle name="Normal 9 6 9 3" xfId="51945" xr:uid="{00000000-0005-0000-0000-000043CA0000}"/>
    <cellStyle name="Normal 9 7" xfId="51946" xr:uid="{00000000-0005-0000-0000-000044CA0000}"/>
    <cellStyle name="Normal 9 7 10" xfId="51947" xr:uid="{00000000-0005-0000-0000-000045CA0000}"/>
    <cellStyle name="Normal 9 7 11" xfId="51948" xr:uid="{00000000-0005-0000-0000-000046CA0000}"/>
    <cellStyle name="Normal 9 7 2" xfId="51949" xr:uid="{00000000-0005-0000-0000-000047CA0000}"/>
    <cellStyle name="Normal 9 7 2 2" xfId="51950" xr:uid="{00000000-0005-0000-0000-000048CA0000}"/>
    <cellStyle name="Normal 9 7 2 2 2" xfId="51951" xr:uid="{00000000-0005-0000-0000-000049CA0000}"/>
    <cellStyle name="Normal 9 7 2 2 2 2" xfId="51952" xr:uid="{00000000-0005-0000-0000-00004ACA0000}"/>
    <cellStyle name="Normal 9 7 2 2 2 3" xfId="51953" xr:uid="{00000000-0005-0000-0000-00004BCA0000}"/>
    <cellStyle name="Normal 9 7 2 2 3" xfId="51954" xr:uid="{00000000-0005-0000-0000-00004CCA0000}"/>
    <cellStyle name="Normal 9 7 2 2 4" xfId="51955" xr:uid="{00000000-0005-0000-0000-00004DCA0000}"/>
    <cellStyle name="Normal 9 7 2 2 5" xfId="51956" xr:uid="{00000000-0005-0000-0000-00004ECA0000}"/>
    <cellStyle name="Normal 9 7 2 2 6" xfId="51957" xr:uid="{00000000-0005-0000-0000-00004FCA0000}"/>
    <cellStyle name="Normal 9 7 2 3" xfId="51958" xr:uid="{00000000-0005-0000-0000-000050CA0000}"/>
    <cellStyle name="Normal 9 7 2 3 2" xfId="51959" xr:uid="{00000000-0005-0000-0000-000051CA0000}"/>
    <cellStyle name="Normal 9 7 2 3 2 2" xfId="51960" xr:uid="{00000000-0005-0000-0000-000052CA0000}"/>
    <cellStyle name="Normal 9 7 2 3 2 3" xfId="51961" xr:uid="{00000000-0005-0000-0000-000053CA0000}"/>
    <cellStyle name="Normal 9 7 2 3 3" xfId="51962" xr:uid="{00000000-0005-0000-0000-000054CA0000}"/>
    <cellStyle name="Normal 9 7 2 3 4" xfId="51963" xr:uid="{00000000-0005-0000-0000-000055CA0000}"/>
    <cellStyle name="Normal 9 7 2 3 5" xfId="51964" xr:uid="{00000000-0005-0000-0000-000056CA0000}"/>
    <cellStyle name="Normal 9 7 2 3 6" xfId="51965" xr:uid="{00000000-0005-0000-0000-000057CA0000}"/>
    <cellStyle name="Normal 9 7 2 4" xfId="51966" xr:uid="{00000000-0005-0000-0000-000058CA0000}"/>
    <cellStyle name="Normal 9 7 2 4 2" xfId="51967" xr:uid="{00000000-0005-0000-0000-000059CA0000}"/>
    <cellStyle name="Normal 9 7 2 4 3" xfId="51968" xr:uid="{00000000-0005-0000-0000-00005ACA0000}"/>
    <cellStyle name="Normal 9 7 2 5" xfId="51969" xr:uid="{00000000-0005-0000-0000-00005BCA0000}"/>
    <cellStyle name="Normal 9 7 2 6" xfId="51970" xr:uid="{00000000-0005-0000-0000-00005CCA0000}"/>
    <cellStyle name="Normal 9 7 2 7" xfId="51971" xr:uid="{00000000-0005-0000-0000-00005DCA0000}"/>
    <cellStyle name="Normal 9 7 2 8" xfId="51972" xr:uid="{00000000-0005-0000-0000-00005ECA0000}"/>
    <cellStyle name="Normal 9 7 3" xfId="51973" xr:uid="{00000000-0005-0000-0000-00005FCA0000}"/>
    <cellStyle name="Normal 9 7 3 2" xfId="51974" xr:uid="{00000000-0005-0000-0000-000060CA0000}"/>
    <cellStyle name="Normal 9 7 3 2 2" xfId="51975" xr:uid="{00000000-0005-0000-0000-000061CA0000}"/>
    <cellStyle name="Normal 9 7 3 2 2 2" xfId="51976" xr:uid="{00000000-0005-0000-0000-000062CA0000}"/>
    <cellStyle name="Normal 9 7 3 2 2 3" xfId="51977" xr:uid="{00000000-0005-0000-0000-000063CA0000}"/>
    <cellStyle name="Normal 9 7 3 2 3" xfId="51978" xr:uid="{00000000-0005-0000-0000-000064CA0000}"/>
    <cellStyle name="Normal 9 7 3 2 4" xfId="51979" xr:uid="{00000000-0005-0000-0000-000065CA0000}"/>
    <cellStyle name="Normal 9 7 3 2 5" xfId="51980" xr:uid="{00000000-0005-0000-0000-000066CA0000}"/>
    <cellStyle name="Normal 9 7 3 2 6" xfId="51981" xr:uid="{00000000-0005-0000-0000-000067CA0000}"/>
    <cellStyle name="Normal 9 7 3 3" xfId="51982" xr:uid="{00000000-0005-0000-0000-000068CA0000}"/>
    <cellStyle name="Normal 9 7 3 3 2" xfId="51983" xr:uid="{00000000-0005-0000-0000-000069CA0000}"/>
    <cellStyle name="Normal 9 7 3 3 3" xfId="51984" xr:uid="{00000000-0005-0000-0000-00006ACA0000}"/>
    <cellStyle name="Normal 9 7 3 4" xfId="51985" xr:uid="{00000000-0005-0000-0000-00006BCA0000}"/>
    <cellStyle name="Normal 9 7 3 5" xfId="51986" xr:uid="{00000000-0005-0000-0000-00006CCA0000}"/>
    <cellStyle name="Normal 9 7 3 6" xfId="51987" xr:uid="{00000000-0005-0000-0000-00006DCA0000}"/>
    <cellStyle name="Normal 9 7 3 7" xfId="51988" xr:uid="{00000000-0005-0000-0000-00006ECA0000}"/>
    <cellStyle name="Normal 9 7 4" xfId="51989" xr:uid="{00000000-0005-0000-0000-00006FCA0000}"/>
    <cellStyle name="Normal 9 7 4 2" xfId="51990" xr:uid="{00000000-0005-0000-0000-000070CA0000}"/>
    <cellStyle name="Normal 9 7 4 2 2" xfId="51991" xr:uid="{00000000-0005-0000-0000-000071CA0000}"/>
    <cellStyle name="Normal 9 7 4 2 3" xfId="51992" xr:uid="{00000000-0005-0000-0000-000072CA0000}"/>
    <cellStyle name="Normal 9 7 4 3" xfId="51993" xr:uid="{00000000-0005-0000-0000-000073CA0000}"/>
    <cellStyle name="Normal 9 7 4 4" xfId="51994" xr:uid="{00000000-0005-0000-0000-000074CA0000}"/>
    <cellStyle name="Normal 9 7 4 5" xfId="51995" xr:uid="{00000000-0005-0000-0000-000075CA0000}"/>
    <cellStyle name="Normal 9 7 4 6" xfId="51996" xr:uid="{00000000-0005-0000-0000-000076CA0000}"/>
    <cellStyle name="Normal 9 7 5" xfId="51997" xr:uid="{00000000-0005-0000-0000-000077CA0000}"/>
    <cellStyle name="Normal 9 7 5 2" xfId="51998" xr:uid="{00000000-0005-0000-0000-000078CA0000}"/>
    <cellStyle name="Normal 9 7 5 2 2" xfId="51999" xr:uid="{00000000-0005-0000-0000-000079CA0000}"/>
    <cellStyle name="Normal 9 7 5 2 3" xfId="52000" xr:uid="{00000000-0005-0000-0000-00007ACA0000}"/>
    <cellStyle name="Normal 9 7 5 3" xfId="52001" xr:uid="{00000000-0005-0000-0000-00007BCA0000}"/>
    <cellStyle name="Normal 9 7 5 4" xfId="52002" xr:uid="{00000000-0005-0000-0000-00007CCA0000}"/>
    <cellStyle name="Normal 9 7 5 5" xfId="52003" xr:uid="{00000000-0005-0000-0000-00007DCA0000}"/>
    <cellStyle name="Normal 9 7 5 6" xfId="52004" xr:uid="{00000000-0005-0000-0000-00007ECA0000}"/>
    <cellStyle name="Normal 9 7 6" xfId="52005" xr:uid="{00000000-0005-0000-0000-00007FCA0000}"/>
    <cellStyle name="Normal 9 7 6 2" xfId="52006" xr:uid="{00000000-0005-0000-0000-000080CA0000}"/>
    <cellStyle name="Normal 9 7 6 2 2" xfId="52007" xr:uid="{00000000-0005-0000-0000-000081CA0000}"/>
    <cellStyle name="Normal 9 7 6 2 3" xfId="52008" xr:uid="{00000000-0005-0000-0000-000082CA0000}"/>
    <cellStyle name="Normal 9 7 6 3" xfId="52009" xr:uid="{00000000-0005-0000-0000-000083CA0000}"/>
    <cellStyle name="Normal 9 7 6 4" xfId="52010" xr:uid="{00000000-0005-0000-0000-000084CA0000}"/>
    <cellStyle name="Normal 9 7 6 5" xfId="52011" xr:uid="{00000000-0005-0000-0000-000085CA0000}"/>
    <cellStyle name="Normal 9 7 6 6" xfId="52012" xr:uid="{00000000-0005-0000-0000-000086CA0000}"/>
    <cellStyle name="Normal 9 7 7" xfId="52013" xr:uid="{00000000-0005-0000-0000-000087CA0000}"/>
    <cellStyle name="Normal 9 7 7 2" xfId="52014" xr:uid="{00000000-0005-0000-0000-000088CA0000}"/>
    <cellStyle name="Normal 9 7 7 3" xfId="52015" xr:uid="{00000000-0005-0000-0000-000089CA0000}"/>
    <cellStyle name="Normal 9 7 8" xfId="52016" xr:uid="{00000000-0005-0000-0000-00008ACA0000}"/>
    <cellStyle name="Normal 9 7 9" xfId="52017" xr:uid="{00000000-0005-0000-0000-00008BCA0000}"/>
    <cellStyle name="Normal 9 8" xfId="52018" xr:uid="{00000000-0005-0000-0000-00008CCA0000}"/>
    <cellStyle name="Normal 9 8 2" xfId="52019" xr:uid="{00000000-0005-0000-0000-00008DCA0000}"/>
    <cellStyle name="Normal 9 8 2 2" xfId="52020" xr:uid="{00000000-0005-0000-0000-00008ECA0000}"/>
    <cellStyle name="Normal 9 8 2 2 2" xfId="52021" xr:uid="{00000000-0005-0000-0000-00008FCA0000}"/>
    <cellStyle name="Normal 9 8 2 2 2 2" xfId="52022" xr:uid="{00000000-0005-0000-0000-000090CA0000}"/>
    <cellStyle name="Normal 9 8 2 2 2 3" xfId="52023" xr:uid="{00000000-0005-0000-0000-000091CA0000}"/>
    <cellStyle name="Normal 9 8 2 2 3" xfId="52024" xr:uid="{00000000-0005-0000-0000-000092CA0000}"/>
    <cellStyle name="Normal 9 8 2 2 4" xfId="52025" xr:uid="{00000000-0005-0000-0000-000093CA0000}"/>
    <cellStyle name="Normal 9 8 2 2 5" xfId="52026" xr:uid="{00000000-0005-0000-0000-000094CA0000}"/>
    <cellStyle name="Normal 9 8 2 2 6" xfId="52027" xr:uid="{00000000-0005-0000-0000-000095CA0000}"/>
    <cellStyle name="Normal 9 8 2 3" xfId="52028" xr:uid="{00000000-0005-0000-0000-000096CA0000}"/>
    <cellStyle name="Normal 9 8 2 3 2" xfId="52029" xr:uid="{00000000-0005-0000-0000-000097CA0000}"/>
    <cellStyle name="Normal 9 8 2 3 3" xfId="52030" xr:uid="{00000000-0005-0000-0000-000098CA0000}"/>
    <cellStyle name="Normal 9 8 2 4" xfId="52031" xr:uid="{00000000-0005-0000-0000-000099CA0000}"/>
    <cellStyle name="Normal 9 8 2 5" xfId="52032" xr:uid="{00000000-0005-0000-0000-00009ACA0000}"/>
    <cellStyle name="Normal 9 8 2 6" xfId="52033" xr:uid="{00000000-0005-0000-0000-00009BCA0000}"/>
    <cellStyle name="Normal 9 8 2 7" xfId="52034" xr:uid="{00000000-0005-0000-0000-00009CCA0000}"/>
    <cellStyle name="Normal 9 8 3" xfId="52035" xr:uid="{00000000-0005-0000-0000-00009DCA0000}"/>
    <cellStyle name="Normal 9 8 3 2" xfId="52036" xr:uid="{00000000-0005-0000-0000-00009ECA0000}"/>
    <cellStyle name="Normal 9 8 3 2 2" xfId="52037" xr:uid="{00000000-0005-0000-0000-00009FCA0000}"/>
    <cellStyle name="Normal 9 8 3 2 3" xfId="52038" xr:uid="{00000000-0005-0000-0000-0000A0CA0000}"/>
    <cellStyle name="Normal 9 8 3 3" xfId="52039" xr:uid="{00000000-0005-0000-0000-0000A1CA0000}"/>
    <cellStyle name="Normal 9 8 3 4" xfId="52040" xr:uid="{00000000-0005-0000-0000-0000A2CA0000}"/>
    <cellStyle name="Normal 9 8 3 5" xfId="52041" xr:uid="{00000000-0005-0000-0000-0000A3CA0000}"/>
    <cellStyle name="Normal 9 8 3 6" xfId="52042" xr:uid="{00000000-0005-0000-0000-0000A4CA0000}"/>
    <cellStyle name="Normal 9 8 4" xfId="52043" xr:uid="{00000000-0005-0000-0000-0000A5CA0000}"/>
    <cellStyle name="Normal 9 8 4 2" xfId="52044" xr:uid="{00000000-0005-0000-0000-0000A6CA0000}"/>
    <cellStyle name="Normal 9 8 4 2 2" xfId="52045" xr:uid="{00000000-0005-0000-0000-0000A7CA0000}"/>
    <cellStyle name="Normal 9 8 4 2 3" xfId="52046" xr:uid="{00000000-0005-0000-0000-0000A8CA0000}"/>
    <cellStyle name="Normal 9 8 4 3" xfId="52047" xr:uid="{00000000-0005-0000-0000-0000A9CA0000}"/>
    <cellStyle name="Normal 9 8 4 4" xfId="52048" xr:uid="{00000000-0005-0000-0000-0000AACA0000}"/>
    <cellStyle name="Normal 9 8 4 5" xfId="52049" xr:uid="{00000000-0005-0000-0000-0000ABCA0000}"/>
    <cellStyle name="Normal 9 8 4 6" xfId="52050" xr:uid="{00000000-0005-0000-0000-0000ACCA0000}"/>
    <cellStyle name="Normal 9 8 5" xfId="52051" xr:uid="{00000000-0005-0000-0000-0000ADCA0000}"/>
    <cellStyle name="Normal 9 8 5 2" xfId="52052" xr:uid="{00000000-0005-0000-0000-0000AECA0000}"/>
    <cellStyle name="Normal 9 8 5 3" xfId="52053" xr:uid="{00000000-0005-0000-0000-0000AFCA0000}"/>
    <cellStyle name="Normal 9 8 6" xfId="52054" xr:uid="{00000000-0005-0000-0000-0000B0CA0000}"/>
    <cellStyle name="Normal 9 8 7" xfId="52055" xr:uid="{00000000-0005-0000-0000-0000B1CA0000}"/>
    <cellStyle name="Normal 9 8 8" xfId="52056" xr:uid="{00000000-0005-0000-0000-0000B2CA0000}"/>
    <cellStyle name="Normal 9 8 9" xfId="52057" xr:uid="{00000000-0005-0000-0000-0000B3CA0000}"/>
    <cellStyle name="Normal 9 9" xfId="52058" xr:uid="{00000000-0005-0000-0000-0000B4CA0000}"/>
    <cellStyle name="Normal 9 9 2" xfId="52059" xr:uid="{00000000-0005-0000-0000-0000B5CA0000}"/>
    <cellStyle name="Normal 9 9 2 2" xfId="52060" xr:uid="{00000000-0005-0000-0000-0000B6CA0000}"/>
    <cellStyle name="Normal 9 9 2 2 2" xfId="52061" xr:uid="{00000000-0005-0000-0000-0000B7CA0000}"/>
    <cellStyle name="Normal 9 9 2 2 3" xfId="52062" xr:uid="{00000000-0005-0000-0000-0000B8CA0000}"/>
    <cellStyle name="Normal 9 9 2 3" xfId="52063" xr:uid="{00000000-0005-0000-0000-0000B9CA0000}"/>
    <cellStyle name="Normal 9 9 2 4" xfId="52064" xr:uid="{00000000-0005-0000-0000-0000BACA0000}"/>
    <cellStyle name="Normal 9 9 2 5" xfId="52065" xr:uid="{00000000-0005-0000-0000-0000BBCA0000}"/>
    <cellStyle name="Normal 9 9 2 6" xfId="52066" xr:uid="{00000000-0005-0000-0000-0000BCCA0000}"/>
    <cellStyle name="Normal 9 9 3" xfId="52067" xr:uid="{00000000-0005-0000-0000-0000BDCA0000}"/>
    <cellStyle name="Normal 9 9 3 2" xfId="52068" xr:uid="{00000000-0005-0000-0000-0000BECA0000}"/>
    <cellStyle name="Normal 9 9 3 3" xfId="52069" xr:uid="{00000000-0005-0000-0000-0000BFCA0000}"/>
    <cellStyle name="Normal 9 9 4" xfId="52070" xr:uid="{00000000-0005-0000-0000-0000C0CA0000}"/>
    <cellStyle name="Normal 9 9 5" xfId="52071" xr:uid="{00000000-0005-0000-0000-0000C1CA0000}"/>
    <cellStyle name="Normal 9 9 6" xfId="52072" xr:uid="{00000000-0005-0000-0000-0000C2CA0000}"/>
    <cellStyle name="Normal 9 9 7" xfId="52073" xr:uid="{00000000-0005-0000-0000-0000C3CA0000}"/>
    <cellStyle name="Note" xfId="17" builtinId="10" customBuiltin="1"/>
    <cellStyle name="Note 10" xfId="52074" xr:uid="{00000000-0005-0000-0000-0000C5CA0000}"/>
    <cellStyle name="Note 10 2" xfId="52075" xr:uid="{00000000-0005-0000-0000-0000C6CA0000}"/>
    <cellStyle name="Note 10 2 2" xfId="52076" xr:uid="{00000000-0005-0000-0000-0000C7CA0000}"/>
    <cellStyle name="Note 10 2 3" xfId="52077" xr:uid="{00000000-0005-0000-0000-0000C8CA0000}"/>
    <cellStyle name="Note 10 3" xfId="52078" xr:uid="{00000000-0005-0000-0000-0000C9CA0000}"/>
    <cellStyle name="Note 10 4" xfId="52079" xr:uid="{00000000-0005-0000-0000-0000CACA0000}"/>
    <cellStyle name="Note 10 5" xfId="52080" xr:uid="{00000000-0005-0000-0000-0000CBCA0000}"/>
    <cellStyle name="Note 10 6" xfId="52081" xr:uid="{00000000-0005-0000-0000-0000CCCA0000}"/>
    <cellStyle name="Note 11" xfId="52082" xr:uid="{00000000-0005-0000-0000-0000CDCA0000}"/>
    <cellStyle name="Note 11 2" xfId="52083" xr:uid="{00000000-0005-0000-0000-0000CECA0000}"/>
    <cellStyle name="Note 11 2 2" xfId="52084" xr:uid="{00000000-0005-0000-0000-0000CFCA0000}"/>
    <cellStyle name="Note 11 2 3" xfId="52085" xr:uid="{00000000-0005-0000-0000-0000D0CA0000}"/>
    <cellStyle name="Note 11 3" xfId="52086" xr:uid="{00000000-0005-0000-0000-0000D1CA0000}"/>
    <cellStyle name="Note 11 4" xfId="52087" xr:uid="{00000000-0005-0000-0000-0000D2CA0000}"/>
    <cellStyle name="Note 11 5" xfId="52088" xr:uid="{00000000-0005-0000-0000-0000D3CA0000}"/>
    <cellStyle name="Note 11 6" xfId="52089" xr:uid="{00000000-0005-0000-0000-0000D4CA0000}"/>
    <cellStyle name="Note 12" xfId="52090" xr:uid="{00000000-0005-0000-0000-0000D5CA0000}"/>
    <cellStyle name="Note 2" xfId="163" xr:uid="{00000000-0005-0000-0000-0000D6CA0000}"/>
    <cellStyle name="Note 2 10" xfId="507" xr:uid="{00000000-0005-0000-0000-0000D7CA0000}"/>
    <cellStyle name="Note 2 11" xfId="508" xr:uid="{00000000-0005-0000-0000-0000D8CA0000}"/>
    <cellStyle name="Note 2 12" xfId="509" xr:uid="{00000000-0005-0000-0000-0000D9CA0000}"/>
    <cellStyle name="Note 2 2" xfId="265" xr:uid="{00000000-0005-0000-0000-0000DACA0000}"/>
    <cellStyle name="Note 2 2 2" xfId="510" xr:uid="{00000000-0005-0000-0000-0000DBCA0000}"/>
    <cellStyle name="Note 2 2 3" xfId="511" xr:uid="{00000000-0005-0000-0000-0000DCCA0000}"/>
    <cellStyle name="Note 2 2 4" xfId="512" xr:uid="{00000000-0005-0000-0000-0000DDCA0000}"/>
    <cellStyle name="Note 2 2 5" xfId="513" xr:uid="{00000000-0005-0000-0000-0000DECA0000}"/>
    <cellStyle name="Note 2 3" xfId="514" xr:uid="{00000000-0005-0000-0000-0000DFCA0000}"/>
    <cellStyle name="Note 2 3 2" xfId="515" xr:uid="{00000000-0005-0000-0000-0000E0CA0000}"/>
    <cellStyle name="Note 2 3 3" xfId="516" xr:uid="{00000000-0005-0000-0000-0000E1CA0000}"/>
    <cellStyle name="Note 2 4" xfId="517" xr:uid="{00000000-0005-0000-0000-0000E2CA0000}"/>
    <cellStyle name="Note 2 4 2" xfId="518" xr:uid="{00000000-0005-0000-0000-0000E3CA0000}"/>
    <cellStyle name="Note 2 4 3" xfId="519" xr:uid="{00000000-0005-0000-0000-0000E4CA0000}"/>
    <cellStyle name="Note 2 5" xfId="520" xr:uid="{00000000-0005-0000-0000-0000E5CA0000}"/>
    <cellStyle name="Note 2 5 2" xfId="521" xr:uid="{00000000-0005-0000-0000-0000E6CA0000}"/>
    <cellStyle name="Note 2 5 3" xfId="522" xr:uid="{00000000-0005-0000-0000-0000E7CA0000}"/>
    <cellStyle name="Note 2 5 3 2" xfId="52091" xr:uid="{00000000-0005-0000-0000-0000E8CA0000}"/>
    <cellStyle name="Note 2 5 4" xfId="523" xr:uid="{00000000-0005-0000-0000-0000E9CA0000}"/>
    <cellStyle name="Note 2 5 4 2" xfId="52092" xr:uid="{00000000-0005-0000-0000-0000EACA0000}"/>
    <cellStyle name="Note 2 5 4 2 2" xfId="52093" xr:uid="{00000000-0005-0000-0000-0000EBCA0000}"/>
    <cellStyle name="Note 2 5 4 3" xfId="52094" xr:uid="{00000000-0005-0000-0000-0000ECCA0000}"/>
    <cellStyle name="Note 2 5 5" xfId="52095" xr:uid="{00000000-0005-0000-0000-0000EDCA0000}"/>
    <cellStyle name="Note 2 5 6" xfId="52096" xr:uid="{00000000-0005-0000-0000-0000EECA0000}"/>
    <cellStyle name="Note 2 5 6 2" xfId="52097" xr:uid="{00000000-0005-0000-0000-0000EFCA0000}"/>
    <cellStyle name="Note 2 6" xfId="524" xr:uid="{00000000-0005-0000-0000-0000F0CA0000}"/>
    <cellStyle name="Note 2 7" xfId="525" xr:uid="{00000000-0005-0000-0000-0000F1CA0000}"/>
    <cellStyle name="Note 2 8" xfId="526" xr:uid="{00000000-0005-0000-0000-0000F2CA0000}"/>
    <cellStyle name="Note 2 8 2" xfId="52098" xr:uid="{00000000-0005-0000-0000-0000F3CA0000}"/>
    <cellStyle name="Note 2 8 2 2" xfId="52099" xr:uid="{00000000-0005-0000-0000-0000F4CA0000}"/>
    <cellStyle name="Note 2 8 2 3" xfId="52100" xr:uid="{00000000-0005-0000-0000-0000F5CA0000}"/>
    <cellStyle name="Note 2 8 3" xfId="52101" xr:uid="{00000000-0005-0000-0000-0000F6CA0000}"/>
    <cellStyle name="Note 2 8 4" xfId="52102" xr:uid="{00000000-0005-0000-0000-0000F7CA0000}"/>
    <cellStyle name="Note 2 8 5" xfId="52103" xr:uid="{00000000-0005-0000-0000-0000F8CA0000}"/>
    <cellStyle name="Note 2 8 6" xfId="52104" xr:uid="{00000000-0005-0000-0000-0000F9CA0000}"/>
    <cellStyle name="Note 2 9" xfId="527" xr:uid="{00000000-0005-0000-0000-0000FACA0000}"/>
    <cellStyle name="Note 3" xfId="528" xr:uid="{00000000-0005-0000-0000-0000FBCA0000}"/>
    <cellStyle name="Note 3 2" xfId="529" xr:uid="{00000000-0005-0000-0000-0000FCCA0000}"/>
    <cellStyle name="Note 3 2 2" xfId="530" xr:uid="{00000000-0005-0000-0000-0000FDCA0000}"/>
    <cellStyle name="Note 3 2 3" xfId="531" xr:uid="{00000000-0005-0000-0000-0000FECA0000}"/>
    <cellStyle name="Note 3 3" xfId="532" xr:uid="{00000000-0005-0000-0000-0000FFCA0000}"/>
    <cellStyle name="Note 3 4" xfId="533" xr:uid="{00000000-0005-0000-0000-000000CB0000}"/>
    <cellStyle name="Note 3 5" xfId="534" xr:uid="{00000000-0005-0000-0000-000001CB0000}"/>
    <cellStyle name="Note 4" xfId="535" xr:uid="{00000000-0005-0000-0000-000002CB0000}"/>
    <cellStyle name="Note 4 10" xfId="52105" xr:uid="{00000000-0005-0000-0000-000003CB0000}"/>
    <cellStyle name="Note 4 10 2" xfId="52106" xr:uid="{00000000-0005-0000-0000-000004CB0000}"/>
    <cellStyle name="Note 4 10 2 2" xfId="52107" xr:uid="{00000000-0005-0000-0000-000005CB0000}"/>
    <cellStyle name="Note 4 10 2 3" xfId="52108" xr:uid="{00000000-0005-0000-0000-000006CB0000}"/>
    <cellStyle name="Note 4 10 3" xfId="52109" xr:uid="{00000000-0005-0000-0000-000007CB0000}"/>
    <cellStyle name="Note 4 10 4" xfId="52110" xr:uid="{00000000-0005-0000-0000-000008CB0000}"/>
    <cellStyle name="Note 4 10 5" xfId="52111" xr:uid="{00000000-0005-0000-0000-000009CB0000}"/>
    <cellStyle name="Note 4 10 6" xfId="52112" xr:uid="{00000000-0005-0000-0000-00000ACB0000}"/>
    <cellStyle name="Note 4 11" xfId="52113" xr:uid="{00000000-0005-0000-0000-00000BCB0000}"/>
    <cellStyle name="Note 4 11 2" xfId="52114" xr:uid="{00000000-0005-0000-0000-00000CCB0000}"/>
    <cellStyle name="Note 4 11 2 2" xfId="52115" xr:uid="{00000000-0005-0000-0000-00000DCB0000}"/>
    <cellStyle name="Note 4 11 2 3" xfId="52116" xr:uid="{00000000-0005-0000-0000-00000ECB0000}"/>
    <cellStyle name="Note 4 11 3" xfId="52117" xr:uid="{00000000-0005-0000-0000-00000FCB0000}"/>
    <cellStyle name="Note 4 11 4" xfId="52118" xr:uid="{00000000-0005-0000-0000-000010CB0000}"/>
    <cellStyle name="Note 4 11 5" xfId="52119" xr:uid="{00000000-0005-0000-0000-000011CB0000}"/>
    <cellStyle name="Note 4 11 6" xfId="52120" xr:uid="{00000000-0005-0000-0000-000012CB0000}"/>
    <cellStyle name="Note 4 12" xfId="52121" xr:uid="{00000000-0005-0000-0000-000013CB0000}"/>
    <cellStyle name="Note 4 12 2" xfId="52122" xr:uid="{00000000-0005-0000-0000-000014CB0000}"/>
    <cellStyle name="Note 4 12 2 2" xfId="52123" xr:uid="{00000000-0005-0000-0000-000015CB0000}"/>
    <cellStyle name="Note 4 12 2 3" xfId="52124" xr:uid="{00000000-0005-0000-0000-000016CB0000}"/>
    <cellStyle name="Note 4 12 3" xfId="52125" xr:uid="{00000000-0005-0000-0000-000017CB0000}"/>
    <cellStyle name="Note 4 12 4" xfId="52126" xr:uid="{00000000-0005-0000-0000-000018CB0000}"/>
    <cellStyle name="Note 4 12 5" xfId="52127" xr:uid="{00000000-0005-0000-0000-000019CB0000}"/>
    <cellStyle name="Note 4 12 6" xfId="52128" xr:uid="{00000000-0005-0000-0000-00001ACB0000}"/>
    <cellStyle name="Note 4 13" xfId="52129" xr:uid="{00000000-0005-0000-0000-00001BCB0000}"/>
    <cellStyle name="Note 4 13 2" xfId="52130" xr:uid="{00000000-0005-0000-0000-00001CCB0000}"/>
    <cellStyle name="Note 4 13 3" xfId="52131" xr:uid="{00000000-0005-0000-0000-00001DCB0000}"/>
    <cellStyle name="Note 4 14" xfId="52132" xr:uid="{00000000-0005-0000-0000-00001ECB0000}"/>
    <cellStyle name="Note 4 15" xfId="52133" xr:uid="{00000000-0005-0000-0000-00001FCB0000}"/>
    <cellStyle name="Note 4 16" xfId="52134" xr:uid="{00000000-0005-0000-0000-000020CB0000}"/>
    <cellStyle name="Note 4 17" xfId="52135" xr:uid="{00000000-0005-0000-0000-000021CB0000}"/>
    <cellStyle name="Note 4 2" xfId="52136" xr:uid="{00000000-0005-0000-0000-000022CB0000}"/>
    <cellStyle name="Note 4 2 10" xfId="52137" xr:uid="{00000000-0005-0000-0000-000023CB0000}"/>
    <cellStyle name="Note 4 2 10 2" xfId="52138" xr:uid="{00000000-0005-0000-0000-000024CB0000}"/>
    <cellStyle name="Note 4 2 10 2 2" xfId="52139" xr:uid="{00000000-0005-0000-0000-000025CB0000}"/>
    <cellStyle name="Note 4 2 10 2 3" xfId="52140" xr:uid="{00000000-0005-0000-0000-000026CB0000}"/>
    <cellStyle name="Note 4 2 10 3" xfId="52141" xr:uid="{00000000-0005-0000-0000-000027CB0000}"/>
    <cellStyle name="Note 4 2 10 4" xfId="52142" xr:uid="{00000000-0005-0000-0000-000028CB0000}"/>
    <cellStyle name="Note 4 2 10 5" xfId="52143" xr:uid="{00000000-0005-0000-0000-000029CB0000}"/>
    <cellStyle name="Note 4 2 10 6" xfId="52144" xr:uid="{00000000-0005-0000-0000-00002ACB0000}"/>
    <cellStyle name="Note 4 2 11" xfId="52145" xr:uid="{00000000-0005-0000-0000-00002BCB0000}"/>
    <cellStyle name="Note 4 2 11 2" xfId="52146" xr:uid="{00000000-0005-0000-0000-00002CCB0000}"/>
    <cellStyle name="Note 4 2 11 2 2" xfId="52147" xr:uid="{00000000-0005-0000-0000-00002DCB0000}"/>
    <cellStyle name="Note 4 2 11 2 3" xfId="52148" xr:uid="{00000000-0005-0000-0000-00002ECB0000}"/>
    <cellStyle name="Note 4 2 11 3" xfId="52149" xr:uid="{00000000-0005-0000-0000-00002FCB0000}"/>
    <cellStyle name="Note 4 2 11 4" xfId="52150" xr:uid="{00000000-0005-0000-0000-000030CB0000}"/>
    <cellStyle name="Note 4 2 11 5" xfId="52151" xr:uid="{00000000-0005-0000-0000-000031CB0000}"/>
    <cellStyle name="Note 4 2 11 6" xfId="52152" xr:uid="{00000000-0005-0000-0000-000032CB0000}"/>
    <cellStyle name="Note 4 2 12" xfId="52153" xr:uid="{00000000-0005-0000-0000-000033CB0000}"/>
    <cellStyle name="Note 4 2 12 2" xfId="52154" xr:uid="{00000000-0005-0000-0000-000034CB0000}"/>
    <cellStyle name="Note 4 2 12 3" xfId="52155" xr:uid="{00000000-0005-0000-0000-000035CB0000}"/>
    <cellStyle name="Note 4 2 13" xfId="52156" xr:uid="{00000000-0005-0000-0000-000036CB0000}"/>
    <cellStyle name="Note 4 2 14" xfId="52157" xr:uid="{00000000-0005-0000-0000-000037CB0000}"/>
    <cellStyle name="Note 4 2 15" xfId="52158" xr:uid="{00000000-0005-0000-0000-000038CB0000}"/>
    <cellStyle name="Note 4 2 16" xfId="52159" xr:uid="{00000000-0005-0000-0000-000039CB0000}"/>
    <cellStyle name="Note 4 2 2" xfId="52160" xr:uid="{00000000-0005-0000-0000-00003ACB0000}"/>
    <cellStyle name="Note 4 2 2 10" xfId="52161" xr:uid="{00000000-0005-0000-0000-00003BCB0000}"/>
    <cellStyle name="Note 4 2 2 10 2" xfId="52162" xr:uid="{00000000-0005-0000-0000-00003CCB0000}"/>
    <cellStyle name="Note 4 2 2 10 3" xfId="52163" xr:uid="{00000000-0005-0000-0000-00003DCB0000}"/>
    <cellStyle name="Note 4 2 2 11" xfId="52164" xr:uid="{00000000-0005-0000-0000-00003ECB0000}"/>
    <cellStyle name="Note 4 2 2 12" xfId="52165" xr:uid="{00000000-0005-0000-0000-00003FCB0000}"/>
    <cellStyle name="Note 4 2 2 13" xfId="52166" xr:uid="{00000000-0005-0000-0000-000040CB0000}"/>
    <cellStyle name="Note 4 2 2 14" xfId="52167" xr:uid="{00000000-0005-0000-0000-000041CB0000}"/>
    <cellStyle name="Note 4 2 2 2" xfId="52168" xr:uid="{00000000-0005-0000-0000-000042CB0000}"/>
    <cellStyle name="Note 4 2 2 2 10" xfId="52169" xr:uid="{00000000-0005-0000-0000-000043CB0000}"/>
    <cellStyle name="Note 4 2 2 2 11" xfId="52170" xr:uid="{00000000-0005-0000-0000-000044CB0000}"/>
    <cellStyle name="Note 4 2 2 2 12" xfId="52171" xr:uid="{00000000-0005-0000-0000-000045CB0000}"/>
    <cellStyle name="Note 4 2 2 2 13" xfId="52172" xr:uid="{00000000-0005-0000-0000-000046CB0000}"/>
    <cellStyle name="Note 4 2 2 2 2" xfId="52173" xr:uid="{00000000-0005-0000-0000-000047CB0000}"/>
    <cellStyle name="Note 4 2 2 2 2 10" xfId="52174" xr:uid="{00000000-0005-0000-0000-000048CB0000}"/>
    <cellStyle name="Note 4 2 2 2 2 2" xfId="52175" xr:uid="{00000000-0005-0000-0000-000049CB0000}"/>
    <cellStyle name="Note 4 2 2 2 2 2 2" xfId="52176" xr:uid="{00000000-0005-0000-0000-00004ACB0000}"/>
    <cellStyle name="Note 4 2 2 2 2 2 2 2" xfId="52177" xr:uid="{00000000-0005-0000-0000-00004BCB0000}"/>
    <cellStyle name="Note 4 2 2 2 2 2 2 2 2" xfId="52178" xr:uid="{00000000-0005-0000-0000-00004CCB0000}"/>
    <cellStyle name="Note 4 2 2 2 2 2 2 2 3" xfId="52179" xr:uid="{00000000-0005-0000-0000-00004DCB0000}"/>
    <cellStyle name="Note 4 2 2 2 2 2 2 3" xfId="52180" xr:uid="{00000000-0005-0000-0000-00004ECB0000}"/>
    <cellStyle name="Note 4 2 2 2 2 2 2 4" xfId="52181" xr:uid="{00000000-0005-0000-0000-00004FCB0000}"/>
    <cellStyle name="Note 4 2 2 2 2 2 2 5" xfId="52182" xr:uid="{00000000-0005-0000-0000-000050CB0000}"/>
    <cellStyle name="Note 4 2 2 2 2 2 2 6" xfId="52183" xr:uid="{00000000-0005-0000-0000-000051CB0000}"/>
    <cellStyle name="Note 4 2 2 2 2 2 3" xfId="52184" xr:uid="{00000000-0005-0000-0000-000052CB0000}"/>
    <cellStyle name="Note 4 2 2 2 2 2 3 2" xfId="52185" xr:uid="{00000000-0005-0000-0000-000053CB0000}"/>
    <cellStyle name="Note 4 2 2 2 2 2 3 2 2" xfId="52186" xr:uid="{00000000-0005-0000-0000-000054CB0000}"/>
    <cellStyle name="Note 4 2 2 2 2 2 3 2 3" xfId="52187" xr:uid="{00000000-0005-0000-0000-000055CB0000}"/>
    <cellStyle name="Note 4 2 2 2 2 2 3 3" xfId="52188" xr:uid="{00000000-0005-0000-0000-000056CB0000}"/>
    <cellStyle name="Note 4 2 2 2 2 2 3 4" xfId="52189" xr:uid="{00000000-0005-0000-0000-000057CB0000}"/>
    <cellStyle name="Note 4 2 2 2 2 2 3 5" xfId="52190" xr:uid="{00000000-0005-0000-0000-000058CB0000}"/>
    <cellStyle name="Note 4 2 2 2 2 2 3 6" xfId="52191" xr:uid="{00000000-0005-0000-0000-000059CB0000}"/>
    <cellStyle name="Note 4 2 2 2 2 2 4" xfId="52192" xr:uid="{00000000-0005-0000-0000-00005ACB0000}"/>
    <cellStyle name="Note 4 2 2 2 2 2 4 2" xfId="52193" xr:uid="{00000000-0005-0000-0000-00005BCB0000}"/>
    <cellStyle name="Note 4 2 2 2 2 2 4 3" xfId="52194" xr:uid="{00000000-0005-0000-0000-00005CCB0000}"/>
    <cellStyle name="Note 4 2 2 2 2 2 5" xfId="52195" xr:uid="{00000000-0005-0000-0000-00005DCB0000}"/>
    <cellStyle name="Note 4 2 2 2 2 2 6" xfId="52196" xr:uid="{00000000-0005-0000-0000-00005ECB0000}"/>
    <cellStyle name="Note 4 2 2 2 2 2 7" xfId="52197" xr:uid="{00000000-0005-0000-0000-00005FCB0000}"/>
    <cellStyle name="Note 4 2 2 2 2 2 8" xfId="52198" xr:uid="{00000000-0005-0000-0000-000060CB0000}"/>
    <cellStyle name="Note 4 2 2 2 2 3" xfId="52199" xr:uid="{00000000-0005-0000-0000-000061CB0000}"/>
    <cellStyle name="Note 4 2 2 2 2 3 2" xfId="52200" xr:uid="{00000000-0005-0000-0000-000062CB0000}"/>
    <cellStyle name="Note 4 2 2 2 2 3 2 2" xfId="52201" xr:uid="{00000000-0005-0000-0000-000063CB0000}"/>
    <cellStyle name="Note 4 2 2 2 2 3 2 2 2" xfId="52202" xr:uid="{00000000-0005-0000-0000-000064CB0000}"/>
    <cellStyle name="Note 4 2 2 2 2 3 2 2 3" xfId="52203" xr:uid="{00000000-0005-0000-0000-000065CB0000}"/>
    <cellStyle name="Note 4 2 2 2 2 3 2 3" xfId="52204" xr:uid="{00000000-0005-0000-0000-000066CB0000}"/>
    <cellStyle name="Note 4 2 2 2 2 3 2 4" xfId="52205" xr:uid="{00000000-0005-0000-0000-000067CB0000}"/>
    <cellStyle name="Note 4 2 2 2 2 3 2 5" xfId="52206" xr:uid="{00000000-0005-0000-0000-000068CB0000}"/>
    <cellStyle name="Note 4 2 2 2 2 3 2 6" xfId="52207" xr:uid="{00000000-0005-0000-0000-000069CB0000}"/>
    <cellStyle name="Note 4 2 2 2 2 3 3" xfId="52208" xr:uid="{00000000-0005-0000-0000-00006ACB0000}"/>
    <cellStyle name="Note 4 2 2 2 2 3 3 2" xfId="52209" xr:uid="{00000000-0005-0000-0000-00006BCB0000}"/>
    <cellStyle name="Note 4 2 2 2 2 3 3 3" xfId="52210" xr:uid="{00000000-0005-0000-0000-00006CCB0000}"/>
    <cellStyle name="Note 4 2 2 2 2 3 4" xfId="52211" xr:uid="{00000000-0005-0000-0000-00006DCB0000}"/>
    <cellStyle name="Note 4 2 2 2 2 3 5" xfId="52212" xr:uid="{00000000-0005-0000-0000-00006ECB0000}"/>
    <cellStyle name="Note 4 2 2 2 2 3 6" xfId="52213" xr:uid="{00000000-0005-0000-0000-00006FCB0000}"/>
    <cellStyle name="Note 4 2 2 2 2 3 7" xfId="52214" xr:uid="{00000000-0005-0000-0000-000070CB0000}"/>
    <cellStyle name="Note 4 2 2 2 2 4" xfId="52215" xr:uid="{00000000-0005-0000-0000-000071CB0000}"/>
    <cellStyle name="Note 4 2 2 2 2 4 2" xfId="52216" xr:uid="{00000000-0005-0000-0000-000072CB0000}"/>
    <cellStyle name="Note 4 2 2 2 2 4 2 2" xfId="52217" xr:uid="{00000000-0005-0000-0000-000073CB0000}"/>
    <cellStyle name="Note 4 2 2 2 2 4 2 3" xfId="52218" xr:uid="{00000000-0005-0000-0000-000074CB0000}"/>
    <cellStyle name="Note 4 2 2 2 2 4 3" xfId="52219" xr:uid="{00000000-0005-0000-0000-000075CB0000}"/>
    <cellStyle name="Note 4 2 2 2 2 4 4" xfId="52220" xr:uid="{00000000-0005-0000-0000-000076CB0000}"/>
    <cellStyle name="Note 4 2 2 2 2 4 5" xfId="52221" xr:uid="{00000000-0005-0000-0000-000077CB0000}"/>
    <cellStyle name="Note 4 2 2 2 2 4 6" xfId="52222" xr:uid="{00000000-0005-0000-0000-000078CB0000}"/>
    <cellStyle name="Note 4 2 2 2 2 5" xfId="52223" xr:uid="{00000000-0005-0000-0000-000079CB0000}"/>
    <cellStyle name="Note 4 2 2 2 2 5 2" xfId="52224" xr:uid="{00000000-0005-0000-0000-00007ACB0000}"/>
    <cellStyle name="Note 4 2 2 2 2 5 2 2" xfId="52225" xr:uid="{00000000-0005-0000-0000-00007BCB0000}"/>
    <cellStyle name="Note 4 2 2 2 2 5 2 3" xfId="52226" xr:uid="{00000000-0005-0000-0000-00007CCB0000}"/>
    <cellStyle name="Note 4 2 2 2 2 5 3" xfId="52227" xr:uid="{00000000-0005-0000-0000-00007DCB0000}"/>
    <cellStyle name="Note 4 2 2 2 2 5 4" xfId="52228" xr:uid="{00000000-0005-0000-0000-00007ECB0000}"/>
    <cellStyle name="Note 4 2 2 2 2 5 5" xfId="52229" xr:uid="{00000000-0005-0000-0000-00007FCB0000}"/>
    <cellStyle name="Note 4 2 2 2 2 5 6" xfId="52230" xr:uid="{00000000-0005-0000-0000-000080CB0000}"/>
    <cellStyle name="Note 4 2 2 2 2 6" xfId="52231" xr:uid="{00000000-0005-0000-0000-000081CB0000}"/>
    <cellStyle name="Note 4 2 2 2 2 6 2" xfId="52232" xr:uid="{00000000-0005-0000-0000-000082CB0000}"/>
    <cellStyle name="Note 4 2 2 2 2 6 3" xfId="52233" xr:uid="{00000000-0005-0000-0000-000083CB0000}"/>
    <cellStyle name="Note 4 2 2 2 2 7" xfId="52234" xr:uid="{00000000-0005-0000-0000-000084CB0000}"/>
    <cellStyle name="Note 4 2 2 2 2 8" xfId="52235" xr:uid="{00000000-0005-0000-0000-000085CB0000}"/>
    <cellStyle name="Note 4 2 2 2 2 9" xfId="52236" xr:uid="{00000000-0005-0000-0000-000086CB0000}"/>
    <cellStyle name="Note 4 2 2 2 3" xfId="52237" xr:uid="{00000000-0005-0000-0000-000087CB0000}"/>
    <cellStyle name="Note 4 2 2 2 3 2" xfId="52238" xr:uid="{00000000-0005-0000-0000-000088CB0000}"/>
    <cellStyle name="Note 4 2 2 2 3 2 2" xfId="52239" xr:uid="{00000000-0005-0000-0000-000089CB0000}"/>
    <cellStyle name="Note 4 2 2 2 3 2 2 2" xfId="52240" xr:uid="{00000000-0005-0000-0000-00008ACB0000}"/>
    <cellStyle name="Note 4 2 2 2 3 2 2 2 2" xfId="52241" xr:uid="{00000000-0005-0000-0000-00008BCB0000}"/>
    <cellStyle name="Note 4 2 2 2 3 2 2 2 3" xfId="52242" xr:uid="{00000000-0005-0000-0000-00008CCB0000}"/>
    <cellStyle name="Note 4 2 2 2 3 2 2 3" xfId="52243" xr:uid="{00000000-0005-0000-0000-00008DCB0000}"/>
    <cellStyle name="Note 4 2 2 2 3 2 2 4" xfId="52244" xr:uid="{00000000-0005-0000-0000-00008ECB0000}"/>
    <cellStyle name="Note 4 2 2 2 3 2 2 5" xfId="52245" xr:uid="{00000000-0005-0000-0000-00008FCB0000}"/>
    <cellStyle name="Note 4 2 2 2 3 2 2 6" xfId="52246" xr:uid="{00000000-0005-0000-0000-000090CB0000}"/>
    <cellStyle name="Note 4 2 2 2 3 2 3" xfId="52247" xr:uid="{00000000-0005-0000-0000-000091CB0000}"/>
    <cellStyle name="Note 4 2 2 2 3 2 3 2" xfId="52248" xr:uid="{00000000-0005-0000-0000-000092CB0000}"/>
    <cellStyle name="Note 4 2 2 2 3 2 3 3" xfId="52249" xr:uid="{00000000-0005-0000-0000-000093CB0000}"/>
    <cellStyle name="Note 4 2 2 2 3 2 4" xfId="52250" xr:uid="{00000000-0005-0000-0000-000094CB0000}"/>
    <cellStyle name="Note 4 2 2 2 3 2 5" xfId="52251" xr:uid="{00000000-0005-0000-0000-000095CB0000}"/>
    <cellStyle name="Note 4 2 2 2 3 2 6" xfId="52252" xr:uid="{00000000-0005-0000-0000-000096CB0000}"/>
    <cellStyle name="Note 4 2 2 2 3 2 7" xfId="52253" xr:uid="{00000000-0005-0000-0000-000097CB0000}"/>
    <cellStyle name="Note 4 2 2 2 3 3" xfId="52254" xr:uid="{00000000-0005-0000-0000-000098CB0000}"/>
    <cellStyle name="Note 4 2 2 2 3 3 2" xfId="52255" xr:uid="{00000000-0005-0000-0000-000099CB0000}"/>
    <cellStyle name="Note 4 2 2 2 3 3 2 2" xfId="52256" xr:uid="{00000000-0005-0000-0000-00009ACB0000}"/>
    <cellStyle name="Note 4 2 2 2 3 3 2 3" xfId="52257" xr:uid="{00000000-0005-0000-0000-00009BCB0000}"/>
    <cellStyle name="Note 4 2 2 2 3 3 3" xfId="52258" xr:uid="{00000000-0005-0000-0000-00009CCB0000}"/>
    <cellStyle name="Note 4 2 2 2 3 3 4" xfId="52259" xr:uid="{00000000-0005-0000-0000-00009DCB0000}"/>
    <cellStyle name="Note 4 2 2 2 3 3 5" xfId="52260" xr:uid="{00000000-0005-0000-0000-00009ECB0000}"/>
    <cellStyle name="Note 4 2 2 2 3 3 6" xfId="52261" xr:uid="{00000000-0005-0000-0000-00009FCB0000}"/>
    <cellStyle name="Note 4 2 2 2 3 4" xfId="52262" xr:uid="{00000000-0005-0000-0000-0000A0CB0000}"/>
    <cellStyle name="Note 4 2 2 2 3 4 2" xfId="52263" xr:uid="{00000000-0005-0000-0000-0000A1CB0000}"/>
    <cellStyle name="Note 4 2 2 2 3 4 2 2" xfId="52264" xr:uid="{00000000-0005-0000-0000-0000A2CB0000}"/>
    <cellStyle name="Note 4 2 2 2 3 4 2 3" xfId="52265" xr:uid="{00000000-0005-0000-0000-0000A3CB0000}"/>
    <cellStyle name="Note 4 2 2 2 3 4 3" xfId="52266" xr:uid="{00000000-0005-0000-0000-0000A4CB0000}"/>
    <cellStyle name="Note 4 2 2 2 3 4 4" xfId="52267" xr:uid="{00000000-0005-0000-0000-0000A5CB0000}"/>
    <cellStyle name="Note 4 2 2 2 3 4 5" xfId="52268" xr:uid="{00000000-0005-0000-0000-0000A6CB0000}"/>
    <cellStyle name="Note 4 2 2 2 3 4 6" xfId="52269" xr:uid="{00000000-0005-0000-0000-0000A7CB0000}"/>
    <cellStyle name="Note 4 2 2 2 3 5" xfId="52270" xr:uid="{00000000-0005-0000-0000-0000A8CB0000}"/>
    <cellStyle name="Note 4 2 2 2 3 5 2" xfId="52271" xr:uid="{00000000-0005-0000-0000-0000A9CB0000}"/>
    <cellStyle name="Note 4 2 2 2 3 5 3" xfId="52272" xr:uid="{00000000-0005-0000-0000-0000AACB0000}"/>
    <cellStyle name="Note 4 2 2 2 3 6" xfId="52273" xr:uid="{00000000-0005-0000-0000-0000ABCB0000}"/>
    <cellStyle name="Note 4 2 2 2 3 7" xfId="52274" xr:uid="{00000000-0005-0000-0000-0000ACCB0000}"/>
    <cellStyle name="Note 4 2 2 2 3 8" xfId="52275" xr:uid="{00000000-0005-0000-0000-0000ADCB0000}"/>
    <cellStyle name="Note 4 2 2 2 3 9" xfId="52276" xr:uid="{00000000-0005-0000-0000-0000AECB0000}"/>
    <cellStyle name="Note 4 2 2 2 4" xfId="52277" xr:uid="{00000000-0005-0000-0000-0000AFCB0000}"/>
    <cellStyle name="Note 4 2 2 2 4 2" xfId="52278" xr:uid="{00000000-0005-0000-0000-0000B0CB0000}"/>
    <cellStyle name="Note 4 2 2 2 4 2 2" xfId="52279" xr:uid="{00000000-0005-0000-0000-0000B1CB0000}"/>
    <cellStyle name="Note 4 2 2 2 4 2 2 2" xfId="52280" xr:uid="{00000000-0005-0000-0000-0000B2CB0000}"/>
    <cellStyle name="Note 4 2 2 2 4 2 2 3" xfId="52281" xr:uid="{00000000-0005-0000-0000-0000B3CB0000}"/>
    <cellStyle name="Note 4 2 2 2 4 2 3" xfId="52282" xr:uid="{00000000-0005-0000-0000-0000B4CB0000}"/>
    <cellStyle name="Note 4 2 2 2 4 2 4" xfId="52283" xr:uid="{00000000-0005-0000-0000-0000B5CB0000}"/>
    <cellStyle name="Note 4 2 2 2 4 2 5" xfId="52284" xr:uid="{00000000-0005-0000-0000-0000B6CB0000}"/>
    <cellStyle name="Note 4 2 2 2 4 2 6" xfId="52285" xr:uid="{00000000-0005-0000-0000-0000B7CB0000}"/>
    <cellStyle name="Note 4 2 2 2 4 3" xfId="52286" xr:uid="{00000000-0005-0000-0000-0000B8CB0000}"/>
    <cellStyle name="Note 4 2 2 2 4 3 2" xfId="52287" xr:uid="{00000000-0005-0000-0000-0000B9CB0000}"/>
    <cellStyle name="Note 4 2 2 2 4 3 3" xfId="52288" xr:uid="{00000000-0005-0000-0000-0000BACB0000}"/>
    <cellStyle name="Note 4 2 2 2 4 4" xfId="52289" xr:uid="{00000000-0005-0000-0000-0000BBCB0000}"/>
    <cellStyle name="Note 4 2 2 2 4 5" xfId="52290" xr:uid="{00000000-0005-0000-0000-0000BCCB0000}"/>
    <cellStyle name="Note 4 2 2 2 4 6" xfId="52291" xr:uid="{00000000-0005-0000-0000-0000BDCB0000}"/>
    <cellStyle name="Note 4 2 2 2 4 7" xfId="52292" xr:uid="{00000000-0005-0000-0000-0000BECB0000}"/>
    <cellStyle name="Note 4 2 2 2 5" xfId="52293" xr:uid="{00000000-0005-0000-0000-0000BFCB0000}"/>
    <cellStyle name="Note 4 2 2 2 5 2" xfId="52294" xr:uid="{00000000-0005-0000-0000-0000C0CB0000}"/>
    <cellStyle name="Note 4 2 2 2 5 2 2" xfId="52295" xr:uid="{00000000-0005-0000-0000-0000C1CB0000}"/>
    <cellStyle name="Note 4 2 2 2 5 2 3" xfId="52296" xr:uid="{00000000-0005-0000-0000-0000C2CB0000}"/>
    <cellStyle name="Note 4 2 2 2 5 3" xfId="52297" xr:uid="{00000000-0005-0000-0000-0000C3CB0000}"/>
    <cellStyle name="Note 4 2 2 2 5 4" xfId="52298" xr:uid="{00000000-0005-0000-0000-0000C4CB0000}"/>
    <cellStyle name="Note 4 2 2 2 5 5" xfId="52299" xr:uid="{00000000-0005-0000-0000-0000C5CB0000}"/>
    <cellStyle name="Note 4 2 2 2 5 6" xfId="52300" xr:uid="{00000000-0005-0000-0000-0000C6CB0000}"/>
    <cellStyle name="Note 4 2 2 2 6" xfId="52301" xr:uid="{00000000-0005-0000-0000-0000C7CB0000}"/>
    <cellStyle name="Note 4 2 2 2 6 2" xfId="52302" xr:uid="{00000000-0005-0000-0000-0000C8CB0000}"/>
    <cellStyle name="Note 4 2 2 2 6 2 2" xfId="52303" xr:uid="{00000000-0005-0000-0000-0000C9CB0000}"/>
    <cellStyle name="Note 4 2 2 2 6 2 3" xfId="52304" xr:uid="{00000000-0005-0000-0000-0000CACB0000}"/>
    <cellStyle name="Note 4 2 2 2 6 3" xfId="52305" xr:uid="{00000000-0005-0000-0000-0000CBCB0000}"/>
    <cellStyle name="Note 4 2 2 2 6 4" xfId="52306" xr:uid="{00000000-0005-0000-0000-0000CCCB0000}"/>
    <cellStyle name="Note 4 2 2 2 6 5" xfId="52307" xr:uid="{00000000-0005-0000-0000-0000CDCB0000}"/>
    <cellStyle name="Note 4 2 2 2 6 6" xfId="52308" xr:uid="{00000000-0005-0000-0000-0000CECB0000}"/>
    <cellStyle name="Note 4 2 2 2 7" xfId="52309" xr:uid="{00000000-0005-0000-0000-0000CFCB0000}"/>
    <cellStyle name="Note 4 2 2 2 7 2" xfId="52310" xr:uid="{00000000-0005-0000-0000-0000D0CB0000}"/>
    <cellStyle name="Note 4 2 2 2 7 2 2" xfId="52311" xr:uid="{00000000-0005-0000-0000-0000D1CB0000}"/>
    <cellStyle name="Note 4 2 2 2 7 2 3" xfId="52312" xr:uid="{00000000-0005-0000-0000-0000D2CB0000}"/>
    <cellStyle name="Note 4 2 2 2 7 3" xfId="52313" xr:uid="{00000000-0005-0000-0000-0000D3CB0000}"/>
    <cellStyle name="Note 4 2 2 2 7 4" xfId="52314" xr:uid="{00000000-0005-0000-0000-0000D4CB0000}"/>
    <cellStyle name="Note 4 2 2 2 7 5" xfId="52315" xr:uid="{00000000-0005-0000-0000-0000D5CB0000}"/>
    <cellStyle name="Note 4 2 2 2 7 6" xfId="52316" xr:uid="{00000000-0005-0000-0000-0000D6CB0000}"/>
    <cellStyle name="Note 4 2 2 2 8" xfId="52317" xr:uid="{00000000-0005-0000-0000-0000D7CB0000}"/>
    <cellStyle name="Note 4 2 2 2 8 2" xfId="52318" xr:uid="{00000000-0005-0000-0000-0000D8CB0000}"/>
    <cellStyle name="Note 4 2 2 2 8 2 2" xfId="52319" xr:uid="{00000000-0005-0000-0000-0000D9CB0000}"/>
    <cellStyle name="Note 4 2 2 2 8 2 3" xfId="52320" xr:uid="{00000000-0005-0000-0000-0000DACB0000}"/>
    <cellStyle name="Note 4 2 2 2 8 3" xfId="52321" xr:uid="{00000000-0005-0000-0000-0000DBCB0000}"/>
    <cellStyle name="Note 4 2 2 2 8 4" xfId="52322" xr:uid="{00000000-0005-0000-0000-0000DCCB0000}"/>
    <cellStyle name="Note 4 2 2 2 8 5" xfId="52323" xr:uid="{00000000-0005-0000-0000-0000DDCB0000}"/>
    <cellStyle name="Note 4 2 2 2 8 6" xfId="52324" xr:uid="{00000000-0005-0000-0000-0000DECB0000}"/>
    <cellStyle name="Note 4 2 2 2 9" xfId="52325" xr:uid="{00000000-0005-0000-0000-0000DFCB0000}"/>
    <cellStyle name="Note 4 2 2 2 9 2" xfId="52326" xr:uid="{00000000-0005-0000-0000-0000E0CB0000}"/>
    <cellStyle name="Note 4 2 2 2 9 3" xfId="52327" xr:uid="{00000000-0005-0000-0000-0000E1CB0000}"/>
    <cellStyle name="Note 4 2 2 3" xfId="52328" xr:uid="{00000000-0005-0000-0000-0000E2CB0000}"/>
    <cellStyle name="Note 4 2 2 3 10" xfId="52329" xr:uid="{00000000-0005-0000-0000-0000E3CB0000}"/>
    <cellStyle name="Note 4 2 2 3 2" xfId="52330" xr:uid="{00000000-0005-0000-0000-0000E4CB0000}"/>
    <cellStyle name="Note 4 2 2 3 2 2" xfId="52331" xr:uid="{00000000-0005-0000-0000-0000E5CB0000}"/>
    <cellStyle name="Note 4 2 2 3 2 2 2" xfId="52332" xr:uid="{00000000-0005-0000-0000-0000E6CB0000}"/>
    <cellStyle name="Note 4 2 2 3 2 2 2 2" xfId="52333" xr:uid="{00000000-0005-0000-0000-0000E7CB0000}"/>
    <cellStyle name="Note 4 2 2 3 2 2 2 3" xfId="52334" xr:uid="{00000000-0005-0000-0000-0000E8CB0000}"/>
    <cellStyle name="Note 4 2 2 3 2 2 3" xfId="52335" xr:uid="{00000000-0005-0000-0000-0000E9CB0000}"/>
    <cellStyle name="Note 4 2 2 3 2 2 4" xfId="52336" xr:uid="{00000000-0005-0000-0000-0000EACB0000}"/>
    <cellStyle name="Note 4 2 2 3 2 2 5" xfId="52337" xr:uid="{00000000-0005-0000-0000-0000EBCB0000}"/>
    <cellStyle name="Note 4 2 2 3 2 2 6" xfId="52338" xr:uid="{00000000-0005-0000-0000-0000ECCB0000}"/>
    <cellStyle name="Note 4 2 2 3 2 3" xfId="52339" xr:uid="{00000000-0005-0000-0000-0000EDCB0000}"/>
    <cellStyle name="Note 4 2 2 3 2 3 2" xfId="52340" xr:uid="{00000000-0005-0000-0000-0000EECB0000}"/>
    <cellStyle name="Note 4 2 2 3 2 3 2 2" xfId="52341" xr:uid="{00000000-0005-0000-0000-0000EFCB0000}"/>
    <cellStyle name="Note 4 2 2 3 2 3 2 3" xfId="52342" xr:uid="{00000000-0005-0000-0000-0000F0CB0000}"/>
    <cellStyle name="Note 4 2 2 3 2 3 3" xfId="52343" xr:uid="{00000000-0005-0000-0000-0000F1CB0000}"/>
    <cellStyle name="Note 4 2 2 3 2 3 4" xfId="52344" xr:uid="{00000000-0005-0000-0000-0000F2CB0000}"/>
    <cellStyle name="Note 4 2 2 3 2 3 5" xfId="52345" xr:uid="{00000000-0005-0000-0000-0000F3CB0000}"/>
    <cellStyle name="Note 4 2 2 3 2 3 6" xfId="52346" xr:uid="{00000000-0005-0000-0000-0000F4CB0000}"/>
    <cellStyle name="Note 4 2 2 3 2 4" xfId="52347" xr:uid="{00000000-0005-0000-0000-0000F5CB0000}"/>
    <cellStyle name="Note 4 2 2 3 2 4 2" xfId="52348" xr:uid="{00000000-0005-0000-0000-0000F6CB0000}"/>
    <cellStyle name="Note 4 2 2 3 2 4 3" xfId="52349" xr:uid="{00000000-0005-0000-0000-0000F7CB0000}"/>
    <cellStyle name="Note 4 2 2 3 2 5" xfId="52350" xr:uid="{00000000-0005-0000-0000-0000F8CB0000}"/>
    <cellStyle name="Note 4 2 2 3 2 6" xfId="52351" xr:uid="{00000000-0005-0000-0000-0000F9CB0000}"/>
    <cellStyle name="Note 4 2 2 3 2 7" xfId="52352" xr:uid="{00000000-0005-0000-0000-0000FACB0000}"/>
    <cellStyle name="Note 4 2 2 3 2 8" xfId="52353" xr:uid="{00000000-0005-0000-0000-0000FBCB0000}"/>
    <cellStyle name="Note 4 2 2 3 3" xfId="52354" xr:uid="{00000000-0005-0000-0000-0000FCCB0000}"/>
    <cellStyle name="Note 4 2 2 3 3 2" xfId="52355" xr:uid="{00000000-0005-0000-0000-0000FDCB0000}"/>
    <cellStyle name="Note 4 2 2 3 3 2 2" xfId="52356" xr:uid="{00000000-0005-0000-0000-0000FECB0000}"/>
    <cellStyle name="Note 4 2 2 3 3 2 2 2" xfId="52357" xr:uid="{00000000-0005-0000-0000-0000FFCB0000}"/>
    <cellStyle name="Note 4 2 2 3 3 2 2 3" xfId="52358" xr:uid="{00000000-0005-0000-0000-000000CC0000}"/>
    <cellStyle name="Note 4 2 2 3 3 2 3" xfId="52359" xr:uid="{00000000-0005-0000-0000-000001CC0000}"/>
    <cellStyle name="Note 4 2 2 3 3 2 4" xfId="52360" xr:uid="{00000000-0005-0000-0000-000002CC0000}"/>
    <cellStyle name="Note 4 2 2 3 3 2 5" xfId="52361" xr:uid="{00000000-0005-0000-0000-000003CC0000}"/>
    <cellStyle name="Note 4 2 2 3 3 2 6" xfId="52362" xr:uid="{00000000-0005-0000-0000-000004CC0000}"/>
    <cellStyle name="Note 4 2 2 3 3 3" xfId="52363" xr:uid="{00000000-0005-0000-0000-000005CC0000}"/>
    <cellStyle name="Note 4 2 2 3 3 3 2" xfId="52364" xr:uid="{00000000-0005-0000-0000-000006CC0000}"/>
    <cellStyle name="Note 4 2 2 3 3 3 3" xfId="52365" xr:uid="{00000000-0005-0000-0000-000007CC0000}"/>
    <cellStyle name="Note 4 2 2 3 3 4" xfId="52366" xr:uid="{00000000-0005-0000-0000-000008CC0000}"/>
    <cellStyle name="Note 4 2 2 3 3 5" xfId="52367" xr:uid="{00000000-0005-0000-0000-000009CC0000}"/>
    <cellStyle name="Note 4 2 2 3 3 6" xfId="52368" xr:uid="{00000000-0005-0000-0000-00000ACC0000}"/>
    <cellStyle name="Note 4 2 2 3 3 7" xfId="52369" xr:uid="{00000000-0005-0000-0000-00000BCC0000}"/>
    <cellStyle name="Note 4 2 2 3 4" xfId="52370" xr:uid="{00000000-0005-0000-0000-00000CCC0000}"/>
    <cellStyle name="Note 4 2 2 3 4 2" xfId="52371" xr:uid="{00000000-0005-0000-0000-00000DCC0000}"/>
    <cellStyle name="Note 4 2 2 3 4 2 2" xfId="52372" xr:uid="{00000000-0005-0000-0000-00000ECC0000}"/>
    <cellStyle name="Note 4 2 2 3 4 2 3" xfId="52373" xr:uid="{00000000-0005-0000-0000-00000FCC0000}"/>
    <cellStyle name="Note 4 2 2 3 4 3" xfId="52374" xr:uid="{00000000-0005-0000-0000-000010CC0000}"/>
    <cellStyle name="Note 4 2 2 3 4 4" xfId="52375" xr:uid="{00000000-0005-0000-0000-000011CC0000}"/>
    <cellStyle name="Note 4 2 2 3 4 5" xfId="52376" xr:uid="{00000000-0005-0000-0000-000012CC0000}"/>
    <cellStyle name="Note 4 2 2 3 4 6" xfId="52377" xr:uid="{00000000-0005-0000-0000-000013CC0000}"/>
    <cellStyle name="Note 4 2 2 3 5" xfId="52378" xr:uid="{00000000-0005-0000-0000-000014CC0000}"/>
    <cellStyle name="Note 4 2 2 3 5 2" xfId="52379" xr:uid="{00000000-0005-0000-0000-000015CC0000}"/>
    <cellStyle name="Note 4 2 2 3 5 2 2" xfId="52380" xr:uid="{00000000-0005-0000-0000-000016CC0000}"/>
    <cellStyle name="Note 4 2 2 3 5 2 3" xfId="52381" xr:uid="{00000000-0005-0000-0000-000017CC0000}"/>
    <cellStyle name="Note 4 2 2 3 5 3" xfId="52382" xr:uid="{00000000-0005-0000-0000-000018CC0000}"/>
    <cellStyle name="Note 4 2 2 3 5 4" xfId="52383" xr:uid="{00000000-0005-0000-0000-000019CC0000}"/>
    <cellStyle name="Note 4 2 2 3 5 5" xfId="52384" xr:uid="{00000000-0005-0000-0000-00001ACC0000}"/>
    <cellStyle name="Note 4 2 2 3 5 6" xfId="52385" xr:uid="{00000000-0005-0000-0000-00001BCC0000}"/>
    <cellStyle name="Note 4 2 2 3 6" xfId="52386" xr:uid="{00000000-0005-0000-0000-00001CCC0000}"/>
    <cellStyle name="Note 4 2 2 3 6 2" xfId="52387" xr:uid="{00000000-0005-0000-0000-00001DCC0000}"/>
    <cellStyle name="Note 4 2 2 3 6 3" xfId="52388" xr:uid="{00000000-0005-0000-0000-00001ECC0000}"/>
    <cellStyle name="Note 4 2 2 3 7" xfId="52389" xr:uid="{00000000-0005-0000-0000-00001FCC0000}"/>
    <cellStyle name="Note 4 2 2 3 8" xfId="52390" xr:uid="{00000000-0005-0000-0000-000020CC0000}"/>
    <cellStyle name="Note 4 2 2 3 9" xfId="52391" xr:uid="{00000000-0005-0000-0000-000021CC0000}"/>
    <cellStyle name="Note 4 2 2 4" xfId="52392" xr:uid="{00000000-0005-0000-0000-000022CC0000}"/>
    <cellStyle name="Note 4 2 2 4 2" xfId="52393" xr:uid="{00000000-0005-0000-0000-000023CC0000}"/>
    <cellStyle name="Note 4 2 2 4 2 2" xfId="52394" xr:uid="{00000000-0005-0000-0000-000024CC0000}"/>
    <cellStyle name="Note 4 2 2 4 2 2 2" xfId="52395" xr:uid="{00000000-0005-0000-0000-000025CC0000}"/>
    <cellStyle name="Note 4 2 2 4 2 2 2 2" xfId="52396" xr:uid="{00000000-0005-0000-0000-000026CC0000}"/>
    <cellStyle name="Note 4 2 2 4 2 2 2 3" xfId="52397" xr:uid="{00000000-0005-0000-0000-000027CC0000}"/>
    <cellStyle name="Note 4 2 2 4 2 2 3" xfId="52398" xr:uid="{00000000-0005-0000-0000-000028CC0000}"/>
    <cellStyle name="Note 4 2 2 4 2 2 4" xfId="52399" xr:uid="{00000000-0005-0000-0000-000029CC0000}"/>
    <cellStyle name="Note 4 2 2 4 2 2 5" xfId="52400" xr:uid="{00000000-0005-0000-0000-00002ACC0000}"/>
    <cellStyle name="Note 4 2 2 4 2 2 6" xfId="52401" xr:uid="{00000000-0005-0000-0000-00002BCC0000}"/>
    <cellStyle name="Note 4 2 2 4 2 3" xfId="52402" xr:uid="{00000000-0005-0000-0000-00002CCC0000}"/>
    <cellStyle name="Note 4 2 2 4 2 3 2" xfId="52403" xr:uid="{00000000-0005-0000-0000-00002DCC0000}"/>
    <cellStyle name="Note 4 2 2 4 2 3 3" xfId="52404" xr:uid="{00000000-0005-0000-0000-00002ECC0000}"/>
    <cellStyle name="Note 4 2 2 4 2 4" xfId="52405" xr:uid="{00000000-0005-0000-0000-00002FCC0000}"/>
    <cellStyle name="Note 4 2 2 4 2 5" xfId="52406" xr:uid="{00000000-0005-0000-0000-000030CC0000}"/>
    <cellStyle name="Note 4 2 2 4 2 6" xfId="52407" xr:uid="{00000000-0005-0000-0000-000031CC0000}"/>
    <cellStyle name="Note 4 2 2 4 2 7" xfId="52408" xr:uid="{00000000-0005-0000-0000-000032CC0000}"/>
    <cellStyle name="Note 4 2 2 4 3" xfId="52409" xr:uid="{00000000-0005-0000-0000-000033CC0000}"/>
    <cellStyle name="Note 4 2 2 4 3 2" xfId="52410" xr:uid="{00000000-0005-0000-0000-000034CC0000}"/>
    <cellStyle name="Note 4 2 2 4 3 2 2" xfId="52411" xr:uid="{00000000-0005-0000-0000-000035CC0000}"/>
    <cellStyle name="Note 4 2 2 4 3 2 3" xfId="52412" xr:uid="{00000000-0005-0000-0000-000036CC0000}"/>
    <cellStyle name="Note 4 2 2 4 3 3" xfId="52413" xr:uid="{00000000-0005-0000-0000-000037CC0000}"/>
    <cellStyle name="Note 4 2 2 4 3 4" xfId="52414" xr:uid="{00000000-0005-0000-0000-000038CC0000}"/>
    <cellStyle name="Note 4 2 2 4 3 5" xfId="52415" xr:uid="{00000000-0005-0000-0000-000039CC0000}"/>
    <cellStyle name="Note 4 2 2 4 3 6" xfId="52416" xr:uid="{00000000-0005-0000-0000-00003ACC0000}"/>
    <cellStyle name="Note 4 2 2 4 4" xfId="52417" xr:uid="{00000000-0005-0000-0000-00003BCC0000}"/>
    <cellStyle name="Note 4 2 2 4 4 2" xfId="52418" xr:uid="{00000000-0005-0000-0000-00003CCC0000}"/>
    <cellStyle name="Note 4 2 2 4 4 2 2" xfId="52419" xr:uid="{00000000-0005-0000-0000-00003DCC0000}"/>
    <cellStyle name="Note 4 2 2 4 4 2 3" xfId="52420" xr:uid="{00000000-0005-0000-0000-00003ECC0000}"/>
    <cellStyle name="Note 4 2 2 4 4 3" xfId="52421" xr:uid="{00000000-0005-0000-0000-00003FCC0000}"/>
    <cellStyle name="Note 4 2 2 4 4 4" xfId="52422" xr:uid="{00000000-0005-0000-0000-000040CC0000}"/>
    <cellStyle name="Note 4 2 2 4 4 5" xfId="52423" xr:uid="{00000000-0005-0000-0000-000041CC0000}"/>
    <cellStyle name="Note 4 2 2 4 4 6" xfId="52424" xr:uid="{00000000-0005-0000-0000-000042CC0000}"/>
    <cellStyle name="Note 4 2 2 4 5" xfId="52425" xr:uid="{00000000-0005-0000-0000-000043CC0000}"/>
    <cellStyle name="Note 4 2 2 4 5 2" xfId="52426" xr:uid="{00000000-0005-0000-0000-000044CC0000}"/>
    <cellStyle name="Note 4 2 2 4 5 3" xfId="52427" xr:uid="{00000000-0005-0000-0000-000045CC0000}"/>
    <cellStyle name="Note 4 2 2 4 6" xfId="52428" xr:uid="{00000000-0005-0000-0000-000046CC0000}"/>
    <cellStyle name="Note 4 2 2 4 7" xfId="52429" xr:uid="{00000000-0005-0000-0000-000047CC0000}"/>
    <cellStyle name="Note 4 2 2 4 8" xfId="52430" xr:uid="{00000000-0005-0000-0000-000048CC0000}"/>
    <cellStyle name="Note 4 2 2 4 9" xfId="52431" xr:uid="{00000000-0005-0000-0000-000049CC0000}"/>
    <cellStyle name="Note 4 2 2 5" xfId="52432" xr:uid="{00000000-0005-0000-0000-00004ACC0000}"/>
    <cellStyle name="Note 4 2 2 5 2" xfId="52433" xr:uid="{00000000-0005-0000-0000-00004BCC0000}"/>
    <cellStyle name="Note 4 2 2 5 2 2" xfId="52434" xr:uid="{00000000-0005-0000-0000-00004CCC0000}"/>
    <cellStyle name="Note 4 2 2 5 2 2 2" xfId="52435" xr:uid="{00000000-0005-0000-0000-00004DCC0000}"/>
    <cellStyle name="Note 4 2 2 5 2 2 3" xfId="52436" xr:uid="{00000000-0005-0000-0000-00004ECC0000}"/>
    <cellStyle name="Note 4 2 2 5 2 3" xfId="52437" xr:uid="{00000000-0005-0000-0000-00004FCC0000}"/>
    <cellStyle name="Note 4 2 2 5 2 4" xfId="52438" xr:uid="{00000000-0005-0000-0000-000050CC0000}"/>
    <cellStyle name="Note 4 2 2 5 2 5" xfId="52439" xr:uid="{00000000-0005-0000-0000-000051CC0000}"/>
    <cellStyle name="Note 4 2 2 5 2 6" xfId="52440" xr:uid="{00000000-0005-0000-0000-000052CC0000}"/>
    <cellStyle name="Note 4 2 2 5 3" xfId="52441" xr:uid="{00000000-0005-0000-0000-000053CC0000}"/>
    <cellStyle name="Note 4 2 2 5 3 2" xfId="52442" xr:uid="{00000000-0005-0000-0000-000054CC0000}"/>
    <cellStyle name="Note 4 2 2 5 3 3" xfId="52443" xr:uid="{00000000-0005-0000-0000-000055CC0000}"/>
    <cellStyle name="Note 4 2 2 5 4" xfId="52444" xr:uid="{00000000-0005-0000-0000-000056CC0000}"/>
    <cellStyle name="Note 4 2 2 5 5" xfId="52445" xr:uid="{00000000-0005-0000-0000-000057CC0000}"/>
    <cellStyle name="Note 4 2 2 5 6" xfId="52446" xr:uid="{00000000-0005-0000-0000-000058CC0000}"/>
    <cellStyle name="Note 4 2 2 5 7" xfId="52447" xr:uid="{00000000-0005-0000-0000-000059CC0000}"/>
    <cellStyle name="Note 4 2 2 6" xfId="52448" xr:uid="{00000000-0005-0000-0000-00005ACC0000}"/>
    <cellStyle name="Note 4 2 2 6 2" xfId="52449" xr:uid="{00000000-0005-0000-0000-00005BCC0000}"/>
    <cellStyle name="Note 4 2 2 6 2 2" xfId="52450" xr:uid="{00000000-0005-0000-0000-00005CCC0000}"/>
    <cellStyle name="Note 4 2 2 6 2 3" xfId="52451" xr:uid="{00000000-0005-0000-0000-00005DCC0000}"/>
    <cellStyle name="Note 4 2 2 6 3" xfId="52452" xr:uid="{00000000-0005-0000-0000-00005ECC0000}"/>
    <cellStyle name="Note 4 2 2 6 4" xfId="52453" xr:uid="{00000000-0005-0000-0000-00005FCC0000}"/>
    <cellStyle name="Note 4 2 2 6 5" xfId="52454" xr:uid="{00000000-0005-0000-0000-000060CC0000}"/>
    <cellStyle name="Note 4 2 2 6 6" xfId="52455" xr:uid="{00000000-0005-0000-0000-000061CC0000}"/>
    <cellStyle name="Note 4 2 2 7" xfId="52456" xr:uid="{00000000-0005-0000-0000-000062CC0000}"/>
    <cellStyle name="Note 4 2 2 7 2" xfId="52457" xr:uid="{00000000-0005-0000-0000-000063CC0000}"/>
    <cellStyle name="Note 4 2 2 7 2 2" xfId="52458" xr:uid="{00000000-0005-0000-0000-000064CC0000}"/>
    <cellStyle name="Note 4 2 2 7 2 3" xfId="52459" xr:uid="{00000000-0005-0000-0000-000065CC0000}"/>
    <cellStyle name="Note 4 2 2 7 3" xfId="52460" xr:uid="{00000000-0005-0000-0000-000066CC0000}"/>
    <cellStyle name="Note 4 2 2 7 4" xfId="52461" xr:uid="{00000000-0005-0000-0000-000067CC0000}"/>
    <cellStyle name="Note 4 2 2 7 5" xfId="52462" xr:uid="{00000000-0005-0000-0000-000068CC0000}"/>
    <cellStyle name="Note 4 2 2 7 6" xfId="52463" xr:uid="{00000000-0005-0000-0000-000069CC0000}"/>
    <cellStyle name="Note 4 2 2 8" xfId="52464" xr:uid="{00000000-0005-0000-0000-00006ACC0000}"/>
    <cellStyle name="Note 4 2 2 8 2" xfId="52465" xr:uid="{00000000-0005-0000-0000-00006BCC0000}"/>
    <cellStyle name="Note 4 2 2 8 2 2" xfId="52466" xr:uid="{00000000-0005-0000-0000-00006CCC0000}"/>
    <cellStyle name="Note 4 2 2 8 2 3" xfId="52467" xr:uid="{00000000-0005-0000-0000-00006DCC0000}"/>
    <cellStyle name="Note 4 2 2 8 3" xfId="52468" xr:uid="{00000000-0005-0000-0000-00006ECC0000}"/>
    <cellStyle name="Note 4 2 2 8 4" xfId="52469" xr:uid="{00000000-0005-0000-0000-00006FCC0000}"/>
    <cellStyle name="Note 4 2 2 8 5" xfId="52470" xr:uid="{00000000-0005-0000-0000-000070CC0000}"/>
    <cellStyle name="Note 4 2 2 8 6" xfId="52471" xr:uid="{00000000-0005-0000-0000-000071CC0000}"/>
    <cellStyle name="Note 4 2 2 9" xfId="52472" xr:uid="{00000000-0005-0000-0000-000072CC0000}"/>
    <cellStyle name="Note 4 2 2 9 2" xfId="52473" xr:uid="{00000000-0005-0000-0000-000073CC0000}"/>
    <cellStyle name="Note 4 2 2 9 2 2" xfId="52474" xr:uid="{00000000-0005-0000-0000-000074CC0000}"/>
    <cellStyle name="Note 4 2 2 9 2 3" xfId="52475" xr:uid="{00000000-0005-0000-0000-000075CC0000}"/>
    <cellStyle name="Note 4 2 2 9 3" xfId="52476" xr:uid="{00000000-0005-0000-0000-000076CC0000}"/>
    <cellStyle name="Note 4 2 2 9 4" xfId="52477" xr:uid="{00000000-0005-0000-0000-000077CC0000}"/>
    <cellStyle name="Note 4 2 2 9 5" xfId="52478" xr:uid="{00000000-0005-0000-0000-000078CC0000}"/>
    <cellStyle name="Note 4 2 2 9 6" xfId="52479" xr:uid="{00000000-0005-0000-0000-000079CC0000}"/>
    <cellStyle name="Note 4 2 3" xfId="52480" xr:uid="{00000000-0005-0000-0000-00007ACC0000}"/>
    <cellStyle name="Note 4 2 3 10" xfId="52481" xr:uid="{00000000-0005-0000-0000-00007BCC0000}"/>
    <cellStyle name="Note 4 2 3 10 2" xfId="52482" xr:uid="{00000000-0005-0000-0000-00007CCC0000}"/>
    <cellStyle name="Note 4 2 3 10 3" xfId="52483" xr:uid="{00000000-0005-0000-0000-00007DCC0000}"/>
    <cellStyle name="Note 4 2 3 11" xfId="52484" xr:uid="{00000000-0005-0000-0000-00007ECC0000}"/>
    <cellStyle name="Note 4 2 3 12" xfId="52485" xr:uid="{00000000-0005-0000-0000-00007FCC0000}"/>
    <cellStyle name="Note 4 2 3 13" xfId="52486" xr:uid="{00000000-0005-0000-0000-000080CC0000}"/>
    <cellStyle name="Note 4 2 3 14" xfId="52487" xr:uid="{00000000-0005-0000-0000-000081CC0000}"/>
    <cellStyle name="Note 4 2 3 2" xfId="52488" xr:uid="{00000000-0005-0000-0000-000082CC0000}"/>
    <cellStyle name="Note 4 2 3 2 10" xfId="52489" xr:uid="{00000000-0005-0000-0000-000083CC0000}"/>
    <cellStyle name="Note 4 2 3 2 11" xfId="52490" xr:uid="{00000000-0005-0000-0000-000084CC0000}"/>
    <cellStyle name="Note 4 2 3 2 12" xfId="52491" xr:uid="{00000000-0005-0000-0000-000085CC0000}"/>
    <cellStyle name="Note 4 2 3 2 13" xfId="52492" xr:uid="{00000000-0005-0000-0000-000086CC0000}"/>
    <cellStyle name="Note 4 2 3 2 2" xfId="52493" xr:uid="{00000000-0005-0000-0000-000087CC0000}"/>
    <cellStyle name="Note 4 2 3 2 2 10" xfId="52494" xr:uid="{00000000-0005-0000-0000-000088CC0000}"/>
    <cellStyle name="Note 4 2 3 2 2 2" xfId="52495" xr:uid="{00000000-0005-0000-0000-000089CC0000}"/>
    <cellStyle name="Note 4 2 3 2 2 2 2" xfId="52496" xr:uid="{00000000-0005-0000-0000-00008ACC0000}"/>
    <cellStyle name="Note 4 2 3 2 2 2 2 2" xfId="52497" xr:uid="{00000000-0005-0000-0000-00008BCC0000}"/>
    <cellStyle name="Note 4 2 3 2 2 2 2 2 2" xfId="52498" xr:uid="{00000000-0005-0000-0000-00008CCC0000}"/>
    <cellStyle name="Note 4 2 3 2 2 2 2 2 3" xfId="52499" xr:uid="{00000000-0005-0000-0000-00008DCC0000}"/>
    <cellStyle name="Note 4 2 3 2 2 2 2 3" xfId="52500" xr:uid="{00000000-0005-0000-0000-00008ECC0000}"/>
    <cellStyle name="Note 4 2 3 2 2 2 2 4" xfId="52501" xr:uid="{00000000-0005-0000-0000-00008FCC0000}"/>
    <cellStyle name="Note 4 2 3 2 2 2 2 5" xfId="52502" xr:uid="{00000000-0005-0000-0000-000090CC0000}"/>
    <cellStyle name="Note 4 2 3 2 2 2 2 6" xfId="52503" xr:uid="{00000000-0005-0000-0000-000091CC0000}"/>
    <cellStyle name="Note 4 2 3 2 2 2 3" xfId="52504" xr:uid="{00000000-0005-0000-0000-000092CC0000}"/>
    <cellStyle name="Note 4 2 3 2 2 2 3 2" xfId="52505" xr:uid="{00000000-0005-0000-0000-000093CC0000}"/>
    <cellStyle name="Note 4 2 3 2 2 2 3 2 2" xfId="52506" xr:uid="{00000000-0005-0000-0000-000094CC0000}"/>
    <cellStyle name="Note 4 2 3 2 2 2 3 2 3" xfId="52507" xr:uid="{00000000-0005-0000-0000-000095CC0000}"/>
    <cellStyle name="Note 4 2 3 2 2 2 3 3" xfId="52508" xr:uid="{00000000-0005-0000-0000-000096CC0000}"/>
    <cellStyle name="Note 4 2 3 2 2 2 3 4" xfId="52509" xr:uid="{00000000-0005-0000-0000-000097CC0000}"/>
    <cellStyle name="Note 4 2 3 2 2 2 3 5" xfId="52510" xr:uid="{00000000-0005-0000-0000-000098CC0000}"/>
    <cellStyle name="Note 4 2 3 2 2 2 3 6" xfId="52511" xr:uid="{00000000-0005-0000-0000-000099CC0000}"/>
    <cellStyle name="Note 4 2 3 2 2 2 4" xfId="52512" xr:uid="{00000000-0005-0000-0000-00009ACC0000}"/>
    <cellStyle name="Note 4 2 3 2 2 2 4 2" xfId="52513" xr:uid="{00000000-0005-0000-0000-00009BCC0000}"/>
    <cellStyle name="Note 4 2 3 2 2 2 4 3" xfId="52514" xr:uid="{00000000-0005-0000-0000-00009CCC0000}"/>
    <cellStyle name="Note 4 2 3 2 2 2 5" xfId="52515" xr:uid="{00000000-0005-0000-0000-00009DCC0000}"/>
    <cellStyle name="Note 4 2 3 2 2 2 6" xfId="52516" xr:uid="{00000000-0005-0000-0000-00009ECC0000}"/>
    <cellStyle name="Note 4 2 3 2 2 2 7" xfId="52517" xr:uid="{00000000-0005-0000-0000-00009FCC0000}"/>
    <cellStyle name="Note 4 2 3 2 2 2 8" xfId="52518" xr:uid="{00000000-0005-0000-0000-0000A0CC0000}"/>
    <cellStyle name="Note 4 2 3 2 2 3" xfId="52519" xr:uid="{00000000-0005-0000-0000-0000A1CC0000}"/>
    <cellStyle name="Note 4 2 3 2 2 3 2" xfId="52520" xr:uid="{00000000-0005-0000-0000-0000A2CC0000}"/>
    <cellStyle name="Note 4 2 3 2 2 3 2 2" xfId="52521" xr:uid="{00000000-0005-0000-0000-0000A3CC0000}"/>
    <cellStyle name="Note 4 2 3 2 2 3 2 2 2" xfId="52522" xr:uid="{00000000-0005-0000-0000-0000A4CC0000}"/>
    <cellStyle name="Note 4 2 3 2 2 3 2 2 3" xfId="52523" xr:uid="{00000000-0005-0000-0000-0000A5CC0000}"/>
    <cellStyle name="Note 4 2 3 2 2 3 2 3" xfId="52524" xr:uid="{00000000-0005-0000-0000-0000A6CC0000}"/>
    <cellStyle name="Note 4 2 3 2 2 3 2 4" xfId="52525" xr:uid="{00000000-0005-0000-0000-0000A7CC0000}"/>
    <cellStyle name="Note 4 2 3 2 2 3 2 5" xfId="52526" xr:uid="{00000000-0005-0000-0000-0000A8CC0000}"/>
    <cellStyle name="Note 4 2 3 2 2 3 2 6" xfId="52527" xr:uid="{00000000-0005-0000-0000-0000A9CC0000}"/>
    <cellStyle name="Note 4 2 3 2 2 3 3" xfId="52528" xr:uid="{00000000-0005-0000-0000-0000AACC0000}"/>
    <cellStyle name="Note 4 2 3 2 2 3 3 2" xfId="52529" xr:uid="{00000000-0005-0000-0000-0000ABCC0000}"/>
    <cellStyle name="Note 4 2 3 2 2 3 3 3" xfId="52530" xr:uid="{00000000-0005-0000-0000-0000ACCC0000}"/>
    <cellStyle name="Note 4 2 3 2 2 3 4" xfId="52531" xr:uid="{00000000-0005-0000-0000-0000ADCC0000}"/>
    <cellStyle name="Note 4 2 3 2 2 3 5" xfId="52532" xr:uid="{00000000-0005-0000-0000-0000AECC0000}"/>
    <cellStyle name="Note 4 2 3 2 2 3 6" xfId="52533" xr:uid="{00000000-0005-0000-0000-0000AFCC0000}"/>
    <cellStyle name="Note 4 2 3 2 2 3 7" xfId="52534" xr:uid="{00000000-0005-0000-0000-0000B0CC0000}"/>
    <cellStyle name="Note 4 2 3 2 2 4" xfId="52535" xr:uid="{00000000-0005-0000-0000-0000B1CC0000}"/>
    <cellStyle name="Note 4 2 3 2 2 4 2" xfId="52536" xr:uid="{00000000-0005-0000-0000-0000B2CC0000}"/>
    <cellStyle name="Note 4 2 3 2 2 4 2 2" xfId="52537" xr:uid="{00000000-0005-0000-0000-0000B3CC0000}"/>
    <cellStyle name="Note 4 2 3 2 2 4 2 3" xfId="52538" xr:uid="{00000000-0005-0000-0000-0000B4CC0000}"/>
    <cellStyle name="Note 4 2 3 2 2 4 3" xfId="52539" xr:uid="{00000000-0005-0000-0000-0000B5CC0000}"/>
    <cellStyle name="Note 4 2 3 2 2 4 4" xfId="52540" xr:uid="{00000000-0005-0000-0000-0000B6CC0000}"/>
    <cellStyle name="Note 4 2 3 2 2 4 5" xfId="52541" xr:uid="{00000000-0005-0000-0000-0000B7CC0000}"/>
    <cellStyle name="Note 4 2 3 2 2 4 6" xfId="52542" xr:uid="{00000000-0005-0000-0000-0000B8CC0000}"/>
    <cellStyle name="Note 4 2 3 2 2 5" xfId="52543" xr:uid="{00000000-0005-0000-0000-0000B9CC0000}"/>
    <cellStyle name="Note 4 2 3 2 2 5 2" xfId="52544" xr:uid="{00000000-0005-0000-0000-0000BACC0000}"/>
    <cellStyle name="Note 4 2 3 2 2 5 2 2" xfId="52545" xr:uid="{00000000-0005-0000-0000-0000BBCC0000}"/>
    <cellStyle name="Note 4 2 3 2 2 5 2 3" xfId="52546" xr:uid="{00000000-0005-0000-0000-0000BCCC0000}"/>
    <cellStyle name="Note 4 2 3 2 2 5 3" xfId="52547" xr:uid="{00000000-0005-0000-0000-0000BDCC0000}"/>
    <cellStyle name="Note 4 2 3 2 2 5 4" xfId="52548" xr:uid="{00000000-0005-0000-0000-0000BECC0000}"/>
    <cellStyle name="Note 4 2 3 2 2 5 5" xfId="52549" xr:uid="{00000000-0005-0000-0000-0000BFCC0000}"/>
    <cellStyle name="Note 4 2 3 2 2 5 6" xfId="52550" xr:uid="{00000000-0005-0000-0000-0000C0CC0000}"/>
    <cellStyle name="Note 4 2 3 2 2 6" xfId="52551" xr:uid="{00000000-0005-0000-0000-0000C1CC0000}"/>
    <cellStyle name="Note 4 2 3 2 2 6 2" xfId="52552" xr:uid="{00000000-0005-0000-0000-0000C2CC0000}"/>
    <cellStyle name="Note 4 2 3 2 2 6 3" xfId="52553" xr:uid="{00000000-0005-0000-0000-0000C3CC0000}"/>
    <cellStyle name="Note 4 2 3 2 2 7" xfId="52554" xr:uid="{00000000-0005-0000-0000-0000C4CC0000}"/>
    <cellStyle name="Note 4 2 3 2 2 8" xfId="52555" xr:uid="{00000000-0005-0000-0000-0000C5CC0000}"/>
    <cellStyle name="Note 4 2 3 2 2 9" xfId="52556" xr:uid="{00000000-0005-0000-0000-0000C6CC0000}"/>
    <cellStyle name="Note 4 2 3 2 3" xfId="52557" xr:uid="{00000000-0005-0000-0000-0000C7CC0000}"/>
    <cellStyle name="Note 4 2 3 2 3 2" xfId="52558" xr:uid="{00000000-0005-0000-0000-0000C8CC0000}"/>
    <cellStyle name="Note 4 2 3 2 3 2 2" xfId="52559" xr:uid="{00000000-0005-0000-0000-0000C9CC0000}"/>
    <cellStyle name="Note 4 2 3 2 3 2 2 2" xfId="52560" xr:uid="{00000000-0005-0000-0000-0000CACC0000}"/>
    <cellStyle name="Note 4 2 3 2 3 2 2 2 2" xfId="52561" xr:uid="{00000000-0005-0000-0000-0000CBCC0000}"/>
    <cellStyle name="Note 4 2 3 2 3 2 2 2 3" xfId="52562" xr:uid="{00000000-0005-0000-0000-0000CCCC0000}"/>
    <cellStyle name="Note 4 2 3 2 3 2 2 3" xfId="52563" xr:uid="{00000000-0005-0000-0000-0000CDCC0000}"/>
    <cellStyle name="Note 4 2 3 2 3 2 2 4" xfId="52564" xr:uid="{00000000-0005-0000-0000-0000CECC0000}"/>
    <cellStyle name="Note 4 2 3 2 3 2 2 5" xfId="52565" xr:uid="{00000000-0005-0000-0000-0000CFCC0000}"/>
    <cellStyle name="Note 4 2 3 2 3 2 2 6" xfId="52566" xr:uid="{00000000-0005-0000-0000-0000D0CC0000}"/>
    <cellStyle name="Note 4 2 3 2 3 2 3" xfId="52567" xr:uid="{00000000-0005-0000-0000-0000D1CC0000}"/>
    <cellStyle name="Note 4 2 3 2 3 2 3 2" xfId="52568" xr:uid="{00000000-0005-0000-0000-0000D2CC0000}"/>
    <cellStyle name="Note 4 2 3 2 3 2 3 3" xfId="52569" xr:uid="{00000000-0005-0000-0000-0000D3CC0000}"/>
    <cellStyle name="Note 4 2 3 2 3 2 4" xfId="52570" xr:uid="{00000000-0005-0000-0000-0000D4CC0000}"/>
    <cellStyle name="Note 4 2 3 2 3 2 5" xfId="52571" xr:uid="{00000000-0005-0000-0000-0000D5CC0000}"/>
    <cellStyle name="Note 4 2 3 2 3 2 6" xfId="52572" xr:uid="{00000000-0005-0000-0000-0000D6CC0000}"/>
    <cellStyle name="Note 4 2 3 2 3 2 7" xfId="52573" xr:uid="{00000000-0005-0000-0000-0000D7CC0000}"/>
    <cellStyle name="Note 4 2 3 2 3 3" xfId="52574" xr:uid="{00000000-0005-0000-0000-0000D8CC0000}"/>
    <cellStyle name="Note 4 2 3 2 3 3 2" xfId="52575" xr:uid="{00000000-0005-0000-0000-0000D9CC0000}"/>
    <cellStyle name="Note 4 2 3 2 3 3 2 2" xfId="52576" xr:uid="{00000000-0005-0000-0000-0000DACC0000}"/>
    <cellStyle name="Note 4 2 3 2 3 3 2 3" xfId="52577" xr:uid="{00000000-0005-0000-0000-0000DBCC0000}"/>
    <cellStyle name="Note 4 2 3 2 3 3 3" xfId="52578" xr:uid="{00000000-0005-0000-0000-0000DCCC0000}"/>
    <cellStyle name="Note 4 2 3 2 3 3 4" xfId="52579" xr:uid="{00000000-0005-0000-0000-0000DDCC0000}"/>
    <cellStyle name="Note 4 2 3 2 3 3 5" xfId="52580" xr:uid="{00000000-0005-0000-0000-0000DECC0000}"/>
    <cellStyle name="Note 4 2 3 2 3 3 6" xfId="52581" xr:uid="{00000000-0005-0000-0000-0000DFCC0000}"/>
    <cellStyle name="Note 4 2 3 2 3 4" xfId="52582" xr:uid="{00000000-0005-0000-0000-0000E0CC0000}"/>
    <cellStyle name="Note 4 2 3 2 3 4 2" xfId="52583" xr:uid="{00000000-0005-0000-0000-0000E1CC0000}"/>
    <cellStyle name="Note 4 2 3 2 3 4 2 2" xfId="52584" xr:uid="{00000000-0005-0000-0000-0000E2CC0000}"/>
    <cellStyle name="Note 4 2 3 2 3 4 2 3" xfId="52585" xr:uid="{00000000-0005-0000-0000-0000E3CC0000}"/>
    <cellStyle name="Note 4 2 3 2 3 4 3" xfId="52586" xr:uid="{00000000-0005-0000-0000-0000E4CC0000}"/>
    <cellStyle name="Note 4 2 3 2 3 4 4" xfId="52587" xr:uid="{00000000-0005-0000-0000-0000E5CC0000}"/>
    <cellStyle name="Note 4 2 3 2 3 4 5" xfId="52588" xr:uid="{00000000-0005-0000-0000-0000E6CC0000}"/>
    <cellStyle name="Note 4 2 3 2 3 4 6" xfId="52589" xr:uid="{00000000-0005-0000-0000-0000E7CC0000}"/>
    <cellStyle name="Note 4 2 3 2 3 5" xfId="52590" xr:uid="{00000000-0005-0000-0000-0000E8CC0000}"/>
    <cellStyle name="Note 4 2 3 2 3 5 2" xfId="52591" xr:uid="{00000000-0005-0000-0000-0000E9CC0000}"/>
    <cellStyle name="Note 4 2 3 2 3 5 3" xfId="52592" xr:uid="{00000000-0005-0000-0000-0000EACC0000}"/>
    <cellStyle name="Note 4 2 3 2 3 6" xfId="52593" xr:uid="{00000000-0005-0000-0000-0000EBCC0000}"/>
    <cellStyle name="Note 4 2 3 2 3 7" xfId="52594" xr:uid="{00000000-0005-0000-0000-0000ECCC0000}"/>
    <cellStyle name="Note 4 2 3 2 3 8" xfId="52595" xr:uid="{00000000-0005-0000-0000-0000EDCC0000}"/>
    <cellStyle name="Note 4 2 3 2 3 9" xfId="52596" xr:uid="{00000000-0005-0000-0000-0000EECC0000}"/>
    <cellStyle name="Note 4 2 3 2 4" xfId="52597" xr:uid="{00000000-0005-0000-0000-0000EFCC0000}"/>
    <cellStyle name="Note 4 2 3 2 4 2" xfId="52598" xr:uid="{00000000-0005-0000-0000-0000F0CC0000}"/>
    <cellStyle name="Note 4 2 3 2 4 2 2" xfId="52599" xr:uid="{00000000-0005-0000-0000-0000F1CC0000}"/>
    <cellStyle name="Note 4 2 3 2 4 2 2 2" xfId="52600" xr:uid="{00000000-0005-0000-0000-0000F2CC0000}"/>
    <cellStyle name="Note 4 2 3 2 4 2 2 3" xfId="52601" xr:uid="{00000000-0005-0000-0000-0000F3CC0000}"/>
    <cellStyle name="Note 4 2 3 2 4 2 3" xfId="52602" xr:uid="{00000000-0005-0000-0000-0000F4CC0000}"/>
    <cellStyle name="Note 4 2 3 2 4 2 4" xfId="52603" xr:uid="{00000000-0005-0000-0000-0000F5CC0000}"/>
    <cellStyle name="Note 4 2 3 2 4 2 5" xfId="52604" xr:uid="{00000000-0005-0000-0000-0000F6CC0000}"/>
    <cellStyle name="Note 4 2 3 2 4 2 6" xfId="52605" xr:uid="{00000000-0005-0000-0000-0000F7CC0000}"/>
    <cellStyle name="Note 4 2 3 2 4 3" xfId="52606" xr:uid="{00000000-0005-0000-0000-0000F8CC0000}"/>
    <cellStyle name="Note 4 2 3 2 4 3 2" xfId="52607" xr:uid="{00000000-0005-0000-0000-0000F9CC0000}"/>
    <cellStyle name="Note 4 2 3 2 4 3 3" xfId="52608" xr:uid="{00000000-0005-0000-0000-0000FACC0000}"/>
    <cellStyle name="Note 4 2 3 2 4 4" xfId="52609" xr:uid="{00000000-0005-0000-0000-0000FBCC0000}"/>
    <cellStyle name="Note 4 2 3 2 4 5" xfId="52610" xr:uid="{00000000-0005-0000-0000-0000FCCC0000}"/>
    <cellStyle name="Note 4 2 3 2 4 6" xfId="52611" xr:uid="{00000000-0005-0000-0000-0000FDCC0000}"/>
    <cellStyle name="Note 4 2 3 2 4 7" xfId="52612" xr:uid="{00000000-0005-0000-0000-0000FECC0000}"/>
    <cellStyle name="Note 4 2 3 2 5" xfId="52613" xr:uid="{00000000-0005-0000-0000-0000FFCC0000}"/>
    <cellStyle name="Note 4 2 3 2 5 2" xfId="52614" xr:uid="{00000000-0005-0000-0000-000000CD0000}"/>
    <cellStyle name="Note 4 2 3 2 5 2 2" xfId="52615" xr:uid="{00000000-0005-0000-0000-000001CD0000}"/>
    <cellStyle name="Note 4 2 3 2 5 2 3" xfId="52616" xr:uid="{00000000-0005-0000-0000-000002CD0000}"/>
    <cellStyle name="Note 4 2 3 2 5 3" xfId="52617" xr:uid="{00000000-0005-0000-0000-000003CD0000}"/>
    <cellStyle name="Note 4 2 3 2 5 4" xfId="52618" xr:uid="{00000000-0005-0000-0000-000004CD0000}"/>
    <cellStyle name="Note 4 2 3 2 5 5" xfId="52619" xr:uid="{00000000-0005-0000-0000-000005CD0000}"/>
    <cellStyle name="Note 4 2 3 2 5 6" xfId="52620" xr:uid="{00000000-0005-0000-0000-000006CD0000}"/>
    <cellStyle name="Note 4 2 3 2 6" xfId="52621" xr:uid="{00000000-0005-0000-0000-000007CD0000}"/>
    <cellStyle name="Note 4 2 3 2 6 2" xfId="52622" xr:uid="{00000000-0005-0000-0000-000008CD0000}"/>
    <cellStyle name="Note 4 2 3 2 6 2 2" xfId="52623" xr:uid="{00000000-0005-0000-0000-000009CD0000}"/>
    <cellStyle name="Note 4 2 3 2 6 2 3" xfId="52624" xr:uid="{00000000-0005-0000-0000-00000ACD0000}"/>
    <cellStyle name="Note 4 2 3 2 6 3" xfId="52625" xr:uid="{00000000-0005-0000-0000-00000BCD0000}"/>
    <cellStyle name="Note 4 2 3 2 6 4" xfId="52626" xr:uid="{00000000-0005-0000-0000-00000CCD0000}"/>
    <cellStyle name="Note 4 2 3 2 6 5" xfId="52627" xr:uid="{00000000-0005-0000-0000-00000DCD0000}"/>
    <cellStyle name="Note 4 2 3 2 6 6" xfId="52628" xr:uid="{00000000-0005-0000-0000-00000ECD0000}"/>
    <cellStyle name="Note 4 2 3 2 7" xfId="52629" xr:uid="{00000000-0005-0000-0000-00000FCD0000}"/>
    <cellStyle name="Note 4 2 3 2 7 2" xfId="52630" xr:uid="{00000000-0005-0000-0000-000010CD0000}"/>
    <cellStyle name="Note 4 2 3 2 7 2 2" xfId="52631" xr:uid="{00000000-0005-0000-0000-000011CD0000}"/>
    <cellStyle name="Note 4 2 3 2 7 2 3" xfId="52632" xr:uid="{00000000-0005-0000-0000-000012CD0000}"/>
    <cellStyle name="Note 4 2 3 2 7 3" xfId="52633" xr:uid="{00000000-0005-0000-0000-000013CD0000}"/>
    <cellStyle name="Note 4 2 3 2 7 4" xfId="52634" xr:uid="{00000000-0005-0000-0000-000014CD0000}"/>
    <cellStyle name="Note 4 2 3 2 7 5" xfId="52635" xr:uid="{00000000-0005-0000-0000-000015CD0000}"/>
    <cellStyle name="Note 4 2 3 2 7 6" xfId="52636" xr:uid="{00000000-0005-0000-0000-000016CD0000}"/>
    <cellStyle name="Note 4 2 3 2 8" xfId="52637" xr:uid="{00000000-0005-0000-0000-000017CD0000}"/>
    <cellStyle name="Note 4 2 3 2 8 2" xfId="52638" xr:uid="{00000000-0005-0000-0000-000018CD0000}"/>
    <cellStyle name="Note 4 2 3 2 8 2 2" xfId="52639" xr:uid="{00000000-0005-0000-0000-000019CD0000}"/>
    <cellStyle name="Note 4 2 3 2 8 2 3" xfId="52640" xr:uid="{00000000-0005-0000-0000-00001ACD0000}"/>
    <cellStyle name="Note 4 2 3 2 8 3" xfId="52641" xr:uid="{00000000-0005-0000-0000-00001BCD0000}"/>
    <cellStyle name="Note 4 2 3 2 8 4" xfId="52642" xr:uid="{00000000-0005-0000-0000-00001CCD0000}"/>
    <cellStyle name="Note 4 2 3 2 8 5" xfId="52643" xr:uid="{00000000-0005-0000-0000-00001DCD0000}"/>
    <cellStyle name="Note 4 2 3 2 8 6" xfId="52644" xr:uid="{00000000-0005-0000-0000-00001ECD0000}"/>
    <cellStyle name="Note 4 2 3 2 9" xfId="52645" xr:uid="{00000000-0005-0000-0000-00001FCD0000}"/>
    <cellStyle name="Note 4 2 3 2 9 2" xfId="52646" xr:uid="{00000000-0005-0000-0000-000020CD0000}"/>
    <cellStyle name="Note 4 2 3 2 9 3" xfId="52647" xr:uid="{00000000-0005-0000-0000-000021CD0000}"/>
    <cellStyle name="Note 4 2 3 3" xfId="52648" xr:uid="{00000000-0005-0000-0000-000022CD0000}"/>
    <cellStyle name="Note 4 2 3 3 10" xfId="52649" xr:uid="{00000000-0005-0000-0000-000023CD0000}"/>
    <cellStyle name="Note 4 2 3 3 2" xfId="52650" xr:uid="{00000000-0005-0000-0000-000024CD0000}"/>
    <cellStyle name="Note 4 2 3 3 2 2" xfId="52651" xr:uid="{00000000-0005-0000-0000-000025CD0000}"/>
    <cellStyle name="Note 4 2 3 3 2 2 2" xfId="52652" xr:uid="{00000000-0005-0000-0000-000026CD0000}"/>
    <cellStyle name="Note 4 2 3 3 2 2 2 2" xfId="52653" xr:uid="{00000000-0005-0000-0000-000027CD0000}"/>
    <cellStyle name="Note 4 2 3 3 2 2 2 3" xfId="52654" xr:uid="{00000000-0005-0000-0000-000028CD0000}"/>
    <cellStyle name="Note 4 2 3 3 2 2 3" xfId="52655" xr:uid="{00000000-0005-0000-0000-000029CD0000}"/>
    <cellStyle name="Note 4 2 3 3 2 2 4" xfId="52656" xr:uid="{00000000-0005-0000-0000-00002ACD0000}"/>
    <cellStyle name="Note 4 2 3 3 2 2 5" xfId="52657" xr:uid="{00000000-0005-0000-0000-00002BCD0000}"/>
    <cellStyle name="Note 4 2 3 3 2 2 6" xfId="52658" xr:uid="{00000000-0005-0000-0000-00002CCD0000}"/>
    <cellStyle name="Note 4 2 3 3 2 3" xfId="52659" xr:uid="{00000000-0005-0000-0000-00002DCD0000}"/>
    <cellStyle name="Note 4 2 3 3 2 3 2" xfId="52660" xr:uid="{00000000-0005-0000-0000-00002ECD0000}"/>
    <cellStyle name="Note 4 2 3 3 2 3 2 2" xfId="52661" xr:uid="{00000000-0005-0000-0000-00002FCD0000}"/>
    <cellStyle name="Note 4 2 3 3 2 3 2 3" xfId="52662" xr:uid="{00000000-0005-0000-0000-000030CD0000}"/>
    <cellStyle name="Note 4 2 3 3 2 3 3" xfId="52663" xr:uid="{00000000-0005-0000-0000-000031CD0000}"/>
    <cellStyle name="Note 4 2 3 3 2 3 4" xfId="52664" xr:uid="{00000000-0005-0000-0000-000032CD0000}"/>
    <cellStyle name="Note 4 2 3 3 2 3 5" xfId="52665" xr:uid="{00000000-0005-0000-0000-000033CD0000}"/>
    <cellStyle name="Note 4 2 3 3 2 3 6" xfId="52666" xr:uid="{00000000-0005-0000-0000-000034CD0000}"/>
    <cellStyle name="Note 4 2 3 3 2 4" xfId="52667" xr:uid="{00000000-0005-0000-0000-000035CD0000}"/>
    <cellStyle name="Note 4 2 3 3 2 4 2" xfId="52668" xr:uid="{00000000-0005-0000-0000-000036CD0000}"/>
    <cellStyle name="Note 4 2 3 3 2 4 3" xfId="52669" xr:uid="{00000000-0005-0000-0000-000037CD0000}"/>
    <cellStyle name="Note 4 2 3 3 2 5" xfId="52670" xr:uid="{00000000-0005-0000-0000-000038CD0000}"/>
    <cellStyle name="Note 4 2 3 3 2 6" xfId="52671" xr:uid="{00000000-0005-0000-0000-000039CD0000}"/>
    <cellStyle name="Note 4 2 3 3 2 7" xfId="52672" xr:uid="{00000000-0005-0000-0000-00003ACD0000}"/>
    <cellStyle name="Note 4 2 3 3 2 8" xfId="52673" xr:uid="{00000000-0005-0000-0000-00003BCD0000}"/>
    <cellStyle name="Note 4 2 3 3 3" xfId="52674" xr:uid="{00000000-0005-0000-0000-00003CCD0000}"/>
    <cellStyle name="Note 4 2 3 3 3 2" xfId="52675" xr:uid="{00000000-0005-0000-0000-00003DCD0000}"/>
    <cellStyle name="Note 4 2 3 3 3 2 2" xfId="52676" xr:uid="{00000000-0005-0000-0000-00003ECD0000}"/>
    <cellStyle name="Note 4 2 3 3 3 2 2 2" xfId="52677" xr:uid="{00000000-0005-0000-0000-00003FCD0000}"/>
    <cellStyle name="Note 4 2 3 3 3 2 2 3" xfId="52678" xr:uid="{00000000-0005-0000-0000-000040CD0000}"/>
    <cellStyle name="Note 4 2 3 3 3 2 3" xfId="52679" xr:uid="{00000000-0005-0000-0000-000041CD0000}"/>
    <cellStyle name="Note 4 2 3 3 3 2 4" xfId="52680" xr:uid="{00000000-0005-0000-0000-000042CD0000}"/>
    <cellStyle name="Note 4 2 3 3 3 2 5" xfId="52681" xr:uid="{00000000-0005-0000-0000-000043CD0000}"/>
    <cellStyle name="Note 4 2 3 3 3 2 6" xfId="52682" xr:uid="{00000000-0005-0000-0000-000044CD0000}"/>
    <cellStyle name="Note 4 2 3 3 3 3" xfId="52683" xr:uid="{00000000-0005-0000-0000-000045CD0000}"/>
    <cellStyle name="Note 4 2 3 3 3 3 2" xfId="52684" xr:uid="{00000000-0005-0000-0000-000046CD0000}"/>
    <cellStyle name="Note 4 2 3 3 3 3 3" xfId="52685" xr:uid="{00000000-0005-0000-0000-000047CD0000}"/>
    <cellStyle name="Note 4 2 3 3 3 4" xfId="52686" xr:uid="{00000000-0005-0000-0000-000048CD0000}"/>
    <cellStyle name="Note 4 2 3 3 3 5" xfId="52687" xr:uid="{00000000-0005-0000-0000-000049CD0000}"/>
    <cellStyle name="Note 4 2 3 3 3 6" xfId="52688" xr:uid="{00000000-0005-0000-0000-00004ACD0000}"/>
    <cellStyle name="Note 4 2 3 3 3 7" xfId="52689" xr:uid="{00000000-0005-0000-0000-00004BCD0000}"/>
    <cellStyle name="Note 4 2 3 3 4" xfId="52690" xr:uid="{00000000-0005-0000-0000-00004CCD0000}"/>
    <cellStyle name="Note 4 2 3 3 4 2" xfId="52691" xr:uid="{00000000-0005-0000-0000-00004DCD0000}"/>
    <cellStyle name="Note 4 2 3 3 4 2 2" xfId="52692" xr:uid="{00000000-0005-0000-0000-00004ECD0000}"/>
    <cellStyle name="Note 4 2 3 3 4 2 3" xfId="52693" xr:uid="{00000000-0005-0000-0000-00004FCD0000}"/>
    <cellStyle name="Note 4 2 3 3 4 3" xfId="52694" xr:uid="{00000000-0005-0000-0000-000050CD0000}"/>
    <cellStyle name="Note 4 2 3 3 4 4" xfId="52695" xr:uid="{00000000-0005-0000-0000-000051CD0000}"/>
    <cellStyle name="Note 4 2 3 3 4 5" xfId="52696" xr:uid="{00000000-0005-0000-0000-000052CD0000}"/>
    <cellStyle name="Note 4 2 3 3 4 6" xfId="52697" xr:uid="{00000000-0005-0000-0000-000053CD0000}"/>
    <cellStyle name="Note 4 2 3 3 5" xfId="52698" xr:uid="{00000000-0005-0000-0000-000054CD0000}"/>
    <cellStyle name="Note 4 2 3 3 5 2" xfId="52699" xr:uid="{00000000-0005-0000-0000-000055CD0000}"/>
    <cellStyle name="Note 4 2 3 3 5 2 2" xfId="52700" xr:uid="{00000000-0005-0000-0000-000056CD0000}"/>
    <cellStyle name="Note 4 2 3 3 5 2 3" xfId="52701" xr:uid="{00000000-0005-0000-0000-000057CD0000}"/>
    <cellStyle name="Note 4 2 3 3 5 3" xfId="52702" xr:uid="{00000000-0005-0000-0000-000058CD0000}"/>
    <cellStyle name="Note 4 2 3 3 5 4" xfId="52703" xr:uid="{00000000-0005-0000-0000-000059CD0000}"/>
    <cellStyle name="Note 4 2 3 3 5 5" xfId="52704" xr:uid="{00000000-0005-0000-0000-00005ACD0000}"/>
    <cellStyle name="Note 4 2 3 3 5 6" xfId="52705" xr:uid="{00000000-0005-0000-0000-00005BCD0000}"/>
    <cellStyle name="Note 4 2 3 3 6" xfId="52706" xr:uid="{00000000-0005-0000-0000-00005CCD0000}"/>
    <cellStyle name="Note 4 2 3 3 6 2" xfId="52707" xr:uid="{00000000-0005-0000-0000-00005DCD0000}"/>
    <cellStyle name="Note 4 2 3 3 6 3" xfId="52708" xr:uid="{00000000-0005-0000-0000-00005ECD0000}"/>
    <cellStyle name="Note 4 2 3 3 7" xfId="52709" xr:uid="{00000000-0005-0000-0000-00005FCD0000}"/>
    <cellStyle name="Note 4 2 3 3 8" xfId="52710" xr:uid="{00000000-0005-0000-0000-000060CD0000}"/>
    <cellStyle name="Note 4 2 3 3 9" xfId="52711" xr:uid="{00000000-0005-0000-0000-000061CD0000}"/>
    <cellStyle name="Note 4 2 3 4" xfId="52712" xr:uid="{00000000-0005-0000-0000-000062CD0000}"/>
    <cellStyle name="Note 4 2 3 4 2" xfId="52713" xr:uid="{00000000-0005-0000-0000-000063CD0000}"/>
    <cellStyle name="Note 4 2 3 4 2 2" xfId="52714" xr:uid="{00000000-0005-0000-0000-000064CD0000}"/>
    <cellStyle name="Note 4 2 3 4 2 2 2" xfId="52715" xr:uid="{00000000-0005-0000-0000-000065CD0000}"/>
    <cellStyle name="Note 4 2 3 4 2 2 2 2" xfId="52716" xr:uid="{00000000-0005-0000-0000-000066CD0000}"/>
    <cellStyle name="Note 4 2 3 4 2 2 2 3" xfId="52717" xr:uid="{00000000-0005-0000-0000-000067CD0000}"/>
    <cellStyle name="Note 4 2 3 4 2 2 3" xfId="52718" xr:uid="{00000000-0005-0000-0000-000068CD0000}"/>
    <cellStyle name="Note 4 2 3 4 2 2 4" xfId="52719" xr:uid="{00000000-0005-0000-0000-000069CD0000}"/>
    <cellStyle name="Note 4 2 3 4 2 2 5" xfId="52720" xr:uid="{00000000-0005-0000-0000-00006ACD0000}"/>
    <cellStyle name="Note 4 2 3 4 2 2 6" xfId="52721" xr:uid="{00000000-0005-0000-0000-00006BCD0000}"/>
    <cellStyle name="Note 4 2 3 4 2 3" xfId="52722" xr:uid="{00000000-0005-0000-0000-00006CCD0000}"/>
    <cellStyle name="Note 4 2 3 4 2 3 2" xfId="52723" xr:uid="{00000000-0005-0000-0000-00006DCD0000}"/>
    <cellStyle name="Note 4 2 3 4 2 3 3" xfId="52724" xr:uid="{00000000-0005-0000-0000-00006ECD0000}"/>
    <cellStyle name="Note 4 2 3 4 2 4" xfId="52725" xr:uid="{00000000-0005-0000-0000-00006FCD0000}"/>
    <cellStyle name="Note 4 2 3 4 2 5" xfId="52726" xr:uid="{00000000-0005-0000-0000-000070CD0000}"/>
    <cellStyle name="Note 4 2 3 4 2 6" xfId="52727" xr:uid="{00000000-0005-0000-0000-000071CD0000}"/>
    <cellStyle name="Note 4 2 3 4 2 7" xfId="52728" xr:uid="{00000000-0005-0000-0000-000072CD0000}"/>
    <cellStyle name="Note 4 2 3 4 3" xfId="52729" xr:uid="{00000000-0005-0000-0000-000073CD0000}"/>
    <cellStyle name="Note 4 2 3 4 3 2" xfId="52730" xr:uid="{00000000-0005-0000-0000-000074CD0000}"/>
    <cellStyle name="Note 4 2 3 4 3 2 2" xfId="52731" xr:uid="{00000000-0005-0000-0000-000075CD0000}"/>
    <cellStyle name="Note 4 2 3 4 3 2 3" xfId="52732" xr:uid="{00000000-0005-0000-0000-000076CD0000}"/>
    <cellStyle name="Note 4 2 3 4 3 3" xfId="52733" xr:uid="{00000000-0005-0000-0000-000077CD0000}"/>
    <cellStyle name="Note 4 2 3 4 3 4" xfId="52734" xr:uid="{00000000-0005-0000-0000-000078CD0000}"/>
    <cellStyle name="Note 4 2 3 4 3 5" xfId="52735" xr:uid="{00000000-0005-0000-0000-000079CD0000}"/>
    <cellStyle name="Note 4 2 3 4 3 6" xfId="52736" xr:uid="{00000000-0005-0000-0000-00007ACD0000}"/>
    <cellStyle name="Note 4 2 3 4 4" xfId="52737" xr:uid="{00000000-0005-0000-0000-00007BCD0000}"/>
    <cellStyle name="Note 4 2 3 4 4 2" xfId="52738" xr:uid="{00000000-0005-0000-0000-00007CCD0000}"/>
    <cellStyle name="Note 4 2 3 4 4 2 2" xfId="52739" xr:uid="{00000000-0005-0000-0000-00007DCD0000}"/>
    <cellStyle name="Note 4 2 3 4 4 2 3" xfId="52740" xr:uid="{00000000-0005-0000-0000-00007ECD0000}"/>
    <cellStyle name="Note 4 2 3 4 4 3" xfId="52741" xr:uid="{00000000-0005-0000-0000-00007FCD0000}"/>
    <cellStyle name="Note 4 2 3 4 4 4" xfId="52742" xr:uid="{00000000-0005-0000-0000-000080CD0000}"/>
    <cellStyle name="Note 4 2 3 4 4 5" xfId="52743" xr:uid="{00000000-0005-0000-0000-000081CD0000}"/>
    <cellStyle name="Note 4 2 3 4 4 6" xfId="52744" xr:uid="{00000000-0005-0000-0000-000082CD0000}"/>
    <cellStyle name="Note 4 2 3 4 5" xfId="52745" xr:uid="{00000000-0005-0000-0000-000083CD0000}"/>
    <cellStyle name="Note 4 2 3 4 5 2" xfId="52746" xr:uid="{00000000-0005-0000-0000-000084CD0000}"/>
    <cellStyle name="Note 4 2 3 4 5 3" xfId="52747" xr:uid="{00000000-0005-0000-0000-000085CD0000}"/>
    <cellStyle name="Note 4 2 3 4 6" xfId="52748" xr:uid="{00000000-0005-0000-0000-000086CD0000}"/>
    <cellStyle name="Note 4 2 3 4 7" xfId="52749" xr:uid="{00000000-0005-0000-0000-000087CD0000}"/>
    <cellStyle name="Note 4 2 3 4 8" xfId="52750" xr:uid="{00000000-0005-0000-0000-000088CD0000}"/>
    <cellStyle name="Note 4 2 3 4 9" xfId="52751" xr:uid="{00000000-0005-0000-0000-000089CD0000}"/>
    <cellStyle name="Note 4 2 3 5" xfId="52752" xr:uid="{00000000-0005-0000-0000-00008ACD0000}"/>
    <cellStyle name="Note 4 2 3 5 2" xfId="52753" xr:uid="{00000000-0005-0000-0000-00008BCD0000}"/>
    <cellStyle name="Note 4 2 3 5 2 2" xfId="52754" xr:uid="{00000000-0005-0000-0000-00008CCD0000}"/>
    <cellStyle name="Note 4 2 3 5 2 2 2" xfId="52755" xr:uid="{00000000-0005-0000-0000-00008DCD0000}"/>
    <cellStyle name="Note 4 2 3 5 2 2 3" xfId="52756" xr:uid="{00000000-0005-0000-0000-00008ECD0000}"/>
    <cellStyle name="Note 4 2 3 5 2 3" xfId="52757" xr:uid="{00000000-0005-0000-0000-00008FCD0000}"/>
    <cellStyle name="Note 4 2 3 5 2 4" xfId="52758" xr:uid="{00000000-0005-0000-0000-000090CD0000}"/>
    <cellStyle name="Note 4 2 3 5 2 5" xfId="52759" xr:uid="{00000000-0005-0000-0000-000091CD0000}"/>
    <cellStyle name="Note 4 2 3 5 2 6" xfId="52760" xr:uid="{00000000-0005-0000-0000-000092CD0000}"/>
    <cellStyle name="Note 4 2 3 5 3" xfId="52761" xr:uid="{00000000-0005-0000-0000-000093CD0000}"/>
    <cellStyle name="Note 4 2 3 5 3 2" xfId="52762" xr:uid="{00000000-0005-0000-0000-000094CD0000}"/>
    <cellStyle name="Note 4 2 3 5 3 3" xfId="52763" xr:uid="{00000000-0005-0000-0000-000095CD0000}"/>
    <cellStyle name="Note 4 2 3 5 4" xfId="52764" xr:uid="{00000000-0005-0000-0000-000096CD0000}"/>
    <cellStyle name="Note 4 2 3 5 5" xfId="52765" xr:uid="{00000000-0005-0000-0000-000097CD0000}"/>
    <cellStyle name="Note 4 2 3 5 6" xfId="52766" xr:uid="{00000000-0005-0000-0000-000098CD0000}"/>
    <cellStyle name="Note 4 2 3 5 7" xfId="52767" xr:uid="{00000000-0005-0000-0000-000099CD0000}"/>
    <cellStyle name="Note 4 2 3 6" xfId="52768" xr:uid="{00000000-0005-0000-0000-00009ACD0000}"/>
    <cellStyle name="Note 4 2 3 6 2" xfId="52769" xr:uid="{00000000-0005-0000-0000-00009BCD0000}"/>
    <cellStyle name="Note 4 2 3 6 2 2" xfId="52770" xr:uid="{00000000-0005-0000-0000-00009CCD0000}"/>
    <cellStyle name="Note 4 2 3 6 2 3" xfId="52771" xr:uid="{00000000-0005-0000-0000-00009DCD0000}"/>
    <cellStyle name="Note 4 2 3 6 3" xfId="52772" xr:uid="{00000000-0005-0000-0000-00009ECD0000}"/>
    <cellStyle name="Note 4 2 3 6 4" xfId="52773" xr:uid="{00000000-0005-0000-0000-00009FCD0000}"/>
    <cellStyle name="Note 4 2 3 6 5" xfId="52774" xr:uid="{00000000-0005-0000-0000-0000A0CD0000}"/>
    <cellStyle name="Note 4 2 3 6 6" xfId="52775" xr:uid="{00000000-0005-0000-0000-0000A1CD0000}"/>
    <cellStyle name="Note 4 2 3 7" xfId="52776" xr:uid="{00000000-0005-0000-0000-0000A2CD0000}"/>
    <cellStyle name="Note 4 2 3 7 2" xfId="52777" xr:uid="{00000000-0005-0000-0000-0000A3CD0000}"/>
    <cellStyle name="Note 4 2 3 7 2 2" xfId="52778" xr:uid="{00000000-0005-0000-0000-0000A4CD0000}"/>
    <cellStyle name="Note 4 2 3 7 2 3" xfId="52779" xr:uid="{00000000-0005-0000-0000-0000A5CD0000}"/>
    <cellStyle name="Note 4 2 3 7 3" xfId="52780" xr:uid="{00000000-0005-0000-0000-0000A6CD0000}"/>
    <cellStyle name="Note 4 2 3 7 4" xfId="52781" xr:uid="{00000000-0005-0000-0000-0000A7CD0000}"/>
    <cellStyle name="Note 4 2 3 7 5" xfId="52782" xr:uid="{00000000-0005-0000-0000-0000A8CD0000}"/>
    <cellStyle name="Note 4 2 3 7 6" xfId="52783" xr:uid="{00000000-0005-0000-0000-0000A9CD0000}"/>
    <cellStyle name="Note 4 2 3 8" xfId="52784" xr:uid="{00000000-0005-0000-0000-0000AACD0000}"/>
    <cellStyle name="Note 4 2 3 8 2" xfId="52785" xr:uid="{00000000-0005-0000-0000-0000ABCD0000}"/>
    <cellStyle name="Note 4 2 3 8 2 2" xfId="52786" xr:uid="{00000000-0005-0000-0000-0000ACCD0000}"/>
    <cellStyle name="Note 4 2 3 8 2 3" xfId="52787" xr:uid="{00000000-0005-0000-0000-0000ADCD0000}"/>
    <cellStyle name="Note 4 2 3 8 3" xfId="52788" xr:uid="{00000000-0005-0000-0000-0000AECD0000}"/>
    <cellStyle name="Note 4 2 3 8 4" xfId="52789" xr:uid="{00000000-0005-0000-0000-0000AFCD0000}"/>
    <cellStyle name="Note 4 2 3 8 5" xfId="52790" xr:uid="{00000000-0005-0000-0000-0000B0CD0000}"/>
    <cellStyle name="Note 4 2 3 8 6" xfId="52791" xr:uid="{00000000-0005-0000-0000-0000B1CD0000}"/>
    <cellStyle name="Note 4 2 3 9" xfId="52792" xr:uid="{00000000-0005-0000-0000-0000B2CD0000}"/>
    <cellStyle name="Note 4 2 3 9 2" xfId="52793" xr:uid="{00000000-0005-0000-0000-0000B3CD0000}"/>
    <cellStyle name="Note 4 2 3 9 2 2" xfId="52794" xr:uid="{00000000-0005-0000-0000-0000B4CD0000}"/>
    <cellStyle name="Note 4 2 3 9 2 3" xfId="52795" xr:uid="{00000000-0005-0000-0000-0000B5CD0000}"/>
    <cellStyle name="Note 4 2 3 9 3" xfId="52796" xr:uid="{00000000-0005-0000-0000-0000B6CD0000}"/>
    <cellStyle name="Note 4 2 3 9 4" xfId="52797" xr:uid="{00000000-0005-0000-0000-0000B7CD0000}"/>
    <cellStyle name="Note 4 2 3 9 5" xfId="52798" xr:uid="{00000000-0005-0000-0000-0000B8CD0000}"/>
    <cellStyle name="Note 4 2 3 9 6" xfId="52799" xr:uid="{00000000-0005-0000-0000-0000B9CD0000}"/>
    <cellStyle name="Note 4 2 4" xfId="52800" xr:uid="{00000000-0005-0000-0000-0000BACD0000}"/>
    <cellStyle name="Note 4 2 4 10" xfId="52801" xr:uid="{00000000-0005-0000-0000-0000BBCD0000}"/>
    <cellStyle name="Note 4 2 4 11" xfId="52802" xr:uid="{00000000-0005-0000-0000-0000BCCD0000}"/>
    <cellStyle name="Note 4 2 4 12" xfId="52803" xr:uid="{00000000-0005-0000-0000-0000BDCD0000}"/>
    <cellStyle name="Note 4 2 4 13" xfId="52804" xr:uid="{00000000-0005-0000-0000-0000BECD0000}"/>
    <cellStyle name="Note 4 2 4 2" xfId="52805" xr:uid="{00000000-0005-0000-0000-0000BFCD0000}"/>
    <cellStyle name="Note 4 2 4 2 10" xfId="52806" xr:uid="{00000000-0005-0000-0000-0000C0CD0000}"/>
    <cellStyle name="Note 4 2 4 2 2" xfId="52807" xr:uid="{00000000-0005-0000-0000-0000C1CD0000}"/>
    <cellStyle name="Note 4 2 4 2 2 2" xfId="52808" xr:uid="{00000000-0005-0000-0000-0000C2CD0000}"/>
    <cellStyle name="Note 4 2 4 2 2 2 2" xfId="52809" xr:uid="{00000000-0005-0000-0000-0000C3CD0000}"/>
    <cellStyle name="Note 4 2 4 2 2 2 2 2" xfId="52810" xr:uid="{00000000-0005-0000-0000-0000C4CD0000}"/>
    <cellStyle name="Note 4 2 4 2 2 2 2 3" xfId="52811" xr:uid="{00000000-0005-0000-0000-0000C5CD0000}"/>
    <cellStyle name="Note 4 2 4 2 2 2 3" xfId="52812" xr:uid="{00000000-0005-0000-0000-0000C6CD0000}"/>
    <cellStyle name="Note 4 2 4 2 2 2 4" xfId="52813" xr:uid="{00000000-0005-0000-0000-0000C7CD0000}"/>
    <cellStyle name="Note 4 2 4 2 2 2 5" xfId="52814" xr:uid="{00000000-0005-0000-0000-0000C8CD0000}"/>
    <cellStyle name="Note 4 2 4 2 2 2 6" xfId="52815" xr:uid="{00000000-0005-0000-0000-0000C9CD0000}"/>
    <cellStyle name="Note 4 2 4 2 2 3" xfId="52816" xr:uid="{00000000-0005-0000-0000-0000CACD0000}"/>
    <cellStyle name="Note 4 2 4 2 2 3 2" xfId="52817" xr:uid="{00000000-0005-0000-0000-0000CBCD0000}"/>
    <cellStyle name="Note 4 2 4 2 2 3 2 2" xfId="52818" xr:uid="{00000000-0005-0000-0000-0000CCCD0000}"/>
    <cellStyle name="Note 4 2 4 2 2 3 2 3" xfId="52819" xr:uid="{00000000-0005-0000-0000-0000CDCD0000}"/>
    <cellStyle name="Note 4 2 4 2 2 3 3" xfId="52820" xr:uid="{00000000-0005-0000-0000-0000CECD0000}"/>
    <cellStyle name="Note 4 2 4 2 2 3 4" xfId="52821" xr:uid="{00000000-0005-0000-0000-0000CFCD0000}"/>
    <cellStyle name="Note 4 2 4 2 2 3 5" xfId="52822" xr:uid="{00000000-0005-0000-0000-0000D0CD0000}"/>
    <cellStyle name="Note 4 2 4 2 2 3 6" xfId="52823" xr:uid="{00000000-0005-0000-0000-0000D1CD0000}"/>
    <cellStyle name="Note 4 2 4 2 2 4" xfId="52824" xr:uid="{00000000-0005-0000-0000-0000D2CD0000}"/>
    <cellStyle name="Note 4 2 4 2 2 4 2" xfId="52825" xr:uid="{00000000-0005-0000-0000-0000D3CD0000}"/>
    <cellStyle name="Note 4 2 4 2 2 4 3" xfId="52826" xr:uid="{00000000-0005-0000-0000-0000D4CD0000}"/>
    <cellStyle name="Note 4 2 4 2 2 5" xfId="52827" xr:uid="{00000000-0005-0000-0000-0000D5CD0000}"/>
    <cellStyle name="Note 4 2 4 2 2 6" xfId="52828" xr:uid="{00000000-0005-0000-0000-0000D6CD0000}"/>
    <cellStyle name="Note 4 2 4 2 2 7" xfId="52829" xr:uid="{00000000-0005-0000-0000-0000D7CD0000}"/>
    <cellStyle name="Note 4 2 4 2 2 8" xfId="52830" xr:uid="{00000000-0005-0000-0000-0000D8CD0000}"/>
    <cellStyle name="Note 4 2 4 2 3" xfId="52831" xr:uid="{00000000-0005-0000-0000-0000D9CD0000}"/>
    <cellStyle name="Note 4 2 4 2 3 2" xfId="52832" xr:uid="{00000000-0005-0000-0000-0000DACD0000}"/>
    <cellStyle name="Note 4 2 4 2 3 2 2" xfId="52833" xr:uid="{00000000-0005-0000-0000-0000DBCD0000}"/>
    <cellStyle name="Note 4 2 4 2 3 2 2 2" xfId="52834" xr:uid="{00000000-0005-0000-0000-0000DCCD0000}"/>
    <cellStyle name="Note 4 2 4 2 3 2 2 3" xfId="52835" xr:uid="{00000000-0005-0000-0000-0000DDCD0000}"/>
    <cellStyle name="Note 4 2 4 2 3 2 3" xfId="52836" xr:uid="{00000000-0005-0000-0000-0000DECD0000}"/>
    <cellStyle name="Note 4 2 4 2 3 2 4" xfId="52837" xr:uid="{00000000-0005-0000-0000-0000DFCD0000}"/>
    <cellStyle name="Note 4 2 4 2 3 2 5" xfId="52838" xr:uid="{00000000-0005-0000-0000-0000E0CD0000}"/>
    <cellStyle name="Note 4 2 4 2 3 2 6" xfId="52839" xr:uid="{00000000-0005-0000-0000-0000E1CD0000}"/>
    <cellStyle name="Note 4 2 4 2 3 3" xfId="52840" xr:uid="{00000000-0005-0000-0000-0000E2CD0000}"/>
    <cellStyle name="Note 4 2 4 2 3 3 2" xfId="52841" xr:uid="{00000000-0005-0000-0000-0000E3CD0000}"/>
    <cellStyle name="Note 4 2 4 2 3 3 3" xfId="52842" xr:uid="{00000000-0005-0000-0000-0000E4CD0000}"/>
    <cellStyle name="Note 4 2 4 2 3 4" xfId="52843" xr:uid="{00000000-0005-0000-0000-0000E5CD0000}"/>
    <cellStyle name="Note 4 2 4 2 3 5" xfId="52844" xr:uid="{00000000-0005-0000-0000-0000E6CD0000}"/>
    <cellStyle name="Note 4 2 4 2 3 6" xfId="52845" xr:uid="{00000000-0005-0000-0000-0000E7CD0000}"/>
    <cellStyle name="Note 4 2 4 2 3 7" xfId="52846" xr:uid="{00000000-0005-0000-0000-0000E8CD0000}"/>
    <cellStyle name="Note 4 2 4 2 4" xfId="52847" xr:uid="{00000000-0005-0000-0000-0000E9CD0000}"/>
    <cellStyle name="Note 4 2 4 2 4 2" xfId="52848" xr:uid="{00000000-0005-0000-0000-0000EACD0000}"/>
    <cellStyle name="Note 4 2 4 2 4 2 2" xfId="52849" xr:uid="{00000000-0005-0000-0000-0000EBCD0000}"/>
    <cellStyle name="Note 4 2 4 2 4 2 3" xfId="52850" xr:uid="{00000000-0005-0000-0000-0000ECCD0000}"/>
    <cellStyle name="Note 4 2 4 2 4 3" xfId="52851" xr:uid="{00000000-0005-0000-0000-0000EDCD0000}"/>
    <cellStyle name="Note 4 2 4 2 4 4" xfId="52852" xr:uid="{00000000-0005-0000-0000-0000EECD0000}"/>
    <cellStyle name="Note 4 2 4 2 4 5" xfId="52853" xr:uid="{00000000-0005-0000-0000-0000EFCD0000}"/>
    <cellStyle name="Note 4 2 4 2 4 6" xfId="52854" xr:uid="{00000000-0005-0000-0000-0000F0CD0000}"/>
    <cellStyle name="Note 4 2 4 2 5" xfId="52855" xr:uid="{00000000-0005-0000-0000-0000F1CD0000}"/>
    <cellStyle name="Note 4 2 4 2 5 2" xfId="52856" xr:uid="{00000000-0005-0000-0000-0000F2CD0000}"/>
    <cellStyle name="Note 4 2 4 2 5 2 2" xfId="52857" xr:uid="{00000000-0005-0000-0000-0000F3CD0000}"/>
    <cellStyle name="Note 4 2 4 2 5 2 3" xfId="52858" xr:uid="{00000000-0005-0000-0000-0000F4CD0000}"/>
    <cellStyle name="Note 4 2 4 2 5 3" xfId="52859" xr:uid="{00000000-0005-0000-0000-0000F5CD0000}"/>
    <cellStyle name="Note 4 2 4 2 5 4" xfId="52860" xr:uid="{00000000-0005-0000-0000-0000F6CD0000}"/>
    <cellStyle name="Note 4 2 4 2 5 5" xfId="52861" xr:uid="{00000000-0005-0000-0000-0000F7CD0000}"/>
    <cellStyle name="Note 4 2 4 2 5 6" xfId="52862" xr:uid="{00000000-0005-0000-0000-0000F8CD0000}"/>
    <cellStyle name="Note 4 2 4 2 6" xfId="52863" xr:uid="{00000000-0005-0000-0000-0000F9CD0000}"/>
    <cellStyle name="Note 4 2 4 2 6 2" xfId="52864" xr:uid="{00000000-0005-0000-0000-0000FACD0000}"/>
    <cellStyle name="Note 4 2 4 2 6 3" xfId="52865" xr:uid="{00000000-0005-0000-0000-0000FBCD0000}"/>
    <cellStyle name="Note 4 2 4 2 7" xfId="52866" xr:uid="{00000000-0005-0000-0000-0000FCCD0000}"/>
    <cellStyle name="Note 4 2 4 2 8" xfId="52867" xr:uid="{00000000-0005-0000-0000-0000FDCD0000}"/>
    <cellStyle name="Note 4 2 4 2 9" xfId="52868" xr:uid="{00000000-0005-0000-0000-0000FECD0000}"/>
    <cellStyle name="Note 4 2 4 3" xfId="52869" xr:uid="{00000000-0005-0000-0000-0000FFCD0000}"/>
    <cellStyle name="Note 4 2 4 3 2" xfId="52870" xr:uid="{00000000-0005-0000-0000-000000CE0000}"/>
    <cellStyle name="Note 4 2 4 3 2 2" xfId="52871" xr:uid="{00000000-0005-0000-0000-000001CE0000}"/>
    <cellStyle name="Note 4 2 4 3 2 2 2" xfId="52872" xr:uid="{00000000-0005-0000-0000-000002CE0000}"/>
    <cellStyle name="Note 4 2 4 3 2 2 2 2" xfId="52873" xr:uid="{00000000-0005-0000-0000-000003CE0000}"/>
    <cellStyle name="Note 4 2 4 3 2 2 2 3" xfId="52874" xr:uid="{00000000-0005-0000-0000-000004CE0000}"/>
    <cellStyle name="Note 4 2 4 3 2 2 3" xfId="52875" xr:uid="{00000000-0005-0000-0000-000005CE0000}"/>
    <cellStyle name="Note 4 2 4 3 2 2 4" xfId="52876" xr:uid="{00000000-0005-0000-0000-000006CE0000}"/>
    <cellStyle name="Note 4 2 4 3 2 2 5" xfId="52877" xr:uid="{00000000-0005-0000-0000-000007CE0000}"/>
    <cellStyle name="Note 4 2 4 3 2 2 6" xfId="52878" xr:uid="{00000000-0005-0000-0000-000008CE0000}"/>
    <cellStyle name="Note 4 2 4 3 2 3" xfId="52879" xr:uid="{00000000-0005-0000-0000-000009CE0000}"/>
    <cellStyle name="Note 4 2 4 3 2 3 2" xfId="52880" xr:uid="{00000000-0005-0000-0000-00000ACE0000}"/>
    <cellStyle name="Note 4 2 4 3 2 3 3" xfId="52881" xr:uid="{00000000-0005-0000-0000-00000BCE0000}"/>
    <cellStyle name="Note 4 2 4 3 2 4" xfId="52882" xr:uid="{00000000-0005-0000-0000-00000CCE0000}"/>
    <cellStyle name="Note 4 2 4 3 2 5" xfId="52883" xr:uid="{00000000-0005-0000-0000-00000DCE0000}"/>
    <cellStyle name="Note 4 2 4 3 2 6" xfId="52884" xr:uid="{00000000-0005-0000-0000-00000ECE0000}"/>
    <cellStyle name="Note 4 2 4 3 2 7" xfId="52885" xr:uid="{00000000-0005-0000-0000-00000FCE0000}"/>
    <cellStyle name="Note 4 2 4 3 3" xfId="52886" xr:uid="{00000000-0005-0000-0000-000010CE0000}"/>
    <cellStyle name="Note 4 2 4 3 3 2" xfId="52887" xr:uid="{00000000-0005-0000-0000-000011CE0000}"/>
    <cellStyle name="Note 4 2 4 3 3 2 2" xfId="52888" xr:uid="{00000000-0005-0000-0000-000012CE0000}"/>
    <cellStyle name="Note 4 2 4 3 3 2 3" xfId="52889" xr:uid="{00000000-0005-0000-0000-000013CE0000}"/>
    <cellStyle name="Note 4 2 4 3 3 3" xfId="52890" xr:uid="{00000000-0005-0000-0000-000014CE0000}"/>
    <cellStyle name="Note 4 2 4 3 3 4" xfId="52891" xr:uid="{00000000-0005-0000-0000-000015CE0000}"/>
    <cellStyle name="Note 4 2 4 3 3 5" xfId="52892" xr:uid="{00000000-0005-0000-0000-000016CE0000}"/>
    <cellStyle name="Note 4 2 4 3 3 6" xfId="52893" xr:uid="{00000000-0005-0000-0000-000017CE0000}"/>
    <cellStyle name="Note 4 2 4 3 4" xfId="52894" xr:uid="{00000000-0005-0000-0000-000018CE0000}"/>
    <cellStyle name="Note 4 2 4 3 4 2" xfId="52895" xr:uid="{00000000-0005-0000-0000-000019CE0000}"/>
    <cellStyle name="Note 4 2 4 3 4 2 2" xfId="52896" xr:uid="{00000000-0005-0000-0000-00001ACE0000}"/>
    <cellStyle name="Note 4 2 4 3 4 2 3" xfId="52897" xr:uid="{00000000-0005-0000-0000-00001BCE0000}"/>
    <cellStyle name="Note 4 2 4 3 4 3" xfId="52898" xr:uid="{00000000-0005-0000-0000-00001CCE0000}"/>
    <cellStyle name="Note 4 2 4 3 4 4" xfId="52899" xr:uid="{00000000-0005-0000-0000-00001DCE0000}"/>
    <cellStyle name="Note 4 2 4 3 4 5" xfId="52900" xr:uid="{00000000-0005-0000-0000-00001ECE0000}"/>
    <cellStyle name="Note 4 2 4 3 4 6" xfId="52901" xr:uid="{00000000-0005-0000-0000-00001FCE0000}"/>
    <cellStyle name="Note 4 2 4 3 5" xfId="52902" xr:uid="{00000000-0005-0000-0000-000020CE0000}"/>
    <cellStyle name="Note 4 2 4 3 5 2" xfId="52903" xr:uid="{00000000-0005-0000-0000-000021CE0000}"/>
    <cellStyle name="Note 4 2 4 3 5 3" xfId="52904" xr:uid="{00000000-0005-0000-0000-000022CE0000}"/>
    <cellStyle name="Note 4 2 4 3 6" xfId="52905" xr:uid="{00000000-0005-0000-0000-000023CE0000}"/>
    <cellStyle name="Note 4 2 4 3 7" xfId="52906" xr:uid="{00000000-0005-0000-0000-000024CE0000}"/>
    <cellStyle name="Note 4 2 4 3 8" xfId="52907" xr:uid="{00000000-0005-0000-0000-000025CE0000}"/>
    <cellStyle name="Note 4 2 4 3 9" xfId="52908" xr:uid="{00000000-0005-0000-0000-000026CE0000}"/>
    <cellStyle name="Note 4 2 4 4" xfId="52909" xr:uid="{00000000-0005-0000-0000-000027CE0000}"/>
    <cellStyle name="Note 4 2 4 4 2" xfId="52910" xr:uid="{00000000-0005-0000-0000-000028CE0000}"/>
    <cellStyle name="Note 4 2 4 4 2 2" xfId="52911" xr:uid="{00000000-0005-0000-0000-000029CE0000}"/>
    <cellStyle name="Note 4 2 4 4 2 2 2" xfId="52912" xr:uid="{00000000-0005-0000-0000-00002ACE0000}"/>
    <cellStyle name="Note 4 2 4 4 2 2 3" xfId="52913" xr:uid="{00000000-0005-0000-0000-00002BCE0000}"/>
    <cellStyle name="Note 4 2 4 4 2 3" xfId="52914" xr:uid="{00000000-0005-0000-0000-00002CCE0000}"/>
    <cellStyle name="Note 4 2 4 4 2 4" xfId="52915" xr:uid="{00000000-0005-0000-0000-00002DCE0000}"/>
    <cellStyle name="Note 4 2 4 4 2 5" xfId="52916" xr:uid="{00000000-0005-0000-0000-00002ECE0000}"/>
    <cellStyle name="Note 4 2 4 4 2 6" xfId="52917" xr:uid="{00000000-0005-0000-0000-00002FCE0000}"/>
    <cellStyle name="Note 4 2 4 4 3" xfId="52918" xr:uid="{00000000-0005-0000-0000-000030CE0000}"/>
    <cellStyle name="Note 4 2 4 4 3 2" xfId="52919" xr:uid="{00000000-0005-0000-0000-000031CE0000}"/>
    <cellStyle name="Note 4 2 4 4 3 3" xfId="52920" xr:uid="{00000000-0005-0000-0000-000032CE0000}"/>
    <cellStyle name="Note 4 2 4 4 4" xfId="52921" xr:uid="{00000000-0005-0000-0000-000033CE0000}"/>
    <cellStyle name="Note 4 2 4 4 5" xfId="52922" xr:uid="{00000000-0005-0000-0000-000034CE0000}"/>
    <cellStyle name="Note 4 2 4 4 6" xfId="52923" xr:uid="{00000000-0005-0000-0000-000035CE0000}"/>
    <cellStyle name="Note 4 2 4 4 7" xfId="52924" xr:uid="{00000000-0005-0000-0000-000036CE0000}"/>
    <cellStyle name="Note 4 2 4 5" xfId="52925" xr:uid="{00000000-0005-0000-0000-000037CE0000}"/>
    <cellStyle name="Note 4 2 4 5 2" xfId="52926" xr:uid="{00000000-0005-0000-0000-000038CE0000}"/>
    <cellStyle name="Note 4 2 4 5 2 2" xfId="52927" xr:uid="{00000000-0005-0000-0000-000039CE0000}"/>
    <cellStyle name="Note 4 2 4 5 2 3" xfId="52928" xr:uid="{00000000-0005-0000-0000-00003ACE0000}"/>
    <cellStyle name="Note 4 2 4 5 3" xfId="52929" xr:uid="{00000000-0005-0000-0000-00003BCE0000}"/>
    <cellStyle name="Note 4 2 4 5 4" xfId="52930" xr:uid="{00000000-0005-0000-0000-00003CCE0000}"/>
    <cellStyle name="Note 4 2 4 5 5" xfId="52931" xr:uid="{00000000-0005-0000-0000-00003DCE0000}"/>
    <cellStyle name="Note 4 2 4 5 6" xfId="52932" xr:uid="{00000000-0005-0000-0000-00003ECE0000}"/>
    <cellStyle name="Note 4 2 4 6" xfId="52933" xr:uid="{00000000-0005-0000-0000-00003FCE0000}"/>
    <cellStyle name="Note 4 2 4 6 2" xfId="52934" xr:uid="{00000000-0005-0000-0000-000040CE0000}"/>
    <cellStyle name="Note 4 2 4 6 2 2" xfId="52935" xr:uid="{00000000-0005-0000-0000-000041CE0000}"/>
    <cellStyle name="Note 4 2 4 6 2 3" xfId="52936" xr:uid="{00000000-0005-0000-0000-000042CE0000}"/>
    <cellStyle name="Note 4 2 4 6 3" xfId="52937" xr:uid="{00000000-0005-0000-0000-000043CE0000}"/>
    <cellStyle name="Note 4 2 4 6 4" xfId="52938" xr:uid="{00000000-0005-0000-0000-000044CE0000}"/>
    <cellStyle name="Note 4 2 4 6 5" xfId="52939" xr:uid="{00000000-0005-0000-0000-000045CE0000}"/>
    <cellStyle name="Note 4 2 4 6 6" xfId="52940" xr:uid="{00000000-0005-0000-0000-000046CE0000}"/>
    <cellStyle name="Note 4 2 4 7" xfId="52941" xr:uid="{00000000-0005-0000-0000-000047CE0000}"/>
    <cellStyle name="Note 4 2 4 7 2" xfId="52942" xr:uid="{00000000-0005-0000-0000-000048CE0000}"/>
    <cellStyle name="Note 4 2 4 7 2 2" xfId="52943" xr:uid="{00000000-0005-0000-0000-000049CE0000}"/>
    <cellStyle name="Note 4 2 4 7 2 3" xfId="52944" xr:uid="{00000000-0005-0000-0000-00004ACE0000}"/>
    <cellStyle name="Note 4 2 4 7 3" xfId="52945" xr:uid="{00000000-0005-0000-0000-00004BCE0000}"/>
    <cellStyle name="Note 4 2 4 7 4" xfId="52946" xr:uid="{00000000-0005-0000-0000-00004CCE0000}"/>
    <cellStyle name="Note 4 2 4 7 5" xfId="52947" xr:uid="{00000000-0005-0000-0000-00004DCE0000}"/>
    <cellStyle name="Note 4 2 4 7 6" xfId="52948" xr:uid="{00000000-0005-0000-0000-00004ECE0000}"/>
    <cellStyle name="Note 4 2 4 8" xfId="52949" xr:uid="{00000000-0005-0000-0000-00004FCE0000}"/>
    <cellStyle name="Note 4 2 4 8 2" xfId="52950" xr:uid="{00000000-0005-0000-0000-000050CE0000}"/>
    <cellStyle name="Note 4 2 4 8 2 2" xfId="52951" xr:uid="{00000000-0005-0000-0000-000051CE0000}"/>
    <cellStyle name="Note 4 2 4 8 2 3" xfId="52952" xr:uid="{00000000-0005-0000-0000-000052CE0000}"/>
    <cellStyle name="Note 4 2 4 8 3" xfId="52953" xr:uid="{00000000-0005-0000-0000-000053CE0000}"/>
    <cellStyle name="Note 4 2 4 8 4" xfId="52954" xr:uid="{00000000-0005-0000-0000-000054CE0000}"/>
    <cellStyle name="Note 4 2 4 8 5" xfId="52955" xr:uid="{00000000-0005-0000-0000-000055CE0000}"/>
    <cellStyle name="Note 4 2 4 8 6" xfId="52956" xr:uid="{00000000-0005-0000-0000-000056CE0000}"/>
    <cellStyle name="Note 4 2 4 9" xfId="52957" xr:uid="{00000000-0005-0000-0000-000057CE0000}"/>
    <cellStyle name="Note 4 2 4 9 2" xfId="52958" xr:uid="{00000000-0005-0000-0000-000058CE0000}"/>
    <cellStyle name="Note 4 2 4 9 3" xfId="52959" xr:uid="{00000000-0005-0000-0000-000059CE0000}"/>
    <cellStyle name="Note 4 2 5" xfId="52960" xr:uid="{00000000-0005-0000-0000-00005ACE0000}"/>
    <cellStyle name="Note 4 2 5 10" xfId="52961" xr:uid="{00000000-0005-0000-0000-00005BCE0000}"/>
    <cellStyle name="Note 4 2 5 2" xfId="52962" xr:uid="{00000000-0005-0000-0000-00005CCE0000}"/>
    <cellStyle name="Note 4 2 5 2 2" xfId="52963" xr:uid="{00000000-0005-0000-0000-00005DCE0000}"/>
    <cellStyle name="Note 4 2 5 2 2 2" xfId="52964" xr:uid="{00000000-0005-0000-0000-00005ECE0000}"/>
    <cellStyle name="Note 4 2 5 2 2 2 2" xfId="52965" xr:uid="{00000000-0005-0000-0000-00005FCE0000}"/>
    <cellStyle name="Note 4 2 5 2 2 2 3" xfId="52966" xr:uid="{00000000-0005-0000-0000-000060CE0000}"/>
    <cellStyle name="Note 4 2 5 2 2 3" xfId="52967" xr:uid="{00000000-0005-0000-0000-000061CE0000}"/>
    <cellStyle name="Note 4 2 5 2 2 4" xfId="52968" xr:uid="{00000000-0005-0000-0000-000062CE0000}"/>
    <cellStyle name="Note 4 2 5 2 2 5" xfId="52969" xr:uid="{00000000-0005-0000-0000-000063CE0000}"/>
    <cellStyle name="Note 4 2 5 2 2 6" xfId="52970" xr:uid="{00000000-0005-0000-0000-000064CE0000}"/>
    <cellStyle name="Note 4 2 5 2 3" xfId="52971" xr:uid="{00000000-0005-0000-0000-000065CE0000}"/>
    <cellStyle name="Note 4 2 5 2 3 2" xfId="52972" xr:uid="{00000000-0005-0000-0000-000066CE0000}"/>
    <cellStyle name="Note 4 2 5 2 3 2 2" xfId="52973" xr:uid="{00000000-0005-0000-0000-000067CE0000}"/>
    <cellStyle name="Note 4 2 5 2 3 2 3" xfId="52974" xr:uid="{00000000-0005-0000-0000-000068CE0000}"/>
    <cellStyle name="Note 4 2 5 2 3 3" xfId="52975" xr:uid="{00000000-0005-0000-0000-000069CE0000}"/>
    <cellStyle name="Note 4 2 5 2 3 4" xfId="52976" xr:uid="{00000000-0005-0000-0000-00006ACE0000}"/>
    <cellStyle name="Note 4 2 5 2 3 5" xfId="52977" xr:uid="{00000000-0005-0000-0000-00006BCE0000}"/>
    <cellStyle name="Note 4 2 5 2 3 6" xfId="52978" xr:uid="{00000000-0005-0000-0000-00006CCE0000}"/>
    <cellStyle name="Note 4 2 5 2 4" xfId="52979" xr:uid="{00000000-0005-0000-0000-00006DCE0000}"/>
    <cellStyle name="Note 4 2 5 2 4 2" xfId="52980" xr:uid="{00000000-0005-0000-0000-00006ECE0000}"/>
    <cellStyle name="Note 4 2 5 2 4 3" xfId="52981" xr:uid="{00000000-0005-0000-0000-00006FCE0000}"/>
    <cellStyle name="Note 4 2 5 2 5" xfId="52982" xr:uid="{00000000-0005-0000-0000-000070CE0000}"/>
    <cellStyle name="Note 4 2 5 2 6" xfId="52983" xr:uid="{00000000-0005-0000-0000-000071CE0000}"/>
    <cellStyle name="Note 4 2 5 2 7" xfId="52984" xr:uid="{00000000-0005-0000-0000-000072CE0000}"/>
    <cellStyle name="Note 4 2 5 2 8" xfId="52985" xr:uid="{00000000-0005-0000-0000-000073CE0000}"/>
    <cellStyle name="Note 4 2 5 3" xfId="52986" xr:uid="{00000000-0005-0000-0000-000074CE0000}"/>
    <cellStyle name="Note 4 2 5 3 2" xfId="52987" xr:uid="{00000000-0005-0000-0000-000075CE0000}"/>
    <cellStyle name="Note 4 2 5 3 2 2" xfId="52988" xr:uid="{00000000-0005-0000-0000-000076CE0000}"/>
    <cellStyle name="Note 4 2 5 3 2 2 2" xfId="52989" xr:uid="{00000000-0005-0000-0000-000077CE0000}"/>
    <cellStyle name="Note 4 2 5 3 2 2 3" xfId="52990" xr:uid="{00000000-0005-0000-0000-000078CE0000}"/>
    <cellStyle name="Note 4 2 5 3 2 3" xfId="52991" xr:uid="{00000000-0005-0000-0000-000079CE0000}"/>
    <cellStyle name="Note 4 2 5 3 2 4" xfId="52992" xr:uid="{00000000-0005-0000-0000-00007ACE0000}"/>
    <cellStyle name="Note 4 2 5 3 2 5" xfId="52993" xr:uid="{00000000-0005-0000-0000-00007BCE0000}"/>
    <cellStyle name="Note 4 2 5 3 2 6" xfId="52994" xr:uid="{00000000-0005-0000-0000-00007CCE0000}"/>
    <cellStyle name="Note 4 2 5 3 3" xfId="52995" xr:uid="{00000000-0005-0000-0000-00007DCE0000}"/>
    <cellStyle name="Note 4 2 5 3 3 2" xfId="52996" xr:uid="{00000000-0005-0000-0000-00007ECE0000}"/>
    <cellStyle name="Note 4 2 5 3 3 3" xfId="52997" xr:uid="{00000000-0005-0000-0000-00007FCE0000}"/>
    <cellStyle name="Note 4 2 5 3 4" xfId="52998" xr:uid="{00000000-0005-0000-0000-000080CE0000}"/>
    <cellStyle name="Note 4 2 5 3 5" xfId="52999" xr:uid="{00000000-0005-0000-0000-000081CE0000}"/>
    <cellStyle name="Note 4 2 5 3 6" xfId="53000" xr:uid="{00000000-0005-0000-0000-000082CE0000}"/>
    <cellStyle name="Note 4 2 5 3 7" xfId="53001" xr:uid="{00000000-0005-0000-0000-000083CE0000}"/>
    <cellStyle name="Note 4 2 5 4" xfId="53002" xr:uid="{00000000-0005-0000-0000-000084CE0000}"/>
    <cellStyle name="Note 4 2 5 4 2" xfId="53003" xr:uid="{00000000-0005-0000-0000-000085CE0000}"/>
    <cellStyle name="Note 4 2 5 4 2 2" xfId="53004" xr:uid="{00000000-0005-0000-0000-000086CE0000}"/>
    <cellStyle name="Note 4 2 5 4 2 3" xfId="53005" xr:uid="{00000000-0005-0000-0000-000087CE0000}"/>
    <cellStyle name="Note 4 2 5 4 3" xfId="53006" xr:uid="{00000000-0005-0000-0000-000088CE0000}"/>
    <cellStyle name="Note 4 2 5 4 4" xfId="53007" xr:uid="{00000000-0005-0000-0000-000089CE0000}"/>
    <cellStyle name="Note 4 2 5 4 5" xfId="53008" xr:uid="{00000000-0005-0000-0000-00008ACE0000}"/>
    <cellStyle name="Note 4 2 5 4 6" xfId="53009" xr:uid="{00000000-0005-0000-0000-00008BCE0000}"/>
    <cellStyle name="Note 4 2 5 5" xfId="53010" xr:uid="{00000000-0005-0000-0000-00008CCE0000}"/>
    <cellStyle name="Note 4 2 5 5 2" xfId="53011" xr:uid="{00000000-0005-0000-0000-00008DCE0000}"/>
    <cellStyle name="Note 4 2 5 5 2 2" xfId="53012" xr:uid="{00000000-0005-0000-0000-00008ECE0000}"/>
    <cellStyle name="Note 4 2 5 5 2 3" xfId="53013" xr:uid="{00000000-0005-0000-0000-00008FCE0000}"/>
    <cellStyle name="Note 4 2 5 5 3" xfId="53014" xr:uid="{00000000-0005-0000-0000-000090CE0000}"/>
    <cellStyle name="Note 4 2 5 5 4" xfId="53015" xr:uid="{00000000-0005-0000-0000-000091CE0000}"/>
    <cellStyle name="Note 4 2 5 5 5" xfId="53016" xr:uid="{00000000-0005-0000-0000-000092CE0000}"/>
    <cellStyle name="Note 4 2 5 5 6" xfId="53017" xr:uid="{00000000-0005-0000-0000-000093CE0000}"/>
    <cellStyle name="Note 4 2 5 6" xfId="53018" xr:uid="{00000000-0005-0000-0000-000094CE0000}"/>
    <cellStyle name="Note 4 2 5 6 2" xfId="53019" xr:uid="{00000000-0005-0000-0000-000095CE0000}"/>
    <cellStyle name="Note 4 2 5 6 3" xfId="53020" xr:uid="{00000000-0005-0000-0000-000096CE0000}"/>
    <cellStyle name="Note 4 2 5 7" xfId="53021" xr:uid="{00000000-0005-0000-0000-000097CE0000}"/>
    <cellStyle name="Note 4 2 5 8" xfId="53022" xr:uid="{00000000-0005-0000-0000-000098CE0000}"/>
    <cellStyle name="Note 4 2 5 9" xfId="53023" xr:uid="{00000000-0005-0000-0000-000099CE0000}"/>
    <cellStyle name="Note 4 2 6" xfId="53024" xr:uid="{00000000-0005-0000-0000-00009ACE0000}"/>
    <cellStyle name="Note 4 2 6 2" xfId="53025" xr:uid="{00000000-0005-0000-0000-00009BCE0000}"/>
    <cellStyle name="Note 4 2 6 2 2" xfId="53026" xr:uid="{00000000-0005-0000-0000-00009CCE0000}"/>
    <cellStyle name="Note 4 2 6 2 2 2" xfId="53027" xr:uid="{00000000-0005-0000-0000-00009DCE0000}"/>
    <cellStyle name="Note 4 2 6 2 2 2 2" xfId="53028" xr:uid="{00000000-0005-0000-0000-00009ECE0000}"/>
    <cellStyle name="Note 4 2 6 2 2 2 3" xfId="53029" xr:uid="{00000000-0005-0000-0000-00009FCE0000}"/>
    <cellStyle name="Note 4 2 6 2 2 3" xfId="53030" xr:uid="{00000000-0005-0000-0000-0000A0CE0000}"/>
    <cellStyle name="Note 4 2 6 2 2 4" xfId="53031" xr:uid="{00000000-0005-0000-0000-0000A1CE0000}"/>
    <cellStyle name="Note 4 2 6 2 2 5" xfId="53032" xr:uid="{00000000-0005-0000-0000-0000A2CE0000}"/>
    <cellStyle name="Note 4 2 6 2 2 6" xfId="53033" xr:uid="{00000000-0005-0000-0000-0000A3CE0000}"/>
    <cellStyle name="Note 4 2 6 2 3" xfId="53034" xr:uid="{00000000-0005-0000-0000-0000A4CE0000}"/>
    <cellStyle name="Note 4 2 6 2 3 2" xfId="53035" xr:uid="{00000000-0005-0000-0000-0000A5CE0000}"/>
    <cellStyle name="Note 4 2 6 2 3 3" xfId="53036" xr:uid="{00000000-0005-0000-0000-0000A6CE0000}"/>
    <cellStyle name="Note 4 2 6 2 4" xfId="53037" xr:uid="{00000000-0005-0000-0000-0000A7CE0000}"/>
    <cellStyle name="Note 4 2 6 2 5" xfId="53038" xr:uid="{00000000-0005-0000-0000-0000A8CE0000}"/>
    <cellStyle name="Note 4 2 6 2 6" xfId="53039" xr:uid="{00000000-0005-0000-0000-0000A9CE0000}"/>
    <cellStyle name="Note 4 2 6 2 7" xfId="53040" xr:uid="{00000000-0005-0000-0000-0000AACE0000}"/>
    <cellStyle name="Note 4 2 6 3" xfId="53041" xr:uid="{00000000-0005-0000-0000-0000ABCE0000}"/>
    <cellStyle name="Note 4 2 6 3 2" xfId="53042" xr:uid="{00000000-0005-0000-0000-0000ACCE0000}"/>
    <cellStyle name="Note 4 2 6 3 2 2" xfId="53043" xr:uid="{00000000-0005-0000-0000-0000ADCE0000}"/>
    <cellStyle name="Note 4 2 6 3 2 3" xfId="53044" xr:uid="{00000000-0005-0000-0000-0000AECE0000}"/>
    <cellStyle name="Note 4 2 6 3 3" xfId="53045" xr:uid="{00000000-0005-0000-0000-0000AFCE0000}"/>
    <cellStyle name="Note 4 2 6 3 4" xfId="53046" xr:uid="{00000000-0005-0000-0000-0000B0CE0000}"/>
    <cellStyle name="Note 4 2 6 3 5" xfId="53047" xr:uid="{00000000-0005-0000-0000-0000B1CE0000}"/>
    <cellStyle name="Note 4 2 6 3 6" xfId="53048" xr:uid="{00000000-0005-0000-0000-0000B2CE0000}"/>
    <cellStyle name="Note 4 2 6 4" xfId="53049" xr:uid="{00000000-0005-0000-0000-0000B3CE0000}"/>
    <cellStyle name="Note 4 2 6 4 2" xfId="53050" xr:uid="{00000000-0005-0000-0000-0000B4CE0000}"/>
    <cellStyle name="Note 4 2 6 4 2 2" xfId="53051" xr:uid="{00000000-0005-0000-0000-0000B5CE0000}"/>
    <cellStyle name="Note 4 2 6 4 2 3" xfId="53052" xr:uid="{00000000-0005-0000-0000-0000B6CE0000}"/>
    <cellStyle name="Note 4 2 6 4 3" xfId="53053" xr:uid="{00000000-0005-0000-0000-0000B7CE0000}"/>
    <cellStyle name="Note 4 2 6 4 4" xfId="53054" xr:uid="{00000000-0005-0000-0000-0000B8CE0000}"/>
    <cellStyle name="Note 4 2 6 4 5" xfId="53055" xr:uid="{00000000-0005-0000-0000-0000B9CE0000}"/>
    <cellStyle name="Note 4 2 6 4 6" xfId="53056" xr:uid="{00000000-0005-0000-0000-0000BACE0000}"/>
    <cellStyle name="Note 4 2 6 5" xfId="53057" xr:uid="{00000000-0005-0000-0000-0000BBCE0000}"/>
    <cellStyle name="Note 4 2 6 5 2" xfId="53058" xr:uid="{00000000-0005-0000-0000-0000BCCE0000}"/>
    <cellStyle name="Note 4 2 6 5 3" xfId="53059" xr:uid="{00000000-0005-0000-0000-0000BDCE0000}"/>
    <cellStyle name="Note 4 2 6 6" xfId="53060" xr:uid="{00000000-0005-0000-0000-0000BECE0000}"/>
    <cellStyle name="Note 4 2 6 7" xfId="53061" xr:uid="{00000000-0005-0000-0000-0000BFCE0000}"/>
    <cellStyle name="Note 4 2 6 8" xfId="53062" xr:uid="{00000000-0005-0000-0000-0000C0CE0000}"/>
    <cellStyle name="Note 4 2 6 9" xfId="53063" xr:uid="{00000000-0005-0000-0000-0000C1CE0000}"/>
    <cellStyle name="Note 4 2 7" xfId="53064" xr:uid="{00000000-0005-0000-0000-0000C2CE0000}"/>
    <cellStyle name="Note 4 2 7 2" xfId="53065" xr:uid="{00000000-0005-0000-0000-0000C3CE0000}"/>
    <cellStyle name="Note 4 2 7 2 2" xfId="53066" xr:uid="{00000000-0005-0000-0000-0000C4CE0000}"/>
    <cellStyle name="Note 4 2 7 2 2 2" xfId="53067" xr:uid="{00000000-0005-0000-0000-0000C5CE0000}"/>
    <cellStyle name="Note 4 2 7 2 2 3" xfId="53068" xr:uid="{00000000-0005-0000-0000-0000C6CE0000}"/>
    <cellStyle name="Note 4 2 7 2 3" xfId="53069" xr:uid="{00000000-0005-0000-0000-0000C7CE0000}"/>
    <cellStyle name="Note 4 2 7 2 4" xfId="53070" xr:uid="{00000000-0005-0000-0000-0000C8CE0000}"/>
    <cellStyle name="Note 4 2 7 2 5" xfId="53071" xr:uid="{00000000-0005-0000-0000-0000C9CE0000}"/>
    <cellStyle name="Note 4 2 7 2 6" xfId="53072" xr:uid="{00000000-0005-0000-0000-0000CACE0000}"/>
    <cellStyle name="Note 4 2 7 3" xfId="53073" xr:uid="{00000000-0005-0000-0000-0000CBCE0000}"/>
    <cellStyle name="Note 4 2 7 3 2" xfId="53074" xr:uid="{00000000-0005-0000-0000-0000CCCE0000}"/>
    <cellStyle name="Note 4 2 7 3 3" xfId="53075" xr:uid="{00000000-0005-0000-0000-0000CDCE0000}"/>
    <cellStyle name="Note 4 2 7 4" xfId="53076" xr:uid="{00000000-0005-0000-0000-0000CECE0000}"/>
    <cellStyle name="Note 4 2 7 5" xfId="53077" xr:uid="{00000000-0005-0000-0000-0000CFCE0000}"/>
    <cellStyle name="Note 4 2 7 6" xfId="53078" xr:uid="{00000000-0005-0000-0000-0000D0CE0000}"/>
    <cellStyle name="Note 4 2 7 7" xfId="53079" xr:uid="{00000000-0005-0000-0000-0000D1CE0000}"/>
    <cellStyle name="Note 4 2 8" xfId="53080" xr:uid="{00000000-0005-0000-0000-0000D2CE0000}"/>
    <cellStyle name="Note 4 2 8 2" xfId="53081" xr:uid="{00000000-0005-0000-0000-0000D3CE0000}"/>
    <cellStyle name="Note 4 2 8 2 2" xfId="53082" xr:uid="{00000000-0005-0000-0000-0000D4CE0000}"/>
    <cellStyle name="Note 4 2 8 2 3" xfId="53083" xr:uid="{00000000-0005-0000-0000-0000D5CE0000}"/>
    <cellStyle name="Note 4 2 8 3" xfId="53084" xr:uid="{00000000-0005-0000-0000-0000D6CE0000}"/>
    <cellStyle name="Note 4 2 8 4" xfId="53085" xr:uid="{00000000-0005-0000-0000-0000D7CE0000}"/>
    <cellStyle name="Note 4 2 8 5" xfId="53086" xr:uid="{00000000-0005-0000-0000-0000D8CE0000}"/>
    <cellStyle name="Note 4 2 8 6" xfId="53087" xr:uid="{00000000-0005-0000-0000-0000D9CE0000}"/>
    <cellStyle name="Note 4 2 9" xfId="53088" xr:uid="{00000000-0005-0000-0000-0000DACE0000}"/>
    <cellStyle name="Note 4 2 9 2" xfId="53089" xr:uid="{00000000-0005-0000-0000-0000DBCE0000}"/>
    <cellStyle name="Note 4 2 9 2 2" xfId="53090" xr:uid="{00000000-0005-0000-0000-0000DCCE0000}"/>
    <cellStyle name="Note 4 2 9 2 3" xfId="53091" xr:uid="{00000000-0005-0000-0000-0000DDCE0000}"/>
    <cellStyle name="Note 4 2 9 3" xfId="53092" xr:uid="{00000000-0005-0000-0000-0000DECE0000}"/>
    <cellStyle name="Note 4 2 9 4" xfId="53093" xr:uid="{00000000-0005-0000-0000-0000DFCE0000}"/>
    <cellStyle name="Note 4 2 9 5" xfId="53094" xr:uid="{00000000-0005-0000-0000-0000E0CE0000}"/>
    <cellStyle name="Note 4 2 9 6" xfId="53095" xr:uid="{00000000-0005-0000-0000-0000E1CE0000}"/>
    <cellStyle name="Note 4 3" xfId="53096" xr:uid="{00000000-0005-0000-0000-0000E2CE0000}"/>
    <cellStyle name="Note 4 3 10" xfId="53097" xr:uid="{00000000-0005-0000-0000-0000E3CE0000}"/>
    <cellStyle name="Note 4 3 10 2" xfId="53098" xr:uid="{00000000-0005-0000-0000-0000E4CE0000}"/>
    <cellStyle name="Note 4 3 10 3" xfId="53099" xr:uid="{00000000-0005-0000-0000-0000E5CE0000}"/>
    <cellStyle name="Note 4 3 11" xfId="53100" xr:uid="{00000000-0005-0000-0000-0000E6CE0000}"/>
    <cellStyle name="Note 4 3 12" xfId="53101" xr:uid="{00000000-0005-0000-0000-0000E7CE0000}"/>
    <cellStyle name="Note 4 3 13" xfId="53102" xr:uid="{00000000-0005-0000-0000-0000E8CE0000}"/>
    <cellStyle name="Note 4 3 14" xfId="53103" xr:uid="{00000000-0005-0000-0000-0000E9CE0000}"/>
    <cellStyle name="Note 4 3 2" xfId="53104" xr:uid="{00000000-0005-0000-0000-0000EACE0000}"/>
    <cellStyle name="Note 4 3 2 10" xfId="53105" xr:uid="{00000000-0005-0000-0000-0000EBCE0000}"/>
    <cellStyle name="Note 4 3 2 11" xfId="53106" xr:uid="{00000000-0005-0000-0000-0000ECCE0000}"/>
    <cellStyle name="Note 4 3 2 12" xfId="53107" xr:uid="{00000000-0005-0000-0000-0000EDCE0000}"/>
    <cellStyle name="Note 4 3 2 13" xfId="53108" xr:uid="{00000000-0005-0000-0000-0000EECE0000}"/>
    <cellStyle name="Note 4 3 2 2" xfId="53109" xr:uid="{00000000-0005-0000-0000-0000EFCE0000}"/>
    <cellStyle name="Note 4 3 2 2 10" xfId="53110" xr:uid="{00000000-0005-0000-0000-0000F0CE0000}"/>
    <cellStyle name="Note 4 3 2 2 2" xfId="53111" xr:uid="{00000000-0005-0000-0000-0000F1CE0000}"/>
    <cellStyle name="Note 4 3 2 2 2 2" xfId="53112" xr:uid="{00000000-0005-0000-0000-0000F2CE0000}"/>
    <cellStyle name="Note 4 3 2 2 2 2 2" xfId="53113" xr:uid="{00000000-0005-0000-0000-0000F3CE0000}"/>
    <cellStyle name="Note 4 3 2 2 2 2 2 2" xfId="53114" xr:uid="{00000000-0005-0000-0000-0000F4CE0000}"/>
    <cellStyle name="Note 4 3 2 2 2 2 2 3" xfId="53115" xr:uid="{00000000-0005-0000-0000-0000F5CE0000}"/>
    <cellStyle name="Note 4 3 2 2 2 2 3" xfId="53116" xr:uid="{00000000-0005-0000-0000-0000F6CE0000}"/>
    <cellStyle name="Note 4 3 2 2 2 2 4" xfId="53117" xr:uid="{00000000-0005-0000-0000-0000F7CE0000}"/>
    <cellStyle name="Note 4 3 2 2 2 2 5" xfId="53118" xr:uid="{00000000-0005-0000-0000-0000F8CE0000}"/>
    <cellStyle name="Note 4 3 2 2 2 2 6" xfId="53119" xr:uid="{00000000-0005-0000-0000-0000F9CE0000}"/>
    <cellStyle name="Note 4 3 2 2 2 3" xfId="53120" xr:uid="{00000000-0005-0000-0000-0000FACE0000}"/>
    <cellStyle name="Note 4 3 2 2 2 3 2" xfId="53121" xr:uid="{00000000-0005-0000-0000-0000FBCE0000}"/>
    <cellStyle name="Note 4 3 2 2 2 3 2 2" xfId="53122" xr:uid="{00000000-0005-0000-0000-0000FCCE0000}"/>
    <cellStyle name="Note 4 3 2 2 2 3 2 3" xfId="53123" xr:uid="{00000000-0005-0000-0000-0000FDCE0000}"/>
    <cellStyle name="Note 4 3 2 2 2 3 3" xfId="53124" xr:uid="{00000000-0005-0000-0000-0000FECE0000}"/>
    <cellStyle name="Note 4 3 2 2 2 3 4" xfId="53125" xr:uid="{00000000-0005-0000-0000-0000FFCE0000}"/>
    <cellStyle name="Note 4 3 2 2 2 3 5" xfId="53126" xr:uid="{00000000-0005-0000-0000-000000CF0000}"/>
    <cellStyle name="Note 4 3 2 2 2 3 6" xfId="53127" xr:uid="{00000000-0005-0000-0000-000001CF0000}"/>
    <cellStyle name="Note 4 3 2 2 2 4" xfId="53128" xr:uid="{00000000-0005-0000-0000-000002CF0000}"/>
    <cellStyle name="Note 4 3 2 2 2 4 2" xfId="53129" xr:uid="{00000000-0005-0000-0000-000003CF0000}"/>
    <cellStyle name="Note 4 3 2 2 2 4 3" xfId="53130" xr:uid="{00000000-0005-0000-0000-000004CF0000}"/>
    <cellStyle name="Note 4 3 2 2 2 5" xfId="53131" xr:uid="{00000000-0005-0000-0000-000005CF0000}"/>
    <cellStyle name="Note 4 3 2 2 2 6" xfId="53132" xr:uid="{00000000-0005-0000-0000-000006CF0000}"/>
    <cellStyle name="Note 4 3 2 2 2 7" xfId="53133" xr:uid="{00000000-0005-0000-0000-000007CF0000}"/>
    <cellStyle name="Note 4 3 2 2 2 8" xfId="53134" xr:uid="{00000000-0005-0000-0000-000008CF0000}"/>
    <cellStyle name="Note 4 3 2 2 3" xfId="53135" xr:uid="{00000000-0005-0000-0000-000009CF0000}"/>
    <cellStyle name="Note 4 3 2 2 3 2" xfId="53136" xr:uid="{00000000-0005-0000-0000-00000ACF0000}"/>
    <cellStyle name="Note 4 3 2 2 3 2 2" xfId="53137" xr:uid="{00000000-0005-0000-0000-00000BCF0000}"/>
    <cellStyle name="Note 4 3 2 2 3 2 2 2" xfId="53138" xr:uid="{00000000-0005-0000-0000-00000CCF0000}"/>
    <cellStyle name="Note 4 3 2 2 3 2 2 3" xfId="53139" xr:uid="{00000000-0005-0000-0000-00000DCF0000}"/>
    <cellStyle name="Note 4 3 2 2 3 2 3" xfId="53140" xr:uid="{00000000-0005-0000-0000-00000ECF0000}"/>
    <cellStyle name="Note 4 3 2 2 3 2 4" xfId="53141" xr:uid="{00000000-0005-0000-0000-00000FCF0000}"/>
    <cellStyle name="Note 4 3 2 2 3 2 5" xfId="53142" xr:uid="{00000000-0005-0000-0000-000010CF0000}"/>
    <cellStyle name="Note 4 3 2 2 3 2 6" xfId="53143" xr:uid="{00000000-0005-0000-0000-000011CF0000}"/>
    <cellStyle name="Note 4 3 2 2 3 3" xfId="53144" xr:uid="{00000000-0005-0000-0000-000012CF0000}"/>
    <cellStyle name="Note 4 3 2 2 3 3 2" xfId="53145" xr:uid="{00000000-0005-0000-0000-000013CF0000}"/>
    <cellStyle name="Note 4 3 2 2 3 3 3" xfId="53146" xr:uid="{00000000-0005-0000-0000-000014CF0000}"/>
    <cellStyle name="Note 4 3 2 2 3 4" xfId="53147" xr:uid="{00000000-0005-0000-0000-000015CF0000}"/>
    <cellStyle name="Note 4 3 2 2 3 5" xfId="53148" xr:uid="{00000000-0005-0000-0000-000016CF0000}"/>
    <cellStyle name="Note 4 3 2 2 3 6" xfId="53149" xr:uid="{00000000-0005-0000-0000-000017CF0000}"/>
    <cellStyle name="Note 4 3 2 2 3 7" xfId="53150" xr:uid="{00000000-0005-0000-0000-000018CF0000}"/>
    <cellStyle name="Note 4 3 2 2 4" xfId="53151" xr:uid="{00000000-0005-0000-0000-000019CF0000}"/>
    <cellStyle name="Note 4 3 2 2 4 2" xfId="53152" xr:uid="{00000000-0005-0000-0000-00001ACF0000}"/>
    <cellStyle name="Note 4 3 2 2 4 2 2" xfId="53153" xr:uid="{00000000-0005-0000-0000-00001BCF0000}"/>
    <cellStyle name="Note 4 3 2 2 4 2 3" xfId="53154" xr:uid="{00000000-0005-0000-0000-00001CCF0000}"/>
    <cellStyle name="Note 4 3 2 2 4 3" xfId="53155" xr:uid="{00000000-0005-0000-0000-00001DCF0000}"/>
    <cellStyle name="Note 4 3 2 2 4 4" xfId="53156" xr:uid="{00000000-0005-0000-0000-00001ECF0000}"/>
    <cellStyle name="Note 4 3 2 2 4 5" xfId="53157" xr:uid="{00000000-0005-0000-0000-00001FCF0000}"/>
    <cellStyle name="Note 4 3 2 2 4 6" xfId="53158" xr:uid="{00000000-0005-0000-0000-000020CF0000}"/>
    <cellStyle name="Note 4 3 2 2 5" xfId="53159" xr:uid="{00000000-0005-0000-0000-000021CF0000}"/>
    <cellStyle name="Note 4 3 2 2 5 2" xfId="53160" xr:uid="{00000000-0005-0000-0000-000022CF0000}"/>
    <cellStyle name="Note 4 3 2 2 5 2 2" xfId="53161" xr:uid="{00000000-0005-0000-0000-000023CF0000}"/>
    <cellStyle name="Note 4 3 2 2 5 2 3" xfId="53162" xr:uid="{00000000-0005-0000-0000-000024CF0000}"/>
    <cellStyle name="Note 4 3 2 2 5 3" xfId="53163" xr:uid="{00000000-0005-0000-0000-000025CF0000}"/>
    <cellStyle name="Note 4 3 2 2 5 4" xfId="53164" xr:uid="{00000000-0005-0000-0000-000026CF0000}"/>
    <cellStyle name="Note 4 3 2 2 5 5" xfId="53165" xr:uid="{00000000-0005-0000-0000-000027CF0000}"/>
    <cellStyle name="Note 4 3 2 2 5 6" xfId="53166" xr:uid="{00000000-0005-0000-0000-000028CF0000}"/>
    <cellStyle name="Note 4 3 2 2 6" xfId="53167" xr:uid="{00000000-0005-0000-0000-000029CF0000}"/>
    <cellStyle name="Note 4 3 2 2 6 2" xfId="53168" xr:uid="{00000000-0005-0000-0000-00002ACF0000}"/>
    <cellStyle name="Note 4 3 2 2 6 3" xfId="53169" xr:uid="{00000000-0005-0000-0000-00002BCF0000}"/>
    <cellStyle name="Note 4 3 2 2 7" xfId="53170" xr:uid="{00000000-0005-0000-0000-00002CCF0000}"/>
    <cellStyle name="Note 4 3 2 2 8" xfId="53171" xr:uid="{00000000-0005-0000-0000-00002DCF0000}"/>
    <cellStyle name="Note 4 3 2 2 9" xfId="53172" xr:uid="{00000000-0005-0000-0000-00002ECF0000}"/>
    <cellStyle name="Note 4 3 2 3" xfId="53173" xr:uid="{00000000-0005-0000-0000-00002FCF0000}"/>
    <cellStyle name="Note 4 3 2 3 2" xfId="53174" xr:uid="{00000000-0005-0000-0000-000030CF0000}"/>
    <cellStyle name="Note 4 3 2 3 2 2" xfId="53175" xr:uid="{00000000-0005-0000-0000-000031CF0000}"/>
    <cellStyle name="Note 4 3 2 3 2 2 2" xfId="53176" xr:uid="{00000000-0005-0000-0000-000032CF0000}"/>
    <cellStyle name="Note 4 3 2 3 2 2 2 2" xfId="53177" xr:uid="{00000000-0005-0000-0000-000033CF0000}"/>
    <cellStyle name="Note 4 3 2 3 2 2 2 3" xfId="53178" xr:uid="{00000000-0005-0000-0000-000034CF0000}"/>
    <cellStyle name="Note 4 3 2 3 2 2 3" xfId="53179" xr:uid="{00000000-0005-0000-0000-000035CF0000}"/>
    <cellStyle name="Note 4 3 2 3 2 2 4" xfId="53180" xr:uid="{00000000-0005-0000-0000-000036CF0000}"/>
    <cellStyle name="Note 4 3 2 3 2 2 5" xfId="53181" xr:uid="{00000000-0005-0000-0000-000037CF0000}"/>
    <cellStyle name="Note 4 3 2 3 2 2 6" xfId="53182" xr:uid="{00000000-0005-0000-0000-000038CF0000}"/>
    <cellStyle name="Note 4 3 2 3 2 3" xfId="53183" xr:uid="{00000000-0005-0000-0000-000039CF0000}"/>
    <cellStyle name="Note 4 3 2 3 2 3 2" xfId="53184" xr:uid="{00000000-0005-0000-0000-00003ACF0000}"/>
    <cellStyle name="Note 4 3 2 3 2 3 3" xfId="53185" xr:uid="{00000000-0005-0000-0000-00003BCF0000}"/>
    <cellStyle name="Note 4 3 2 3 2 4" xfId="53186" xr:uid="{00000000-0005-0000-0000-00003CCF0000}"/>
    <cellStyle name="Note 4 3 2 3 2 5" xfId="53187" xr:uid="{00000000-0005-0000-0000-00003DCF0000}"/>
    <cellStyle name="Note 4 3 2 3 2 6" xfId="53188" xr:uid="{00000000-0005-0000-0000-00003ECF0000}"/>
    <cellStyle name="Note 4 3 2 3 2 7" xfId="53189" xr:uid="{00000000-0005-0000-0000-00003FCF0000}"/>
    <cellStyle name="Note 4 3 2 3 3" xfId="53190" xr:uid="{00000000-0005-0000-0000-000040CF0000}"/>
    <cellStyle name="Note 4 3 2 3 3 2" xfId="53191" xr:uid="{00000000-0005-0000-0000-000041CF0000}"/>
    <cellStyle name="Note 4 3 2 3 3 2 2" xfId="53192" xr:uid="{00000000-0005-0000-0000-000042CF0000}"/>
    <cellStyle name="Note 4 3 2 3 3 2 3" xfId="53193" xr:uid="{00000000-0005-0000-0000-000043CF0000}"/>
    <cellStyle name="Note 4 3 2 3 3 3" xfId="53194" xr:uid="{00000000-0005-0000-0000-000044CF0000}"/>
    <cellStyle name="Note 4 3 2 3 3 4" xfId="53195" xr:uid="{00000000-0005-0000-0000-000045CF0000}"/>
    <cellStyle name="Note 4 3 2 3 3 5" xfId="53196" xr:uid="{00000000-0005-0000-0000-000046CF0000}"/>
    <cellStyle name="Note 4 3 2 3 3 6" xfId="53197" xr:uid="{00000000-0005-0000-0000-000047CF0000}"/>
    <cellStyle name="Note 4 3 2 3 4" xfId="53198" xr:uid="{00000000-0005-0000-0000-000048CF0000}"/>
    <cellStyle name="Note 4 3 2 3 4 2" xfId="53199" xr:uid="{00000000-0005-0000-0000-000049CF0000}"/>
    <cellStyle name="Note 4 3 2 3 4 2 2" xfId="53200" xr:uid="{00000000-0005-0000-0000-00004ACF0000}"/>
    <cellStyle name="Note 4 3 2 3 4 2 3" xfId="53201" xr:uid="{00000000-0005-0000-0000-00004BCF0000}"/>
    <cellStyle name="Note 4 3 2 3 4 3" xfId="53202" xr:uid="{00000000-0005-0000-0000-00004CCF0000}"/>
    <cellStyle name="Note 4 3 2 3 4 4" xfId="53203" xr:uid="{00000000-0005-0000-0000-00004DCF0000}"/>
    <cellStyle name="Note 4 3 2 3 4 5" xfId="53204" xr:uid="{00000000-0005-0000-0000-00004ECF0000}"/>
    <cellStyle name="Note 4 3 2 3 4 6" xfId="53205" xr:uid="{00000000-0005-0000-0000-00004FCF0000}"/>
    <cellStyle name="Note 4 3 2 3 5" xfId="53206" xr:uid="{00000000-0005-0000-0000-000050CF0000}"/>
    <cellStyle name="Note 4 3 2 3 5 2" xfId="53207" xr:uid="{00000000-0005-0000-0000-000051CF0000}"/>
    <cellStyle name="Note 4 3 2 3 5 3" xfId="53208" xr:uid="{00000000-0005-0000-0000-000052CF0000}"/>
    <cellStyle name="Note 4 3 2 3 6" xfId="53209" xr:uid="{00000000-0005-0000-0000-000053CF0000}"/>
    <cellStyle name="Note 4 3 2 3 7" xfId="53210" xr:uid="{00000000-0005-0000-0000-000054CF0000}"/>
    <cellStyle name="Note 4 3 2 3 8" xfId="53211" xr:uid="{00000000-0005-0000-0000-000055CF0000}"/>
    <cellStyle name="Note 4 3 2 3 9" xfId="53212" xr:uid="{00000000-0005-0000-0000-000056CF0000}"/>
    <cellStyle name="Note 4 3 2 4" xfId="53213" xr:uid="{00000000-0005-0000-0000-000057CF0000}"/>
    <cellStyle name="Note 4 3 2 4 2" xfId="53214" xr:uid="{00000000-0005-0000-0000-000058CF0000}"/>
    <cellStyle name="Note 4 3 2 4 2 2" xfId="53215" xr:uid="{00000000-0005-0000-0000-000059CF0000}"/>
    <cellStyle name="Note 4 3 2 4 2 2 2" xfId="53216" xr:uid="{00000000-0005-0000-0000-00005ACF0000}"/>
    <cellStyle name="Note 4 3 2 4 2 2 3" xfId="53217" xr:uid="{00000000-0005-0000-0000-00005BCF0000}"/>
    <cellStyle name="Note 4 3 2 4 2 3" xfId="53218" xr:uid="{00000000-0005-0000-0000-00005CCF0000}"/>
    <cellStyle name="Note 4 3 2 4 2 4" xfId="53219" xr:uid="{00000000-0005-0000-0000-00005DCF0000}"/>
    <cellStyle name="Note 4 3 2 4 2 5" xfId="53220" xr:uid="{00000000-0005-0000-0000-00005ECF0000}"/>
    <cellStyle name="Note 4 3 2 4 2 6" xfId="53221" xr:uid="{00000000-0005-0000-0000-00005FCF0000}"/>
    <cellStyle name="Note 4 3 2 4 3" xfId="53222" xr:uid="{00000000-0005-0000-0000-000060CF0000}"/>
    <cellStyle name="Note 4 3 2 4 3 2" xfId="53223" xr:uid="{00000000-0005-0000-0000-000061CF0000}"/>
    <cellStyle name="Note 4 3 2 4 3 3" xfId="53224" xr:uid="{00000000-0005-0000-0000-000062CF0000}"/>
    <cellStyle name="Note 4 3 2 4 4" xfId="53225" xr:uid="{00000000-0005-0000-0000-000063CF0000}"/>
    <cellStyle name="Note 4 3 2 4 5" xfId="53226" xr:uid="{00000000-0005-0000-0000-000064CF0000}"/>
    <cellStyle name="Note 4 3 2 4 6" xfId="53227" xr:uid="{00000000-0005-0000-0000-000065CF0000}"/>
    <cellStyle name="Note 4 3 2 4 7" xfId="53228" xr:uid="{00000000-0005-0000-0000-000066CF0000}"/>
    <cellStyle name="Note 4 3 2 5" xfId="53229" xr:uid="{00000000-0005-0000-0000-000067CF0000}"/>
    <cellStyle name="Note 4 3 2 5 2" xfId="53230" xr:uid="{00000000-0005-0000-0000-000068CF0000}"/>
    <cellStyle name="Note 4 3 2 5 2 2" xfId="53231" xr:uid="{00000000-0005-0000-0000-000069CF0000}"/>
    <cellStyle name="Note 4 3 2 5 2 3" xfId="53232" xr:uid="{00000000-0005-0000-0000-00006ACF0000}"/>
    <cellStyle name="Note 4 3 2 5 3" xfId="53233" xr:uid="{00000000-0005-0000-0000-00006BCF0000}"/>
    <cellStyle name="Note 4 3 2 5 4" xfId="53234" xr:uid="{00000000-0005-0000-0000-00006CCF0000}"/>
    <cellStyle name="Note 4 3 2 5 5" xfId="53235" xr:uid="{00000000-0005-0000-0000-00006DCF0000}"/>
    <cellStyle name="Note 4 3 2 5 6" xfId="53236" xr:uid="{00000000-0005-0000-0000-00006ECF0000}"/>
    <cellStyle name="Note 4 3 2 6" xfId="53237" xr:uid="{00000000-0005-0000-0000-00006FCF0000}"/>
    <cellStyle name="Note 4 3 2 6 2" xfId="53238" xr:uid="{00000000-0005-0000-0000-000070CF0000}"/>
    <cellStyle name="Note 4 3 2 6 2 2" xfId="53239" xr:uid="{00000000-0005-0000-0000-000071CF0000}"/>
    <cellStyle name="Note 4 3 2 6 2 3" xfId="53240" xr:uid="{00000000-0005-0000-0000-000072CF0000}"/>
    <cellStyle name="Note 4 3 2 6 3" xfId="53241" xr:uid="{00000000-0005-0000-0000-000073CF0000}"/>
    <cellStyle name="Note 4 3 2 6 4" xfId="53242" xr:uid="{00000000-0005-0000-0000-000074CF0000}"/>
    <cellStyle name="Note 4 3 2 6 5" xfId="53243" xr:uid="{00000000-0005-0000-0000-000075CF0000}"/>
    <cellStyle name="Note 4 3 2 6 6" xfId="53244" xr:uid="{00000000-0005-0000-0000-000076CF0000}"/>
    <cellStyle name="Note 4 3 2 7" xfId="53245" xr:uid="{00000000-0005-0000-0000-000077CF0000}"/>
    <cellStyle name="Note 4 3 2 7 2" xfId="53246" xr:uid="{00000000-0005-0000-0000-000078CF0000}"/>
    <cellStyle name="Note 4 3 2 7 2 2" xfId="53247" xr:uid="{00000000-0005-0000-0000-000079CF0000}"/>
    <cellStyle name="Note 4 3 2 7 2 3" xfId="53248" xr:uid="{00000000-0005-0000-0000-00007ACF0000}"/>
    <cellStyle name="Note 4 3 2 7 3" xfId="53249" xr:uid="{00000000-0005-0000-0000-00007BCF0000}"/>
    <cellStyle name="Note 4 3 2 7 4" xfId="53250" xr:uid="{00000000-0005-0000-0000-00007CCF0000}"/>
    <cellStyle name="Note 4 3 2 7 5" xfId="53251" xr:uid="{00000000-0005-0000-0000-00007DCF0000}"/>
    <cellStyle name="Note 4 3 2 7 6" xfId="53252" xr:uid="{00000000-0005-0000-0000-00007ECF0000}"/>
    <cellStyle name="Note 4 3 2 8" xfId="53253" xr:uid="{00000000-0005-0000-0000-00007FCF0000}"/>
    <cellStyle name="Note 4 3 2 8 2" xfId="53254" xr:uid="{00000000-0005-0000-0000-000080CF0000}"/>
    <cellStyle name="Note 4 3 2 8 2 2" xfId="53255" xr:uid="{00000000-0005-0000-0000-000081CF0000}"/>
    <cellStyle name="Note 4 3 2 8 2 3" xfId="53256" xr:uid="{00000000-0005-0000-0000-000082CF0000}"/>
    <cellStyle name="Note 4 3 2 8 3" xfId="53257" xr:uid="{00000000-0005-0000-0000-000083CF0000}"/>
    <cellStyle name="Note 4 3 2 8 4" xfId="53258" xr:uid="{00000000-0005-0000-0000-000084CF0000}"/>
    <cellStyle name="Note 4 3 2 8 5" xfId="53259" xr:uid="{00000000-0005-0000-0000-000085CF0000}"/>
    <cellStyle name="Note 4 3 2 8 6" xfId="53260" xr:uid="{00000000-0005-0000-0000-000086CF0000}"/>
    <cellStyle name="Note 4 3 2 9" xfId="53261" xr:uid="{00000000-0005-0000-0000-000087CF0000}"/>
    <cellStyle name="Note 4 3 2 9 2" xfId="53262" xr:uid="{00000000-0005-0000-0000-000088CF0000}"/>
    <cellStyle name="Note 4 3 2 9 3" xfId="53263" xr:uid="{00000000-0005-0000-0000-000089CF0000}"/>
    <cellStyle name="Note 4 3 3" xfId="53264" xr:uid="{00000000-0005-0000-0000-00008ACF0000}"/>
    <cellStyle name="Note 4 3 3 10" xfId="53265" xr:uid="{00000000-0005-0000-0000-00008BCF0000}"/>
    <cellStyle name="Note 4 3 3 2" xfId="53266" xr:uid="{00000000-0005-0000-0000-00008CCF0000}"/>
    <cellStyle name="Note 4 3 3 2 2" xfId="53267" xr:uid="{00000000-0005-0000-0000-00008DCF0000}"/>
    <cellStyle name="Note 4 3 3 2 2 2" xfId="53268" xr:uid="{00000000-0005-0000-0000-00008ECF0000}"/>
    <cellStyle name="Note 4 3 3 2 2 2 2" xfId="53269" xr:uid="{00000000-0005-0000-0000-00008FCF0000}"/>
    <cellStyle name="Note 4 3 3 2 2 2 3" xfId="53270" xr:uid="{00000000-0005-0000-0000-000090CF0000}"/>
    <cellStyle name="Note 4 3 3 2 2 3" xfId="53271" xr:uid="{00000000-0005-0000-0000-000091CF0000}"/>
    <cellStyle name="Note 4 3 3 2 2 4" xfId="53272" xr:uid="{00000000-0005-0000-0000-000092CF0000}"/>
    <cellStyle name="Note 4 3 3 2 2 5" xfId="53273" xr:uid="{00000000-0005-0000-0000-000093CF0000}"/>
    <cellStyle name="Note 4 3 3 2 2 6" xfId="53274" xr:uid="{00000000-0005-0000-0000-000094CF0000}"/>
    <cellStyle name="Note 4 3 3 2 3" xfId="53275" xr:uid="{00000000-0005-0000-0000-000095CF0000}"/>
    <cellStyle name="Note 4 3 3 2 3 2" xfId="53276" xr:uid="{00000000-0005-0000-0000-000096CF0000}"/>
    <cellStyle name="Note 4 3 3 2 3 2 2" xfId="53277" xr:uid="{00000000-0005-0000-0000-000097CF0000}"/>
    <cellStyle name="Note 4 3 3 2 3 2 3" xfId="53278" xr:uid="{00000000-0005-0000-0000-000098CF0000}"/>
    <cellStyle name="Note 4 3 3 2 3 3" xfId="53279" xr:uid="{00000000-0005-0000-0000-000099CF0000}"/>
    <cellStyle name="Note 4 3 3 2 3 4" xfId="53280" xr:uid="{00000000-0005-0000-0000-00009ACF0000}"/>
    <cellStyle name="Note 4 3 3 2 3 5" xfId="53281" xr:uid="{00000000-0005-0000-0000-00009BCF0000}"/>
    <cellStyle name="Note 4 3 3 2 3 6" xfId="53282" xr:uid="{00000000-0005-0000-0000-00009CCF0000}"/>
    <cellStyle name="Note 4 3 3 2 4" xfId="53283" xr:uid="{00000000-0005-0000-0000-00009DCF0000}"/>
    <cellStyle name="Note 4 3 3 2 4 2" xfId="53284" xr:uid="{00000000-0005-0000-0000-00009ECF0000}"/>
    <cellStyle name="Note 4 3 3 2 4 3" xfId="53285" xr:uid="{00000000-0005-0000-0000-00009FCF0000}"/>
    <cellStyle name="Note 4 3 3 2 5" xfId="53286" xr:uid="{00000000-0005-0000-0000-0000A0CF0000}"/>
    <cellStyle name="Note 4 3 3 2 6" xfId="53287" xr:uid="{00000000-0005-0000-0000-0000A1CF0000}"/>
    <cellStyle name="Note 4 3 3 2 7" xfId="53288" xr:uid="{00000000-0005-0000-0000-0000A2CF0000}"/>
    <cellStyle name="Note 4 3 3 2 8" xfId="53289" xr:uid="{00000000-0005-0000-0000-0000A3CF0000}"/>
    <cellStyle name="Note 4 3 3 3" xfId="53290" xr:uid="{00000000-0005-0000-0000-0000A4CF0000}"/>
    <cellStyle name="Note 4 3 3 3 2" xfId="53291" xr:uid="{00000000-0005-0000-0000-0000A5CF0000}"/>
    <cellStyle name="Note 4 3 3 3 2 2" xfId="53292" xr:uid="{00000000-0005-0000-0000-0000A6CF0000}"/>
    <cellStyle name="Note 4 3 3 3 2 2 2" xfId="53293" xr:uid="{00000000-0005-0000-0000-0000A7CF0000}"/>
    <cellStyle name="Note 4 3 3 3 2 2 3" xfId="53294" xr:uid="{00000000-0005-0000-0000-0000A8CF0000}"/>
    <cellStyle name="Note 4 3 3 3 2 3" xfId="53295" xr:uid="{00000000-0005-0000-0000-0000A9CF0000}"/>
    <cellStyle name="Note 4 3 3 3 2 4" xfId="53296" xr:uid="{00000000-0005-0000-0000-0000AACF0000}"/>
    <cellStyle name="Note 4 3 3 3 2 5" xfId="53297" xr:uid="{00000000-0005-0000-0000-0000ABCF0000}"/>
    <cellStyle name="Note 4 3 3 3 2 6" xfId="53298" xr:uid="{00000000-0005-0000-0000-0000ACCF0000}"/>
    <cellStyle name="Note 4 3 3 3 3" xfId="53299" xr:uid="{00000000-0005-0000-0000-0000ADCF0000}"/>
    <cellStyle name="Note 4 3 3 3 3 2" xfId="53300" xr:uid="{00000000-0005-0000-0000-0000AECF0000}"/>
    <cellStyle name="Note 4 3 3 3 3 3" xfId="53301" xr:uid="{00000000-0005-0000-0000-0000AFCF0000}"/>
    <cellStyle name="Note 4 3 3 3 4" xfId="53302" xr:uid="{00000000-0005-0000-0000-0000B0CF0000}"/>
    <cellStyle name="Note 4 3 3 3 5" xfId="53303" xr:uid="{00000000-0005-0000-0000-0000B1CF0000}"/>
    <cellStyle name="Note 4 3 3 3 6" xfId="53304" xr:uid="{00000000-0005-0000-0000-0000B2CF0000}"/>
    <cellStyle name="Note 4 3 3 3 7" xfId="53305" xr:uid="{00000000-0005-0000-0000-0000B3CF0000}"/>
    <cellStyle name="Note 4 3 3 4" xfId="53306" xr:uid="{00000000-0005-0000-0000-0000B4CF0000}"/>
    <cellStyle name="Note 4 3 3 4 2" xfId="53307" xr:uid="{00000000-0005-0000-0000-0000B5CF0000}"/>
    <cellStyle name="Note 4 3 3 4 2 2" xfId="53308" xr:uid="{00000000-0005-0000-0000-0000B6CF0000}"/>
    <cellStyle name="Note 4 3 3 4 2 3" xfId="53309" xr:uid="{00000000-0005-0000-0000-0000B7CF0000}"/>
    <cellStyle name="Note 4 3 3 4 3" xfId="53310" xr:uid="{00000000-0005-0000-0000-0000B8CF0000}"/>
    <cellStyle name="Note 4 3 3 4 4" xfId="53311" xr:uid="{00000000-0005-0000-0000-0000B9CF0000}"/>
    <cellStyle name="Note 4 3 3 4 5" xfId="53312" xr:uid="{00000000-0005-0000-0000-0000BACF0000}"/>
    <cellStyle name="Note 4 3 3 4 6" xfId="53313" xr:uid="{00000000-0005-0000-0000-0000BBCF0000}"/>
    <cellStyle name="Note 4 3 3 5" xfId="53314" xr:uid="{00000000-0005-0000-0000-0000BCCF0000}"/>
    <cellStyle name="Note 4 3 3 5 2" xfId="53315" xr:uid="{00000000-0005-0000-0000-0000BDCF0000}"/>
    <cellStyle name="Note 4 3 3 5 2 2" xfId="53316" xr:uid="{00000000-0005-0000-0000-0000BECF0000}"/>
    <cellStyle name="Note 4 3 3 5 2 3" xfId="53317" xr:uid="{00000000-0005-0000-0000-0000BFCF0000}"/>
    <cellStyle name="Note 4 3 3 5 3" xfId="53318" xr:uid="{00000000-0005-0000-0000-0000C0CF0000}"/>
    <cellStyle name="Note 4 3 3 5 4" xfId="53319" xr:uid="{00000000-0005-0000-0000-0000C1CF0000}"/>
    <cellStyle name="Note 4 3 3 5 5" xfId="53320" xr:uid="{00000000-0005-0000-0000-0000C2CF0000}"/>
    <cellStyle name="Note 4 3 3 5 6" xfId="53321" xr:uid="{00000000-0005-0000-0000-0000C3CF0000}"/>
    <cellStyle name="Note 4 3 3 6" xfId="53322" xr:uid="{00000000-0005-0000-0000-0000C4CF0000}"/>
    <cellStyle name="Note 4 3 3 6 2" xfId="53323" xr:uid="{00000000-0005-0000-0000-0000C5CF0000}"/>
    <cellStyle name="Note 4 3 3 6 3" xfId="53324" xr:uid="{00000000-0005-0000-0000-0000C6CF0000}"/>
    <cellStyle name="Note 4 3 3 7" xfId="53325" xr:uid="{00000000-0005-0000-0000-0000C7CF0000}"/>
    <cellStyle name="Note 4 3 3 8" xfId="53326" xr:uid="{00000000-0005-0000-0000-0000C8CF0000}"/>
    <cellStyle name="Note 4 3 3 9" xfId="53327" xr:uid="{00000000-0005-0000-0000-0000C9CF0000}"/>
    <cellStyle name="Note 4 3 4" xfId="53328" xr:uid="{00000000-0005-0000-0000-0000CACF0000}"/>
    <cellStyle name="Note 4 3 4 2" xfId="53329" xr:uid="{00000000-0005-0000-0000-0000CBCF0000}"/>
    <cellStyle name="Note 4 3 4 2 2" xfId="53330" xr:uid="{00000000-0005-0000-0000-0000CCCF0000}"/>
    <cellStyle name="Note 4 3 4 2 2 2" xfId="53331" xr:uid="{00000000-0005-0000-0000-0000CDCF0000}"/>
    <cellStyle name="Note 4 3 4 2 2 2 2" xfId="53332" xr:uid="{00000000-0005-0000-0000-0000CECF0000}"/>
    <cellStyle name="Note 4 3 4 2 2 2 3" xfId="53333" xr:uid="{00000000-0005-0000-0000-0000CFCF0000}"/>
    <cellStyle name="Note 4 3 4 2 2 3" xfId="53334" xr:uid="{00000000-0005-0000-0000-0000D0CF0000}"/>
    <cellStyle name="Note 4 3 4 2 2 4" xfId="53335" xr:uid="{00000000-0005-0000-0000-0000D1CF0000}"/>
    <cellStyle name="Note 4 3 4 2 2 5" xfId="53336" xr:uid="{00000000-0005-0000-0000-0000D2CF0000}"/>
    <cellStyle name="Note 4 3 4 2 2 6" xfId="53337" xr:uid="{00000000-0005-0000-0000-0000D3CF0000}"/>
    <cellStyle name="Note 4 3 4 2 3" xfId="53338" xr:uid="{00000000-0005-0000-0000-0000D4CF0000}"/>
    <cellStyle name="Note 4 3 4 2 3 2" xfId="53339" xr:uid="{00000000-0005-0000-0000-0000D5CF0000}"/>
    <cellStyle name="Note 4 3 4 2 3 3" xfId="53340" xr:uid="{00000000-0005-0000-0000-0000D6CF0000}"/>
    <cellStyle name="Note 4 3 4 2 4" xfId="53341" xr:uid="{00000000-0005-0000-0000-0000D7CF0000}"/>
    <cellStyle name="Note 4 3 4 2 5" xfId="53342" xr:uid="{00000000-0005-0000-0000-0000D8CF0000}"/>
    <cellStyle name="Note 4 3 4 2 6" xfId="53343" xr:uid="{00000000-0005-0000-0000-0000D9CF0000}"/>
    <cellStyle name="Note 4 3 4 2 7" xfId="53344" xr:uid="{00000000-0005-0000-0000-0000DACF0000}"/>
    <cellStyle name="Note 4 3 4 3" xfId="53345" xr:uid="{00000000-0005-0000-0000-0000DBCF0000}"/>
    <cellStyle name="Note 4 3 4 3 2" xfId="53346" xr:uid="{00000000-0005-0000-0000-0000DCCF0000}"/>
    <cellStyle name="Note 4 3 4 3 2 2" xfId="53347" xr:uid="{00000000-0005-0000-0000-0000DDCF0000}"/>
    <cellStyle name="Note 4 3 4 3 2 3" xfId="53348" xr:uid="{00000000-0005-0000-0000-0000DECF0000}"/>
    <cellStyle name="Note 4 3 4 3 3" xfId="53349" xr:uid="{00000000-0005-0000-0000-0000DFCF0000}"/>
    <cellStyle name="Note 4 3 4 3 4" xfId="53350" xr:uid="{00000000-0005-0000-0000-0000E0CF0000}"/>
    <cellStyle name="Note 4 3 4 3 5" xfId="53351" xr:uid="{00000000-0005-0000-0000-0000E1CF0000}"/>
    <cellStyle name="Note 4 3 4 3 6" xfId="53352" xr:uid="{00000000-0005-0000-0000-0000E2CF0000}"/>
    <cellStyle name="Note 4 3 4 4" xfId="53353" xr:uid="{00000000-0005-0000-0000-0000E3CF0000}"/>
    <cellStyle name="Note 4 3 4 4 2" xfId="53354" xr:uid="{00000000-0005-0000-0000-0000E4CF0000}"/>
    <cellStyle name="Note 4 3 4 4 2 2" xfId="53355" xr:uid="{00000000-0005-0000-0000-0000E5CF0000}"/>
    <cellStyle name="Note 4 3 4 4 2 3" xfId="53356" xr:uid="{00000000-0005-0000-0000-0000E6CF0000}"/>
    <cellStyle name="Note 4 3 4 4 3" xfId="53357" xr:uid="{00000000-0005-0000-0000-0000E7CF0000}"/>
    <cellStyle name="Note 4 3 4 4 4" xfId="53358" xr:uid="{00000000-0005-0000-0000-0000E8CF0000}"/>
    <cellStyle name="Note 4 3 4 4 5" xfId="53359" xr:uid="{00000000-0005-0000-0000-0000E9CF0000}"/>
    <cellStyle name="Note 4 3 4 4 6" xfId="53360" xr:uid="{00000000-0005-0000-0000-0000EACF0000}"/>
    <cellStyle name="Note 4 3 4 5" xfId="53361" xr:uid="{00000000-0005-0000-0000-0000EBCF0000}"/>
    <cellStyle name="Note 4 3 4 5 2" xfId="53362" xr:uid="{00000000-0005-0000-0000-0000ECCF0000}"/>
    <cellStyle name="Note 4 3 4 5 3" xfId="53363" xr:uid="{00000000-0005-0000-0000-0000EDCF0000}"/>
    <cellStyle name="Note 4 3 4 6" xfId="53364" xr:uid="{00000000-0005-0000-0000-0000EECF0000}"/>
    <cellStyle name="Note 4 3 4 7" xfId="53365" xr:uid="{00000000-0005-0000-0000-0000EFCF0000}"/>
    <cellStyle name="Note 4 3 4 8" xfId="53366" xr:uid="{00000000-0005-0000-0000-0000F0CF0000}"/>
    <cellStyle name="Note 4 3 4 9" xfId="53367" xr:uid="{00000000-0005-0000-0000-0000F1CF0000}"/>
    <cellStyle name="Note 4 3 5" xfId="53368" xr:uid="{00000000-0005-0000-0000-0000F2CF0000}"/>
    <cellStyle name="Note 4 3 5 2" xfId="53369" xr:uid="{00000000-0005-0000-0000-0000F3CF0000}"/>
    <cellStyle name="Note 4 3 5 2 2" xfId="53370" xr:uid="{00000000-0005-0000-0000-0000F4CF0000}"/>
    <cellStyle name="Note 4 3 5 2 2 2" xfId="53371" xr:uid="{00000000-0005-0000-0000-0000F5CF0000}"/>
    <cellStyle name="Note 4 3 5 2 2 3" xfId="53372" xr:uid="{00000000-0005-0000-0000-0000F6CF0000}"/>
    <cellStyle name="Note 4 3 5 2 3" xfId="53373" xr:uid="{00000000-0005-0000-0000-0000F7CF0000}"/>
    <cellStyle name="Note 4 3 5 2 4" xfId="53374" xr:uid="{00000000-0005-0000-0000-0000F8CF0000}"/>
    <cellStyle name="Note 4 3 5 2 5" xfId="53375" xr:uid="{00000000-0005-0000-0000-0000F9CF0000}"/>
    <cellStyle name="Note 4 3 5 2 6" xfId="53376" xr:uid="{00000000-0005-0000-0000-0000FACF0000}"/>
    <cellStyle name="Note 4 3 5 3" xfId="53377" xr:uid="{00000000-0005-0000-0000-0000FBCF0000}"/>
    <cellStyle name="Note 4 3 5 3 2" xfId="53378" xr:uid="{00000000-0005-0000-0000-0000FCCF0000}"/>
    <cellStyle name="Note 4 3 5 3 3" xfId="53379" xr:uid="{00000000-0005-0000-0000-0000FDCF0000}"/>
    <cellStyle name="Note 4 3 5 4" xfId="53380" xr:uid="{00000000-0005-0000-0000-0000FECF0000}"/>
    <cellStyle name="Note 4 3 5 5" xfId="53381" xr:uid="{00000000-0005-0000-0000-0000FFCF0000}"/>
    <cellStyle name="Note 4 3 5 6" xfId="53382" xr:uid="{00000000-0005-0000-0000-000000D00000}"/>
    <cellStyle name="Note 4 3 5 7" xfId="53383" xr:uid="{00000000-0005-0000-0000-000001D00000}"/>
    <cellStyle name="Note 4 3 6" xfId="53384" xr:uid="{00000000-0005-0000-0000-000002D00000}"/>
    <cellStyle name="Note 4 3 6 2" xfId="53385" xr:uid="{00000000-0005-0000-0000-000003D00000}"/>
    <cellStyle name="Note 4 3 6 2 2" xfId="53386" xr:uid="{00000000-0005-0000-0000-000004D00000}"/>
    <cellStyle name="Note 4 3 6 2 3" xfId="53387" xr:uid="{00000000-0005-0000-0000-000005D00000}"/>
    <cellStyle name="Note 4 3 6 3" xfId="53388" xr:uid="{00000000-0005-0000-0000-000006D00000}"/>
    <cellStyle name="Note 4 3 6 4" xfId="53389" xr:uid="{00000000-0005-0000-0000-000007D00000}"/>
    <cellStyle name="Note 4 3 6 5" xfId="53390" xr:uid="{00000000-0005-0000-0000-000008D00000}"/>
    <cellStyle name="Note 4 3 6 6" xfId="53391" xr:uid="{00000000-0005-0000-0000-000009D00000}"/>
    <cellStyle name="Note 4 3 7" xfId="53392" xr:uid="{00000000-0005-0000-0000-00000AD00000}"/>
    <cellStyle name="Note 4 3 7 2" xfId="53393" xr:uid="{00000000-0005-0000-0000-00000BD00000}"/>
    <cellStyle name="Note 4 3 7 2 2" xfId="53394" xr:uid="{00000000-0005-0000-0000-00000CD00000}"/>
    <cellStyle name="Note 4 3 7 2 3" xfId="53395" xr:uid="{00000000-0005-0000-0000-00000DD00000}"/>
    <cellStyle name="Note 4 3 7 3" xfId="53396" xr:uid="{00000000-0005-0000-0000-00000ED00000}"/>
    <cellStyle name="Note 4 3 7 4" xfId="53397" xr:uid="{00000000-0005-0000-0000-00000FD00000}"/>
    <cellStyle name="Note 4 3 7 5" xfId="53398" xr:uid="{00000000-0005-0000-0000-000010D00000}"/>
    <cellStyle name="Note 4 3 7 6" xfId="53399" xr:uid="{00000000-0005-0000-0000-000011D00000}"/>
    <cellStyle name="Note 4 3 8" xfId="53400" xr:uid="{00000000-0005-0000-0000-000012D00000}"/>
    <cellStyle name="Note 4 3 8 2" xfId="53401" xr:uid="{00000000-0005-0000-0000-000013D00000}"/>
    <cellStyle name="Note 4 3 8 2 2" xfId="53402" xr:uid="{00000000-0005-0000-0000-000014D00000}"/>
    <cellStyle name="Note 4 3 8 2 3" xfId="53403" xr:uid="{00000000-0005-0000-0000-000015D00000}"/>
    <cellStyle name="Note 4 3 8 3" xfId="53404" xr:uid="{00000000-0005-0000-0000-000016D00000}"/>
    <cellStyle name="Note 4 3 8 4" xfId="53405" xr:uid="{00000000-0005-0000-0000-000017D00000}"/>
    <cellStyle name="Note 4 3 8 5" xfId="53406" xr:uid="{00000000-0005-0000-0000-000018D00000}"/>
    <cellStyle name="Note 4 3 8 6" xfId="53407" xr:uid="{00000000-0005-0000-0000-000019D00000}"/>
    <cellStyle name="Note 4 3 9" xfId="53408" xr:uid="{00000000-0005-0000-0000-00001AD00000}"/>
    <cellStyle name="Note 4 3 9 2" xfId="53409" xr:uid="{00000000-0005-0000-0000-00001BD00000}"/>
    <cellStyle name="Note 4 3 9 2 2" xfId="53410" xr:uid="{00000000-0005-0000-0000-00001CD00000}"/>
    <cellStyle name="Note 4 3 9 2 3" xfId="53411" xr:uid="{00000000-0005-0000-0000-00001DD00000}"/>
    <cellStyle name="Note 4 3 9 3" xfId="53412" xr:uid="{00000000-0005-0000-0000-00001ED00000}"/>
    <cellStyle name="Note 4 3 9 4" xfId="53413" xr:uid="{00000000-0005-0000-0000-00001FD00000}"/>
    <cellStyle name="Note 4 3 9 5" xfId="53414" xr:uid="{00000000-0005-0000-0000-000020D00000}"/>
    <cellStyle name="Note 4 3 9 6" xfId="53415" xr:uid="{00000000-0005-0000-0000-000021D00000}"/>
    <cellStyle name="Note 4 4" xfId="53416" xr:uid="{00000000-0005-0000-0000-000022D00000}"/>
    <cellStyle name="Note 4 4 10" xfId="53417" xr:uid="{00000000-0005-0000-0000-000023D00000}"/>
    <cellStyle name="Note 4 4 10 2" xfId="53418" xr:uid="{00000000-0005-0000-0000-000024D00000}"/>
    <cellStyle name="Note 4 4 10 3" xfId="53419" xr:uid="{00000000-0005-0000-0000-000025D00000}"/>
    <cellStyle name="Note 4 4 11" xfId="53420" xr:uid="{00000000-0005-0000-0000-000026D00000}"/>
    <cellStyle name="Note 4 4 12" xfId="53421" xr:uid="{00000000-0005-0000-0000-000027D00000}"/>
    <cellStyle name="Note 4 4 13" xfId="53422" xr:uid="{00000000-0005-0000-0000-000028D00000}"/>
    <cellStyle name="Note 4 4 14" xfId="53423" xr:uid="{00000000-0005-0000-0000-000029D00000}"/>
    <cellStyle name="Note 4 4 2" xfId="53424" xr:uid="{00000000-0005-0000-0000-00002AD00000}"/>
    <cellStyle name="Note 4 4 2 10" xfId="53425" xr:uid="{00000000-0005-0000-0000-00002BD00000}"/>
    <cellStyle name="Note 4 4 2 11" xfId="53426" xr:uid="{00000000-0005-0000-0000-00002CD00000}"/>
    <cellStyle name="Note 4 4 2 12" xfId="53427" xr:uid="{00000000-0005-0000-0000-00002DD00000}"/>
    <cellStyle name="Note 4 4 2 13" xfId="53428" xr:uid="{00000000-0005-0000-0000-00002ED00000}"/>
    <cellStyle name="Note 4 4 2 2" xfId="53429" xr:uid="{00000000-0005-0000-0000-00002FD00000}"/>
    <cellStyle name="Note 4 4 2 2 10" xfId="53430" xr:uid="{00000000-0005-0000-0000-000030D00000}"/>
    <cellStyle name="Note 4 4 2 2 2" xfId="53431" xr:uid="{00000000-0005-0000-0000-000031D00000}"/>
    <cellStyle name="Note 4 4 2 2 2 2" xfId="53432" xr:uid="{00000000-0005-0000-0000-000032D00000}"/>
    <cellStyle name="Note 4 4 2 2 2 2 2" xfId="53433" xr:uid="{00000000-0005-0000-0000-000033D00000}"/>
    <cellStyle name="Note 4 4 2 2 2 2 2 2" xfId="53434" xr:uid="{00000000-0005-0000-0000-000034D00000}"/>
    <cellStyle name="Note 4 4 2 2 2 2 2 3" xfId="53435" xr:uid="{00000000-0005-0000-0000-000035D00000}"/>
    <cellStyle name="Note 4 4 2 2 2 2 3" xfId="53436" xr:uid="{00000000-0005-0000-0000-000036D00000}"/>
    <cellStyle name="Note 4 4 2 2 2 2 4" xfId="53437" xr:uid="{00000000-0005-0000-0000-000037D00000}"/>
    <cellStyle name="Note 4 4 2 2 2 2 5" xfId="53438" xr:uid="{00000000-0005-0000-0000-000038D00000}"/>
    <cellStyle name="Note 4 4 2 2 2 2 6" xfId="53439" xr:uid="{00000000-0005-0000-0000-000039D00000}"/>
    <cellStyle name="Note 4 4 2 2 2 3" xfId="53440" xr:uid="{00000000-0005-0000-0000-00003AD00000}"/>
    <cellStyle name="Note 4 4 2 2 2 3 2" xfId="53441" xr:uid="{00000000-0005-0000-0000-00003BD00000}"/>
    <cellStyle name="Note 4 4 2 2 2 3 2 2" xfId="53442" xr:uid="{00000000-0005-0000-0000-00003CD00000}"/>
    <cellStyle name="Note 4 4 2 2 2 3 2 3" xfId="53443" xr:uid="{00000000-0005-0000-0000-00003DD00000}"/>
    <cellStyle name="Note 4 4 2 2 2 3 3" xfId="53444" xr:uid="{00000000-0005-0000-0000-00003ED00000}"/>
    <cellStyle name="Note 4 4 2 2 2 3 4" xfId="53445" xr:uid="{00000000-0005-0000-0000-00003FD00000}"/>
    <cellStyle name="Note 4 4 2 2 2 3 5" xfId="53446" xr:uid="{00000000-0005-0000-0000-000040D00000}"/>
    <cellStyle name="Note 4 4 2 2 2 3 6" xfId="53447" xr:uid="{00000000-0005-0000-0000-000041D00000}"/>
    <cellStyle name="Note 4 4 2 2 2 4" xfId="53448" xr:uid="{00000000-0005-0000-0000-000042D00000}"/>
    <cellStyle name="Note 4 4 2 2 2 4 2" xfId="53449" xr:uid="{00000000-0005-0000-0000-000043D00000}"/>
    <cellStyle name="Note 4 4 2 2 2 4 3" xfId="53450" xr:uid="{00000000-0005-0000-0000-000044D00000}"/>
    <cellStyle name="Note 4 4 2 2 2 5" xfId="53451" xr:uid="{00000000-0005-0000-0000-000045D00000}"/>
    <cellStyle name="Note 4 4 2 2 2 6" xfId="53452" xr:uid="{00000000-0005-0000-0000-000046D00000}"/>
    <cellStyle name="Note 4 4 2 2 2 7" xfId="53453" xr:uid="{00000000-0005-0000-0000-000047D00000}"/>
    <cellStyle name="Note 4 4 2 2 2 8" xfId="53454" xr:uid="{00000000-0005-0000-0000-000048D00000}"/>
    <cellStyle name="Note 4 4 2 2 3" xfId="53455" xr:uid="{00000000-0005-0000-0000-000049D00000}"/>
    <cellStyle name="Note 4 4 2 2 3 2" xfId="53456" xr:uid="{00000000-0005-0000-0000-00004AD00000}"/>
    <cellStyle name="Note 4 4 2 2 3 2 2" xfId="53457" xr:uid="{00000000-0005-0000-0000-00004BD00000}"/>
    <cellStyle name="Note 4 4 2 2 3 2 2 2" xfId="53458" xr:uid="{00000000-0005-0000-0000-00004CD00000}"/>
    <cellStyle name="Note 4 4 2 2 3 2 2 3" xfId="53459" xr:uid="{00000000-0005-0000-0000-00004DD00000}"/>
    <cellStyle name="Note 4 4 2 2 3 2 3" xfId="53460" xr:uid="{00000000-0005-0000-0000-00004ED00000}"/>
    <cellStyle name="Note 4 4 2 2 3 2 4" xfId="53461" xr:uid="{00000000-0005-0000-0000-00004FD00000}"/>
    <cellStyle name="Note 4 4 2 2 3 2 5" xfId="53462" xr:uid="{00000000-0005-0000-0000-000050D00000}"/>
    <cellStyle name="Note 4 4 2 2 3 2 6" xfId="53463" xr:uid="{00000000-0005-0000-0000-000051D00000}"/>
    <cellStyle name="Note 4 4 2 2 3 3" xfId="53464" xr:uid="{00000000-0005-0000-0000-000052D00000}"/>
    <cellStyle name="Note 4 4 2 2 3 3 2" xfId="53465" xr:uid="{00000000-0005-0000-0000-000053D00000}"/>
    <cellStyle name="Note 4 4 2 2 3 3 3" xfId="53466" xr:uid="{00000000-0005-0000-0000-000054D00000}"/>
    <cellStyle name="Note 4 4 2 2 3 4" xfId="53467" xr:uid="{00000000-0005-0000-0000-000055D00000}"/>
    <cellStyle name="Note 4 4 2 2 3 5" xfId="53468" xr:uid="{00000000-0005-0000-0000-000056D00000}"/>
    <cellStyle name="Note 4 4 2 2 3 6" xfId="53469" xr:uid="{00000000-0005-0000-0000-000057D00000}"/>
    <cellStyle name="Note 4 4 2 2 3 7" xfId="53470" xr:uid="{00000000-0005-0000-0000-000058D00000}"/>
    <cellStyle name="Note 4 4 2 2 4" xfId="53471" xr:uid="{00000000-0005-0000-0000-000059D00000}"/>
    <cellStyle name="Note 4 4 2 2 4 2" xfId="53472" xr:uid="{00000000-0005-0000-0000-00005AD00000}"/>
    <cellStyle name="Note 4 4 2 2 4 2 2" xfId="53473" xr:uid="{00000000-0005-0000-0000-00005BD00000}"/>
    <cellStyle name="Note 4 4 2 2 4 2 3" xfId="53474" xr:uid="{00000000-0005-0000-0000-00005CD00000}"/>
    <cellStyle name="Note 4 4 2 2 4 3" xfId="53475" xr:uid="{00000000-0005-0000-0000-00005DD00000}"/>
    <cellStyle name="Note 4 4 2 2 4 4" xfId="53476" xr:uid="{00000000-0005-0000-0000-00005ED00000}"/>
    <cellStyle name="Note 4 4 2 2 4 5" xfId="53477" xr:uid="{00000000-0005-0000-0000-00005FD00000}"/>
    <cellStyle name="Note 4 4 2 2 4 6" xfId="53478" xr:uid="{00000000-0005-0000-0000-000060D00000}"/>
    <cellStyle name="Note 4 4 2 2 5" xfId="53479" xr:uid="{00000000-0005-0000-0000-000061D00000}"/>
    <cellStyle name="Note 4 4 2 2 5 2" xfId="53480" xr:uid="{00000000-0005-0000-0000-000062D00000}"/>
    <cellStyle name="Note 4 4 2 2 5 2 2" xfId="53481" xr:uid="{00000000-0005-0000-0000-000063D00000}"/>
    <cellStyle name="Note 4 4 2 2 5 2 3" xfId="53482" xr:uid="{00000000-0005-0000-0000-000064D00000}"/>
    <cellStyle name="Note 4 4 2 2 5 3" xfId="53483" xr:uid="{00000000-0005-0000-0000-000065D00000}"/>
    <cellStyle name="Note 4 4 2 2 5 4" xfId="53484" xr:uid="{00000000-0005-0000-0000-000066D00000}"/>
    <cellStyle name="Note 4 4 2 2 5 5" xfId="53485" xr:uid="{00000000-0005-0000-0000-000067D00000}"/>
    <cellStyle name="Note 4 4 2 2 5 6" xfId="53486" xr:uid="{00000000-0005-0000-0000-000068D00000}"/>
    <cellStyle name="Note 4 4 2 2 6" xfId="53487" xr:uid="{00000000-0005-0000-0000-000069D00000}"/>
    <cellStyle name="Note 4 4 2 2 6 2" xfId="53488" xr:uid="{00000000-0005-0000-0000-00006AD00000}"/>
    <cellStyle name="Note 4 4 2 2 6 3" xfId="53489" xr:uid="{00000000-0005-0000-0000-00006BD00000}"/>
    <cellStyle name="Note 4 4 2 2 7" xfId="53490" xr:uid="{00000000-0005-0000-0000-00006CD00000}"/>
    <cellStyle name="Note 4 4 2 2 8" xfId="53491" xr:uid="{00000000-0005-0000-0000-00006DD00000}"/>
    <cellStyle name="Note 4 4 2 2 9" xfId="53492" xr:uid="{00000000-0005-0000-0000-00006ED00000}"/>
    <cellStyle name="Note 4 4 2 3" xfId="53493" xr:uid="{00000000-0005-0000-0000-00006FD00000}"/>
    <cellStyle name="Note 4 4 2 3 2" xfId="53494" xr:uid="{00000000-0005-0000-0000-000070D00000}"/>
    <cellStyle name="Note 4 4 2 3 2 2" xfId="53495" xr:uid="{00000000-0005-0000-0000-000071D00000}"/>
    <cellStyle name="Note 4 4 2 3 2 2 2" xfId="53496" xr:uid="{00000000-0005-0000-0000-000072D00000}"/>
    <cellStyle name="Note 4 4 2 3 2 2 2 2" xfId="53497" xr:uid="{00000000-0005-0000-0000-000073D00000}"/>
    <cellStyle name="Note 4 4 2 3 2 2 2 3" xfId="53498" xr:uid="{00000000-0005-0000-0000-000074D00000}"/>
    <cellStyle name="Note 4 4 2 3 2 2 3" xfId="53499" xr:uid="{00000000-0005-0000-0000-000075D00000}"/>
    <cellStyle name="Note 4 4 2 3 2 2 4" xfId="53500" xr:uid="{00000000-0005-0000-0000-000076D00000}"/>
    <cellStyle name="Note 4 4 2 3 2 2 5" xfId="53501" xr:uid="{00000000-0005-0000-0000-000077D00000}"/>
    <cellStyle name="Note 4 4 2 3 2 2 6" xfId="53502" xr:uid="{00000000-0005-0000-0000-000078D00000}"/>
    <cellStyle name="Note 4 4 2 3 2 3" xfId="53503" xr:uid="{00000000-0005-0000-0000-000079D00000}"/>
    <cellStyle name="Note 4 4 2 3 2 3 2" xfId="53504" xr:uid="{00000000-0005-0000-0000-00007AD00000}"/>
    <cellStyle name="Note 4 4 2 3 2 3 3" xfId="53505" xr:uid="{00000000-0005-0000-0000-00007BD00000}"/>
    <cellStyle name="Note 4 4 2 3 2 4" xfId="53506" xr:uid="{00000000-0005-0000-0000-00007CD00000}"/>
    <cellStyle name="Note 4 4 2 3 2 5" xfId="53507" xr:uid="{00000000-0005-0000-0000-00007DD00000}"/>
    <cellStyle name="Note 4 4 2 3 2 6" xfId="53508" xr:uid="{00000000-0005-0000-0000-00007ED00000}"/>
    <cellStyle name="Note 4 4 2 3 2 7" xfId="53509" xr:uid="{00000000-0005-0000-0000-00007FD00000}"/>
    <cellStyle name="Note 4 4 2 3 3" xfId="53510" xr:uid="{00000000-0005-0000-0000-000080D00000}"/>
    <cellStyle name="Note 4 4 2 3 3 2" xfId="53511" xr:uid="{00000000-0005-0000-0000-000081D00000}"/>
    <cellStyle name="Note 4 4 2 3 3 2 2" xfId="53512" xr:uid="{00000000-0005-0000-0000-000082D00000}"/>
    <cellStyle name="Note 4 4 2 3 3 2 3" xfId="53513" xr:uid="{00000000-0005-0000-0000-000083D00000}"/>
    <cellStyle name="Note 4 4 2 3 3 3" xfId="53514" xr:uid="{00000000-0005-0000-0000-000084D00000}"/>
    <cellStyle name="Note 4 4 2 3 3 4" xfId="53515" xr:uid="{00000000-0005-0000-0000-000085D00000}"/>
    <cellStyle name="Note 4 4 2 3 3 5" xfId="53516" xr:uid="{00000000-0005-0000-0000-000086D00000}"/>
    <cellStyle name="Note 4 4 2 3 3 6" xfId="53517" xr:uid="{00000000-0005-0000-0000-000087D00000}"/>
    <cellStyle name="Note 4 4 2 3 4" xfId="53518" xr:uid="{00000000-0005-0000-0000-000088D00000}"/>
    <cellStyle name="Note 4 4 2 3 4 2" xfId="53519" xr:uid="{00000000-0005-0000-0000-000089D00000}"/>
    <cellStyle name="Note 4 4 2 3 4 2 2" xfId="53520" xr:uid="{00000000-0005-0000-0000-00008AD00000}"/>
    <cellStyle name="Note 4 4 2 3 4 2 3" xfId="53521" xr:uid="{00000000-0005-0000-0000-00008BD00000}"/>
    <cellStyle name="Note 4 4 2 3 4 3" xfId="53522" xr:uid="{00000000-0005-0000-0000-00008CD00000}"/>
    <cellStyle name="Note 4 4 2 3 4 4" xfId="53523" xr:uid="{00000000-0005-0000-0000-00008DD00000}"/>
    <cellStyle name="Note 4 4 2 3 4 5" xfId="53524" xr:uid="{00000000-0005-0000-0000-00008ED00000}"/>
    <cellStyle name="Note 4 4 2 3 4 6" xfId="53525" xr:uid="{00000000-0005-0000-0000-00008FD00000}"/>
    <cellStyle name="Note 4 4 2 3 5" xfId="53526" xr:uid="{00000000-0005-0000-0000-000090D00000}"/>
    <cellStyle name="Note 4 4 2 3 5 2" xfId="53527" xr:uid="{00000000-0005-0000-0000-000091D00000}"/>
    <cellStyle name="Note 4 4 2 3 5 3" xfId="53528" xr:uid="{00000000-0005-0000-0000-000092D00000}"/>
    <cellStyle name="Note 4 4 2 3 6" xfId="53529" xr:uid="{00000000-0005-0000-0000-000093D00000}"/>
    <cellStyle name="Note 4 4 2 3 7" xfId="53530" xr:uid="{00000000-0005-0000-0000-000094D00000}"/>
    <cellStyle name="Note 4 4 2 3 8" xfId="53531" xr:uid="{00000000-0005-0000-0000-000095D00000}"/>
    <cellStyle name="Note 4 4 2 3 9" xfId="53532" xr:uid="{00000000-0005-0000-0000-000096D00000}"/>
    <cellStyle name="Note 4 4 2 4" xfId="53533" xr:uid="{00000000-0005-0000-0000-000097D00000}"/>
    <cellStyle name="Note 4 4 2 4 2" xfId="53534" xr:uid="{00000000-0005-0000-0000-000098D00000}"/>
    <cellStyle name="Note 4 4 2 4 2 2" xfId="53535" xr:uid="{00000000-0005-0000-0000-000099D00000}"/>
    <cellStyle name="Note 4 4 2 4 2 2 2" xfId="53536" xr:uid="{00000000-0005-0000-0000-00009AD00000}"/>
    <cellStyle name="Note 4 4 2 4 2 2 3" xfId="53537" xr:uid="{00000000-0005-0000-0000-00009BD00000}"/>
    <cellStyle name="Note 4 4 2 4 2 3" xfId="53538" xr:uid="{00000000-0005-0000-0000-00009CD00000}"/>
    <cellStyle name="Note 4 4 2 4 2 4" xfId="53539" xr:uid="{00000000-0005-0000-0000-00009DD00000}"/>
    <cellStyle name="Note 4 4 2 4 2 5" xfId="53540" xr:uid="{00000000-0005-0000-0000-00009ED00000}"/>
    <cellStyle name="Note 4 4 2 4 2 6" xfId="53541" xr:uid="{00000000-0005-0000-0000-00009FD00000}"/>
    <cellStyle name="Note 4 4 2 4 3" xfId="53542" xr:uid="{00000000-0005-0000-0000-0000A0D00000}"/>
    <cellStyle name="Note 4 4 2 4 3 2" xfId="53543" xr:uid="{00000000-0005-0000-0000-0000A1D00000}"/>
    <cellStyle name="Note 4 4 2 4 3 3" xfId="53544" xr:uid="{00000000-0005-0000-0000-0000A2D00000}"/>
    <cellStyle name="Note 4 4 2 4 4" xfId="53545" xr:uid="{00000000-0005-0000-0000-0000A3D00000}"/>
    <cellStyle name="Note 4 4 2 4 5" xfId="53546" xr:uid="{00000000-0005-0000-0000-0000A4D00000}"/>
    <cellStyle name="Note 4 4 2 4 6" xfId="53547" xr:uid="{00000000-0005-0000-0000-0000A5D00000}"/>
    <cellStyle name="Note 4 4 2 4 7" xfId="53548" xr:uid="{00000000-0005-0000-0000-0000A6D00000}"/>
    <cellStyle name="Note 4 4 2 5" xfId="53549" xr:uid="{00000000-0005-0000-0000-0000A7D00000}"/>
    <cellStyle name="Note 4 4 2 5 2" xfId="53550" xr:uid="{00000000-0005-0000-0000-0000A8D00000}"/>
    <cellStyle name="Note 4 4 2 5 2 2" xfId="53551" xr:uid="{00000000-0005-0000-0000-0000A9D00000}"/>
    <cellStyle name="Note 4 4 2 5 2 3" xfId="53552" xr:uid="{00000000-0005-0000-0000-0000AAD00000}"/>
    <cellStyle name="Note 4 4 2 5 3" xfId="53553" xr:uid="{00000000-0005-0000-0000-0000ABD00000}"/>
    <cellStyle name="Note 4 4 2 5 4" xfId="53554" xr:uid="{00000000-0005-0000-0000-0000ACD00000}"/>
    <cellStyle name="Note 4 4 2 5 5" xfId="53555" xr:uid="{00000000-0005-0000-0000-0000ADD00000}"/>
    <cellStyle name="Note 4 4 2 5 6" xfId="53556" xr:uid="{00000000-0005-0000-0000-0000AED00000}"/>
    <cellStyle name="Note 4 4 2 6" xfId="53557" xr:uid="{00000000-0005-0000-0000-0000AFD00000}"/>
    <cellStyle name="Note 4 4 2 6 2" xfId="53558" xr:uid="{00000000-0005-0000-0000-0000B0D00000}"/>
    <cellStyle name="Note 4 4 2 6 2 2" xfId="53559" xr:uid="{00000000-0005-0000-0000-0000B1D00000}"/>
    <cellStyle name="Note 4 4 2 6 2 3" xfId="53560" xr:uid="{00000000-0005-0000-0000-0000B2D00000}"/>
    <cellStyle name="Note 4 4 2 6 3" xfId="53561" xr:uid="{00000000-0005-0000-0000-0000B3D00000}"/>
    <cellStyle name="Note 4 4 2 6 4" xfId="53562" xr:uid="{00000000-0005-0000-0000-0000B4D00000}"/>
    <cellStyle name="Note 4 4 2 6 5" xfId="53563" xr:uid="{00000000-0005-0000-0000-0000B5D00000}"/>
    <cellStyle name="Note 4 4 2 6 6" xfId="53564" xr:uid="{00000000-0005-0000-0000-0000B6D00000}"/>
    <cellStyle name="Note 4 4 2 7" xfId="53565" xr:uid="{00000000-0005-0000-0000-0000B7D00000}"/>
    <cellStyle name="Note 4 4 2 7 2" xfId="53566" xr:uid="{00000000-0005-0000-0000-0000B8D00000}"/>
    <cellStyle name="Note 4 4 2 7 2 2" xfId="53567" xr:uid="{00000000-0005-0000-0000-0000B9D00000}"/>
    <cellStyle name="Note 4 4 2 7 2 3" xfId="53568" xr:uid="{00000000-0005-0000-0000-0000BAD00000}"/>
    <cellStyle name="Note 4 4 2 7 3" xfId="53569" xr:uid="{00000000-0005-0000-0000-0000BBD00000}"/>
    <cellStyle name="Note 4 4 2 7 4" xfId="53570" xr:uid="{00000000-0005-0000-0000-0000BCD00000}"/>
    <cellStyle name="Note 4 4 2 7 5" xfId="53571" xr:uid="{00000000-0005-0000-0000-0000BDD00000}"/>
    <cellStyle name="Note 4 4 2 7 6" xfId="53572" xr:uid="{00000000-0005-0000-0000-0000BED00000}"/>
    <cellStyle name="Note 4 4 2 8" xfId="53573" xr:uid="{00000000-0005-0000-0000-0000BFD00000}"/>
    <cellStyle name="Note 4 4 2 8 2" xfId="53574" xr:uid="{00000000-0005-0000-0000-0000C0D00000}"/>
    <cellStyle name="Note 4 4 2 8 2 2" xfId="53575" xr:uid="{00000000-0005-0000-0000-0000C1D00000}"/>
    <cellStyle name="Note 4 4 2 8 2 3" xfId="53576" xr:uid="{00000000-0005-0000-0000-0000C2D00000}"/>
    <cellStyle name="Note 4 4 2 8 3" xfId="53577" xr:uid="{00000000-0005-0000-0000-0000C3D00000}"/>
    <cellStyle name="Note 4 4 2 8 4" xfId="53578" xr:uid="{00000000-0005-0000-0000-0000C4D00000}"/>
    <cellStyle name="Note 4 4 2 8 5" xfId="53579" xr:uid="{00000000-0005-0000-0000-0000C5D00000}"/>
    <cellStyle name="Note 4 4 2 8 6" xfId="53580" xr:uid="{00000000-0005-0000-0000-0000C6D00000}"/>
    <cellStyle name="Note 4 4 2 9" xfId="53581" xr:uid="{00000000-0005-0000-0000-0000C7D00000}"/>
    <cellStyle name="Note 4 4 2 9 2" xfId="53582" xr:uid="{00000000-0005-0000-0000-0000C8D00000}"/>
    <cellStyle name="Note 4 4 2 9 3" xfId="53583" xr:uid="{00000000-0005-0000-0000-0000C9D00000}"/>
    <cellStyle name="Note 4 4 3" xfId="53584" xr:uid="{00000000-0005-0000-0000-0000CAD00000}"/>
    <cellStyle name="Note 4 4 3 10" xfId="53585" xr:uid="{00000000-0005-0000-0000-0000CBD00000}"/>
    <cellStyle name="Note 4 4 3 2" xfId="53586" xr:uid="{00000000-0005-0000-0000-0000CCD00000}"/>
    <cellStyle name="Note 4 4 3 2 2" xfId="53587" xr:uid="{00000000-0005-0000-0000-0000CDD00000}"/>
    <cellStyle name="Note 4 4 3 2 2 2" xfId="53588" xr:uid="{00000000-0005-0000-0000-0000CED00000}"/>
    <cellStyle name="Note 4 4 3 2 2 2 2" xfId="53589" xr:uid="{00000000-0005-0000-0000-0000CFD00000}"/>
    <cellStyle name="Note 4 4 3 2 2 2 3" xfId="53590" xr:uid="{00000000-0005-0000-0000-0000D0D00000}"/>
    <cellStyle name="Note 4 4 3 2 2 3" xfId="53591" xr:uid="{00000000-0005-0000-0000-0000D1D00000}"/>
    <cellStyle name="Note 4 4 3 2 2 4" xfId="53592" xr:uid="{00000000-0005-0000-0000-0000D2D00000}"/>
    <cellStyle name="Note 4 4 3 2 2 5" xfId="53593" xr:uid="{00000000-0005-0000-0000-0000D3D00000}"/>
    <cellStyle name="Note 4 4 3 2 2 6" xfId="53594" xr:uid="{00000000-0005-0000-0000-0000D4D00000}"/>
    <cellStyle name="Note 4 4 3 2 3" xfId="53595" xr:uid="{00000000-0005-0000-0000-0000D5D00000}"/>
    <cellStyle name="Note 4 4 3 2 3 2" xfId="53596" xr:uid="{00000000-0005-0000-0000-0000D6D00000}"/>
    <cellStyle name="Note 4 4 3 2 3 2 2" xfId="53597" xr:uid="{00000000-0005-0000-0000-0000D7D00000}"/>
    <cellStyle name="Note 4 4 3 2 3 2 3" xfId="53598" xr:uid="{00000000-0005-0000-0000-0000D8D00000}"/>
    <cellStyle name="Note 4 4 3 2 3 3" xfId="53599" xr:uid="{00000000-0005-0000-0000-0000D9D00000}"/>
    <cellStyle name="Note 4 4 3 2 3 4" xfId="53600" xr:uid="{00000000-0005-0000-0000-0000DAD00000}"/>
    <cellStyle name="Note 4 4 3 2 3 5" xfId="53601" xr:uid="{00000000-0005-0000-0000-0000DBD00000}"/>
    <cellStyle name="Note 4 4 3 2 3 6" xfId="53602" xr:uid="{00000000-0005-0000-0000-0000DCD00000}"/>
    <cellStyle name="Note 4 4 3 2 4" xfId="53603" xr:uid="{00000000-0005-0000-0000-0000DDD00000}"/>
    <cellStyle name="Note 4 4 3 2 4 2" xfId="53604" xr:uid="{00000000-0005-0000-0000-0000DED00000}"/>
    <cellStyle name="Note 4 4 3 2 4 3" xfId="53605" xr:uid="{00000000-0005-0000-0000-0000DFD00000}"/>
    <cellStyle name="Note 4 4 3 2 5" xfId="53606" xr:uid="{00000000-0005-0000-0000-0000E0D00000}"/>
    <cellStyle name="Note 4 4 3 2 6" xfId="53607" xr:uid="{00000000-0005-0000-0000-0000E1D00000}"/>
    <cellStyle name="Note 4 4 3 2 7" xfId="53608" xr:uid="{00000000-0005-0000-0000-0000E2D00000}"/>
    <cellStyle name="Note 4 4 3 2 8" xfId="53609" xr:uid="{00000000-0005-0000-0000-0000E3D00000}"/>
    <cellStyle name="Note 4 4 3 3" xfId="53610" xr:uid="{00000000-0005-0000-0000-0000E4D00000}"/>
    <cellStyle name="Note 4 4 3 3 2" xfId="53611" xr:uid="{00000000-0005-0000-0000-0000E5D00000}"/>
    <cellStyle name="Note 4 4 3 3 2 2" xfId="53612" xr:uid="{00000000-0005-0000-0000-0000E6D00000}"/>
    <cellStyle name="Note 4 4 3 3 2 2 2" xfId="53613" xr:uid="{00000000-0005-0000-0000-0000E7D00000}"/>
    <cellStyle name="Note 4 4 3 3 2 2 3" xfId="53614" xr:uid="{00000000-0005-0000-0000-0000E8D00000}"/>
    <cellStyle name="Note 4 4 3 3 2 3" xfId="53615" xr:uid="{00000000-0005-0000-0000-0000E9D00000}"/>
    <cellStyle name="Note 4 4 3 3 2 4" xfId="53616" xr:uid="{00000000-0005-0000-0000-0000EAD00000}"/>
    <cellStyle name="Note 4 4 3 3 2 5" xfId="53617" xr:uid="{00000000-0005-0000-0000-0000EBD00000}"/>
    <cellStyle name="Note 4 4 3 3 2 6" xfId="53618" xr:uid="{00000000-0005-0000-0000-0000ECD00000}"/>
    <cellStyle name="Note 4 4 3 3 3" xfId="53619" xr:uid="{00000000-0005-0000-0000-0000EDD00000}"/>
    <cellStyle name="Note 4 4 3 3 3 2" xfId="53620" xr:uid="{00000000-0005-0000-0000-0000EED00000}"/>
    <cellStyle name="Note 4 4 3 3 3 3" xfId="53621" xr:uid="{00000000-0005-0000-0000-0000EFD00000}"/>
    <cellStyle name="Note 4 4 3 3 4" xfId="53622" xr:uid="{00000000-0005-0000-0000-0000F0D00000}"/>
    <cellStyle name="Note 4 4 3 3 5" xfId="53623" xr:uid="{00000000-0005-0000-0000-0000F1D00000}"/>
    <cellStyle name="Note 4 4 3 3 6" xfId="53624" xr:uid="{00000000-0005-0000-0000-0000F2D00000}"/>
    <cellStyle name="Note 4 4 3 3 7" xfId="53625" xr:uid="{00000000-0005-0000-0000-0000F3D00000}"/>
    <cellStyle name="Note 4 4 3 4" xfId="53626" xr:uid="{00000000-0005-0000-0000-0000F4D00000}"/>
    <cellStyle name="Note 4 4 3 4 2" xfId="53627" xr:uid="{00000000-0005-0000-0000-0000F5D00000}"/>
    <cellStyle name="Note 4 4 3 4 2 2" xfId="53628" xr:uid="{00000000-0005-0000-0000-0000F6D00000}"/>
    <cellStyle name="Note 4 4 3 4 2 3" xfId="53629" xr:uid="{00000000-0005-0000-0000-0000F7D00000}"/>
    <cellStyle name="Note 4 4 3 4 3" xfId="53630" xr:uid="{00000000-0005-0000-0000-0000F8D00000}"/>
    <cellStyle name="Note 4 4 3 4 4" xfId="53631" xr:uid="{00000000-0005-0000-0000-0000F9D00000}"/>
    <cellStyle name="Note 4 4 3 4 5" xfId="53632" xr:uid="{00000000-0005-0000-0000-0000FAD00000}"/>
    <cellStyle name="Note 4 4 3 4 6" xfId="53633" xr:uid="{00000000-0005-0000-0000-0000FBD00000}"/>
    <cellStyle name="Note 4 4 3 5" xfId="53634" xr:uid="{00000000-0005-0000-0000-0000FCD00000}"/>
    <cellStyle name="Note 4 4 3 5 2" xfId="53635" xr:uid="{00000000-0005-0000-0000-0000FDD00000}"/>
    <cellStyle name="Note 4 4 3 5 2 2" xfId="53636" xr:uid="{00000000-0005-0000-0000-0000FED00000}"/>
    <cellStyle name="Note 4 4 3 5 2 3" xfId="53637" xr:uid="{00000000-0005-0000-0000-0000FFD00000}"/>
    <cellStyle name="Note 4 4 3 5 3" xfId="53638" xr:uid="{00000000-0005-0000-0000-000000D10000}"/>
    <cellStyle name="Note 4 4 3 5 4" xfId="53639" xr:uid="{00000000-0005-0000-0000-000001D10000}"/>
    <cellStyle name="Note 4 4 3 5 5" xfId="53640" xr:uid="{00000000-0005-0000-0000-000002D10000}"/>
    <cellStyle name="Note 4 4 3 5 6" xfId="53641" xr:uid="{00000000-0005-0000-0000-000003D10000}"/>
    <cellStyle name="Note 4 4 3 6" xfId="53642" xr:uid="{00000000-0005-0000-0000-000004D10000}"/>
    <cellStyle name="Note 4 4 3 6 2" xfId="53643" xr:uid="{00000000-0005-0000-0000-000005D10000}"/>
    <cellStyle name="Note 4 4 3 6 3" xfId="53644" xr:uid="{00000000-0005-0000-0000-000006D10000}"/>
    <cellStyle name="Note 4 4 3 7" xfId="53645" xr:uid="{00000000-0005-0000-0000-000007D10000}"/>
    <cellStyle name="Note 4 4 3 8" xfId="53646" xr:uid="{00000000-0005-0000-0000-000008D10000}"/>
    <cellStyle name="Note 4 4 3 9" xfId="53647" xr:uid="{00000000-0005-0000-0000-000009D10000}"/>
    <cellStyle name="Note 4 4 4" xfId="53648" xr:uid="{00000000-0005-0000-0000-00000AD10000}"/>
    <cellStyle name="Note 4 4 4 2" xfId="53649" xr:uid="{00000000-0005-0000-0000-00000BD10000}"/>
    <cellStyle name="Note 4 4 4 2 2" xfId="53650" xr:uid="{00000000-0005-0000-0000-00000CD10000}"/>
    <cellStyle name="Note 4 4 4 2 2 2" xfId="53651" xr:uid="{00000000-0005-0000-0000-00000DD10000}"/>
    <cellStyle name="Note 4 4 4 2 2 2 2" xfId="53652" xr:uid="{00000000-0005-0000-0000-00000ED10000}"/>
    <cellStyle name="Note 4 4 4 2 2 2 3" xfId="53653" xr:uid="{00000000-0005-0000-0000-00000FD10000}"/>
    <cellStyle name="Note 4 4 4 2 2 3" xfId="53654" xr:uid="{00000000-0005-0000-0000-000010D10000}"/>
    <cellStyle name="Note 4 4 4 2 2 4" xfId="53655" xr:uid="{00000000-0005-0000-0000-000011D10000}"/>
    <cellStyle name="Note 4 4 4 2 2 5" xfId="53656" xr:uid="{00000000-0005-0000-0000-000012D10000}"/>
    <cellStyle name="Note 4 4 4 2 2 6" xfId="53657" xr:uid="{00000000-0005-0000-0000-000013D10000}"/>
    <cellStyle name="Note 4 4 4 2 3" xfId="53658" xr:uid="{00000000-0005-0000-0000-000014D10000}"/>
    <cellStyle name="Note 4 4 4 2 3 2" xfId="53659" xr:uid="{00000000-0005-0000-0000-000015D10000}"/>
    <cellStyle name="Note 4 4 4 2 3 3" xfId="53660" xr:uid="{00000000-0005-0000-0000-000016D10000}"/>
    <cellStyle name="Note 4 4 4 2 4" xfId="53661" xr:uid="{00000000-0005-0000-0000-000017D10000}"/>
    <cellStyle name="Note 4 4 4 2 5" xfId="53662" xr:uid="{00000000-0005-0000-0000-000018D10000}"/>
    <cellStyle name="Note 4 4 4 2 6" xfId="53663" xr:uid="{00000000-0005-0000-0000-000019D10000}"/>
    <cellStyle name="Note 4 4 4 2 7" xfId="53664" xr:uid="{00000000-0005-0000-0000-00001AD10000}"/>
    <cellStyle name="Note 4 4 4 3" xfId="53665" xr:uid="{00000000-0005-0000-0000-00001BD10000}"/>
    <cellStyle name="Note 4 4 4 3 2" xfId="53666" xr:uid="{00000000-0005-0000-0000-00001CD10000}"/>
    <cellStyle name="Note 4 4 4 3 2 2" xfId="53667" xr:uid="{00000000-0005-0000-0000-00001DD10000}"/>
    <cellStyle name="Note 4 4 4 3 2 3" xfId="53668" xr:uid="{00000000-0005-0000-0000-00001ED10000}"/>
    <cellStyle name="Note 4 4 4 3 3" xfId="53669" xr:uid="{00000000-0005-0000-0000-00001FD10000}"/>
    <cellStyle name="Note 4 4 4 3 4" xfId="53670" xr:uid="{00000000-0005-0000-0000-000020D10000}"/>
    <cellStyle name="Note 4 4 4 3 5" xfId="53671" xr:uid="{00000000-0005-0000-0000-000021D10000}"/>
    <cellStyle name="Note 4 4 4 3 6" xfId="53672" xr:uid="{00000000-0005-0000-0000-000022D10000}"/>
    <cellStyle name="Note 4 4 4 4" xfId="53673" xr:uid="{00000000-0005-0000-0000-000023D10000}"/>
    <cellStyle name="Note 4 4 4 4 2" xfId="53674" xr:uid="{00000000-0005-0000-0000-000024D10000}"/>
    <cellStyle name="Note 4 4 4 4 2 2" xfId="53675" xr:uid="{00000000-0005-0000-0000-000025D10000}"/>
    <cellStyle name="Note 4 4 4 4 2 3" xfId="53676" xr:uid="{00000000-0005-0000-0000-000026D10000}"/>
    <cellStyle name="Note 4 4 4 4 3" xfId="53677" xr:uid="{00000000-0005-0000-0000-000027D10000}"/>
    <cellStyle name="Note 4 4 4 4 4" xfId="53678" xr:uid="{00000000-0005-0000-0000-000028D10000}"/>
    <cellStyle name="Note 4 4 4 4 5" xfId="53679" xr:uid="{00000000-0005-0000-0000-000029D10000}"/>
    <cellStyle name="Note 4 4 4 4 6" xfId="53680" xr:uid="{00000000-0005-0000-0000-00002AD10000}"/>
    <cellStyle name="Note 4 4 4 5" xfId="53681" xr:uid="{00000000-0005-0000-0000-00002BD10000}"/>
    <cellStyle name="Note 4 4 4 5 2" xfId="53682" xr:uid="{00000000-0005-0000-0000-00002CD10000}"/>
    <cellStyle name="Note 4 4 4 5 3" xfId="53683" xr:uid="{00000000-0005-0000-0000-00002DD10000}"/>
    <cellStyle name="Note 4 4 4 6" xfId="53684" xr:uid="{00000000-0005-0000-0000-00002ED10000}"/>
    <cellStyle name="Note 4 4 4 7" xfId="53685" xr:uid="{00000000-0005-0000-0000-00002FD10000}"/>
    <cellStyle name="Note 4 4 4 8" xfId="53686" xr:uid="{00000000-0005-0000-0000-000030D10000}"/>
    <cellStyle name="Note 4 4 4 9" xfId="53687" xr:uid="{00000000-0005-0000-0000-000031D10000}"/>
    <cellStyle name="Note 4 4 5" xfId="53688" xr:uid="{00000000-0005-0000-0000-000032D10000}"/>
    <cellStyle name="Note 4 4 5 2" xfId="53689" xr:uid="{00000000-0005-0000-0000-000033D10000}"/>
    <cellStyle name="Note 4 4 5 2 2" xfId="53690" xr:uid="{00000000-0005-0000-0000-000034D10000}"/>
    <cellStyle name="Note 4 4 5 2 2 2" xfId="53691" xr:uid="{00000000-0005-0000-0000-000035D10000}"/>
    <cellStyle name="Note 4 4 5 2 2 3" xfId="53692" xr:uid="{00000000-0005-0000-0000-000036D10000}"/>
    <cellStyle name="Note 4 4 5 2 3" xfId="53693" xr:uid="{00000000-0005-0000-0000-000037D10000}"/>
    <cellStyle name="Note 4 4 5 2 4" xfId="53694" xr:uid="{00000000-0005-0000-0000-000038D10000}"/>
    <cellStyle name="Note 4 4 5 2 5" xfId="53695" xr:uid="{00000000-0005-0000-0000-000039D10000}"/>
    <cellStyle name="Note 4 4 5 2 6" xfId="53696" xr:uid="{00000000-0005-0000-0000-00003AD10000}"/>
    <cellStyle name="Note 4 4 5 3" xfId="53697" xr:uid="{00000000-0005-0000-0000-00003BD10000}"/>
    <cellStyle name="Note 4 4 5 3 2" xfId="53698" xr:uid="{00000000-0005-0000-0000-00003CD10000}"/>
    <cellStyle name="Note 4 4 5 3 3" xfId="53699" xr:uid="{00000000-0005-0000-0000-00003DD10000}"/>
    <cellStyle name="Note 4 4 5 4" xfId="53700" xr:uid="{00000000-0005-0000-0000-00003ED10000}"/>
    <cellStyle name="Note 4 4 5 5" xfId="53701" xr:uid="{00000000-0005-0000-0000-00003FD10000}"/>
    <cellStyle name="Note 4 4 5 6" xfId="53702" xr:uid="{00000000-0005-0000-0000-000040D10000}"/>
    <cellStyle name="Note 4 4 5 7" xfId="53703" xr:uid="{00000000-0005-0000-0000-000041D10000}"/>
    <cellStyle name="Note 4 4 6" xfId="53704" xr:uid="{00000000-0005-0000-0000-000042D10000}"/>
    <cellStyle name="Note 4 4 6 2" xfId="53705" xr:uid="{00000000-0005-0000-0000-000043D10000}"/>
    <cellStyle name="Note 4 4 6 2 2" xfId="53706" xr:uid="{00000000-0005-0000-0000-000044D10000}"/>
    <cellStyle name="Note 4 4 6 2 3" xfId="53707" xr:uid="{00000000-0005-0000-0000-000045D10000}"/>
    <cellStyle name="Note 4 4 6 3" xfId="53708" xr:uid="{00000000-0005-0000-0000-000046D10000}"/>
    <cellStyle name="Note 4 4 6 4" xfId="53709" xr:uid="{00000000-0005-0000-0000-000047D10000}"/>
    <cellStyle name="Note 4 4 6 5" xfId="53710" xr:uid="{00000000-0005-0000-0000-000048D10000}"/>
    <cellStyle name="Note 4 4 6 6" xfId="53711" xr:uid="{00000000-0005-0000-0000-000049D10000}"/>
    <cellStyle name="Note 4 4 7" xfId="53712" xr:uid="{00000000-0005-0000-0000-00004AD10000}"/>
    <cellStyle name="Note 4 4 7 2" xfId="53713" xr:uid="{00000000-0005-0000-0000-00004BD10000}"/>
    <cellStyle name="Note 4 4 7 2 2" xfId="53714" xr:uid="{00000000-0005-0000-0000-00004CD10000}"/>
    <cellStyle name="Note 4 4 7 2 3" xfId="53715" xr:uid="{00000000-0005-0000-0000-00004DD10000}"/>
    <cellStyle name="Note 4 4 7 3" xfId="53716" xr:uid="{00000000-0005-0000-0000-00004ED10000}"/>
    <cellStyle name="Note 4 4 7 4" xfId="53717" xr:uid="{00000000-0005-0000-0000-00004FD10000}"/>
    <cellStyle name="Note 4 4 7 5" xfId="53718" xr:uid="{00000000-0005-0000-0000-000050D10000}"/>
    <cellStyle name="Note 4 4 7 6" xfId="53719" xr:uid="{00000000-0005-0000-0000-000051D10000}"/>
    <cellStyle name="Note 4 4 8" xfId="53720" xr:uid="{00000000-0005-0000-0000-000052D10000}"/>
    <cellStyle name="Note 4 4 8 2" xfId="53721" xr:uid="{00000000-0005-0000-0000-000053D10000}"/>
    <cellStyle name="Note 4 4 8 2 2" xfId="53722" xr:uid="{00000000-0005-0000-0000-000054D10000}"/>
    <cellStyle name="Note 4 4 8 2 3" xfId="53723" xr:uid="{00000000-0005-0000-0000-000055D10000}"/>
    <cellStyle name="Note 4 4 8 3" xfId="53724" xr:uid="{00000000-0005-0000-0000-000056D10000}"/>
    <cellStyle name="Note 4 4 8 4" xfId="53725" xr:uid="{00000000-0005-0000-0000-000057D10000}"/>
    <cellStyle name="Note 4 4 8 5" xfId="53726" xr:uid="{00000000-0005-0000-0000-000058D10000}"/>
    <cellStyle name="Note 4 4 8 6" xfId="53727" xr:uid="{00000000-0005-0000-0000-000059D10000}"/>
    <cellStyle name="Note 4 4 9" xfId="53728" xr:uid="{00000000-0005-0000-0000-00005AD10000}"/>
    <cellStyle name="Note 4 4 9 2" xfId="53729" xr:uid="{00000000-0005-0000-0000-00005BD10000}"/>
    <cellStyle name="Note 4 4 9 2 2" xfId="53730" xr:uid="{00000000-0005-0000-0000-00005CD10000}"/>
    <cellStyle name="Note 4 4 9 2 3" xfId="53731" xr:uid="{00000000-0005-0000-0000-00005DD10000}"/>
    <cellStyle name="Note 4 4 9 3" xfId="53732" xr:uid="{00000000-0005-0000-0000-00005ED10000}"/>
    <cellStyle name="Note 4 4 9 4" xfId="53733" xr:uid="{00000000-0005-0000-0000-00005FD10000}"/>
    <cellStyle name="Note 4 4 9 5" xfId="53734" xr:uid="{00000000-0005-0000-0000-000060D10000}"/>
    <cellStyle name="Note 4 4 9 6" xfId="53735" xr:uid="{00000000-0005-0000-0000-000061D10000}"/>
    <cellStyle name="Note 4 5" xfId="53736" xr:uid="{00000000-0005-0000-0000-000062D10000}"/>
    <cellStyle name="Note 4 5 10" xfId="53737" xr:uid="{00000000-0005-0000-0000-000063D10000}"/>
    <cellStyle name="Note 4 5 11" xfId="53738" xr:uid="{00000000-0005-0000-0000-000064D10000}"/>
    <cellStyle name="Note 4 5 12" xfId="53739" xr:uid="{00000000-0005-0000-0000-000065D10000}"/>
    <cellStyle name="Note 4 5 13" xfId="53740" xr:uid="{00000000-0005-0000-0000-000066D10000}"/>
    <cellStyle name="Note 4 5 2" xfId="53741" xr:uid="{00000000-0005-0000-0000-000067D10000}"/>
    <cellStyle name="Note 4 5 2 10" xfId="53742" xr:uid="{00000000-0005-0000-0000-000068D10000}"/>
    <cellStyle name="Note 4 5 2 2" xfId="53743" xr:uid="{00000000-0005-0000-0000-000069D10000}"/>
    <cellStyle name="Note 4 5 2 2 2" xfId="53744" xr:uid="{00000000-0005-0000-0000-00006AD10000}"/>
    <cellStyle name="Note 4 5 2 2 2 2" xfId="53745" xr:uid="{00000000-0005-0000-0000-00006BD10000}"/>
    <cellStyle name="Note 4 5 2 2 2 2 2" xfId="53746" xr:uid="{00000000-0005-0000-0000-00006CD10000}"/>
    <cellStyle name="Note 4 5 2 2 2 2 3" xfId="53747" xr:uid="{00000000-0005-0000-0000-00006DD10000}"/>
    <cellStyle name="Note 4 5 2 2 2 3" xfId="53748" xr:uid="{00000000-0005-0000-0000-00006ED10000}"/>
    <cellStyle name="Note 4 5 2 2 2 4" xfId="53749" xr:uid="{00000000-0005-0000-0000-00006FD10000}"/>
    <cellStyle name="Note 4 5 2 2 2 5" xfId="53750" xr:uid="{00000000-0005-0000-0000-000070D10000}"/>
    <cellStyle name="Note 4 5 2 2 2 6" xfId="53751" xr:uid="{00000000-0005-0000-0000-000071D10000}"/>
    <cellStyle name="Note 4 5 2 2 3" xfId="53752" xr:uid="{00000000-0005-0000-0000-000072D10000}"/>
    <cellStyle name="Note 4 5 2 2 3 2" xfId="53753" xr:uid="{00000000-0005-0000-0000-000073D10000}"/>
    <cellStyle name="Note 4 5 2 2 3 2 2" xfId="53754" xr:uid="{00000000-0005-0000-0000-000074D10000}"/>
    <cellStyle name="Note 4 5 2 2 3 2 3" xfId="53755" xr:uid="{00000000-0005-0000-0000-000075D10000}"/>
    <cellStyle name="Note 4 5 2 2 3 3" xfId="53756" xr:uid="{00000000-0005-0000-0000-000076D10000}"/>
    <cellStyle name="Note 4 5 2 2 3 4" xfId="53757" xr:uid="{00000000-0005-0000-0000-000077D10000}"/>
    <cellStyle name="Note 4 5 2 2 3 5" xfId="53758" xr:uid="{00000000-0005-0000-0000-000078D10000}"/>
    <cellStyle name="Note 4 5 2 2 3 6" xfId="53759" xr:uid="{00000000-0005-0000-0000-000079D10000}"/>
    <cellStyle name="Note 4 5 2 2 4" xfId="53760" xr:uid="{00000000-0005-0000-0000-00007AD10000}"/>
    <cellStyle name="Note 4 5 2 2 4 2" xfId="53761" xr:uid="{00000000-0005-0000-0000-00007BD10000}"/>
    <cellStyle name="Note 4 5 2 2 4 3" xfId="53762" xr:uid="{00000000-0005-0000-0000-00007CD10000}"/>
    <cellStyle name="Note 4 5 2 2 5" xfId="53763" xr:uid="{00000000-0005-0000-0000-00007DD10000}"/>
    <cellStyle name="Note 4 5 2 2 6" xfId="53764" xr:uid="{00000000-0005-0000-0000-00007ED10000}"/>
    <cellStyle name="Note 4 5 2 2 7" xfId="53765" xr:uid="{00000000-0005-0000-0000-00007FD10000}"/>
    <cellStyle name="Note 4 5 2 2 8" xfId="53766" xr:uid="{00000000-0005-0000-0000-000080D10000}"/>
    <cellStyle name="Note 4 5 2 3" xfId="53767" xr:uid="{00000000-0005-0000-0000-000081D10000}"/>
    <cellStyle name="Note 4 5 2 3 2" xfId="53768" xr:uid="{00000000-0005-0000-0000-000082D10000}"/>
    <cellStyle name="Note 4 5 2 3 2 2" xfId="53769" xr:uid="{00000000-0005-0000-0000-000083D10000}"/>
    <cellStyle name="Note 4 5 2 3 2 2 2" xfId="53770" xr:uid="{00000000-0005-0000-0000-000084D10000}"/>
    <cellStyle name="Note 4 5 2 3 2 2 3" xfId="53771" xr:uid="{00000000-0005-0000-0000-000085D10000}"/>
    <cellStyle name="Note 4 5 2 3 2 3" xfId="53772" xr:uid="{00000000-0005-0000-0000-000086D10000}"/>
    <cellStyle name="Note 4 5 2 3 2 4" xfId="53773" xr:uid="{00000000-0005-0000-0000-000087D10000}"/>
    <cellStyle name="Note 4 5 2 3 2 5" xfId="53774" xr:uid="{00000000-0005-0000-0000-000088D10000}"/>
    <cellStyle name="Note 4 5 2 3 2 6" xfId="53775" xr:uid="{00000000-0005-0000-0000-000089D10000}"/>
    <cellStyle name="Note 4 5 2 3 3" xfId="53776" xr:uid="{00000000-0005-0000-0000-00008AD10000}"/>
    <cellStyle name="Note 4 5 2 3 3 2" xfId="53777" xr:uid="{00000000-0005-0000-0000-00008BD10000}"/>
    <cellStyle name="Note 4 5 2 3 3 3" xfId="53778" xr:uid="{00000000-0005-0000-0000-00008CD10000}"/>
    <cellStyle name="Note 4 5 2 3 4" xfId="53779" xr:uid="{00000000-0005-0000-0000-00008DD10000}"/>
    <cellStyle name="Note 4 5 2 3 5" xfId="53780" xr:uid="{00000000-0005-0000-0000-00008ED10000}"/>
    <cellStyle name="Note 4 5 2 3 6" xfId="53781" xr:uid="{00000000-0005-0000-0000-00008FD10000}"/>
    <cellStyle name="Note 4 5 2 3 7" xfId="53782" xr:uid="{00000000-0005-0000-0000-000090D10000}"/>
    <cellStyle name="Note 4 5 2 4" xfId="53783" xr:uid="{00000000-0005-0000-0000-000091D10000}"/>
    <cellStyle name="Note 4 5 2 4 2" xfId="53784" xr:uid="{00000000-0005-0000-0000-000092D10000}"/>
    <cellStyle name="Note 4 5 2 4 2 2" xfId="53785" xr:uid="{00000000-0005-0000-0000-000093D10000}"/>
    <cellStyle name="Note 4 5 2 4 2 3" xfId="53786" xr:uid="{00000000-0005-0000-0000-000094D10000}"/>
    <cellStyle name="Note 4 5 2 4 3" xfId="53787" xr:uid="{00000000-0005-0000-0000-000095D10000}"/>
    <cellStyle name="Note 4 5 2 4 4" xfId="53788" xr:uid="{00000000-0005-0000-0000-000096D10000}"/>
    <cellStyle name="Note 4 5 2 4 5" xfId="53789" xr:uid="{00000000-0005-0000-0000-000097D10000}"/>
    <cellStyle name="Note 4 5 2 4 6" xfId="53790" xr:uid="{00000000-0005-0000-0000-000098D10000}"/>
    <cellStyle name="Note 4 5 2 5" xfId="53791" xr:uid="{00000000-0005-0000-0000-000099D10000}"/>
    <cellStyle name="Note 4 5 2 5 2" xfId="53792" xr:uid="{00000000-0005-0000-0000-00009AD10000}"/>
    <cellStyle name="Note 4 5 2 5 2 2" xfId="53793" xr:uid="{00000000-0005-0000-0000-00009BD10000}"/>
    <cellStyle name="Note 4 5 2 5 2 3" xfId="53794" xr:uid="{00000000-0005-0000-0000-00009CD10000}"/>
    <cellStyle name="Note 4 5 2 5 3" xfId="53795" xr:uid="{00000000-0005-0000-0000-00009DD10000}"/>
    <cellStyle name="Note 4 5 2 5 4" xfId="53796" xr:uid="{00000000-0005-0000-0000-00009ED10000}"/>
    <cellStyle name="Note 4 5 2 5 5" xfId="53797" xr:uid="{00000000-0005-0000-0000-00009FD10000}"/>
    <cellStyle name="Note 4 5 2 5 6" xfId="53798" xr:uid="{00000000-0005-0000-0000-0000A0D10000}"/>
    <cellStyle name="Note 4 5 2 6" xfId="53799" xr:uid="{00000000-0005-0000-0000-0000A1D10000}"/>
    <cellStyle name="Note 4 5 2 6 2" xfId="53800" xr:uid="{00000000-0005-0000-0000-0000A2D10000}"/>
    <cellStyle name="Note 4 5 2 6 3" xfId="53801" xr:uid="{00000000-0005-0000-0000-0000A3D10000}"/>
    <cellStyle name="Note 4 5 2 7" xfId="53802" xr:uid="{00000000-0005-0000-0000-0000A4D10000}"/>
    <cellStyle name="Note 4 5 2 8" xfId="53803" xr:uid="{00000000-0005-0000-0000-0000A5D10000}"/>
    <cellStyle name="Note 4 5 2 9" xfId="53804" xr:uid="{00000000-0005-0000-0000-0000A6D10000}"/>
    <cellStyle name="Note 4 5 3" xfId="53805" xr:uid="{00000000-0005-0000-0000-0000A7D10000}"/>
    <cellStyle name="Note 4 5 3 2" xfId="53806" xr:uid="{00000000-0005-0000-0000-0000A8D10000}"/>
    <cellStyle name="Note 4 5 3 2 2" xfId="53807" xr:uid="{00000000-0005-0000-0000-0000A9D10000}"/>
    <cellStyle name="Note 4 5 3 2 2 2" xfId="53808" xr:uid="{00000000-0005-0000-0000-0000AAD10000}"/>
    <cellStyle name="Note 4 5 3 2 2 2 2" xfId="53809" xr:uid="{00000000-0005-0000-0000-0000ABD10000}"/>
    <cellStyle name="Note 4 5 3 2 2 2 3" xfId="53810" xr:uid="{00000000-0005-0000-0000-0000ACD10000}"/>
    <cellStyle name="Note 4 5 3 2 2 3" xfId="53811" xr:uid="{00000000-0005-0000-0000-0000ADD10000}"/>
    <cellStyle name="Note 4 5 3 2 2 4" xfId="53812" xr:uid="{00000000-0005-0000-0000-0000AED10000}"/>
    <cellStyle name="Note 4 5 3 2 2 5" xfId="53813" xr:uid="{00000000-0005-0000-0000-0000AFD10000}"/>
    <cellStyle name="Note 4 5 3 2 2 6" xfId="53814" xr:uid="{00000000-0005-0000-0000-0000B0D10000}"/>
    <cellStyle name="Note 4 5 3 2 3" xfId="53815" xr:uid="{00000000-0005-0000-0000-0000B1D10000}"/>
    <cellStyle name="Note 4 5 3 2 3 2" xfId="53816" xr:uid="{00000000-0005-0000-0000-0000B2D10000}"/>
    <cellStyle name="Note 4 5 3 2 3 3" xfId="53817" xr:uid="{00000000-0005-0000-0000-0000B3D10000}"/>
    <cellStyle name="Note 4 5 3 2 4" xfId="53818" xr:uid="{00000000-0005-0000-0000-0000B4D10000}"/>
    <cellStyle name="Note 4 5 3 2 5" xfId="53819" xr:uid="{00000000-0005-0000-0000-0000B5D10000}"/>
    <cellStyle name="Note 4 5 3 2 6" xfId="53820" xr:uid="{00000000-0005-0000-0000-0000B6D10000}"/>
    <cellStyle name="Note 4 5 3 2 7" xfId="53821" xr:uid="{00000000-0005-0000-0000-0000B7D10000}"/>
    <cellStyle name="Note 4 5 3 3" xfId="53822" xr:uid="{00000000-0005-0000-0000-0000B8D10000}"/>
    <cellStyle name="Note 4 5 3 3 2" xfId="53823" xr:uid="{00000000-0005-0000-0000-0000B9D10000}"/>
    <cellStyle name="Note 4 5 3 3 2 2" xfId="53824" xr:uid="{00000000-0005-0000-0000-0000BAD10000}"/>
    <cellStyle name="Note 4 5 3 3 2 3" xfId="53825" xr:uid="{00000000-0005-0000-0000-0000BBD10000}"/>
    <cellStyle name="Note 4 5 3 3 3" xfId="53826" xr:uid="{00000000-0005-0000-0000-0000BCD10000}"/>
    <cellStyle name="Note 4 5 3 3 4" xfId="53827" xr:uid="{00000000-0005-0000-0000-0000BDD10000}"/>
    <cellStyle name="Note 4 5 3 3 5" xfId="53828" xr:uid="{00000000-0005-0000-0000-0000BED10000}"/>
    <cellStyle name="Note 4 5 3 3 6" xfId="53829" xr:uid="{00000000-0005-0000-0000-0000BFD10000}"/>
    <cellStyle name="Note 4 5 3 4" xfId="53830" xr:uid="{00000000-0005-0000-0000-0000C0D10000}"/>
    <cellStyle name="Note 4 5 3 4 2" xfId="53831" xr:uid="{00000000-0005-0000-0000-0000C1D10000}"/>
    <cellStyle name="Note 4 5 3 4 2 2" xfId="53832" xr:uid="{00000000-0005-0000-0000-0000C2D10000}"/>
    <cellStyle name="Note 4 5 3 4 2 3" xfId="53833" xr:uid="{00000000-0005-0000-0000-0000C3D10000}"/>
    <cellStyle name="Note 4 5 3 4 3" xfId="53834" xr:uid="{00000000-0005-0000-0000-0000C4D10000}"/>
    <cellStyle name="Note 4 5 3 4 4" xfId="53835" xr:uid="{00000000-0005-0000-0000-0000C5D10000}"/>
    <cellStyle name="Note 4 5 3 4 5" xfId="53836" xr:uid="{00000000-0005-0000-0000-0000C6D10000}"/>
    <cellStyle name="Note 4 5 3 4 6" xfId="53837" xr:uid="{00000000-0005-0000-0000-0000C7D10000}"/>
    <cellStyle name="Note 4 5 3 5" xfId="53838" xr:uid="{00000000-0005-0000-0000-0000C8D10000}"/>
    <cellStyle name="Note 4 5 3 5 2" xfId="53839" xr:uid="{00000000-0005-0000-0000-0000C9D10000}"/>
    <cellStyle name="Note 4 5 3 5 3" xfId="53840" xr:uid="{00000000-0005-0000-0000-0000CAD10000}"/>
    <cellStyle name="Note 4 5 3 6" xfId="53841" xr:uid="{00000000-0005-0000-0000-0000CBD10000}"/>
    <cellStyle name="Note 4 5 3 7" xfId="53842" xr:uid="{00000000-0005-0000-0000-0000CCD10000}"/>
    <cellStyle name="Note 4 5 3 8" xfId="53843" xr:uid="{00000000-0005-0000-0000-0000CDD10000}"/>
    <cellStyle name="Note 4 5 3 9" xfId="53844" xr:uid="{00000000-0005-0000-0000-0000CED10000}"/>
    <cellStyle name="Note 4 5 4" xfId="53845" xr:uid="{00000000-0005-0000-0000-0000CFD10000}"/>
    <cellStyle name="Note 4 5 4 2" xfId="53846" xr:uid="{00000000-0005-0000-0000-0000D0D10000}"/>
    <cellStyle name="Note 4 5 4 2 2" xfId="53847" xr:uid="{00000000-0005-0000-0000-0000D1D10000}"/>
    <cellStyle name="Note 4 5 4 2 2 2" xfId="53848" xr:uid="{00000000-0005-0000-0000-0000D2D10000}"/>
    <cellStyle name="Note 4 5 4 2 2 3" xfId="53849" xr:uid="{00000000-0005-0000-0000-0000D3D10000}"/>
    <cellStyle name="Note 4 5 4 2 3" xfId="53850" xr:uid="{00000000-0005-0000-0000-0000D4D10000}"/>
    <cellStyle name="Note 4 5 4 2 4" xfId="53851" xr:uid="{00000000-0005-0000-0000-0000D5D10000}"/>
    <cellStyle name="Note 4 5 4 2 5" xfId="53852" xr:uid="{00000000-0005-0000-0000-0000D6D10000}"/>
    <cellStyle name="Note 4 5 4 2 6" xfId="53853" xr:uid="{00000000-0005-0000-0000-0000D7D10000}"/>
    <cellStyle name="Note 4 5 4 3" xfId="53854" xr:uid="{00000000-0005-0000-0000-0000D8D10000}"/>
    <cellStyle name="Note 4 5 4 3 2" xfId="53855" xr:uid="{00000000-0005-0000-0000-0000D9D10000}"/>
    <cellStyle name="Note 4 5 4 3 3" xfId="53856" xr:uid="{00000000-0005-0000-0000-0000DAD10000}"/>
    <cellStyle name="Note 4 5 4 4" xfId="53857" xr:uid="{00000000-0005-0000-0000-0000DBD10000}"/>
    <cellStyle name="Note 4 5 4 5" xfId="53858" xr:uid="{00000000-0005-0000-0000-0000DCD10000}"/>
    <cellStyle name="Note 4 5 4 6" xfId="53859" xr:uid="{00000000-0005-0000-0000-0000DDD10000}"/>
    <cellStyle name="Note 4 5 4 7" xfId="53860" xr:uid="{00000000-0005-0000-0000-0000DED10000}"/>
    <cellStyle name="Note 4 5 5" xfId="53861" xr:uid="{00000000-0005-0000-0000-0000DFD10000}"/>
    <cellStyle name="Note 4 5 5 2" xfId="53862" xr:uid="{00000000-0005-0000-0000-0000E0D10000}"/>
    <cellStyle name="Note 4 5 5 2 2" xfId="53863" xr:uid="{00000000-0005-0000-0000-0000E1D10000}"/>
    <cellStyle name="Note 4 5 5 2 3" xfId="53864" xr:uid="{00000000-0005-0000-0000-0000E2D10000}"/>
    <cellStyle name="Note 4 5 5 3" xfId="53865" xr:uid="{00000000-0005-0000-0000-0000E3D10000}"/>
    <cellStyle name="Note 4 5 5 4" xfId="53866" xr:uid="{00000000-0005-0000-0000-0000E4D10000}"/>
    <cellStyle name="Note 4 5 5 5" xfId="53867" xr:uid="{00000000-0005-0000-0000-0000E5D10000}"/>
    <cellStyle name="Note 4 5 5 6" xfId="53868" xr:uid="{00000000-0005-0000-0000-0000E6D10000}"/>
    <cellStyle name="Note 4 5 6" xfId="53869" xr:uid="{00000000-0005-0000-0000-0000E7D10000}"/>
    <cellStyle name="Note 4 5 6 2" xfId="53870" xr:uid="{00000000-0005-0000-0000-0000E8D10000}"/>
    <cellStyle name="Note 4 5 6 2 2" xfId="53871" xr:uid="{00000000-0005-0000-0000-0000E9D10000}"/>
    <cellStyle name="Note 4 5 6 2 3" xfId="53872" xr:uid="{00000000-0005-0000-0000-0000EAD10000}"/>
    <cellStyle name="Note 4 5 6 3" xfId="53873" xr:uid="{00000000-0005-0000-0000-0000EBD10000}"/>
    <cellStyle name="Note 4 5 6 4" xfId="53874" xr:uid="{00000000-0005-0000-0000-0000ECD10000}"/>
    <cellStyle name="Note 4 5 6 5" xfId="53875" xr:uid="{00000000-0005-0000-0000-0000EDD10000}"/>
    <cellStyle name="Note 4 5 6 6" xfId="53876" xr:uid="{00000000-0005-0000-0000-0000EED10000}"/>
    <cellStyle name="Note 4 5 7" xfId="53877" xr:uid="{00000000-0005-0000-0000-0000EFD10000}"/>
    <cellStyle name="Note 4 5 7 2" xfId="53878" xr:uid="{00000000-0005-0000-0000-0000F0D10000}"/>
    <cellStyle name="Note 4 5 7 2 2" xfId="53879" xr:uid="{00000000-0005-0000-0000-0000F1D10000}"/>
    <cellStyle name="Note 4 5 7 2 3" xfId="53880" xr:uid="{00000000-0005-0000-0000-0000F2D10000}"/>
    <cellStyle name="Note 4 5 7 3" xfId="53881" xr:uid="{00000000-0005-0000-0000-0000F3D10000}"/>
    <cellStyle name="Note 4 5 7 4" xfId="53882" xr:uid="{00000000-0005-0000-0000-0000F4D10000}"/>
    <cellStyle name="Note 4 5 7 5" xfId="53883" xr:uid="{00000000-0005-0000-0000-0000F5D10000}"/>
    <cellStyle name="Note 4 5 7 6" xfId="53884" xr:uid="{00000000-0005-0000-0000-0000F6D10000}"/>
    <cellStyle name="Note 4 5 8" xfId="53885" xr:uid="{00000000-0005-0000-0000-0000F7D10000}"/>
    <cellStyle name="Note 4 5 8 2" xfId="53886" xr:uid="{00000000-0005-0000-0000-0000F8D10000}"/>
    <cellStyle name="Note 4 5 8 2 2" xfId="53887" xr:uid="{00000000-0005-0000-0000-0000F9D10000}"/>
    <cellStyle name="Note 4 5 8 2 3" xfId="53888" xr:uid="{00000000-0005-0000-0000-0000FAD10000}"/>
    <cellStyle name="Note 4 5 8 3" xfId="53889" xr:uid="{00000000-0005-0000-0000-0000FBD10000}"/>
    <cellStyle name="Note 4 5 8 4" xfId="53890" xr:uid="{00000000-0005-0000-0000-0000FCD10000}"/>
    <cellStyle name="Note 4 5 8 5" xfId="53891" xr:uid="{00000000-0005-0000-0000-0000FDD10000}"/>
    <cellStyle name="Note 4 5 8 6" xfId="53892" xr:uid="{00000000-0005-0000-0000-0000FED10000}"/>
    <cellStyle name="Note 4 5 9" xfId="53893" xr:uid="{00000000-0005-0000-0000-0000FFD10000}"/>
    <cellStyle name="Note 4 5 9 2" xfId="53894" xr:uid="{00000000-0005-0000-0000-000000D20000}"/>
    <cellStyle name="Note 4 5 9 3" xfId="53895" xr:uid="{00000000-0005-0000-0000-000001D20000}"/>
    <cellStyle name="Note 4 6" xfId="53896" xr:uid="{00000000-0005-0000-0000-000002D20000}"/>
    <cellStyle name="Note 4 6 10" xfId="53897" xr:uid="{00000000-0005-0000-0000-000003D20000}"/>
    <cellStyle name="Note 4 6 2" xfId="53898" xr:uid="{00000000-0005-0000-0000-000004D20000}"/>
    <cellStyle name="Note 4 6 2 2" xfId="53899" xr:uid="{00000000-0005-0000-0000-000005D20000}"/>
    <cellStyle name="Note 4 6 2 2 2" xfId="53900" xr:uid="{00000000-0005-0000-0000-000006D20000}"/>
    <cellStyle name="Note 4 6 2 2 2 2" xfId="53901" xr:uid="{00000000-0005-0000-0000-000007D20000}"/>
    <cellStyle name="Note 4 6 2 2 2 3" xfId="53902" xr:uid="{00000000-0005-0000-0000-000008D20000}"/>
    <cellStyle name="Note 4 6 2 2 3" xfId="53903" xr:uid="{00000000-0005-0000-0000-000009D20000}"/>
    <cellStyle name="Note 4 6 2 2 4" xfId="53904" xr:uid="{00000000-0005-0000-0000-00000AD20000}"/>
    <cellStyle name="Note 4 6 2 2 5" xfId="53905" xr:uid="{00000000-0005-0000-0000-00000BD20000}"/>
    <cellStyle name="Note 4 6 2 2 6" xfId="53906" xr:uid="{00000000-0005-0000-0000-00000CD20000}"/>
    <cellStyle name="Note 4 6 2 3" xfId="53907" xr:uid="{00000000-0005-0000-0000-00000DD20000}"/>
    <cellStyle name="Note 4 6 2 3 2" xfId="53908" xr:uid="{00000000-0005-0000-0000-00000ED20000}"/>
    <cellStyle name="Note 4 6 2 3 2 2" xfId="53909" xr:uid="{00000000-0005-0000-0000-00000FD20000}"/>
    <cellStyle name="Note 4 6 2 3 2 3" xfId="53910" xr:uid="{00000000-0005-0000-0000-000010D20000}"/>
    <cellStyle name="Note 4 6 2 3 3" xfId="53911" xr:uid="{00000000-0005-0000-0000-000011D20000}"/>
    <cellStyle name="Note 4 6 2 3 4" xfId="53912" xr:uid="{00000000-0005-0000-0000-000012D20000}"/>
    <cellStyle name="Note 4 6 2 3 5" xfId="53913" xr:uid="{00000000-0005-0000-0000-000013D20000}"/>
    <cellStyle name="Note 4 6 2 3 6" xfId="53914" xr:uid="{00000000-0005-0000-0000-000014D20000}"/>
    <cellStyle name="Note 4 6 2 4" xfId="53915" xr:uid="{00000000-0005-0000-0000-000015D20000}"/>
    <cellStyle name="Note 4 6 2 4 2" xfId="53916" xr:uid="{00000000-0005-0000-0000-000016D20000}"/>
    <cellStyle name="Note 4 6 2 4 3" xfId="53917" xr:uid="{00000000-0005-0000-0000-000017D20000}"/>
    <cellStyle name="Note 4 6 2 5" xfId="53918" xr:uid="{00000000-0005-0000-0000-000018D20000}"/>
    <cellStyle name="Note 4 6 2 6" xfId="53919" xr:uid="{00000000-0005-0000-0000-000019D20000}"/>
    <cellStyle name="Note 4 6 2 7" xfId="53920" xr:uid="{00000000-0005-0000-0000-00001AD20000}"/>
    <cellStyle name="Note 4 6 2 8" xfId="53921" xr:uid="{00000000-0005-0000-0000-00001BD20000}"/>
    <cellStyle name="Note 4 6 3" xfId="53922" xr:uid="{00000000-0005-0000-0000-00001CD20000}"/>
    <cellStyle name="Note 4 6 3 2" xfId="53923" xr:uid="{00000000-0005-0000-0000-00001DD20000}"/>
    <cellStyle name="Note 4 6 3 2 2" xfId="53924" xr:uid="{00000000-0005-0000-0000-00001ED20000}"/>
    <cellStyle name="Note 4 6 3 2 2 2" xfId="53925" xr:uid="{00000000-0005-0000-0000-00001FD20000}"/>
    <cellStyle name="Note 4 6 3 2 2 3" xfId="53926" xr:uid="{00000000-0005-0000-0000-000020D20000}"/>
    <cellStyle name="Note 4 6 3 2 3" xfId="53927" xr:uid="{00000000-0005-0000-0000-000021D20000}"/>
    <cellStyle name="Note 4 6 3 2 4" xfId="53928" xr:uid="{00000000-0005-0000-0000-000022D20000}"/>
    <cellStyle name="Note 4 6 3 2 5" xfId="53929" xr:uid="{00000000-0005-0000-0000-000023D20000}"/>
    <cellStyle name="Note 4 6 3 2 6" xfId="53930" xr:uid="{00000000-0005-0000-0000-000024D20000}"/>
    <cellStyle name="Note 4 6 3 3" xfId="53931" xr:uid="{00000000-0005-0000-0000-000025D20000}"/>
    <cellStyle name="Note 4 6 3 3 2" xfId="53932" xr:uid="{00000000-0005-0000-0000-000026D20000}"/>
    <cellStyle name="Note 4 6 3 3 3" xfId="53933" xr:uid="{00000000-0005-0000-0000-000027D20000}"/>
    <cellStyle name="Note 4 6 3 4" xfId="53934" xr:uid="{00000000-0005-0000-0000-000028D20000}"/>
    <cellStyle name="Note 4 6 3 5" xfId="53935" xr:uid="{00000000-0005-0000-0000-000029D20000}"/>
    <cellStyle name="Note 4 6 3 6" xfId="53936" xr:uid="{00000000-0005-0000-0000-00002AD20000}"/>
    <cellStyle name="Note 4 6 3 7" xfId="53937" xr:uid="{00000000-0005-0000-0000-00002BD20000}"/>
    <cellStyle name="Note 4 6 4" xfId="53938" xr:uid="{00000000-0005-0000-0000-00002CD20000}"/>
    <cellStyle name="Note 4 6 4 2" xfId="53939" xr:uid="{00000000-0005-0000-0000-00002DD20000}"/>
    <cellStyle name="Note 4 6 4 2 2" xfId="53940" xr:uid="{00000000-0005-0000-0000-00002ED20000}"/>
    <cellStyle name="Note 4 6 4 2 3" xfId="53941" xr:uid="{00000000-0005-0000-0000-00002FD20000}"/>
    <cellStyle name="Note 4 6 4 3" xfId="53942" xr:uid="{00000000-0005-0000-0000-000030D20000}"/>
    <cellStyle name="Note 4 6 4 4" xfId="53943" xr:uid="{00000000-0005-0000-0000-000031D20000}"/>
    <cellStyle name="Note 4 6 4 5" xfId="53944" xr:uid="{00000000-0005-0000-0000-000032D20000}"/>
    <cellStyle name="Note 4 6 4 6" xfId="53945" xr:uid="{00000000-0005-0000-0000-000033D20000}"/>
    <cellStyle name="Note 4 6 5" xfId="53946" xr:uid="{00000000-0005-0000-0000-000034D20000}"/>
    <cellStyle name="Note 4 6 5 2" xfId="53947" xr:uid="{00000000-0005-0000-0000-000035D20000}"/>
    <cellStyle name="Note 4 6 5 2 2" xfId="53948" xr:uid="{00000000-0005-0000-0000-000036D20000}"/>
    <cellStyle name="Note 4 6 5 2 3" xfId="53949" xr:uid="{00000000-0005-0000-0000-000037D20000}"/>
    <cellStyle name="Note 4 6 5 3" xfId="53950" xr:uid="{00000000-0005-0000-0000-000038D20000}"/>
    <cellStyle name="Note 4 6 5 4" xfId="53951" xr:uid="{00000000-0005-0000-0000-000039D20000}"/>
    <cellStyle name="Note 4 6 5 5" xfId="53952" xr:uid="{00000000-0005-0000-0000-00003AD20000}"/>
    <cellStyle name="Note 4 6 5 6" xfId="53953" xr:uid="{00000000-0005-0000-0000-00003BD20000}"/>
    <cellStyle name="Note 4 6 6" xfId="53954" xr:uid="{00000000-0005-0000-0000-00003CD20000}"/>
    <cellStyle name="Note 4 6 6 2" xfId="53955" xr:uid="{00000000-0005-0000-0000-00003DD20000}"/>
    <cellStyle name="Note 4 6 6 3" xfId="53956" xr:uid="{00000000-0005-0000-0000-00003ED20000}"/>
    <cellStyle name="Note 4 6 7" xfId="53957" xr:uid="{00000000-0005-0000-0000-00003FD20000}"/>
    <cellStyle name="Note 4 6 8" xfId="53958" xr:uid="{00000000-0005-0000-0000-000040D20000}"/>
    <cellStyle name="Note 4 6 9" xfId="53959" xr:uid="{00000000-0005-0000-0000-000041D20000}"/>
    <cellStyle name="Note 4 7" xfId="53960" xr:uid="{00000000-0005-0000-0000-000042D20000}"/>
    <cellStyle name="Note 4 7 2" xfId="53961" xr:uid="{00000000-0005-0000-0000-000043D20000}"/>
    <cellStyle name="Note 4 7 2 2" xfId="53962" xr:uid="{00000000-0005-0000-0000-000044D20000}"/>
    <cellStyle name="Note 4 7 2 2 2" xfId="53963" xr:uid="{00000000-0005-0000-0000-000045D20000}"/>
    <cellStyle name="Note 4 7 2 2 2 2" xfId="53964" xr:uid="{00000000-0005-0000-0000-000046D20000}"/>
    <cellStyle name="Note 4 7 2 2 2 3" xfId="53965" xr:uid="{00000000-0005-0000-0000-000047D20000}"/>
    <cellStyle name="Note 4 7 2 2 3" xfId="53966" xr:uid="{00000000-0005-0000-0000-000048D20000}"/>
    <cellStyle name="Note 4 7 2 2 4" xfId="53967" xr:uid="{00000000-0005-0000-0000-000049D20000}"/>
    <cellStyle name="Note 4 7 2 2 5" xfId="53968" xr:uid="{00000000-0005-0000-0000-00004AD20000}"/>
    <cellStyle name="Note 4 7 2 2 6" xfId="53969" xr:uid="{00000000-0005-0000-0000-00004BD20000}"/>
    <cellStyle name="Note 4 7 2 3" xfId="53970" xr:uid="{00000000-0005-0000-0000-00004CD20000}"/>
    <cellStyle name="Note 4 7 2 3 2" xfId="53971" xr:uid="{00000000-0005-0000-0000-00004DD20000}"/>
    <cellStyle name="Note 4 7 2 3 3" xfId="53972" xr:uid="{00000000-0005-0000-0000-00004ED20000}"/>
    <cellStyle name="Note 4 7 2 4" xfId="53973" xr:uid="{00000000-0005-0000-0000-00004FD20000}"/>
    <cellStyle name="Note 4 7 2 5" xfId="53974" xr:uid="{00000000-0005-0000-0000-000050D20000}"/>
    <cellStyle name="Note 4 7 2 6" xfId="53975" xr:uid="{00000000-0005-0000-0000-000051D20000}"/>
    <cellStyle name="Note 4 7 2 7" xfId="53976" xr:uid="{00000000-0005-0000-0000-000052D20000}"/>
    <cellStyle name="Note 4 7 3" xfId="53977" xr:uid="{00000000-0005-0000-0000-000053D20000}"/>
    <cellStyle name="Note 4 7 3 2" xfId="53978" xr:uid="{00000000-0005-0000-0000-000054D20000}"/>
    <cellStyle name="Note 4 7 3 2 2" xfId="53979" xr:uid="{00000000-0005-0000-0000-000055D20000}"/>
    <cellStyle name="Note 4 7 3 2 3" xfId="53980" xr:uid="{00000000-0005-0000-0000-000056D20000}"/>
    <cellStyle name="Note 4 7 3 3" xfId="53981" xr:uid="{00000000-0005-0000-0000-000057D20000}"/>
    <cellStyle name="Note 4 7 3 4" xfId="53982" xr:uid="{00000000-0005-0000-0000-000058D20000}"/>
    <cellStyle name="Note 4 7 3 5" xfId="53983" xr:uid="{00000000-0005-0000-0000-000059D20000}"/>
    <cellStyle name="Note 4 7 3 6" xfId="53984" xr:uid="{00000000-0005-0000-0000-00005AD20000}"/>
    <cellStyle name="Note 4 7 4" xfId="53985" xr:uid="{00000000-0005-0000-0000-00005BD20000}"/>
    <cellStyle name="Note 4 7 4 2" xfId="53986" xr:uid="{00000000-0005-0000-0000-00005CD20000}"/>
    <cellStyle name="Note 4 7 4 2 2" xfId="53987" xr:uid="{00000000-0005-0000-0000-00005DD20000}"/>
    <cellStyle name="Note 4 7 4 2 3" xfId="53988" xr:uid="{00000000-0005-0000-0000-00005ED20000}"/>
    <cellStyle name="Note 4 7 4 3" xfId="53989" xr:uid="{00000000-0005-0000-0000-00005FD20000}"/>
    <cellStyle name="Note 4 7 4 4" xfId="53990" xr:uid="{00000000-0005-0000-0000-000060D20000}"/>
    <cellStyle name="Note 4 7 4 5" xfId="53991" xr:uid="{00000000-0005-0000-0000-000061D20000}"/>
    <cellStyle name="Note 4 7 4 6" xfId="53992" xr:uid="{00000000-0005-0000-0000-000062D20000}"/>
    <cellStyle name="Note 4 7 5" xfId="53993" xr:uid="{00000000-0005-0000-0000-000063D20000}"/>
    <cellStyle name="Note 4 7 5 2" xfId="53994" xr:uid="{00000000-0005-0000-0000-000064D20000}"/>
    <cellStyle name="Note 4 7 5 3" xfId="53995" xr:uid="{00000000-0005-0000-0000-000065D20000}"/>
    <cellStyle name="Note 4 7 6" xfId="53996" xr:uid="{00000000-0005-0000-0000-000066D20000}"/>
    <cellStyle name="Note 4 7 7" xfId="53997" xr:uid="{00000000-0005-0000-0000-000067D20000}"/>
    <cellStyle name="Note 4 7 8" xfId="53998" xr:uid="{00000000-0005-0000-0000-000068D20000}"/>
    <cellStyle name="Note 4 7 9" xfId="53999" xr:uid="{00000000-0005-0000-0000-000069D20000}"/>
    <cellStyle name="Note 4 8" xfId="54000" xr:uid="{00000000-0005-0000-0000-00006AD20000}"/>
    <cellStyle name="Note 4 8 2" xfId="54001" xr:uid="{00000000-0005-0000-0000-00006BD20000}"/>
    <cellStyle name="Note 4 8 2 2" xfId="54002" xr:uid="{00000000-0005-0000-0000-00006CD20000}"/>
    <cellStyle name="Note 4 8 2 2 2" xfId="54003" xr:uid="{00000000-0005-0000-0000-00006DD20000}"/>
    <cellStyle name="Note 4 8 2 2 3" xfId="54004" xr:uid="{00000000-0005-0000-0000-00006ED20000}"/>
    <cellStyle name="Note 4 8 2 3" xfId="54005" xr:uid="{00000000-0005-0000-0000-00006FD20000}"/>
    <cellStyle name="Note 4 8 2 4" xfId="54006" xr:uid="{00000000-0005-0000-0000-000070D20000}"/>
    <cellStyle name="Note 4 8 2 5" xfId="54007" xr:uid="{00000000-0005-0000-0000-000071D20000}"/>
    <cellStyle name="Note 4 8 2 6" xfId="54008" xr:uid="{00000000-0005-0000-0000-000072D20000}"/>
    <cellStyle name="Note 4 8 3" xfId="54009" xr:uid="{00000000-0005-0000-0000-000073D20000}"/>
    <cellStyle name="Note 4 8 3 2" xfId="54010" xr:uid="{00000000-0005-0000-0000-000074D20000}"/>
    <cellStyle name="Note 4 8 3 3" xfId="54011" xr:uid="{00000000-0005-0000-0000-000075D20000}"/>
    <cellStyle name="Note 4 8 4" xfId="54012" xr:uid="{00000000-0005-0000-0000-000076D20000}"/>
    <cellStyle name="Note 4 8 5" xfId="54013" xr:uid="{00000000-0005-0000-0000-000077D20000}"/>
    <cellStyle name="Note 4 8 6" xfId="54014" xr:uid="{00000000-0005-0000-0000-000078D20000}"/>
    <cellStyle name="Note 4 8 7" xfId="54015" xr:uid="{00000000-0005-0000-0000-000079D20000}"/>
    <cellStyle name="Note 4 9" xfId="54016" xr:uid="{00000000-0005-0000-0000-00007AD20000}"/>
    <cellStyle name="Note 4 9 2" xfId="54017" xr:uid="{00000000-0005-0000-0000-00007BD20000}"/>
    <cellStyle name="Note 4 9 2 2" xfId="54018" xr:uid="{00000000-0005-0000-0000-00007CD20000}"/>
    <cellStyle name="Note 4 9 2 3" xfId="54019" xr:uid="{00000000-0005-0000-0000-00007DD20000}"/>
    <cellStyle name="Note 4 9 3" xfId="54020" xr:uid="{00000000-0005-0000-0000-00007ED20000}"/>
    <cellStyle name="Note 4 9 4" xfId="54021" xr:uid="{00000000-0005-0000-0000-00007FD20000}"/>
    <cellStyle name="Note 4 9 5" xfId="54022" xr:uid="{00000000-0005-0000-0000-000080D20000}"/>
    <cellStyle name="Note 4 9 6" xfId="54023" xr:uid="{00000000-0005-0000-0000-000081D20000}"/>
    <cellStyle name="Note 5" xfId="536" xr:uid="{00000000-0005-0000-0000-000082D20000}"/>
    <cellStyle name="Note 5 10" xfId="54024" xr:uid="{00000000-0005-0000-0000-000083D20000}"/>
    <cellStyle name="Note 5 10 2" xfId="54025" xr:uid="{00000000-0005-0000-0000-000084D20000}"/>
    <cellStyle name="Note 5 10 2 2" xfId="54026" xr:uid="{00000000-0005-0000-0000-000085D20000}"/>
    <cellStyle name="Note 5 10 2 3" xfId="54027" xr:uid="{00000000-0005-0000-0000-000086D20000}"/>
    <cellStyle name="Note 5 10 3" xfId="54028" xr:uid="{00000000-0005-0000-0000-000087D20000}"/>
    <cellStyle name="Note 5 10 4" xfId="54029" xr:uid="{00000000-0005-0000-0000-000088D20000}"/>
    <cellStyle name="Note 5 10 5" xfId="54030" xr:uid="{00000000-0005-0000-0000-000089D20000}"/>
    <cellStyle name="Note 5 10 6" xfId="54031" xr:uid="{00000000-0005-0000-0000-00008AD20000}"/>
    <cellStyle name="Note 5 11" xfId="54032" xr:uid="{00000000-0005-0000-0000-00008BD20000}"/>
    <cellStyle name="Note 5 11 2" xfId="54033" xr:uid="{00000000-0005-0000-0000-00008CD20000}"/>
    <cellStyle name="Note 5 11 2 2" xfId="54034" xr:uid="{00000000-0005-0000-0000-00008DD20000}"/>
    <cellStyle name="Note 5 11 2 3" xfId="54035" xr:uid="{00000000-0005-0000-0000-00008ED20000}"/>
    <cellStyle name="Note 5 11 3" xfId="54036" xr:uid="{00000000-0005-0000-0000-00008FD20000}"/>
    <cellStyle name="Note 5 11 4" xfId="54037" xr:uid="{00000000-0005-0000-0000-000090D20000}"/>
    <cellStyle name="Note 5 11 5" xfId="54038" xr:uid="{00000000-0005-0000-0000-000091D20000}"/>
    <cellStyle name="Note 5 11 6" xfId="54039" xr:uid="{00000000-0005-0000-0000-000092D20000}"/>
    <cellStyle name="Note 5 12" xfId="54040" xr:uid="{00000000-0005-0000-0000-000093D20000}"/>
    <cellStyle name="Note 5 12 2" xfId="54041" xr:uid="{00000000-0005-0000-0000-000094D20000}"/>
    <cellStyle name="Note 5 12 3" xfId="54042" xr:uid="{00000000-0005-0000-0000-000095D20000}"/>
    <cellStyle name="Note 5 13" xfId="54043" xr:uid="{00000000-0005-0000-0000-000096D20000}"/>
    <cellStyle name="Note 5 14" xfId="54044" xr:uid="{00000000-0005-0000-0000-000097D20000}"/>
    <cellStyle name="Note 5 15" xfId="54045" xr:uid="{00000000-0005-0000-0000-000098D20000}"/>
    <cellStyle name="Note 5 16" xfId="54046" xr:uid="{00000000-0005-0000-0000-000099D20000}"/>
    <cellStyle name="Note 5 2" xfId="54047" xr:uid="{00000000-0005-0000-0000-00009AD20000}"/>
    <cellStyle name="Note 5 2 10" xfId="54048" xr:uid="{00000000-0005-0000-0000-00009BD20000}"/>
    <cellStyle name="Note 5 2 10 2" xfId="54049" xr:uid="{00000000-0005-0000-0000-00009CD20000}"/>
    <cellStyle name="Note 5 2 10 3" xfId="54050" xr:uid="{00000000-0005-0000-0000-00009DD20000}"/>
    <cellStyle name="Note 5 2 11" xfId="54051" xr:uid="{00000000-0005-0000-0000-00009ED20000}"/>
    <cellStyle name="Note 5 2 12" xfId="54052" xr:uid="{00000000-0005-0000-0000-00009FD20000}"/>
    <cellStyle name="Note 5 2 13" xfId="54053" xr:uid="{00000000-0005-0000-0000-0000A0D20000}"/>
    <cellStyle name="Note 5 2 14" xfId="54054" xr:uid="{00000000-0005-0000-0000-0000A1D20000}"/>
    <cellStyle name="Note 5 2 2" xfId="54055" xr:uid="{00000000-0005-0000-0000-0000A2D20000}"/>
    <cellStyle name="Note 5 2 2 10" xfId="54056" xr:uid="{00000000-0005-0000-0000-0000A3D20000}"/>
    <cellStyle name="Note 5 2 2 11" xfId="54057" xr:uid="{00000000-0005-0000-0000-0000A4D20000}"/>
    <cellStyle name="Note 5 2 2 12" xfId="54058" xr:uid="{00000000-0005-0000-0000-0000A5D20000}"/>
    <cellStyle name="Note 5 2 2 13" xfId="54059" xr:uid="{00000000-0005-0000-0000-0000A6D20000}"/>
    <cellStyle name="Note 5 2 2 2" xfId="54060" xr:uid="{00000000-0005-0000-0000-0000A7D20000}"/>
    <cellStyle name="Note 5 2 2 2 10" xfId="54061" xr:uid="{00000000-0005-0000-0000-0000A8D20000}"/>
    <cellStyle name="Note 5 2 2 2 2" xfId="54062" xr:uid="{00000000-0005-0000-0000-0000A9D20000}"/>
    <cellStyle name="Note 5 2 2 2 2 2" xfId="54063" xr:uid="{00000000-0005-0000-0000-0000AAD20000}"/>
    <cellStyle name="Note 5 2 2 2 2 2 2" xfId="54064" xr:uid="{00000000-0005-0000-0000-0000ABD20000}"/>
    <cellStyle name="Note 5 2 2 2 2 2 2 2" xfId="54065" xr:uid="{00000000-0005-0000-0000-0000ACD20000}"/>
    <cellStyle name="Note 5 2 2 2 2 2 2 3" xfId="54066" xr:uid="{00000000-0005-0000-0000-0000ADD20000}"/>
    <cellStyle name="Note 5 2 2 2 2 2 3" xfId="54067" xr:uid="{00000000-0005-0000-0000-0000AED20000}"/>
    <cellStyle name="Note 5 2 2 2 2 2 4" xfId="54068" xr:uid="{00000000-0005-0000-0000-0000AFD20000}"/>
    <cellStyle name="Note 5 2 2 2 2 2 5" xfId="54069" xr:uid="{00000000-0005-0000-0000-0000B0D20000}"/>
    <cellStyle name="Note 5 2 2 2 2 2 6" xfId="54070" xr:uid="{00000000-0005-0000-0000-0000B1D20000}"/>
    <cellStyle name="Note 5 2 2 2 2 3" xfId="54071" xr:uid="{00000000-0005-0000-0000-0000B2D20000}"/>
    <cellStyle name="Note 5 2 2 2 2 3 2" xfId="54072" xr:uid="{00000000-0005-0000-0000-0000B3D20000}"/>
    <cellStyle name="Note 5 2 2 2 2 3 2 2" xfId="54073" xr:uid="{00000000-0005-0000-0000-0000B4D20000}"/>
    <cellStyle name="Note 5 2 2 2 2 3 2 3" xfId="54074" xr:uid="{00000000-0005-0000-0000-0000B5D20000}"/>
    <cellStyle name="Note 5 2 2 2 2 3 3" xfId="54075" xr:uid="{00000000-0005-0000-0000-0000B6D20000}"/>
    <cellStyle name="Note 5 2 2 2 2 3 4" xfId="54076" xr:uid="{00000000-0005-0000-0000-0000B7D20000}"/>
    <cellStyle name="Note 5 2 2 2 2 3 5" xfId="54077" xr:uid="{00000000-0005-0000-0000-0000B8D20000}"/>
    <cellStyle name="Note 5 2 2 2 2 3 6" xfId="54078" xr:uid="{00000000-0005-0000-0000-0000B9D20000}"/>
    <cellStyle name="Note 5 2 2 2 2 4" xfId="54079" xr:uid="{00000000-0005-0000-0000-0000BAD20000}"/>
    <cellStyle name="Note 5 2 2 2 2 4 2" xfId="54080" xr:uid="{00000000-0005-0000-0000-0000BBD20000}"/>
    <cellStyle name="Note 5 2 2 2 2 4 3" xfId="54081" xr:uid="{00000000-0005-0000-0000-0000BCD20000}"/>
    <cellStyle name="Note 5 2 2 2 2 5" xfId="54082" xr:uid="{00000000-0005-0000-0000-0000BDD20000}"/>
    <cellStyle name="Note 5 2 2 2 2 6" xfId="54083" xr:uid="{00000000-0005-0000-0000-0000BED20000}"/>
    <cellStyle name="Note 5 2 2 2 2 7" xfId="54084" xr:uid="{00000000-0005-0000-0000-0000BFD20000}"/>
    <cellStyle name="Note 5 2 2 2 2 8" xfId="54085" xr:uid="{00000000-0005-0000-0000-0000C0D20000}"/>
    <cellStyle name="Note 5 2 2 2 3" xfId="54086" xr:uid="{00000000-0005-0000-0000-0000C1D20000}"/>
    <cellStyle name="Note 5 2 2 2 3 2" xfId="54087" xr:uid="{00000000-0005-0000-0000-0000C2D20000}"/>
    <cellStyle name="Note 5 2 2 2 3 2 2" xfId="54088" xr:uid="{00000000-0005-0000-0000-0000C3D20000}"/>
    <cellStyle name="Note 5 2 2 2 3 2 2 2" xfId="54089" xr:uid="{00000000-0005-0000-0000-0000C4D20000}"/>
    <cellStyle name="Note 5 2 2 2 3 2 2 3" xfId="54090" xr:uid="{00000000-0005-0000-0000-0000C5D20000}"/>
    <cellStyle name="Note 5 2 2 2 3 2 3" xfId="54091" xr:uid="{00000000-0005-0000-0000-0000C6D20000}"/>
    <cellStyle name="Note 5 2 2 2 3 2 4" xfId="54092" xr:uid="{00000000-0005-0000-0000-0000C7D20000}"/>
    <cellStyle name="Note 5 2 2 2 3 2 5" xfId="54093" xr:uid="{00000000-0005-0000-0000-0000C8D20000}"/>
    <cellStyle name="Note 5 2 2 2 3 2 6" xfId="54094" xr:uid="{00000000-0005-0000-0000-0000C9D20000}"/>
    <cellStyle name="Note 5 2 2 2 3 3" xfId="54095" xr:uid="{00000000-0005-0000-0000-0000CAD20000}"/>
    <cellStyle name="Note 5 2 2 2 3 3 2" xfId="54096" xr:uid="{00000000-0005-0000-0000-0000CBD20000}"/>
    <cellStyle name="Note 5 2 2 2 3 3 3" xfId="54097" xr:uid="{00000000-0005-0000-0000-0000CCD20000}"/>
    <cellStyle name="Note 5 2 2 2 3 4" xfId="54098" xr:uid="{00000000-0005-0000-0000-0000CDD20000}"/>
    <cellStyle name="Note 5 2 2 2 3 5" xfId="54099" xr:uid="{00000000-0005-0000-0000-0000CED20000}"/>
    <cellStyle name="Note 5 2 2 2 3 6" xfId="54100" xr:uid="{00000000-0005-0000-0000-0000CFD20000}"/>
    <cellStyle name="Note 5 2 2 2 3 7" xfId="54101" xr:uid="{00000000-0005-0000-0000-0000D0D20000}"/>
    <cellStyle name="Note 5 2 2 2 4" xfId="54102" xr:uid="{00000000-0005-0000-0000-0000D1D20000}"/>
    <cellStyle name="Note 5 2 2 2 4 2" xfId="54103" xr:uid="{00000000-0005-0000-0000-0000D2D20000}"/>
    <cellStyle name="Note 5 2 2 2 4 2 2" xfId="54104" xr:uid="{00000000-0005-0000-0000-0000D3D20000}"/>
    <cellStyle name="Note 5 2 2 2 4 2 3" xfId="54105" xr:uid="{00000000-0005-0000-0000-0000D4D20000}"/>
    <cellStyle name="Note 5 2 2 2 4 3" xfId="54106" xr:uid="{00000000-0005-0000-0000-0000D5D20000}"/>
    <cellStyle name="Note 5 2 2 2 4 4" xfId="54107" xr:uid="{00000000-0005-0000-0000-0000D6D20000}"/>
    <cellStyle name="Note 5 2 2 2 4 5" xfId="54108" xr:uid="{00000000-0005-0000-0000-0000D7D20000}"/>
    <cellStyle name="Note 5 2 2 2 4 6" xfId="54109" xr:uid="{00000000-0005-0000-0000-0000D8D20000}"/>
    <cellStyle name="Note 5 2 2 2 5" xfId="54110" xr:uid="{00000000-0005-0000-0000-0000D9D20000}"/>
    <cellStyle name="Note 5 2 2 2 5 2" xfId="54111" xr:uid="{00000000-0005-0000-0000-0000DAD20000}"/>
    <cellStyle name="Note 5 2 2 2 5 2 2" xfId="54112" xr:uid="{00000000-0005-0000-0000-0000DBD20000}"/>
    <cellStyle name="Note 5 2 2 2 5 2 3" xfId="54113" xr:uid="{00000000-0005-0000-0000-0000DCD20000}"/>
    <cellStyle name="Note 5 2 2 2 5 3" xfId="54114" xr:uid="{00000000-0005-0000-0000-0000DDD20000}"/>
    <cellStyle name="Note 5 2 2 2 5 4" xfId="54115" xr:uid="{00000000-0005-0000-0000-0000DED20000}"/>
    <cellStyle name="Note 5 2 2 2 5 5" xfId="54116" xr:uid="{00000000-0005-0000-0000-0000DFD20000}"/>
    <cellStyle name="Note 5 2 2 2 5 6" xfId="54117" xr:uid="{00000000-0005-0000-0000-0000E0D20000}"/>
    <cellStyle name="Note 5 2 2 2 6" xfId="54118" xr:uid="{00000000-0005-0000-0000-0000E1D20000}"/>
    <cellStyle name="Note 5 2 2 2 6 2" xfId="54119" xr:uid="{00000000-0005-0000-0000-0000E2D20000}"/>
    <cellStyle name="Note 5 2 2 2 6 3" xfId="54120" xr:uid="{00000000-0005-0000-0000-0000E3D20000}"/>
    <cellStyle name="Note 5 2 2 2 7" xfId="54121" xr:uid="{00000000-0005-0000-0000-0000E4D20000}"/>
    <cellStyle name="Note 5 2 2 2 8" xfId="54122" xr:uid="{00000000-0005-0000-0000-0000E5D20000}"/>
    <cellStyle name="Note 5 2 2 2 9" xfId="54123" xr:uid="{00000000-0005-0000-0000-0000E6D20000}"/>
    <cellStyle name="Note 5 2 2 3" xfId="54124" xr:uid="{00000000-0005-0000-0000-0000E7D20000}"/>
    <cellStyle name="Note 5 2 2 3 2" xfId="54125" xr:uid="{00000000-0005-0000-0000-0000E8D20000}"/>
    <cellStyle name="Note 5 2 2 3 2 2" xfId="54126" xr:uid="{00000000-0005-0000-0000-0000E9D20000}"/>
    <cellStyle name="Note 5 2 2 3 2 2 2" xfId="54127" xr:uid="{00000000-0005-0000-0000-0000EAD20000}"/>
    <cellStyle name="Note 5 2 2 3 2 2 2 2" xfId="54128" xr:uid="{00000000-0005-0000-0000-0000EBD20000}"/>
    <cellStyle name="Note 5 2 2 3 2 2 2 3" xfId="54129" xr:uid="{00000000-0005-0000-0000-0000ECD20000}"/>
    <cellStyle name="Note 5 2 2 3 2 2 3" xfId="54130" xr:uid="{00000000-0005-0000-0000-0000EDD20000}"/>
    <cellStyle name="Note 5 2 2 3 2 2 4" xfId="54131" xr:uid="{00000000-0005-0000-0000-0000EED20000}"/>
    <cellStyle name="Note 5 2 2 3 2 2 5" xfId="54132" xr:uid="{00000000-0005-0000-0000-0000EFD20000}"/>
    <cellStyle name="Note 5 2 2 3 2 2 6" xfId="54133" xr:uid="{00000000-0005-0000-0000-0000F0D20000}"/>
    <cellStyle name="Note 5 2 2 3 2 3" xfId="54134" xr:uid="{00000000-0005-0000-0000-0000F1D20000}"/>
    <cellStyle name="Note 5 2 2 3 2 3 2" xfId="54135" xr:uid="{00000000-0005-0000-0000-0000F2D20000}"/>
    <cellStyle name="Note 5 2 2 3 2 3 3" xfId="54136" xr:uid="{00000000-0005-0000-0000-0000F3D20000}"/>
    <cellStyle name="Note 5 2 2 3 2 4" xfId="54137" xr:uid="{00000000-0005-0000-0000-0000F4D20000}"/>
    <cellStyle name="Note 5 2 2 3 2 5" xfId="54138" xr:uid="{00000000-0005-0000-0000-0000F5D20000}"/>
    <cellStyle name="Note 5 2 2 3 2 6" xfId="54139" xr:uid="{00000000-0005-0000-0000-0000F6D20000}"/>
    <cellStyle name="Note 5 2 2 3 2 7" xfId="54140" xr:uid="{00000000-0005-0000-0000-0000F7D20000}"/>
    <cellStyle name="Note 5 2 2 3 3" xfId="54141" xr:uid="{00000000-0005-0000-0000-0000F8D20000}"/>
    <cellStyle name="Note 5 2 2 3 3 2" xfId="54142" xr:uid="{00000000-0005-0000-0000-0000F9D20000}"/>
    <cellStyle name="Note 5 2 2 3 3 2 2" xfId="54143" xr:uid="{00000000-0005-0000-0000-0000FAD20000}"/>
    <cellStyle name="Note 5 2 2 3 3 2 3" xfId="54144" xr:uid="{00000000-0005-0000-0000-0000FBD20000}"/>
    <cellStyle name="Note 5 2 2 3 3 3" xfId="54145" xr:uid="{00000000-0005-0000-0000-0000FCD20000}"/>
    <cellStyle name="Note 5 2 2 3 3 4" xfId="54146" xr:uid="{00000000-0005-0000-0000-0000FDD20000}"/>
    <cellStyle name="Note 5 2 2 3 3 5" xfId="54147" xr:uid="{00000000-0005-0000-0000-0000FED20000}"/>
    <cellStyle name="Note 5 2 2 3 3 6" xfId="54148" xr:uid="{00000000-0005-0000-0000-0000FFD20000}"/>
    <cellStyle name="Note 5 2 2 3 4" xfId="54149" xr:uid="{00000000-0005-0000-0000-000000D30000}"/>
    <cellStyle name="Note 5 2 2 3 4 2" xfId="54150" xr:uid="{00000000-0005-0000-0000-000001D30000}"/>
    <cellStyle name="Note 5 2 2 3 4 2 2" xfId="54151" xr:uid="{00000000-0005-0000-0000-000002D30000}"/>
    <cellStyle name="Note 5 2 2 3 4 2 3" xfId="54152" xr:uid="{00000000-0005-0000-0000-000003D30000}"/>
    <cellStyle name="Note 5 2 2 3 4 3" xfId="54153" xr:uid="{00000000-0005-0000-0000-000004D30000}"/>
    <cellStyle name="Note 5 2 2 3 4 4" xfId="54154" xr:uid="{00000000-0005-0000-0000-000005D30000}"/>
    <cellStyle name="Note 5 2 2 3 4 5" xfId="54155" xr:uid="{00000000-0005-0000-0000-000006D30000}"/>
    <cellStyle name="Note 5 2 2 3 4 6" xfId="54156" xr:uid="{00000000-0005-0000-0000-000007D30000}"/>
    <cellStyle name="Note 5 2 2 3 5" xfId="54157" xr:uid="{00000000-0005-0000-0000-000008D30000}"/>
    <cellStyle name="Note 5 2 2 3 5 2" xfId="54158" xr:uid="{00000000-0005-0000-0000-000009D30000}"/>
    <cellStyle name="Note 5 2 2 3 5 3" xfId="54159" xr:uid="{00000000-0005-0000-0000-00000AD30000}"/>
    <cellStyle name="Note 5 2 2 3 6" xfId="54160" xr:uid="{00000000-0005-0000-0000-00000BD30000}"/>
    <cellStyle name="Note 5 2 2 3 7" xfId="54161" xr:uid="{00000000-0005-0000-0000-00000CD30000}"/>
    <cellStyle name="Note 5 2 2 3 8" xfId="54162" xr:uid="{00000000-0005-0000-0000-00000DD30000}"/>
    <cellStyle name="Note 5 2 2 3 9" xfId="54163" xr:uid="{00000000-0005-0000-0000-00000ED30000}"/>
    <cellStyle name="Note 5 2 2 4" xfId="54164" xr:uid="{00000000-0005-0000-0000-00000FD30000}"/>
    <cellStyle name="Note 5 2 2 4 2" xfId="54165" xr:uid="{00000000-0005-0000-0000-000010D30000}"/>
    <cellStyle name="Note 5 2 2 4 2 2" xfId="54166" xr:uid="{00000000-0005-0000-0000-000011D30000}"/>
    <cellStyle name="Note 5 2 2 4 2 2 2" xfId="54167" xr:uid="{00000000-0005-0000-0000-000012D30000}"/>
    <cellStyle name="Note 5 2 2 4 2 2 3" xfId="54168" xr:uid="{00000000-0005-0000-0000-000013D30000}"/>
    <cellStyle name="Note 5 2 2 4 2 3" xfId="54169" xr:uid="{00000000-0005-0000-0000-000014D30000}"/>
    <cellStyle name="Note 5 2 2 4 2 4" xfId="54170" xr:uid="{00000000-0005-0000-0000-000015D30000}"/>
    <cellStyle name="Note 5 2 2 4 2 5" xfId="54171" xr:uid="{00000000-0005-0000-0000-000016D30000}"/>
    <cellStyle name="Note 5 2 2 4 2 6" xfId="54172" xr:uid="{00000000-0005-0000-0000-000017D30000}"/>
    <cellStyle name="Note 5 2 2 4 3" xfId="54173" xr:uid="{00000000-0005-0000-0000-000018D30000}"/>
    <cellStyle name="Note 5 2 2 4 3 2" xfId="54174" xr:uid="{00000000-0005-0000-0000-000019D30000}"/>
    <cellStyle name="Note 5 2 2 4 3 3" xfId="54175" xr:uid="{00000000-0005-0000-0000-00001AD30000}"/>
    <cellStyle name="Note 5 2 2 4 4" xfId="54176" xr:uid="{00000000-0005-0000-0000-00001BD30000}"/>
    <cellStyle name="Note 5 2 2 4 5" xfId="54177" xr:uid="{00000000-0005-0000-0000-00001CD30000}"/>
    <cellStyle name="Note 5 2 2 4 6" xfId="54178" xr:uid="{00000000-0005-0000-0000-00001DD30000}"/>
    <cellStyle name="Note 5 2 2 4 7" xfId="54179" xr:uid="{00000000-0005-0000-0000-00001ED30000}"/>
    <cellStyle name="Note 5 2 2 5" xfId="54180" xr:uid="{00000000-0005-0000-0000-00001FD30000}"/>
    <cellStyle name="Note 5 2 2 5 2" xfId="54181" xr:uid="{00000000-0005-0000-0000-000020D30000}"/>
    <cellStyle name="Note 5 2 2 5 2 2" xfId="54182" xr:uid="{00000000-0005-0000-0000-000021D30000}"/>
    <cellStyle name="Note 5 2 2 5 2 3" xfId="54183" xr:uid="{00000000-0005-0000-0000-000022D30000}"/>
    <cellStyle name="Note 5 2 2 5 3" xfId="54184" xr:uid="{00000000-0005-0000-0000-000023D30000}"/>
    <cellStyle name="Note 5 2 2 5 4" xfId="54185" xr:uid="{00000000-0005-0000-0000-000024D30000}"/>
    <cellStyle name="Note 5 2 2 5 5" xfId="54186" xr:uid="{00000000-0005-0000-0000-000025D30000}"/>
    <cellStyle name="Note 5 2 2 5 6" xfId="54187" xr:uid="{00000000-0005-0000-0000-000026D30000}"/>
    <cellStyle name="Note 5 2 2 6" xfId="54188" xr:uid="{00000000-0005-0000-0000-000027D30000}"/>
    <cellStyle name="Note 5 2 2 6 2" xfId="54189" xr:uid="{00000000-0005-0000-0000-000028D30000}"/>
    <cellStyle name="Note 5 2 2 6 2 2" xfId="54190" xr:uid="{00000000-0005-0000-0000-000029D30000}"/>
    <cellStyle name="Note 5 2 2 6 2 3" xfId="54191" xr:uid="{00000000-0005-0000-0000-00002AD30000}"/>
    <cellStyle name="Note 5 2 2 6 3" xfId="54192" xr:uid="{00000000-0005-0000-0000-00002BD30000}"/>
    <cellStyle name="Note 5 2 2 6 4" xfId="54193" xr:uid="{00000000-0005-0000-0000-00002CD30000}"/>
    <cellStyle name="Note 5 2 2 6 5" xfId="54194" xr:uid="{00000000-0005-0000-0000-00002DD30000}"/>
    <cellStyle name="Note 5 2 2 6 6" xfId="54195" xr:uid="{00000000-0005-0000-0000-00002ED30000}"/>
    <cellStyle name="Note 5 2 2 7" xfId="54196" xr:uid="{00000000-0005-0000-0000-00002FD30000}"/>
    <cellStyle name="Note 5 2 2 7 2" xfId="54197" xr:uid="{00000000-0005-0000-0000-000030D30000}"/>
    <cellStyle name="Note 5 2 2 7 2 2" xfId="54198" xr:uid="{00000000-0005-0000-0000-000031D30000}"/>
    <cellStyle name="Note 5 2 2 7 2 3" xfId="54199" xr:uid="{00000000-0005-0000-0000-000032D30000}"/>
    <cellStyle name="Note 5 2 2 7 3" xfId="54200" xr:uid="{00000000-0005-0000-0000-000033D30000}"/>
    <cellStyle name="Note 5 2 2 7 4" xfId="54201" xr:uid="{00000000-0005-0000-0000-000034D30000}"/>
    <cellStyle name="Note 5 2 2 7 5" xfId="54202" xr:uid="{00000000-0005-0000-0000-000035D30000}"/>
    <cellStyle name="Note 5 2 2 7 6" xfId="54203" xr:uid="{00000000-0005-0000-0000-000036D30000}"/>
    <cellStyle name="Note 5 2 2 8" xfId="54204" xr:uid="{00000000-0005-0000-0000-000037D30000}"/>
    <cellStyle name="Note 5 2 2 8 2" xfId="54205" xr:uid="{00000000-0005-0000-0000-000038D30000}"/>
    <cellStyle name="Note 5 2 2 8 2 2" xfId="54206" xr:uid="{00000000-0005-0000-0000-000039D30000}"/>
    <cellStyle name="Note 5 2 2 8 2 3" xfId="54207" xr:uid="{00000000-0005-0000-0000-00003AD30000}"/>
    <cellStyle name="Note 5 2 2 8 3" xfId="54208" xr:uid="{00000000-0005-0000-0000-00003BD30000}"/>
    <cellStyle name="Note 5 2 2 8 4" xfId="54209" xr:uid="{00000000-0005-0000-0000-00003CD30000}"/>
    <cellStyle name="Note 5 2 2 8 5" xfId="54210" xr:uid="{00000000-0005-0000-0000-00003DD30000}"/>
    <cellStyle name="Note 5 2 2 8 6" xfId="54211" xr:uid="{00000000-0005-0000-0000-00003ED30000}"/>
    <cellStyle name="Note 5 2 2 9" xfId="54212" xr:uid="{00000000-0005-0000-0000-00003FD30000}"/>
    <cellStyle name="Note 5 2 2 9 2" xfId="54213" xr:uid="{00000000-0005-0000-0000-000040D30000}"/>
    <cellStyle name="Note 5 2 2 9 3" xfId="54214" xr:uid="{00000000-0005-0000-0000-000041D30000}"/>
    <cellStyle name="Note 5 2 3" xfId="54215" xr:uid="{00000000-0005-0000-0000-000042D30000}"/>
    <cellStyle name="Note 5 2 3 10" xfId="54216" xr:uid="{00000000-0005-0000-0000-000043D30000}"/>
    <cellStyle name="Note 5 2 3 2" xfId="54217" xr:uid="{00000000-0005-0000-0000-000044D30000}"/>
    <cellStyle name="Note 5 2 3 2 2" xfId="54218" xr:uid="{00000000-0005-0000-0000-000045D30000}"/>
    <cellStyle name="Note 5 2 3 2 2 2" xfId="54219" xr:uid="{00000000-0005-0000-0000-000046D30000}"/>
    <cellStyle name="Note 5 2 3 2 2 2 2" xfId="54220" xr:uid="{00000000-0005-0000-0000-000047D30000}"/>
    <cellStyle name="Note 5 2 3 2 2 2 3" xfId="54221" xr:uid="{00000000-0005-0000-0000-000048D30000}"/>
    <cellStyle name="Note 5 2 3 2 2 3" xfId="54222" xr:uid="{00000000-0005-0000-0000-000049D30000}"/>
    <cellStyle name="Note 5 2 3 2 2 4" xfId="54223" xr:uid="{00000000-0005-0000-0000-00004AD30000}"/>
    <cellStyle name="Note 5 2 3 2 2 5" xfId="54224" xr:uid="{00000000-0005-0000-0000-00004BD30000}"/>
    <cellStyle name="Note 5 2 3 2 2 6" xfId="54225" xr:uid="{00000000-0005-0000-0000-00004CD30000}"/>
    <cellStyle name="Note 5 2 3 2 3" xfId="54226" xr:uid="{00000000-0005-0000-0000-00004DD30000}"/>
    <cellStyle name="Note 5 2 3 2 3 2" xfId="54227" xr:uid="{00000000-0005-0000-0000-00004ED30000}"/>
    <cellStyle name="Note 5 2 3 2 3 2 2" xfId="54228" xr:uid="{00000000-0005-0000-0000-00004FD30000}"/>
    <cellStyle name="Note 5 2 3 2 3 2 3" xfId="54229" xr:uid="{00000000-0005-0000-0000-000050D30000}"/>
    <cellStyle name="Note 5 2 3 2 3 3" xfId="54230" xr:uid="{00000000-0005-0000-0000-000051D30000}"/>
    <cellStyle name="Note 5 2 3 2 3 4" xfId="54231" xr:uid="{00000000-0005-0000-0000-000052D30000}"/>
    <cellStyle name="Note 5 2 3 2 3 5" xfId="54232" xr:uid="{00000000-0005-0000-0000-000053D30000}"/>
    <cellStyle name="Note 5 2 3 2 3 6" xfId="54233" xr:uid="{00000000-0005-0000-0000-000054D30000}"/>
    <cellStyle name="Note 5 2 3 2 4" xfId="54234" xr:uid="{00000000-0005-0000-0000-000055D30000}"/>
    <cellStyle name="Note 5 2 3 2 4 2" xfId="54235" xr:uid="{00000000-0005-0000-0000-000056D30000}"/>
    <cellStyle name="Note 5 2 3 2 4 3" xfId="54236" xr:uid="{00000000-0005-0000-0000-000057D30000}"/>
    <cellStyle name="Note 5 2 3 2 5" xfId="54237" xr:uid="{00000000-0005-0000-0000-000058D30000}"/>
    <cellStyle name="Note 5 2 3 2 6" xfId="54238" xr:uid="{00000000-0005-0000-0000-000059D30000}"/>
    <cellStyle name="Note 5 2 3 2 7" xfId="54239" xr:uid="{00000000-0005-0000-0000-00005AD30000}"/>
    <cellStyle name="Note 5 2 3 2 8" xfId="54240" xr:uid="{00000000-0005-0000-0000-00005BD30000}"/>
    <cellStyle name="Note 5 2 3 3" xfId="54241" xr:uid="{00000000-0005-0000-0000-00005CD30000}"/>
    <cellStyle name="Note 5 2 3 3 2" xfId="54242" xr:uid="{00000000-0005-0000-0000-00005DD30000}"/>
    <cellStyle name="Note 5 2 3 3 2 2" xfId="54243" xr:uid="{00000000-0005-0000-0000-00005ED30000}"/>
    <cellStyle name="Note 5 2 3 3 2 2 2" xfId="54244" xr:uid="{00000000-0005-0000-0000-00005FD30000}"/>
    <cellStyle name="Note 5 2 3 3 2 2 3" xfId="54245" xr:uid="{00000000-0005-0000-0000-000060D30000}"/>
    <cellStyle name="Note 5 2 3 3 2 3" xfId="54246" xr:uid="{00000000-0005-0000-0000-000061D30000}"/>
    <cellStyle name="Note 5 2 3 3 2 4" xfId="54247" xr:uid="{00000000-0005-0000-0000-000062D30000}"/>
    <cellStyle name="Note 5 2 3 3 2 5" xfId="54248" xr:uid="{00000000-0005-0000-0000-000063D30000}"/>
    <cellStyle name="Note 5 2 3 3 2 6" xfId="54249" xr:uid="{00000000-0005-0000-0000-000064D30000}"/>
    <cellStyle name="Note 5 2 3 3 3" xfId="54250" xr:uid="{00000000-0005-0000-0000-000065D30000}"/>
    <cellStyle name="Note 5 2 3 3 3 2" xfId="54251" xr:uid="{00000000-0005-0000-0000-000066D30000}"/>
    <cellStyle name="Note 5 2 3 3 3 3" xfId="54252" xr:uid="{00000000-0005-0000-0000-000067D30000}"/>
    <cellStyle name="Note 5 2 3 3 4" xfId="54253" xr:uid="{00000000-0005-0000-0000-000068D30000}"/>
    <cellStyle name="Note 5 2 3 3 5" xfId="54254" xr:uid="{00000000-0005-0000-0000-000069D30000}"/>
    <cellStyle name="Note 5 2 3 3 6" xfId="54255" xr:uid="{00000000-0005-0000-0000-00006AD30000}"/>
    <cellStyle name="Note 5 2 3 3 7" xfId="54256" xr:uid="{00000000-0005-0000-0000-00006BD30000}"/>
    <cellStyle name="Note 5 2 3 4" xfId="54257" xr:uid="{00000000-0005-0000-0000-00006CD30000}"/>
    <cellStyle name="Note 5 2 3 4 2" xfId="54258" xr:uid="{00000000-0005-0000-0000-00006DD30000}"/>
    <cellStyle name="Note 5 2 3 4 2 2" xfId="54259" xr:uid="{00000000-0005-0000-0000-00006ED30000}"/>
    <cellStyle name="Note 5 2 3 4 2 3" xfId="54260" xr:uid="{00000000-0005-0000-0000-00006FD30000}"/>
    <cellStyle name="Note 5 2 3 4 3" xfId="54261" xr:uid="{00000000-0005-0000-0000-000070D30000}"/>
    <cellStyle name="Note 5 2 3 4 4" xfId="54262" xr:uid="{00000000-0005-0000-0000-000071D30000}"/>
    <cellStyle name="Note 5 2 3 4 5" xfId="54263" xr:uid="{00000000-0005-0000-0000-000072D30000}"/>
    <cellStyle name="Note 5 2 3 4 6" xfId="54264" xr:uid="{00000000-0005-0000-0000-000073D30000}"/>
    <cellStyle name="Note 5 2 3 5" xfId="54265" xr:uid="{00000000-0005-0000-0000-000074D30000}"/>
    <cellStyle name="Note 5 2 3 5 2" xfId="54266" xr:uid="{00000000-0005-0000-0000-000075D30000}"/>
    <cellStyle name="Note 5 2 3 5 2 2" xfId="54267" xr:uid="{00000000-0005-0000-0000-000076D30000}"/>
    <cellStyle name="Note 5 2 3 5 2 3" xfId="54268" xr:uid="{00000000-0005-0000-0000-000077D30000}"/>
    <cellStyle name="Note 5 2 3 5 3" xfId="54269" xr:uid="{00000000-0005-0000-0000-000078D30000}"/>
    <cellStyle name="Note 5 2 3 5 4" xfId="54270" xr:uid="{00000000-0005-0000-0000-000079D30000}"/>
    <cellStyle name="Note 5 2 3 5 5" xfId="54271" xr:uid="{00000000-0005-0000-0000-00007AD30000}"/>
    <cellStyle name="Note 5 2 3 5 6" xfId="54272" xr:uid="{00000000-0005-0000-0000-00007BD30000}"/>
    <cellStyle name="Note 5 2 3 6" xfId="54273" xr:uid="{00000000-0005-0000-0000-00007CD30000}"/>
    <cellStyle name="Note 5 2 3 6 2" xfId="54274" xr:uid="{00000000-0005-0000-0000-00007DD30000}"/>
    <cellStyle name="Note 5 2 3 6 3" xfId="54275" xr:uid="{00000000-0005-0000-0000-00007ED30000}"/>
    <cellStyle name="Note 5 2 3 7" xfId="54276" xr:uid="{00000000-0005-0000-0000-00007FD30000}"/>
    <cellStyle name="Note 5 2 3 8" xfId="54277" xr:uid="{00000000-0005-0000-0000-000080D30000}"/>
    <cellStyle name="Note 5 2 3 9" xfId="54278" xr:uid="{00000000-0005-0000-0000-000081D30000}"/>
    <cellStyle name="Note 5 2 4" xfId="54279" xr:uid="{00000000-0005-0000-0000-000082D30000}"/>
    <cellStyle name="Note 5 2 4 2" xfId="54280" xr:uid="{00000000-0005-0000-0000-000083D30000}"/>
    <cellStyle name="Note 5 2 4 2 2" xfId="54281" xr:uid="{00000000-0005-0000-0000-000084D30000}"/>
    <cellStyle name="Note 5 2 4 2 2 2" xfId="54282" xr:uid="{00000000-0005-0000-0000-000085D30000}"/>
    <cellStyle name="Note 5 2 4 2 2 2 2" xfId="54283" xr:uid="{00000000-0005-0000-0000-000086D30000}"/>
    <cellStyle name="Note 5 2 4 2 2 2 3" xfId="54284" xr:uid="{00000000-0005-0000-0000-000087D30000}"/>
    <cellStyle name="Note 5 2 4 2 2 3" xfId="54285" xr:uid="{00000000-0005-0000-0000-000088D30000}"/>
    <cellStyle name="Note 5 2 4 2 2 4" xfId="54286" xr:uid="{00000000-0005-0000-0000-000089D30000}"/>
    <cellStyle name="Note 5 2 4 2 2 5" xfId="54287" xr:uid="{00000000-0005-0000-0000-00008AD30000}"/>
    <cellStyle name="Note 5 2 4 2 2 6" xfId="54288" xr:uid="{00000000-0005-0000-0000-00008BD30000}"/>
    <cellStyle name="Note 5 2 4 2 3" xfId="54289" xr:uid="{00000000-0005-0000-0000-00008CD30000}"/>
    <cellStyle name="Note 5 2 4 2 3 2" xfId="54290" xr:uid="{00000000-0005-0000-0000-00008DD30000}"/>
    <cellStyle name="Note 5 2 4 2 3 3" xfId="54291" xr:uid="{00000000-0005-0000-0000-00008ED30000}"/>
    <cellStyle name="Note 5 2 4 2 4" xfId="54292" xr:uid="{00000000-0005-0000-0000-00008FD30000}"/>
    <cellStyle name="Note 5 2 4 2 5" xfId="54293" xr:uid="{00000000-0005-0000-0000-000090D30000}"/>
    <cellStyle name="Note 5 2 4 2 6" xfId="54294" xr:uid="{00000000-0005-0000-0000-000091D30000}"/>
    <cellStyle name="Note 5 2 4 2 7" xfId="54295" xr:uid="{00000000-0005-0000-0000-000092D30000}"/>
    <cellStyle name="Note 5 2 4 3" xfId="54296" xr:uid="{00000000-0005-0000-0000-000093D30000}"/>
    <cellStyle name="Note 5 2 4 3 2" xfId="54297" xr:uid="{00000000-0005-0000-0000-000094D30000}"/>
    <cellStyle name="Note 5 2 4 3 2 2" xfId="54298" xr:uid="{00000000-0005-0000-0000-000095D30000}"/>
    <cellStyle name="Note 5 2 4 3 2 3" xfId="54299" xr:uid="{00000000-0005-0000-0000-000096D30000}"/>
    <cellStyle name="Note 5 2 4 3 3" xfId="54300" xr:uid="{00000000-0005-0000-0000-000097D30000}"/>
    <cellStyle name="Note 5 2 4 3 4" xfId="54301" xr:uid="{00000000-0005-0000-0000-000098D30000}"/>
    <cellStyle name="Note 5 2 4 3 5" xfId="54302" xr:uid="{00000000-0005-0000-0000-000099D30000}"/>
    <cellStyle name="Note 5 2 4 3 6" xfId="54303" xr:uid="{00000000-0005-0000-0000-00009AD30000}"/>
    <cellStyle name="Note 5 2 4 4" xfId="54304" xr:uid="{00000000-0005-0000-0000-00009BD30000}"/>
    <cellStyle name="Note 5 2 4 4 2" xfId="54305" xr:uid="{00000000-0005-0000-0000-00009CD30000}"/>
    <cellStyle name="Note 5 2 4 4 2 2" xfId="54306" xr:uid="{00000000-0005-0000-0000-00009DD30000}"/>
    <cellStyle name="Note 5 2 4 4 2 3" xfId="54307" xr:uid="{00000000-0005-0000-0000-00009ED30000}"/>
    <cellStyle name="Note 5 2 4 4 3" xfId="54308" xr:uid="{00000000-0005-0000-0000-00009FD30000}"/>
    <cellStyle name="Note 5 2 4 4 4" xfId="54309" xr:uid="{00000000-0005-0000-0000-0000A0D30000}"/>
    <cellStyle name="Note 5 2 4 4 5" xfId="54310" xr:uid="{00000000-0005-0000-0000-0000A1D30000}"/>
    <cellStyle name="Note 5 2 4 4 6" xfId="54311" xr:uid="{00000000-0005-0000-0000-0000A2D30000}"/>
    <cellStyle name="Note 5 2 4 5" xfId="54312" xr:uid="{00000000-0005-0000-0000-0000A3D30000}"/>
    <cellStyle name="Note 5 2 4 5 2" xfId="54313" xr:uid="{00000000-0005-0000-0000-0000A4D30000}"/>
    <cellStyle name="Note 5 2 4 5 3" xfId="54314" xr:uid="{00000000-0005-0000-0000-0000A5D30000}"/>
    <cellStyle name="Note 5 2 4 6" xfId="54315" xr:uid="{00000000-0005-0000-0000-0000A6D30000}"/>
    <cellStyle name="Note 5 2 4 7" xfId="54316" xr:uid="{00000000-0005-0000-0000-0000A7D30000}"/>
    <cellStyle name="Note 5 2 4 8" xfId="54317" xr:uid="{00000000-0005-0000-0000-0000A8D30000}"/>
    <cellStyle name="Note 5 2 4 9" xfId="54318" xr:uid="{00000000-0005-0000-0000-0000A9D30000}"/>
    <cellStyle name="Note 5 2 5" xfId="54319" xr:uid="{00000000-0005-0000-0000-0000AAD30000}"/>
    <cellStyle name="Note 5 2 5 2" xfId="54320" xr:uid="{00000000-0005-0000-0000-0000ABD30000}"/>
    <cellStyle name="Note 5 2 5 2 2" xfId="54321" xr:uid="{00000000-0005-0000-0000-0000ACD30000}"/>
    <cellStyle name="Note 5 2 5 2 2 2" xfId="54322" xr:uid="{00000000-0005-0000-0000-0000ADD30000}"/>
    <cellStyle name="Note 5 2 5 2 2 3" xfId="54323" xr:uid="{00000000-0005-0000-0000-0000AED30000}"/>
    <cellStyle name="Note 5 2 5 2 3" xfId="54324" xr:uid="{00000000-0005-0000-0000-0000AFD30000}"/>
    <cellStyle name="Note 5 2 5 2 4" xfId="54325" xr:uid="{00000000-0005-0000-0000-0000B0D30000}"/>
    <cellStyle name="Note 5 2 5 2 5" xfId="54326" xr:uid="{00000000-0005-0000-0000-0000B1D30000}"/>
    <cellStyle name="Note 5 2 5 2 6" xfId="54327" xr:uid="{00000000-0005-0000-0000-0000B2D30000}"/>
    <cellStyle name="Note 5 2 5 3" xfId="54328" xr:uid="{00000000-0005-0000-0000-0000B3D30000}"/>
    <cellStyle name="Note 5 2 5 3 2" xfId="54329" xr:uid="{00000000-0005-0000-0000-0000B4D30000}"/>
    <cellStyle name="Note 5 2 5 3 3" xfId="54330" xr:uid="{00000000-0005-0000-0000-0000B5D30000}"/>
    <cellStyle name="Note 5 2 5 4" xfId="54331" xr:uid="{00000000-0005-0000-0000-0000B6D30000}"/>
    <cellStyle name="Note 5 2 5 5" xfId="54332" xr:uid="{00000000-0005-0000-0000-0000B7D30000}"/>
    <cellStyle name="Note 5 2 5 6" xfId="54333" xr:uid="{00000000-0005-0000-0000-0000B8D30000}"/>
    <cellStyle name="Note 5 2 5 7" xfId="54334" xr:uid="{00000000-0005-0000-0000-0000B9D30000}"/>
    <cellStyle name="Note 5 2 6" xfId="54335" xr:uid="{00000000-0005-0000-0000-0000BAD30000}"/>
    <cellStyle name="Note 5 2 6 2" xfId="54336" xr:uid="{00000000-0005-0000-0000-0000BBD30000}"/>
    <cellStyle name="Note 5 2 6 2 2" xfId="54337" xr:uid="{00000000-0005-0000-0000-0000BCD30000}"/>
    <cellStyle name="Note 5 2 6 2 3" xfId="54338" xr:uid="{00000000-0005-0000-0000-0000BDD30000}"/>
    <cellStyle name="Note 5 2 6 3" xfId="54339" xr:uid="{00000000-0005-0000-0000-0000BED30000}"/>
    <cellStyle name="Note 5 2 6 4" xfId="54340" xr:uid="{00000000-0005-0000-0000-0000BFD30000}"/>
    <cellStyle name="Note 5 2 6 5" xfId="54341" xr:uid="{00000000-0005-0000-0000-0000C0D30000}"/>
    <cellStyle name="Note 5 2 6 6" xfId="54342" xr:uid="{00000000-0005-0000-0000-0000C1D30000}"/>
    <cellStyle name="Note 5 2 7" xfId="54343" xr:uid="{00000000-0005-0000-0000-0000C2D30000}"/>
    <cellStyle name="Note 5 2 7 2" xfId="54344" xr:uid="{00000000-0005-0000-0000-0000C3D30000}"/>
    <cellStyle name="Note 5 2 7 2 2" xfId="54345" xr:uid="{00000000-0005-0000-0000-0000C4D30000}"/>
    <cellStyle name="Note 5 2 7 2 3" xfId="54346" xr:uid="{00000000-0005-0000-0000-0000C5D30000}"/>
    <cellStyle name="Note 5 2 7 3" xfId="54347" xr:uid="{00000000-0005-0000-0000-0000C6D30000}"/>
    <cellStyle name="Note 5 2 7 4" xfId="54348" xr:uid="{00000000-0005-0000-0000-0000C7D30000}"/>
    <cellStyle name="Note 5 2 7 5" xfId="54349" xr:uid="{00000000-0005-0000-0000-0000C8D30000}"/>
    <cellStyle name="Note 5 2 7 6" xfId="54350" xr:uid="{00000000-0005-0000-0000-0000C9D30000}"/>
    <cellStyle name="Note 5 2 8" xfId="54351" xr:uid="{00000000-0005-0000-0000-0000CAD30000}"/>
    <cellStyle name="Note 5 2 8 2" xfId="54352" xr:uid="{00000000-0005-0000-0000-0000CBD30000}"/>
    <cellStyle name="Note 5 2 8 2 2" xfId="54353" xr:uid="{00000000-0005-0000-0000-0000CCD30000}"/>
    <cellStyle name="Note 5 2 8 2 3" xfId="54354" xr:uid="{00000000-0005-0000-0000-0000CDD30000}"/>
    <cellStyle name="Note 5 2 8 3" xfId="54355" xr:uid="{00000000-0005-0000-0000-0000CED30000}"/>
    <cellStyle name="Note 5 2 8 4" xfId="54356" xr:uid="{00000000-0005-0000-0000-0000CFD30000}"/>
    <cellStyle name="Note 5 2 8 5" xfId="54357" xr:uid="{00000000-0005-0000-0000-0000D0D30000}"/>
    <cellStyle name="Note 5 2 8 6" xfId="54358" xr:uid="{00000000-0005-0000-0000-0000D1D30000}"/>
    <cellStyle name="Note 5 2 9" xfId="54359" xr:uid="{00000000-0005-0000-0000-0000D2D30000}"/>
    <cellStyle name="Note 5 2 9 2" xfId="54360" xr:uid="{00000000-0005-0000-0000-0000D3D30000}"/>
    <cellStyle name="Note 5 2 9 2 2" xfId="54361" xr:uid="{00000000-0005-0000-0000-0000D4D30000}"/>
    <cellStyle name="Note 5 2 9 2 3" xfId="54362" xr:uid="{00000000-0005-0000-0000-0000D5D30000}"/>
    <cellStyle name="Note 5 2 9 3" xfId="54363" xr:uid="{00000000-0005-0000-0000-0000D6D30000}"/>
    <cellStyle name="Note 5 2 9 4" xfId="54364" xr:uid="{00000000-0005-0000-0000-0000D7D30000}"/>
    <cellStyle name="Note 5 2 9 5" xfId="54365" xr:uid="{00000000-0005-0000-0000-0000D8D30000}"/>
    <cellStyle name="Note 5 2 9 6" xfId="54366" xr:uid="{00000000-0005-0000-0000-0000D9D30000}"/>
    <cellStyle name="Note 5 3" xfId="54367" xr:uid="{00000000-0005-0000-0000-0000DAD30000}"/>
    <cellStyle name="Note 5 3 10" xfId="54368" xr:uid="{00000000-0005-0000-0000-0000DBD30000}"/>
    <cellStyle name="Note 5 3 10 2" xfId="54369" xr:uid="{00000000-0005-0000-0000-0000DCD30000}"/>
    <cellStyle name="Note 5 3 10 3" xfId="54370" xr:uid="{00000000-0005-0000-0000-0000DDD30000}"/>
    <cellStyle name="Note 5 3 11" xfId="54371" xr:uid="{00000000-0005-0000-0000-0000DED30000}"/>
    <cellStyle name="Note 5 3 12" xfId="54372" xr:uid="{00000000-0005-0000-0000-0000DFD30000}"/>
    <cellStyle name="Note 5 3 13" xfId="54373" xr:uid="{00000000-0005-0000-0000-0000E0D30000}"/>
    <cellStyle name="Note 5 3 14" xfId="54374" xr:uid="{00000000-0005-0000-0000-0000E1D30000}"/>
    <cellStyle name="Note 5 3 2" xfId="54375" xr:uid="{00000000-0005-0000-0000-0000E2D30000}"/>
    <cellStyle name="Note 5 3 2 10" xfId="54376" xr:uid="{00000000-0005-0000-0000-0000E3D30000}"/>
    <cellStyle name="Note 5 3 2 11" xfId="54377" xr:uid="{00000000-0005-0000-0000-0000E4D30000}"/>
    <cellStyle name="Note 5 3 2 12" xfId="54378" xr:uid="{00000000-0005-0000-0000-0000E5D30000}"/>
    <cellStyle name="Note 5 3 2 13" xfId="54379" xr:uid="{00000000-0005-0000-0000-0000E6D30000}"/>
    <cellStyle name="Note 5 3 2 2" xfId="54380" xr:uid="{00000000-0005-0000-0000-0000E7D30000}"/>
    <cellStyle name="Note 5 3 2 2 10" xfId="54381" xr:uid="{00000000-0005-0000-0000-0000E8D30000}"/>
    <cellStyle name="Note 5 3 2 2 2" xfId="54382" xr:uid="{00000000-0005-0000-0000-0000E9D30000}"/>
    <cellStyle name="Note 5 3 2 2 2 2" xfId="54383" xr:uid="{00000000-0005-0000-0000-0000EAD30000}"/>
    <cellStyle name="Note 5 3 2 2 2 2 2" xfId="54384" xr:uid="{00000000-0005-0000-0000-0000EBD30000}"/>
    <cellStyle name="Note 5 3 2 2 2 2 2 2" xfId="54385" xr:uid="{00000000-0005-0000-0000-0000ECD30000}"/>
    <cellStyle name="Note 5 3 2 2 2 2 2 3" xfId="54386" xr:uid="{00000000-0005-0000-0000-0000EDD30000}"/>
    <cellStyle name="Note 5 3 2 2 2 2 3" xfId="54387" xr:uid="{00000000-0005-0000-0000-0000EED30000}"/>
    <cellStyle name="Note 5 3 2 2 2 2 4" xfId="54388" xr:uid="{00000000-0005-0000-0000-0000EFD30000}"/>
    <cellStyle name="Note 5 3 2 2 2 2 5" xfId="54389" xr:uid="{00000000-0005-0000-0000-0000F0D30000}"/>
    <cellStyle name="Note 5 3 2 2 2 2 6" xfId="54390" xr:uid="{00000000-0005-0000-0000-0000F1D30000}"/>
    <cellStyle name="Note 5 3 2 2 2 3" xfId="54391" xr:uid="{00000000-0005-0000-0000-0000F2D30000}"/>
    <cellStyle name="Note 5 3 2 2 2 3 2" xfId="54392" xr:uid="{00000000-0005-0000-0000-0000F3D30000}"/>
    <cellStyle name="Note 5 3 2 2 2 3 2 2" xfId="54393" xr:uid="{00000000-0005-0000-0000-0000F4D30000}"/>
    <cellStyle name="Note 5 3 2 2 2 3 2 3" xfId="54394" xr:uid="{00000000-0005-0000-0000-0000F5D30000}"/>
    <cellStyle name="Note 5 3 2 2 2 3 3" xfId="54395" xr:uid="{00000000-0005-0000-0000-0000F6D30000}"/>
    <cellStyle name="Note 5 3 2 2 2 3 4" xfId="54396" xr:uid="{00000000-0005-0000-0000-0000F7D30000}"/>
    <cellStyle name="Note 5 3 2 2 2 3 5" xfId="54397" xr:uid="{00000000-0005-0000-0000-0000F8D30000}"/>
    <cellStyle name="Note 5 3 2 2 2 3 6" xfId="54398" xr:uid="{00000000-0005-0000-0000-0000F9D30000}"/>
    <cellStyle name="Note 5 3 2 2 2 4" xfId="54399" xr:uid="{00000000-0005-0000-0000-0000FAD30000}"/>
    <cellStyle name="Note 5 3 2 2 2 4 2" xfId="54400" xr:uid="{00000000-0005-0000-0000-0000FBD30000}"/>
    <cellStyle name="Note 5 3 2 2 2 4 3" xfId="54401" xr:uid="{00000000-0005-0000-0000-0000FCD30000}"/>
    <cellStyle name="Note 5 3 2 2 2 5" xfId="54402" xr:uid="{00000000-0005-0000-0000-0000FDD30000}"/>
    <cellStyle name="Note 5 3 2 2 2 6" xfId="54403" xr:uid="{00000000-0005-0000-0000-0000FED30000}"/>
    <cellStyle name="Note 5 3 2 2 2 7" xfId="54404" xr:uid="{00000000-0005-0000-0000-0000FFD30000}"/>
    <cellStyle name="Note 5 3 2 2 2 8" xfId="54405" xr:uid="{00000000-0005-0000-0000-000000D40000}"/>
    <cellStyle name="Note 5 3 2 2 3" xfId="54406" xr:uid="{00000000-0005-0000-0000-000001D40000}"/>
    <cellStyle name="Note 5 3 2 2 3 2" xfId="54407" xr:uid="{00000000-0005-0000-0000-000002D40000}"/>
    <cellStyle name="Note 5 3 2 2 3 2 2" xfId="54408" xr:uid="{00000000-0005-0000-0000-000003D40000}"/>
    <cellStyle name="Note 5 3 2 2 3 2 2 2" xfId="54409" xr:uid="{00000000-0005-0000-0000-000004D40000}"/>
    <cellStyle name="Note 5 3 2 2 3 2 2 3" xfId="54410" xr:uid="{00000000-0005-0000-0000-000005D40000}"/>
    <cellStyle name="Note 5 3 2 2 3 2 3" xfId="54411" xr:uid="{00000000-0005-0000-0000-000006D40000}"/>
    <cellStyle name="Note 5 3 2 2 3 2 4" xfId="54412" xr:uid="{00000000-0005-0000-0000-000007D40000}"/>
    <cellStyle name="Note 5 3 2 2 3 2 5" xfId="54413" xr:uid="{00000000-0005-0000-0000-000008D40000}"/>
    <cellStyle name="Note 5 3 2 2 3 2 6" xfId="54414" xr:uid="{00000000-0005-0000-0000-000009D40000}"/>
    <cellStyle name="Note 5 3 2 2 3 3" xfId="54415" xr:uid="{00000000-0005-0000-0000-00000AD40000}"/>
    <cellStyle name="Note 5 3 2 2 3 3 2" xfId="54416" xr:uid="{00000000-0005-0000-0000-00000BD40000}"/>
    <cellStyle name="Note 5 3 2 2 3 3 3" xfId="54417" xr:uid="{00000000-0005-0000-0000-00000CD40000}"/>
    <cellStyle name="Note 5 3 2 2 3 4" xfId="54418" xr:uid="{00000000-0005-0000-0000-00000DD40000}"/>
    <cellStyle name="Note 5 3 2 2 3 5" xfId="54419" xr:uid="{00000000-0005-0000-0000-00000ED40000}"/>
    <cellStyle name="Note 5 3 2 2 3 6" xfId="54420" xr:uid="{00000000-0005-0000-0000-00000FD40000}"/>
    <cellStyle name="Note 5 3 2 2 3 7" xfId="54421" xr:uid="{00000000-0005-0000-0000-000010D40000}"/>
    <cellStyle name="Note 5 3 2 2 4" xfId="54422" xr:uid="{00000000-0005-0000-0000-000011D40000}"/>
    <cellStyle name="Note 5 3 2 2 4 2" xfId="54423" xr:uid="{00000000-0005-0000-0000-000012D40000}"/>
    <cellStyle name="Note 5 3 2 2 4 2 2" xfId="54424" xr:uid="{00000000-0005-0000-0000-000013D40000}"/>
    <cellStyle name="Note 5 3 2 2 4 2 3" xfId="54425" xr:uid="{00000000-0005-0000-0000-000014D40000}"/>
    <cellStyle name="Note 5 3 2 2 4 3" xfId="54426" xr:uid="{00000000-0005-0000-0000-000015D40000}"/>
    <cellStyle name="Note 5 3 2 2 4 4" xfId="54427" xr:uid="{00000000-0005-0000-0000-000016D40000}"/>
    <cellStyle name="Note 5 3 2 2 4 5" xfId="54428" xr:uid="{00000000-0005-0000-0000-000017D40000}"/>
    <cellStyle name="Note 5 3 2 2 4 6" xfId="54429" xr:uid="{00000000-0005-0000-0000-000018D40000}"/>
    <cellStyle name="Note 5 3 2 2 5" xfId="54430" xr:uid="{00000000-0005-0000-0000-000019D40000}"/>
    <cellStyle name="Note 5 3 2 2 5 2" xfId="54431" xr:uid="{00000000-0005-0000-0000-00001AD40000}"/>
    <cellStyle name="Note 5 3 2 2 5 2 2" xfId="54432" xr:uid="{00000000-0005-0000-0000-00001BD40000}"/>
    <cellStyle name="Note 5 3 2 2 5 2 3" xfId="54433" xr:uid="{00000000-0005-0000-0000-00001CD40000}"/>
    <cellStyle name="Note 5 3 2 2 5 3" xfId="54434" xr:uid="{00000000-0005-0000-0000-00001DD40000}"/>
    <cellStyle name="Note 5 3 2 2 5 4" xfId="54435" xr:uid="{00000000-0005-0000-0000-00001ED40000}"/>
    <cellStyle name="Note 5 3 2 2 5 5" xfId="54436" xr:uid="{00000000-0005-0000-0000-00001FD40000}"/>
    <cellStyle name="Note 5 3 2 2 5 6" xfId="54437" xr:uid="{00000000-0005-0000-0000-000020D40000}"/>
    <cellStyle name="Note 5 3 2 2 6" xfId="54438" xr:uid="{00000000-0005-0000-0000-000021D40000}"/>
    <cellStyle name="Note 5 3 2 2 6 2" xfId="54439" xr:uid="{00000000-0005-0000-0000-000022D40000}"/>
    <cellStyle name="Note 5 3 2 2 6 3" xfId="54440" xr:uid="{00000000-0005-0000-0000-000023D40000}"/>
    <cellStyle name="Note 5 3 2 2 7" xfId="54441" xr:uid="{00000000-0005-0000-0000-000024D40000}"/>
    <cellStyle name="Note 5 3 2 2 8" xfId="54442" xr:uid="{00000000-0005-0000-0000-000025D40000}"/>
    <cellStyle name="Note 5 3 2 2 9" xfId="54443" xr:uid="{00000000-0005-0000-0000-000026D40000}"/>
    <cellStyle name="Note 5 3 2 3" xfId="54444" xr:uid="{00000000-0005-0000-0000-000027D40000}"/>
    <cellStyle name="Note 5 3 2 3 2" xfId="54445" xr:uid="{00000000-0005-0000-0000-000028D40000}"/>
    <cellStyle name="Note 5 3 2 3 2 2" xfId="54446" xr:uid="{00000000-0005-0000-0000-000029D40000}"/>
    <cellStyle name="Note 5 3 2 3 2 2 2" xfId="54447" xr:uid="{00000000-0005-0000-0000-00002AD40000}"/>
    <cellStyle name="Note 5 3 2 3 2 2 2 2" xfId="54448" xr:uid="{00000000-0005-0000-0000-00002BD40000}"/>
    <cellStyle name="Note 5 3 2 3 2 2 2 3" xfId="54449" xr:uid="{00000000-0005-0000-0000-00002CD40000}"/>
    <cellStyle name="Note 5 3 2 3 2 2 3" xfId="54450" xr:uid="{00000000-0005-0000-0000-00002DD40000}"/>
    <cellStyle name="Note 5 3 2 3 2 2 4" xfId="54451" xr:uid="{00000000-0005-0000-0000-00002ED40000}"/>
    <cellStyle name="Note 5 3 2 3 2 2 5" xfId="54452" xr:uid="{00000000-0005-0000-0000-00002FD40000}"/>
    <cellStyle name="Note 5 3 2 3 2 2 6" xfId="54453" xr:uid="{00000000-0005-0000-0000-000030D40000}"/>
    <cellStyle name="Note 5 3 2 3 2 3" xfId="54454" xr:uid="{00000000-0005-0000-0000-000031D40000}"/>
    <cellStyle name="Note 5 3 2 3 2 3 2" xfId="54455" xr:uid="{00000000-0005-0000-0000-000032D40000}"/>
    <cellStyle name="Note 5 3 2 3 2 3 3" xfId="54456" xr:uid="{00000000-0005-0000-0000-000033D40000}"/>
    <cellStyle name="Note 5 3 2 3 2 4" xfId="54457" xr:uid="{00000000-0005-0000-0000-000034D40000}"/>
    <cellStyle name="Note 5 3 2 3 2 5" xfId="54458" xr:uid="{00000000-0005-0000-0000-000035D40000}"/>
    <cellStyle name="Note 5 3 2 3 2 6" xfId="54459" xr:uid="{00000000-0005-0000-0000-000036D40000}"/>
    <cellStyle name="Note 5 3 2 3 2 7" xfId="54460" xr:uid="{00000000-0005-0000-0000-000037D40000}"/>
    <cellStyle name="Note 5 3 2 3 3" xfId="54461" xr:uid="{00000000-0005-0000-0000-000038D40000}"/>
    <cellStyle name="Note 5 3 2 3 3 2" xfId="54462" xr:uid="{00000000-0005-0000-0000-000039D40000}"/>
    <cellStyle name="Note 5 3 2 3 3 2 2" xfId="54463" xr:uid="{00000000-0005-0000-0000-00003AD40000}"/>
    <cellStyle name="Note 5 3 2 3 3 2 3" xfId="54464" xr:uid="{00000000-0005-0000-0000-00003BD40000}"/>
    <cellStyle name="Note 5 3 2 3 3 3" xfId="54465" xr:uid="{00000000-0005-0000-0000-00003CD40000}"/>
    <cellStyle name="Note 5 3 2 3 3 4" xfId="54466" xr:uid="{00000000-0005-0000-0000-00003DD40000}"/>
    <cellStyle name="Note 5 3 2 3 3 5" xfId="54467" xr:uid="{00000000-0005-0000-0000-00003ED40000}"/>
    <cellStyle name="Note 5 3 2 3 3 6" xfId="54468" xr:uid="{00000000-0005-0000-0000-00003FD40000}"/>
    <cellStyle name="Note 5 3 2 3 4" xfId="54469" xr:uid="{00000000-0005-0000-0000-000040D40000}"/>
    <cellStyle name="Note 5 3 2 3 4 2" xfId="54470" xr:uid="{00000000-0005-0000-0000-000041D40000}"/>
    <cellStyle name="Note 5 3 2 3 4 2 2" xfId="54471" xr:uid="{00000000-0005-0000-0000-000042D40000}"/>
    <cellStyle name="Note 5 3 2 3 4 2 3" xfId="54472" xr:uid="{00000000-0005-0000-0000-000043D40000}"/>
    <cellStyle name="Note 5 3 2 3 4 3" xfId="54473" xr:uid="{00000000-0005-0000-0000-000044D40000}"/>
    <cellStyle name="Note 5 3 2 3 4 4" xfId="54474" xr:uid="{00000000-0005-0000-0000-000045D40000}"/>
    <cellStyle name="Note 5 3 2 3 4 5" xfId="54475" xr:uid="{00000000-0005-0000-0000-000046D40000}"/>
    <cellStyle name="Note 5 3 2 3 4 6" xfId="54476" xr:uid="{00000000-0005-0000-0000-000047D40000}"/>
    <cellStyle name="Note 5 3 2 3 5" xfId="54477" xr:uid="{00000000-0005-0000-0000-000048D40000}"/>
    <cellStyle name="Note 5 3 2 3 5 2" xfId="54478" xr:uid="{00000000-0005-0000-0000-000049D40000}"/>
    <cellStyle name="Note 5 3 2 3 5 3" xfId="54479" xr:uid="{00000000-0005-0000-0000-00004AD40000}"/>
    <cellStyle name="Note 5 3 2 3 6" xfId="54480" xr:uid="{00000000-0005-0000-0000-00004BD40000}"/>
    <cellStyle name="Note 5 3 2 3 7" xfId="54481" xr:uid="{00000000-0005-0000-0000-00004CD40000}"/>
    <cellStyle name="Note 5 3 2 3 8" xfId="54482" xr:uid="{00000000-0005-0000-0000-00004DD40000}"/>
    <cellStyle name="Note 5 3 2 3 9" xfId="54483" xr:uid="{00000000-0005-0000-0000-00004ED40000}"/>
    <cellStyle name="Note 5 3 2 4" xfId="54484" xr:uid="{00000000-0005-0000-0000-00004FD40000}"/>
    <cellStyle name="Note 5 3 2 4 2" xfId="54485" xr:uid="{00000000-0005-0000-0000-000050D40000}"/>
    <cellStyle name="Note 5 3 2 4 2 2" xfId="54486" xr:uid="{00000000-0005-0000-0000-000051D40000}"/>
    <cellStyle name="Note 5 3 2 4 2 2 2" xfId="54487" xr:uid="{00000000-0005-0000-0000-000052D40000}"/>
    <cellStyle name="Note 5 3 2 4 2 2 3" xfId="54488" xr:uid="{00000000-0005-0000-0000-000053D40000}"/>
    <cellStyle name="Note 5 3 2 4 2 3" xfId="54489" xr:uid="{00000000-0005-0000-0000-000054D40000}"/>
    <cellStyle name="Note 5 3 2 4 2 4" xfId="54490" xr:uid="{00000000-0005-0000-0000-000055D40000}"/>
    <cellStyle name="Note 5 3 2 4 2 5" xfId="54491" xr:uid="{00000000-0005-0000-0000-000056D40000}"/>
    <cellStyle name="Note 5 3 2 4 2 6" xfId="54492" xr:uid="{00000000-0005-0000-0000-000057D40000}"/>
    <cellStyle name="Note 5 3 2 4 3" xfId="54493" xr:uid="{00000000-0005-0000-0000-000058D40000}"/>
    <cellStyle name="Note 5 3 2 4 3 2" xfId="54494" xr:uid="{00000000-0005-0000-0000-000059D40000}"/>
    <cellStyle name="Note 5 3 2 4 3 3" xfId="54495" xr:uid="{00000000-0005-0000-0000-00005AD40000}"/>
    <cellStyle name="Note 5 3 2 4 4" xfId="54496" xr:uid="{00000000-0005-0000-0000-00005BD40000}"/>
    <cellStyle name="Note 5 3 2 4 5" xfId="54497" xr:uid="{00000000-0005-0000-0000-00005CD40000}"/>
    <cellStyle name="Note 5 3 2 4 6" xfId="54498" xr:uid="{00000000-0005-0000-0000-00005DD40000}"/>
    <cellStyle name="Note 5 3 2 4 7" xfId="54499" xr:uid="{00000000-0005-0000-0000-00005ED40000}"/>
    <cellStyle name="Note 5 3 2 5" xfId="54500" xr:uid="{00000000-0005-0000-0000-00005FD40000}"/>
    <cellStyle name="Note 5 3 2 5 2" xfId="54501" xr:uid="{00000000-0005-0000-0000-000060D40000}"/>
    <cellStyle name="Note 5 3 2 5 2 2" xfId="54502" xr:uid="{00000000-0005-0000-0000-000061D40000}"/>
    <cellStyle name="Note 5 3 2 5 2 3" xfId="54503" xr:uid="{00000000-0005-0000-0000-000062D40000}"/>
    <cellStyle name="Note 5 3 2 5 3" xfId="54504" xr:uid="{00000000-0005-0000-0000-000063D40000}"/>
    <cellStyle name="Note 5 3 2 5 4" xfId="54505" xr:uid="{00000000-0005-0000-0000-000064D40000}"/>
    <cellStyle name="Note 5 3 2 5 5" xfId="54506" xr:uid="{00000000-0005-0000-0000-000065D40000}"/>
    <cellStyle name="Note 5 3 2 5 6" xfId="54507" xr:uid="{00000000-0005-0000-0000-000066D40000}"/>
    <cellStyle name="Note 5 3 2 6" xfId="54508" xr:uid="{00000000-0005-0000-0000-000067D40000}"/>
    <cellStyle name="Note 5 3 2 6 2" xfId="54509" xr:uid="{00000000-0005-0000-0000-000068D40000}"/>
    <cellStyle name="Note 5 3 2 6 2 2" xfId="54510" xr:uid="{00000000-0005-0000-0000-000069D40000}"/>
    <cellStyle name="Note 5 3 2 6 2 3" xfId="54511" xr:uid="{00000000-0005-0000-0000-00006AD40000}"/>
    <cellStyle name="Note 5 3 2 6 3" xfId="54512" xr:uid="{00000000-0005-0000-0000-00006BD40000}"/>
    <cellStyle name="Note 5 3 2 6 4" xfId="54513" xr:uid="{00000000-0005-0000-0000-00006CD40000}"/>
    <cellStyle name="Note 5 3 2 6 5" xfId="54514" xr:uid="{00000000-0005-0000-0000-00006DD40000}"/>
    <cellStyle name="Note 5 3 2 6 6" xfId="54515" xr:uid="{00000000-0005-0000-0000-00006ED40000}"/>
    <cellStyle name="Note 5 3 2 7" xfId="54516" xr:uid="{00000000-0005-0000-0000-00006FD40000}"/>
    <cellStyle name="Note 5 3 2 7 2" xfId="54517" xr:uid="{00000000-0005-0000-0000-000070D40000}"/>
    <cellStyle name="Note 5 3 2 7 2 2" xfId="54518" xr:uid="{00000000-0005-0000-0000-000071D40000}"/>
    <cellStyle name="Note 5 3 2 7 2 3" xfId="54519" xr:uid="{00000000-0005-0000-0000-000072D40000}"/>
    <cellStyle name="Note 5 3 2 7 3" xfId="54520" xr:uid="{00000000-0005-0000-0000-000073D40000}"/>
    <cellStyle name="Note 5 3 2 7 4" xfId="54521" xr:uid="{00000000-0005-0000-0000-000074D40000}"/>
    <cellStyle name="Note 5 3 2 7 5" xfId="54522" xr:uid="{00000000-0005-0000-0000-000075D40000}"/>
    <cellStyle name="Note 5 3 2 7 6" xfId="54523" xr:uid="{00000000-0005-0000-0000-000076D40000}"/>
    <cellStyle name="Note 5 3 2 8" xfId="54524" xr:uid="{00000000-0005-0000-0000-000077D40000}"/>
    <cellStyle name="Note 5 3 2 8 2" xfId="54525" xr:uid="{00000000-0005-0000-0000-000078D40000}"/>
    <cellStyle name="Note 5 3 2 8 2 2" xfId="54526" xr:uid="{00000000-0005-0000-0000-000079D40000}"/>
    <cellStyle name="Note 5 3 2 8 2 3" xfId="54527" xr:uid="{00000000-0005-0000-0000-00007AD40000}"/>
    <cellStyle name="Note 5 3 2 8 3" xfId="54528" xr:uid="{00000000-0005-0000-0000-00007BD40000}"/>
    <cellStyle name="Note 5 3 2 8 4" xfId="54529" xr:uid="{00000000-0005-0000-0000-00007CD40000}"/>
    <cellStyle name="Note 5 3 2 8 5" xfId="54530" xr:uid="{00000000-0005-0000-0000-00007DD40000}"/>
    <cellStyle name="Note 5 3 2 8 6" xfId="54531" xr:uid="{00000000-0005-0000-0000-00007ED40000}"/>
    <cellStyle name="Note 5 3 2 9" xfId="54532" xr:uid="{00000000-0005-0000-0000-00007FD40000}"/>
    <cellStyle name="Note 5 3 2 9 2" xfId="54533" xr:uid="{00000000-0005-0000-0000-000080D40000}"/>
    <cellStyle name="Note 5 3 2 9 3" xfId="54534" xr:uid="{00000000-0005-0000-0000-000081D40000}"/>
    <cellStyle name="Note 5 3 3" xfId="54535" xr:uid="{00000000-0005-0000-0000-000082D40000}"/>
    <cellStyle name="Note 5 3 3 10" xfId="54536" xr:uid="{00000000-0005-0000-0000-000083D40000}"/>
    <cellStyle name="Note 5 3 3 2" xfId="54537" xr:uid="{00000000-0005-0000-0000-000084D40000}"/>
    <cellStyle name="Note 5 3 3 2 2" xfId="54538" xr:uid="{00000000-0005-0000-0000-000085D40000}"/>
    <cellStyle name="Note 5 3 3 2 2 2" xfId="54539" xr:uid="{00000000-0005-0000-0000-000086D40000}"/>
    <cellStyle name="Note 5 3 3 2 2 2 2" xfId="54540" xr:uid="{00000000-0005-0000-0000-000087D40000}"/>
    <cellStyle name="Note 5 3 3 2 2 2 3" xfId="54541" xr:uid="{00000000-0005-0000-0000-000088D40000}"/>
    <cellStyle name="Note 5 3 3 2 2 3" xfId="54542" xr:uid="{00000000-0005-0000-0000-000089D40000}"/>
    <cellStyle name="Note 5 3 3 2 2 4" xfId="54543" xr:uid="{00000000-0005-0000-0000-00008AD40000}"/>
    <cellStyle name="Note 5 3 3 2 2 5" xfId="54544" xr:uid="{00000000-0005-0000-0000-00008BD40000}"/>
    <cellStyle name="Note 5 3 3 2 2 6" xfId="54545" xr:uid="{00000000-0005-0000-0000-00008CD40000}"/>
    <cellStyle name="Note 5 3 3 2 3" xfId="54546" xr:uid="{00000000-0005-0000-0000-00008DD40000}"/>
    <cellStyle name="Note 5 3 3 2 3 2" xfId="54547" xr:uid="{00000000-0005-0000-0000-00008ED40000}"/>
    <cellStyle name="Note 5 3 3 2 3 2 2" xfId="54548" xr:uid="{00000000-0005-0000-0000-00008FD40000}"/>
    <cellStyle name="Note 5 3 3 2 3 2 3" xfId="54549" xr:uid="{00000000-0005-0000-0000-000090D40000}"/>
    <cellStyle name="Note 5 3 3 2 3 3" xfId="54550" xr:uid="{00000000-0005-0000-0000-000091D40000}"/>
    <cellStyle name="Note 5 3 3 2 3 4" xfId="54551" xr:uid="{00000000-0005-0000-0000-000092D40000}"/>
    <cellStyle name="Note 5 3 3 2 3 5" xfId="54552" xr:uid="{00000000-0005-0000-0000-000093D40000}"/>
    <cellStyle name="Note 5 3 3 2 3 6" xfId="54553" xr:uid="{00000000-0005-0000-0000-000094D40000}"/>
    <cellStyle name="Note 5 3 3 2 4" xfId="54554" xr:uid="{00000000-0005-0000-0000-000095D40000}"/>
    <cellStyle name="Note 5 3 3 2 4 2" xfId="54555" xr:uid="{00000000-0005-0000-0000-000096D40000}"/>
    <cellStyle name="Note 5 3 3 2 4 3" xfId="54556" xr:uid="{00000000-0005-0000-0000-000097D40000}"/>
    <cellStyle name="Note 5 3 3 2 5" xfId="54557" xr:uid="{00000000-0005-0000-0000-000098D40000}"/>
    <cellStyle name="Note 5 3 3 2 6" xfId="54558" xr:uid="{00000000-0005-0000-0000-000099D40000}"/>
    <cellStyle name="Note 5 3 3 2 7" xfId="54559" xr:uid="{00000000-0005-0000-0000-00009AD40000}"/>
    <cellStyle name="Note 5 3 3 2 8" xfId="54560" xr:uid="{00000000-0005-0000-0000-00009BD40000}"/>
    <cellStyle name="Note 5 3 3 3" xfId="54561" xr:uid="{00000000-0005-0000-0000-00009CD40000}"/>
    <cellStyle name="Note 5 3 3 3 2" xfId="54562" xr:uid="{00000000-0005-0000-0000-00009DD40000}"/>
    <cellStyle name="Note 5 3 3 3 2 2" xfId="54563" xr:uid="{00000000-0005-0000-0000-00009ED40000}"/>
    <cellStyle name="Note 5 3 3 3 2 2 2" xfId="54564" xr:uid="{00000000-0005-0000-0000-00009FD40000}"/>
    <cellStyle name="Note 5 3 3 3 2 2 3" xfId="54565" xr:uid="{00000000-0005-0000-0000-0000A0D40000}"/>
    <cellStyle name="Note 5 3 3 3 2 3" xfId="54566" xr:uid="{00000000-0005-0000-0000-0000A1D40000}"/>
    <cellStyle name="Note 5 3 3 3 2 4" xfId="54567" xr:uid="{00000000-0005-0000-0000-0000A2D40000}"/>
    <cellStyle name="Note 5 3 3 3 2 5" xfId="54568" xr:uid="{00000000-0005-0000-0000-0000A3D40000}"/>
    <cellStyle name="Note 5 3 3 3 2 6" xfId="54569" xr:uid="{00000000-0005-0000-0000-0000A4D40000}"/>
    <cellStyle name="Note 5 3 3 3 3" xfId="54570" xr:uid="{00000000-0005-0000-0000-0000A5D40000}"/>
    <cellStyle name="Note 5 3 3 3 3 2" xfId="54571" xr:uid="{00000000-0005-0000-0000-0000A6D40000}"/>
    <cellStyle name="Note 5 3 3 3 3 3" xfId="54572" xr:uid="{00000000-0005-0000-0000-0000A7D40000}"/>
    <cellStyle name="Note 5 3 3 3 4" xfId="54573" xr:uid="{00000000-0005-0000-0000-0000A8D40000}"/>
    <cellStyle name="Note 5 3 3 3 5" xfId="54574" xr:uid="{00000000-0005-0000-0000-0000A9D40000}"/>
    <cellStyle name="Note 5 3 3 3 6" xfId="54575" xr:uid="{00000000-0005-0000-0000-0000AAD40000}"/>
    <cellStyle name="Note 5 3 3 3 7" xfId="54576" xr:uid="{00000000-0005-0000-0000-0000ABD40000}"/>
    <cellStyle name="Note 5 3 3 4" xfId="54577" xr:uid="{00000000-0005-0000-0000-0000ACD40000}"/>
    <cellStyle name="Note 5 3 3 4 2" xfId="54578" xr:uid="{00000000-0005-0000-0000-0000ADD40000}"/>
    <cellStyle name="Note 5 3 3 4 2 2" xfId="54579" xr:uid="{00000000-0005-0000-0000-0000AED40000}"/>
    <cellStyle name="Note 5 3 3 4 2 3" xfId="54580" xr:uid="{00000000-0005-0000-0000-0000AFD40000}"/>
    <cellStyle name="Note 5 3 3 4 3" xfId="54581" xr:uid="{00000000-0005-0000-0000-0000B0D40000}"/>
    <cellStyle name="Note 5 3 3 4 4" xfId="54582" xr:uid="{00000000-0005-0000-0000-0000B1D40000}"/>
    <cellStyle name="Note 5 3 3 4 5" xfId="54583" xr:uid="{00000000-0005-0000-0000-0000B2D40000}"/>
    <cellStyle name="Note 5 3 3 4 6" xfId="54584" xr:uid="{00000000-0005-0000-0000-0000B3D40000}"/>
    <cellStyle name="Note 5 3 3 5" xfId="54585" xr:uid="{00000000-0005-0000-0000-0000B4D40000}"/>
    <cellStyle name="Note 5 3 3 5 2" xfId="54586" xr:uid="{00000000-0005-0000-0000-0000B5D40000}"/>
    <cellStyle name="Note 5 3 3 5 2 2" xfId="54587" xr:uid="{00000000-0005-0000-0000-0000B6D40000}"/>
    <cellStyle name="Note 5 3 3 5 2 3" xfId="54588" xr:uid="{00000000-0005-0000-0000-0000B7D40000}"/>
    <cellStyle name="Note 5 3 3 5 3" xfId="54589" xr:uid="{00000000-0005-0000-0000-0000B8D40000}"/>
    <cellStyle name="Note 5 3 3 5 4" xfId="54590" xr:uid="{00000000-0005-0000-0000-0000B9D40000}"/>
    <cellStyle name="Note 5 3 3 5 5" xfId="54591" xr:uid="{00000000-0005-0000-0000-0000BAD40000}"/>
    <cellStyle name="Note 5 3 3 5 6" xfId="54592" xr:uid="{00000000-0005-0000-0000-0000BBD40000}"/>
    <cellStyle name="Note 5 3 3 6" xfId="54593" xr:uid="{00000000-0005-0000-0000-0000BCD40000}"/>
    <cellStyle name="Note 5 3 3 6 2" xfId="54594" xr:uid="{00000000-0005-0000-0000-0000BDD40000}"/>
    <cellStyle name="Note 5 3 3 6 3" xfId="54595" xr:uid="{00000000-0005-0000-0000-0000BED40000}"/>
    <cellStyle name="Note 5 3 3 7" xfId="54596" xr:uid="{00000000-0005-0000-0000-0000BFD40000}"/>
    <cellStyle name="Note 5 3 3 8" xfId="54597" xr:uid="{00000000-0005-0000-0000-0000C0D40000}"/>
    <cellStyle name="Note 5 3 3 9" xfId="54598" xr:uid="{00000000-0005-0000-0000-0000C1D40000}"/>
    <cellStyle name="Note 5 3 4" xfId="54599" xr:uid="{00000000-0005-0000-0000-0000C2D40000}"/>
    <cellStyle name="Note 5 3 4 2" xfId="54600" xr:uid="{00000000-0005-0000-0000-0000C3D40000}"/>
    <cellStyle name="Note 5 3 4 2 2" xfId="54601" xr:uid="{00000000-0005-0000-0000-0000C4D40000}"/>
    <cellStyle name="Note 5 3 4 2 2 2" xfId="54602" xr:uid="{00000000-0005-0000-0000-0000C5D40000}"/>
    <cellStyle name="Note 5 3 4 2 2 2 2" xfId="54603" xr:uid="{00000000-0005-0000-0000-0000C6D40000}"/>
    <cellStyle name="Note 5 3 4 2 2 2 3" xfId="54604" xr:uid="{00000000-0005-0000-0000-0000C7D40000}"/>
    <cellStyle name="Note 5 3 4 2 2 3" xfId="54605" xr:uid="{00000000-0005-0000-0000-0000C8D40000}"/>
    <cellStyle name="Note 5 3 4 2 2 4" xfId="54606" xr:uid="{00000000-0005-0000-0000-0000C9D40000}"/>
    <cellStyle name="Note 5 3 4 2 2 5" xfId="54607" xr:uid="{00000000-0005-0000-0000-0000CAD40000}"/>
    <cellStyle name="Note 5 3 4 2 2 6" xfId="54608" xr:uid="{00000000-0005-0000-0000-0000CBD40000}"/>
    <cellStyle name="Note 5 3 4 2 3" xfId="54609" xr:uid="{00000000-0005-0000-0000-0000CCD40000}"/>
    <cellStyle name="Note 5 3 4 2 3 2" xfId="54610" xr:uid="{00000000-0005-0000-0000-0000CDD40000}"/>
    <cellStyle name="Note 5 3 4 2 3 3" xfId="54611" xr:uid="{00000000-0005-0000-0000-0000CED40000}"/>
    <cellStyle name="Note 5 3 4 2 4" xfId="54612" xr:uid="{00000000-0005-0000-0000-0000CFD40000}"/>
    <cellStyle name="Note 5 3 4 2 5" xfId="54613" xr:uid="{00000000-0005-0000-0000-0000D0D40000}"/>
    <cellStyle name="Note 5 3 4 2 6" xfId="54614" xr:uid="{00000000-0005-0000-0000-0000D1D40000}"/>
    <cellStyle name="Note 5 3 4 2 7" xfId="54615" xr:uid="{00000000-0005-0000-0000-0000D2D40000}"/>
    <cellStyle name="Note 5 3 4 3" xfId="54616" xr:uid="{00000000-0005-0000-0000-0000D3D40000}"/>
    <cellStyle name="Note 5 3 4 3 2" xfId="54617" xr:uid="{00000000-0005-0000-0000-0000D4D40000}"/>
    <cellStyle name="Note 5 3 4 3 2 2" xfId="54618" xr:uid="{00000000-0005-0000-0000-0000D5D40000}"/>
    <cellStyle name="Note 5 3 4 3 2 3" xfId="54619" xr:uid="{00000000-0005-0000-0000-0000D6D40000}"/>
    <cellStyle name="Note 5 3 4 3 3" xfId="54620" xr:uid="{00000000-0005-0000-0000-0000D7D40000}"/>
    <cellStyle name="Note 5 3 4 3 4" xfId="54621" xr:uid="{00000000-0005-0000-0000-0000D8D40000}"/>
    <cellStyle name="Note 5 3 4 3 5" xfId="54622" xr:uid="{00000000-0005-0000-0000-0000D9D40000}"/>
    <cellStyle name="Note 5 3 4 3 6" xfId="54623" xr:uid="{00000000-0005-0000-0000-0000DAD40000}"/>
    <cellStyle name="Note 5 3 4 4" xfId="54624" xr:uid="{00000000-0005-0000-0000-0000DBD40000}"/>
    <cellStyle name="Note 5 3 4 4 2" xfId="54625" xr:uid="{00000000-0005-0000-0000-0000DCD40000}"/>
    <cellStyle name="Note 5 3 4 4 2 2" xfId="54626" xr:uid="{00000000-0005-0000-0000-0000DDD40000}"/>
    <cellStyle name="Note 5 3 4 4 2 3" xfId="54627" xr:uid="{00000000-0005-0000-0000-0000DED40000}"/>
    <cellStyle name="Note 5 3 4 4 3" xfId="54628" xr:uid="{00000000-0005-0000-0000-0000DFD40000}"/>
    <cellStyle name="Note 5 3 4 4 4" xfId="54629" xr:uid="{00000000-0005-0000-0000-0000E0D40000}"/>
    <cellStyle name="Note 5 3 4 4 5" xfId="54630" xr:uid="{00000000-0005-0000-0000-0000E1D40000}"/>
    <cellStyle name="Note 5 3 4 4 6" xfId="54631" xr:uid="{00000000-0005-0000-0000-0000E2D40000}"/>
    <cellStyle name="Note 5 3 4 5" xfId="54632" xr:uid="{00000000-0005-0000-0000-0000E3D40000}"/>
    <cellStyle name="Note 5 3 4 5 2" xfId="54633" xr:uid="{00000000-0005-0000-0000-0000E4D40000}"/>
    <cellStyle name="Note 5 3 4 5 3" xfId="54634" xr:uid="{00000000-0005-0000-0000-0000E5D40000}"/>
    <cellStyle name="Note 5 3 4 6" xfId="54635" xr:uid="{00000000-0005-0000-0000-0000E6D40000}"/>
    <cellStyle name="Note 5 3 4 7" xfId="54636" xr:uid="{00000000-0005-0000-0000-0000E7D40000}"/>
    <cellStyle name="Note 5 3 4 8" xfId="54637" xr:uid="{00000000-0005-0000-0000-0000E8D40000}"/>
    <cellStyle name="Note 5 3 4 9" xfId="54638" xr:uid="{00000000-0005-0000-0000-0000E9D40000}"/>
    <cellStyle name="Note 5 3 5" xfId="54639" xr:uid="{00000000-0005-0000-0000-0000EAD40000}"/>
    <cellStyle name="Note 5 3 5 2" xfId="54640" xr:uid="{00000000-0005-0000-0000-0000EBD40000}"/>
    <cellStyle name="Note 5 3 5 2 2" xfId="54641" xr:uid="{00000000-0005-0000-0000-0000ECD40000}"/>
    <cellStyle name="Note 5 3 5 2 2 2" xfId="54642" xr:uid="{00000000-0005-0000-0000-0000EDD40000}"/>
    <cellStyle name="Note 5 3 5 2 2 3" xfId="54643" xr:uid="{00000000-0005-0000-0000-0000EED40000}"/>
    <cellStyle name="Note 5 3 5 2 3" xfId="54644" xr:uid="{00000000-0005-0000-0000-0000EFD40000}"/>
    <cellStyle name="Note 5 3 5 2 4" xfId="54645" xr:uid="{00000000-0005-0000-0000-0000F0D40000}"/>
    <cellStyle name="Note 5 3 5 2 5" xfId="54646" xr:uid="{00000000-0005-0000-0000-0000F1D40000}"/>
    <cellStyle name="Note 5 3 5 2 6" xfId="54647" xr:uid="{00000000-0005-0000-0000-0000F2D40000}"/>
    <cellStyle name="Note 5 3 5 3" xfId="54648" xr:uid="{00000000-0005-0000-0000-0000F3D40000}"/>
    <cellStyle name="Note 5 3 5 3 2" xfId="54649" xr:uid="{00000000-0005-0000-0000-0000F4D40000}"/>
    <cellStyle name="Note 5 3 5 3 3" xfId="54650" xr:uid="{00000000-0005-0000-0000-0000F5D40000}"/>
    <cellStyle name="Note 5 3 5 4" xfId="54651" xr:uid="{00000000-0005-0000-0000-0000F6D40000}"/>
    <cellStyle name="Note 5 3 5 5" xfId="54652" xr:uid="{00000000-0005-0000-0000-0000F7D40000}"/>
    <cellStyle name="Note 5 3 5 6" xfId="54653" xr:uid="{00000000-0005-0000-0000-0000F8D40000}"/>
    <cellStyle name="Note 5 3 5 7" xfId="54654" xr:uid="{00000000-0005-0000-0000-0000F9D40000}"/>
    <cellStyle name="Note 5 3 6" xfId="54655" xr:uid="{00000000-0005-0000-0000-0000FAD40000}"/>
    <cellStyle name="Note 5 3 6 2" xfId="54656" xr:uid="{00000000-0005-0000-0000-0000FBD40000}"/>
    <cellStyle name="Note 5 3 6 2 2" xfId="54657" xr:uid="{00000000-0005-0000-0000-0000FCD40000}"/>
    <cellStyle name="Note 5 3 6 2 3" xfId="54658" xr:uid="{00000000-0005-0000-0000-0000FDD40000}"/>
    <cellStyle name="Note 5 3 6 3" xfId="54659" xr:uid="{00000000-0005-0000-0000-0000FED40000}"/>
    <cellStyle name="Note 5 3 6 4" xfId="54660" xr:uid="{00000000-0005-0000-0000-0000FFD40000}"/>
    <cellStyle name="Note 5 3 6 5" xfId="54661" xr:uid="{00000000-0005-0000-0000-000000D50000}"/>
    <cellStyle name="Note 5 3 6 6" xfId="54662" xr:uid="{00000000-0005-0000-0000-000001D50000}"/>
    <cellStyle name="Note 5 3 7" xfId="54663" xr:uid="{00000000-0005-0000-0000-000002D50000}"/>
    <cellStyle name="Note 5 3 7 2" xfId="54664" xr:uid="{00000000-0005-0000-0000-000003D50000}"/>
    <cellStyle name="Note 5 3 7 2 2" xfId="54665" xr:uid="{00000000-0005-0000-0000-000004D50000}"/>
    <cellStyle name="Note 5 3 7 2 3" xfId="54666" xr:uid="{00000000-0005-0000-0000-000005D50000}"/>
    <cellStyle name="Note 5 3 7 3" xfId="54667" xr:uid="{00000000-0005-0000-0000-000006D50000}"/>
    <cellStyle name="Note 5 3 7 4" xfId="54668" xr:uid="{00000000-0005-0000-0000-000007D50000}"/>
    <cellStyle name="Note 5 3 7 5" xfId="54669" xr:uid="{00000000-0005-0000-0000-000008D50000}"/>
    <cellStyle name="Note 5 3 7 6" xfId="54670" xr:uid="{00000000-0005-0000-0000-000009D50000}"/>
    <cellStyle name="Note 5 3 8" xfId="54671" xr:uid="{00000000-0005-0000-0000-00000AD50000}"/>
    <cellStyle name="Note 5 3 8 2" xfId="54672" xr:uid="{00000000-0005-0000-0000-00000BD50000}"/>
    <cellStyle name="Note 5 3 8 2 2" xfId="54673" xr:uid="{00000000-0005-0000-0000-00000CD50000}"/>
    <cellStyle name="Note 5 3 8 2 3" xfId="54674" xr:uid="{00000000-0005-0000-0000-00000DD50000}"/>
    <cellStyle name="Note 5 3 8 3" xfId="54675" xr:uid="{00000000-0005-0000-0000-00000ED50000}"/>
    <cellStyle name="Note 5 3 8 4" xfId="54676" xr:uid="{00000000-0005-0000-0000-00000FD50000}"/>
    <cellStyle name="Note 5 3 8 5" xfId="54677" xr:uid="{00000000-0005-0000-0000-000010D50000}"/>
    <cellStyle name="Note 5 3 8 6" xfId="54678" xr:uid="{00000000-0005-0000-0000-000011D50000}"/>
    <cellStyle name="Note 5 3 9" xfId="54679" xr:uid="{00000000-0005-0000-0000-000012D50000}"/>
    <cellStyle name="Note 5 3 9 2" xfId="54680" xr:uid="{00000000-0005-0000-0000-000013D50000}"/>
    <cellStyle name="Note 5 3 9 2 2" xfId="54681" xr:uid="{00000000-0005-0000-0000-000014D50000}"/>
    <cellStyle name="Note 5 3 9 2 3" xfId="54682" xr:uid="{00000000-0005-0000-0000-000015D50000}"/>
    <cellStyle name="Note 5 3 9 3" xfId="54683" xr:uid="{00000000-0005-0000-0000-000016D50000}"/>
    <cellStyle name="Note 5 3 9 4" xfId="54684" xr:uid="{00000000-0005-0000-0000-000017D50000}"/>
    <cellStyle name="Note 5 3 9 5" xfId="54685" xr:uid="{00000000-0005-0000-0000-000018D50000}"/>
    <cellStyle name="Note 5 3 9 6" xfId="54686" xr:uid="{00000000-0005-0000-0000-000019D50000}"/>
    <cellStyle name="Note 5 4" xfId="54687" xr:uid="{00000000-0005-0000-0000-00001AD50000}"/>
    <cellStyle name="Note 5 4 10" xfId="54688" xr:uid="{00000000-0005-0000-0000-00001BD50000}"/>
    <cellStyle name="Note 5 4 11" xfId="54689" xr:uid="{00000000-0005-0000-0000-00001CD50000}"/>
    <cellStyle name="Note 5 4 12" xfId="54690" xr:uid="{00000000-0005-0000-0000-00001DD50000}"/>
    <cellStyle name="Note 5 4 13" xfId="54691" xr:uid="{00000000-0005-0000-0000-00001ED50000}"/>
    <cellStyle name="Note 5 4 2" xfId="54692" xr:uid="{00000000-0005-0000-0000-00001FD50000}"/>
    <cellStyle name="Note 5 4 2 10" xfId="54693" xr:uid="{00000000-0005-0000-0000-000020D50000}"/>
    <cellStyle name="Note 5 4 2 2" xfId="54694" xr:uid="{00000000-0005-0000-0000-000021D50000}"/>
    <cellStyle name="Note 5 4 2 2 2" xfId="54695" xr:uid="{00000000-0005-0000-0000-000022D50000}"/>
    <cellStyle name="Note 5 4 2 2 2 2" xfId="54696" xr:uid="{00000000-0005-0000-0000-000023D50000}"/>
    <cellStyle name="Note 5 4 2 2 2 2 2" xfId="54697" xr:uid="{00000000-0005-0000-0000-000024D50000}"/>
    <cellStyle name="Note 5 4 2 2 2 2 3" xfId="54698" xr:uid="{00000000-0005-0000-0000-000025D50000}"/>
    <cellStyle name="Note 5 4 2 2 2 3" xfId="54699" xr:uid="{00000000-0005-0000-0000-000026D50000}"/>
    <cellStyle name="Note 5 4 2 2 2 4" xfId="54700" xr:uid="{00000000-0005-0000-0000-000027D50000}"/>
    <cellStyle name="Note 5 4 2 2 2 5" xfId="54701" xr:uid="{00000000-0005-0000-0000-000028D50000}"/>
    <cellStyle name="Note 5 4 2 2 2 6" xfId="54702" xr:uid="{00000000-0005-0000-0000-000029D50000}"/>
    <cellStyle name="Note 5 4 2 2 3" xfId="54703" xr:uid="{00000000-0005-0000-0000-00002AD50000}"/>
    <cellStyle name="Note 5 4 2 2 3 2" xfId="54704" xr:uid="{00000000-0005-0000-0000-00002BD50000}"/>
    <cellStyle name="Note 5 4 2 2 3 2 2" xfId="54705" xr:uid="{00000000-0005-0000-0000-00002CD50000}"/>
    <cellStyle name="Note 5 4 2 2 3 2 3" xfId="54706" xr:uid="{00000000-0005-0000-0000-00002DD50000}"/>
    <cellStyle name="Note 5 4 2 2 3 3" xfId="54707" xr:uid="{00000000-0005-0000-0000-00002ED50000}"/>
    <cellStyle name="Note 5 4 2 2 3 4" xfId="54708" xr:uid="{00000000-0005-0000-0000-00002FD50000}"/>
    <cellStyle name="Note 5 4 2 2 3 5" xfId="54709" xr:uid="{00000000-0005-0000-0000-000030D50000}"/>
    <cellStyle name="Note 5 4 2 2 3 6" xfId="54710" xr:uid="{00000000-0005-0000-0000-000031D50000}"/>
    <cellStyle name="Note 5 4 2 2 4" xfId="54711" xr:uid="{00000000-0005-0000-0000-000032D50000}"/>
    <cellStyle name="Note 5 4 2 2 4 2" xfId="54712" xr:uid="{00000000-0005-0000-0000-000033D50000}"/>
    <cellStyle name="Note 5 4 2 2 4 3" xfId="54713" xr:uid="{00000000-0005-0000-0000-000034D50000}"/>
    <cellStyle name="Note 5 4 2 2 5" xfId="54714" xr:uid="{00000000-0005-0000-0000-000035D50000}"/>
    <cellStyle name="Note 5 4 2 2 6" xfId="54715" xr:uid="{00000000-0005-0000-0000-000036D50000}"/>
    <cellStyle name="Note 5 4 2 2 7" xfId="54716" xr:uid="{00000000-0005-0000-0000-000037D50000}"/>
    <cellStyle name="Note 5 4 2 2 8" xfId="54717" xr:uid="{00000000-0005-0000-0000-000038D50000}"/>
    <cellStyle name="Note 5 4 2 3" xfId="54718" xr:uid="{00000000-0005-0000-0000-000039D50000}"/>
    <cellStyle name="Note 5 4 2 3 2" xfId="54719" xr:uid="{00000000-0005-0000-0000-00003AD50000}"/>
    <cellStyle name="Note 5 4 2 3 2 2" xfId="54720" xr:uid="{00000000-0005-0000-0000-00003BD50000}"/>
    <cellStyle name="Note 5 4 2 3 2 2 2" xfId="54721" xr:uid="{00000000-0005-0000-0000-00003CD50000}"/>
    <cellStyle name="Note 5 4 2 3 2 2 3" xfId="54722" xr:uid="{00000000-0005-0000-0000-00003DD50000}"/>
    <cellStyle name="Note 5 4 2 3 2 3" xfId="54723" xr:uid="{00000000-0005-0000-0000-00003ED50000}"/>
    <cellStyle name="Note 5 4 2 3 2 4" xfId="54724" xr:uid="{00000000-0005-0000-0000-00003FD50000}"/>
    <cellStyle name="Note 5 4 2 3 2 5" xfId="54725" xr:uid="{00000000-0005-0000-0000-000040D50000}"/>
    <cellStyle name="Note 5 4 2 3 2 6" xfId="54726" xr:uid="{00000000-0005-0000-0000-000041D50000}"/>
    <cellStyle name="Note 5 4 2 3 3" xfId="54727" xr:uid="{00000000-0005-0000-0000-000042D50000}"/>
    <cellStyle name="Note 5 4 2 3 3 2" xfId="54728" xr:uid="{00000000-0005-0000-0000-000043D50000}"/>
    <cellStyle name="Note 5 4 2 3 3 3" xfId="54729" xr:uid="{00000000-0005-0000-0000-000044D50000}"/>
    <cellStyle name="Note 5 4 2 3 4" xfId="54730" xr:uid="{00000000-0005-0000-0000-000045D50000}"/>
    <cellStyle name="Note 5 4 2 3 5" xfId="54731" xr:uid="{00000000-0005-0000-0000-000046D50000}"/>
    <cellStyle name="Note 5 4 2 3 6" xfId="54732" xr:uid="{00000000-0005-0000-0000-000047D50000}"/>
    <cellStyle name="Note 5 4 2 3 7" xfId="54733" xr:uid="{00000000-0005-0000-0000-000048D50000}"/>
    <cellStyle name="Note 5 4 2 4" xfId="54734" xr:uid="{00000000-0005-0000-0000-000049D50000}"/>
    <cellStyle name="Note 5 4 2 4 2" xfId="54735" xr:uid="{00000000-0005-0000-0000-00004AD50000}"/>
    <cellStyle name="Note 5 4 2 4 2 2" xfId="54736" xr:uid="{00000000-0005-0000-0000-00004BD50000}"/>
    <cellStyle name="Note 5 4 2 4 2 3" xfId="54737" xr:uid="{00000000-0005-0000-0000-00004CD50000}"/>
    <cellStyle name="Note 5 4 2 4 3" xfId="54738" xr:uid="{00000000-0005-0000-0000-00004DD50000}"/>
    <cellStyle name="Note 5 4 2 4 4" xfId="54739" xr:uid="{00000000-0005-0000-0000-00004ED50000}"/>
    <cellStyle name="Note 5 4 2 4 5" xfId="54740" xr:uid="{00000000-0005-0000-0000-00004FD50000}"/>
    <cellStyle name="Note 5 4 2 4 6" xfId="54741" xr:uid="{00000000-0005-0000-0000-000050D50000}"/>
    <cellStyle name="Note 5 4 2 5" xfId="54742" xr:uid="{00000000-0005-0000-0000-000051D50000}"/>
    <cellStyle name="Note 5 4 2 5 2" xfId="54743" xr:uid="{00000000-0005-0000-0000-000052D50000}"/>
    <cellStyle name="Note 5 4 2 5 2 2" xfId="54744" xr:uid="{00000000-0005-0000-0000-000053D50000}"/>
    <cellStyle name="Note 5 4 2 5 2 3" xfId="54745" xr:uid="{00000000-0005-0000-0000-000054D50000}"/>
    <cellStyle name="Note 5 4 2 5 3" xfId="54746" xr:uid="{00000000-0005-0000-0000-000055D50000}"/>
    <cellStyle name="Note 5 4 2 5 4" xfId="54747" xr:uid="{00000000-0005-0000-0000-000056D50000}"/>
    <cellStyle name="Note 5 4 2 5 5" xfId="54748" xr:uid="{00000000-0005-0000-0000-000057D50000}"/>
    <cellStyle name="Note 5 4 2 5 6" xfId="54749" xr:uid="{00000000-0005-0000-0000-000058D50000}"/>
    <cellStyle name="Note 5 4 2 6" xfId="54750" xr:uid="{00000000-0005-0000-0000-000059D50000}"/>
    <cellStyle name="Note 5 4 2 6 2" xfId="54751" xr:uid="{00000000-0005-0000-0000-00005AD50000}"/>
    <cellStyle name="Note 5 4 2 6 3" xfId="54752" xr:uid="{00000000-0005-0000-0000-00005BD50000}"/>
    <cellStyle name="Note 5 4 2 7" xfId="54753" xr:uid="{00000000-0005-0000-0000-00005CD50000}"/>
    <cellStyle name="Note 5 4 2 8" xfId="54754" xr:uid="{00000000-0005-0000-0000-00005DD50000}"/>
    <cellStyle name="Note 5 4 2 9" xfId="54755" xr:uid="{00000000-0005-0000-0000-00005ED50000}"/>
    <cellStyle name="Note 5 4 3" xfId="54756" xr:uid="{00000000-0005-0000-0000-00005FD50000}"/>
    <cellStyle name="Note 5 4 3 2" xfId="54757" xr:uid="{00000000-0005-0000-0000-000060D50000}"/>
    <cellStyle name="Note 5 4 3 2 2" xfId="54758" xr:uid="{00000000-0005-0000-0000-000061D50000}"/>
    <cellStyle name="Note 5 4 3 2 2 2" xfId="54759" xr:uid="{00000000-0005-0000-0000-000062D50000}"/>
    <cellStyle name="Note 5 4 3 2 2 2 2" xfId="54760" xr:uid="{00000000-0005-0000-0000-000063D50000}"/>
    <cellStyle name="Note 5 4 3 2 2 2 3" xfId="54761" xr:uid="{00000000-0005-0000-0000-000064D50000}"/>
    <cellStyle name="Note 5 4 3 2 2 3" xfId="54762" xr:uid="{00000000-0005-0000-0000-000065D50000}"/>
    <cellStyle name="Note 5 4 3 2 2 4" xfId="54763" xr:uid="{00000000-0005-0000-0000-000066D50000}"/>
    <cellStyle name="Note 5 4 3 2 2 5" xfId="54764" xr:uid="{00000000-0005-0000-0000-000067D50000}"/>
    <cellStyle name="Note 5 4 3 2 2 6" xfId="54765" xr:uid="{00000000-0005-0000-0000-000068D50000}"/>
    <cellStyle name="Note 5 4 3 2 3" xfId="54766" xr:uid="{00000000-0005-0000-0000-000069D50000}"/>
    <cellStyle name="Note 5 4 3 2 3 2" xfId="54767" xr:uid="{00000000-0005-0000-0000-00006AD50000}"/>
    <cellStyle name="Note 5 4 3 2 3 3" xfId="54768" xr:uid="{00000000-0005-0000-0000-00006BD50000}"/>
    <cellStyle name="Note 5 4 3 2 4" xfId="54769" xr:uid="{00000000-0005-0000-0000-00006CD50000}"/>
    <cellStyle name="Note 5 4 3 2 5" xfId="54770" xr:uid="{00000000-0005-0000-0000-00006DD50000}"/>
    <cellStyle name="Note 5 4 3 2 6" xfId="54771" xr:uid="{00000000-0005-0000-0000-00006ED50000}"/>
    <cellStyle name="Note 5 4 3 2 7" xfId="54772" xr:uid="{00000000-0005-0000-0000-00006FD50000}"/>
    <cellStyle name="Note 5 4 3 3" xfId="54773" xr:uid="{00000000-0005-0000-0000-000070D50000}"/>
    <cellStyle name="Note 5 4 3 3 2" xfId="54774" xr:uid="{00000000-0005-0000-0000-000071D50000}"/>
    <cellStyle name="Note 5 4 3 3 2 2" xfId="54775" xr:uid="{00000000-0005-0000-0000-000072D50000}"/>
    <cellStyle name="Note 5 4 3 3 2 3" xfId="54776" xr:uid="{00000000-0005-0000-0000-000073D50000}"/>
    <cellStyle name="Note 5 4 3 3 3" xfId="54777" xr:uid="{00000000-0005-0000-0000-000074D50000}"/>
    <cellStyle name="Note 5 4 3 3 4" xfId="54778" xr:uid="{00000000-0005-0000-0000-000075D50000}"/>
    <cellStyle name="Note 5 4 3 3 5" xfId="54779" xr:uid="{00000000-0005-0000-0000-000076D50000}"/>
    <cellStyle name="Note 5 4 3 3 6" xfId="54780" xr:uid="{00000000-0005-0000-0000-000077D50000}"/>
    <cellStyle name="Note 5 4 3 4" xfId="54781" xr:uid="{00000000-0005-0000-0000-000078D50000}"/>
    <cellStyle name="Note 5 4 3 4 2" xfId="54782" xr:uid="{00000000-0005-0000-0000-000079D50000}"/>
    <cellStyle name="Note 5 4 3 4 2 2" xfId="54783" xr:uid="{00000000-0005-0000-0000-00007AD50000}"/>
    <cellStyle name="Note 5 4 3 4 2 3" xfId="54784" xr:uid="{00000000-0005-0000-0000-00007BD50000}"/>
    <cellStyle name="Note 5 4 3 4 3" xfId="54785" xr:uid="{00000000-0005-0000-0000-00007CD50000}"/>
    <cellStyle name="Note 5 4 3 4 4" xfId="54786" xr:uid="{00000000-0005-0000-0000-00007DD50000}"/>
    <cellStyle name="Note 5 4 3 4 5" xfId="54787" xr:uid="{00000000-0005-0000-0000-00007ED50000}"/>
    <cellStyle name="Note 5 4 3 4 6" xfId="54788" xr:uid="{00000000-0005-0000-0000-00007FD50000}"/>
    <cellStyle name="Note 5 4 3 5" xfId="54789" xr:uid="{00000000-0005-0000-0000-000080D50000}"/>
    <cellStyle name="Note 5 4 3 5 2" xfId="54790" xr:uid="{00000000-0005-0000-0000-000081D50000}"/>
    <cellStyle name="Note 5 4 3 5 3" xfId="54791" xr:uid="{00000000-0005-0000-0000-000082D50000}"/>
    <cellStyle name="Note 5 4 3 6" xfId="54792" xr:uid="{00000000-0005-0000-0000-000083D50000}"/>
    <cellStyle name="Note 5 4 3 7" xfId="54793" xr:uid="{00000000-0005-0000-0000-000084D50000}"/>
    <cellStyle name="Note 5 4 3 8" xfId="54794" xr:uid="{00000000-0005-0000-0000-000085D50000}"/>
    <cellStyle name="Note 5 4 3 9" xfId="54795" xr:uid="{00000000-0005-0000-0000-000086D50000}"/>
    <cellStyle name="Note 5 4 4" xfId="54796" xr:uid="{00000000-0005-0000-0000-000087D50000}"/>
    <cellStyle name="Note 5 4 4 2" xfId="54797" xr:uid="{00000000-0005-0000-0000-000088D50000}"/>
    <cellStyle name="Note 5 4 4 2 2" xfId="54798" xr:uid="{00000000-0005-0000-0000-000089D50000}"/>
    <cellStyle name="Note 5 4 4 2 2 2" xfId="54799" xr:uid="{00000000-0005-0000-0000-00008AD50000}"/>
    <cellStyle name="Note 5 4 4 2 2 3" xfId="54800" xr:uid="{00000000-0005-0000-0000-00008BD50000}"/>
    <cellStyle name="Note 5 4 4 2 3" xfId="54801" xr:uid="{00000000-0005-0000-0000-00008CD50000}"/>
    <cellStyle name="Note 5 4 4 2 4" xfId="54802" xr:uid="{00000000-0005-0000-0000-00008DD50000}"/>
    <cellStyle name="Note 5 4 4 2 5" xfId="54803" xr:uid="{00000000-0005-0000-0000-00008ED50000}"/>
    <cellStyle name="Note 5 4 4 2 6" xfId="54804" xr:uid="{00000000-0005-0000-0000-00008FD50000}"/>
    <cellStyle name="Note 5 4 4 3" xfId="54805" xr:uid="{00000000-0005-0000-0000-000090D50000}"/>
    <cellStyle name="Note 5 4 4 3 2" xfId="54806" xr:uid="{00000000-0005-0000-0000-000091D50000}"/>
    <cellStyle name="Note 5 4 4 3 3" xfId="54807" xr:uid="{00000000-0005-0000-0000-000092D50000}"/>
    <cellStyle name="Note 5 4 4 4" xfId="54808" xr:uid="{00000000-0005-0000-0000-000093D50000}"/>
    <cellStyle name="Note 5 4 4 5" xfId="54809" xr:uid="{00000000-0005-0000-0000-000094D50000}"/>
    <cellStyle name="Note 5 4 4 6" xfId="54810" xr:uid="{00000000-0005-0000-0000-000095D50000}"/>
    <cellStyle name="Note 5 4 4 7" xfId="54811" xr:uid="{00000000-0005-0000-0000-000096D50000}"/>
    <cellStyle name="Note 5 4 5" xfId="54812" xr:uid="{00000000-0005-0000-0000-000097D50000}"/>
    <cellStyle name="Note 5 4 5 2" xfId="54813" xr:uid="{00000000-0005-0000-0000-000098D50000}"/>
    <cellStyle name="Note 5 4 5 2 2" xfId="54814" xr:uid="{00000000-0005-0000-0000-000099D50000}"/>
    <cellStyle name="Note 5 4 5 2 3" xfId="54815" xr:uid="{00000000-0005-0000-0000-00009AD50000}"/>
    <cellStyle name="Note 5 4 5 3" xfId="54816" xr:uid="{00000000-0005-0000-0000-00009BD50000}"/>
    <cellStyle name="Note 5 4 5 4" xfId="54817" xr:uid="{00000000-0005-0000-0000-00009CD50000}"/>
    <cellStyle name="Note 5 4 5 5" xfId="54818" xr:uid="{00000000-0005-0000-0000-00009DD50000}"/>
    <cellStyle name="Note 5 4 5 6" xfId="54819" xr:uid="{00000000-0005-0000-0000-00009ED50000}"/>
    <cellStyle name="Note 5 4 6" xfId="54820" xr:uid="{00000000-0005-0000-0000-00009FD50000}"/>
    <cellStyle name="Note 5 4 6 2" xfId="54821" xr:uid="{00000000-0005-0000-0000-0000A0D50000}"/>
    <cellStyle name="Note 5 4 6 2 2" xfId="54822" xr:uid="{00000000-0005-0000-0000-0000A1D50000}"/>
    <cellStyle name="Note 5 4 6 2 3" xfId="54823" xr:uid="{00000000-0005-0000-0000-0000A2D50000}"/>
    <cellStyle name="Note 5 4 6 3" xfId="54824" xr:uid="{00000000-0005-0000-0000-0000A3D50000}"/>
    <cellStyle name="Note 5 4 6 4" xfId="54825" xr:uid="{00000000-0005-0000-0000-0000A4D50000}"/>
    <cellStyle name="Note 5 4 6 5" xfId="54826" xr:uid="{00000000-0005-0000-0000-0000A5D50000}"/>
    <cellStyle name="Note 5 4 6 6" xfId="54827" xr:uid="{00000000-0005-0000-0000-0000A6D50000}"/>
    <cellStyle name="Note 5 4 7" xfId="54828" xr:uid="{00000000-0005-0000-0000-0000A7D50000}"/>
    <cellStyle name="Note 5 4 7 2" xfId="54829" xr:uid="{00000000-0005-0000-0000-0000A8D50000}"/>
    <cellStyle name="Note 5 4 7 2 2" xfId="54830" xr:uid="{00000000-0005-0000-0000-0000A9D50000}"/>
    <cellStyle name="Note 5 4 7 2 3" xfId="54831" xr:uid="{00000000-0005-0000-0000-0000AAD50000}"/>
    <cellStyle name="Note 5 4 7 3" xfId="54832" xr:uid="{00000000-0005-0000-0000-0000ABD50000}"/>
    <cellStyle name="Note 5 4 7 4" xfId="54833" xr:uid="{00000000-0005-0000-0000-0000ACD50000}"/>
    <cellStyle name="Note 5 4 7 5" xfId="54834" xr:uid="{00000000-0005-0000-0000-0000ADD50000}"/>
    <cellStyle name="Note 5 4 7 6" xfId="54835" xr:uid="{00000000-0005-0000-0000-0000AED50000}"/>
    <cellStyle name="Note 5 4 8" xfId="54836" xr:uid="{00000000-0005-0000-0000-0000AFD50000}"/>
    <cellStyle name="Note 5 4 8 2" xfId="54837" xr:uid="{00000000-0005-0000-0000-0000B0D50000}"/>
    <cellStyle name="Note 5 4 8 2 2" xfId="54838" xr:uid="{00000000-0005-0000-0000-0000B1D50000}"/>
    <cellStyle name="Note 5 4 8 2 3" xfId="54839" xr:uid="{00000000-0005-0000-0000-0000B2D50000}"/>
    <cellStyle name="Note 5 4 8 3" xfId="54840" xr:uid="{00000000-0005-0000-0000-0000B3D50000}"/>
    <cellStyle name="Note 5 4 8 4" xfId="54841" xr:uid="{00000000-0005-0000-0000-0000B4D50000}"/>
    <cellStyle name="Note 5 4 8 5" xfId="54842" xr:uid="{00000000-0005-0000-0000-0000B5D50000}"/>
    <cellStyle name="Note 5 4 8 6" xfId="54843" xr:uid="{00000000-0005-0000-0000-0000B6D50000}"/>
    <cellStyle name="Note 5 4 9" xfId="54844" xr:uid="{00000000-0005-0000-0000-0000B7D50000}"/>
    <cellStyle name="Note 5 4 9 2" xfId="54845" xr:uid="{00000000-0005-0000-0000-0000B8D50000}"/>
    <cellStyle name="Note 5 4 9 3" xfId="54846" xr:uid="{00000000-0005-0000-0000-0000B9D50000}"/>
    <cellStyle name="Note 5 5" xfId="54847" xr:uid="{00000000-0005-0000-0000-0000BAD50000}"/>
    <cellStyle name="Note 5 5 10" xfId="54848" xr:uid="{00000000-0005-0000-0000-0000BBD50000}"/>
    <cellStyle name="Note 5 5 2" xfId="54849" xr:uid="{00000000-0005-0000-0000-0000BCD50000}"/>
    <cellStyle name="Note 5 5 2 2" xfId="54850" xr:uid="{00000000-0005-0000-0000-0000BDD50000}"/>
    <cellStyle name="Note 5 5 2 2 2" xfId="54851" xr:uid="{00000000-0005-0000-0000-0000BED50000}"/>
    <cellStyle name="Note 5 5 2 2 2 2" xfId="54852" xr:uid="{00000000-0005-0000-0000-0000BFD50000}"/>
    <cellStyle name="Note 5 5 2 2 2 3" xfId="54853" xr:uid="{00000000-0005-0000-0000-0000C0D50000}"/>
    <cellStyle name="Note 5 5 2 2 3" xfId="54854" xr:uid="{00000000-0005-0000-0000-0000C1D50000}"/>
    <cellStyle name="Note 5 5 2 2 4" xfId="54855" xr:uid="{00000000-0005-0000-0000-0000C2D50000}"/>
    <cellStyle name="Note 5 5 2 2 5" xfId="54856" xr:uid="{00000000-0005-0000-0000-0000C3D50000}"/>
    <cellStyle name="Note 5 5 2 2 6" xfId="54857" xr:uid="{00000000-0005-0000-0000-0000C4D50000}"/>
    <cellStyle name="Note 5 5 2 3" xfId="54858" xr:uid="{00000000-0005-0000-0000-0000C5D50000}"/>
    <cellStyle name="Note 5 5 2 3 2" xfId="54859" xr:uid="{00000000-0005-0000-0000-0000C6D50000}"/>
    <cellStyle name="Note 5 5 2 3 2 2" xfId="54860" xr:uid="{00000000-0005-0000-0000-0000C7D50000}"/>
    <cellStyle name="Note 5 5 2 3 2 3" xfId="54861" xr:uid="{00000000-0005-0000-0000-0000C8D50000}"/>
    <cellStyle name="Note 5 5 2 3 3" xfId="54862" xr:uid="{00000000-0005-0000-0000-0000C9D50000}"/>
    <cellStyle name="Note 5 5 2 3 4" xfId="54863" xr:uid="{00000000-0005-0000-0000-0000CAD50000}"/>
    <cellStyle name="Note 5 5 2 3 5" xfId="54864" xr:uid="{00000000-0005-0000-0000-0000CBD50000}"/>
    <cellStyle name="Note 5 5 2 3 6" xfId="54865" xr:uid="{00000000-0005-0000-0000-0000CCD50000}"/>
    <cellStyle name="Note 5 5 2 4" xfId="54866" xr:uid="{00000000-0005-0000-0000-0000CDD50000}"/>
    <cellStyle name="Note 5 5 2 4 2" xfId="54867" xr:uid="{00000000-0005-0000-0000-0000CED50000}"/>
    <cellStyle name="Note 5 5 2 4 3" xfId="54868" xr:uid="{00000000-0005-0000-0000-0000CFD50000}"/>
    <cellStyle name="Note 5 5 2 5" xfId="54869" xr:uid="{00000000-0005-0000-0000-0000D0D50000}"/>
    <cellStyle name="Note 5 5 2 6" xfId="54870" xr:uid="{00000000-0005-0000-0000-0000D1D50000}"/>
    <cellStyle name="Note 5 5 2 7" xfId="54871" xr:uid="{00000000-0005-0000-0000-0000D2D50000}"/>
    <cellStyle name="Note 5 5 2 8" xfId="54872" xr:uid="{00000000-0005-0000-0000-0000D3D50000}"/>
    <cellStyle name="Note 5 5 3" xfId="54873" xr:uid="{00000000-0005-0000-0000-0000D4D50000}"/>
    <cellStyle name="Note 5 5 3 2" xfId="54874" xr:uid="{00000000-0005-0000-0000-0000D5D50000}"/>
    <cellStyle name="Note 5 5 3 2 2" xfId="54875" xr:uid="{00000000-0005-0000-0000-0000D6D50000}"/>
    <cellStyle name="Note 5 5 3 2 2 2" xfId="54876" xr:uid="{00000000-0005-0000-0000-0000D7D50000}"/>
    <cellStyle name="Note 5 5 3 2 2 3" xfId="54877" xr:uid="{00000000-0005-0000-0000-0000D8D50000}"/>
    <cellStyle name="Note 5 5 3 2 3" xfId="54878" xr:uid="{00000000-0005-0000-0000-0000D9D50000}"/>
    <cellStyle name="Note 5 5 3 2 4" xfId="54879" xr:uid="{00000000-0005-0000-0000-0000DAD50000}"/>
    <cellStyle name="Note 5 5 3 2 5" xfId="54880" xr:uid="{00000000-0005-0000-0000-0000DBD50000}"/>
    <cellStyle name="Note 5 5 3 2 6" xfId="54881" xr:uid="{00000000-0005-0000-0000-0000DCD50000}"/>
    <cellStyle name="Note 5 5 3 3" xfId="54882" xr:uid="{00000000-0005-0000-0000-0000DDD50000}"/>
    <cellStyle name="Note 5 5 3 3 2" xfId="54883" xr:uid="{00000000-0005-0000-0000-0000DED50000}"/>
    <cellStyle name="Note 5 5 3 3 3" xfId="54884" xr:uid="{00000000-0005-0000-0000-0000DFD50000}"/>
    <cellStyle name="Note 5 5 3 4" xfId="54885" xr:uid="{00000000-0005-0000-0000-0000E0D50000}"/>
    <cellStyle name="Note 5 5 3 5" xfId="54886" xr:uid="{00000000-0005-0000-0000-0000E1D50000}"/>
    <cellStyle name="Note 5 5 3 6" xfId="54887" xr:uid="{00000000-0005-0000-0000-0000E2D50000}"/>
    <cellStyle name="Note 5 5 3 7" xfId="54888" xr:uid="{00000000-0005-0000-0000-0000E3D50000}"/>
    <cellStyle name="Note 5 5 4" xfId="54889" xr:uid="{00000000-0005-0000-0000-0000E4D50000}"/>
    <cellStyle name="Note 5 5 4 2" xfId="54890" xr:uid="{00000000-0005-0000-0000-0000E5D50000}"/>
    <cellStyle name="Note 5 5 4 2 2" xfId="54891" xr:uid="{00000000-0005-0000-0000-0000E6D50000}"/>
    <cellStyle name="Note 5 5 4 2 3" xfId="54892" xr:uid="{00000000-0005-0000-0000-0000E7D50000}"/>
    <cellStyle name="Note 5 5 4 3" xfId="54893" xr:uid="{00000000-0005-0000-0000-0000E8D50000}"/>
    <cellStyle name="Note 5 5 4 4" xfId="54894" xr:uid="{00000000-0005-0000-0000-0000E9D50000}"/>
    <cellStyle name="Note 5 5 4 5" xfId="54895" xr:uid="{00000000-0005-0000-0000-0000EAD50000}"/>
    <cellStyle name="Note 5 5 4 6" xfId="54896" xr:uid="{00000000-0005-0000-0000-0000EBD50000}"/>
    <cellStyle name="Note 5 5 5" xfId="54897" xr:uid="{00000000-0005-0000-0000-0000ECD50000}"/>
    <cellStyle name="Note 5 5 5 2" xfId="54898" xr:uid="{00000000-0005-0000-0000-0000EDD50000}"/>
    <cellStyle name="Note 5 5 5 2 2" xfId="54899" xr:uid="{00000000-0005-0000-0000-0000EED50000}"/>
    <cellStyle name="Note 5 5 5 2 3" xfId="54900" xr:uid="{00000000-0005-0000-0000-0000EFD50000}"/>
    <cellStyle name="Note 5 5 5 3" xfId="54901" xr:uid="{00000000-0005-0000-0000-0000F0D50000}"/>
    <cellStyle name="Note 5 5 5 4" xfId="54902" xr:uid="{00000000-0005-0000-0000-0000F1D50000}"/>
    <cellStyle name="Note 5 5 5 5" xfId="54903" xr:uid="{00000000-0005-0000-0000-0000F2D50000}"/>
    <cellStyle name="Note 5 5 5 6" xfId="54904" xr:uid="{00000000-0005-0000-0000-0000F3D50000}"/>
    <cellStyle name="Note 5 5 6" xfId="54905" xr:uid="{00000000-0005-0000-0000-0000F4D50000}"/>
    <cellStyle name="Note 5 5 6 2" xfId="54906" xr:uid="{00000000-0005-0000-0000-0000F5D50000}"/>
    <cellStyle name="Note 5 5 6 3" xfId="54907" xr:uid="{00000000-0005-0000-0000-0000F6D50000}"/>
    <cellStyle name="Note 5 5 7" xfId="54908" xr:uid="{00000000-0005-0000-0000-0000F7D50000}"/>
    <cellStyle name="Note 5 5 8" xfId="54909" xr:uid="{00000000-0005-0000-0000-0000F8D50000}"/>
    <cellStyle name="Note 5 5 9" xfId="54910" xr:uid="{00000000-0005-0000-0000-0000F9D50000}"/>
    <cellStyle name="Note 5 6" xfId="54911" xr:uid="{00000000-0005-0000-0000-0000FAD50000}"/>
    <cellStyle name="Note 5 6 2" xfId="54912" xr:uid="{00000000-0005-0000-0000-0000FBD50000}"/>
    <cellStyle name="Note 5 6 2 2" xfId="54913" xr:uid="{00000000-0005-0000-0000-0000FCD50000}"/>
    <cellStyle name="Note 5 6 2 2 2" xfId="54914" xr:uid="{00000000-0005-0000-0000-0000FDD50000}"/>
    <cellStyle name="Note 5 6 2 2 2 2" xfId="54915" xr:uid="{00000000-0005-0000-0000-0000FED50000}"/>
    <cellStyle name="Note 5 6 2 2 2 3" xfId="54916" xr:uid="{00000000-0005-0000-0000-0000FFD50000}"/>
    <cellStyle name="Note 5 6 2 2 3" xfId="54917" xr:uid="{00000000-0005-0000-0000-000000D60000}"/>
    <cellStyle name="Note 5 6 2 2 4" xfId="54918" xr:uid="{00000000-0005-0000-0000-000001D60000}"/>
    <cellStyle name="Note 5 6 2 2 5" xfId="54919" xr:uid="{00000000-0005-0000-0000-000002D60000}"/>
    <cellStyle name="Note 5 6 2 2 6" xfId="54920" xr:uid="{00000000-0005-0000-0000-000003D60000}"/>
    <cellStyle name="Note 5 6 2 3" xfId="54921" xr:uid="{00000000-0005-0000-0000-000004D60000}"/>
    <cellStyle name="Note 5 6 2 3 2" xfId="54922" xr:uid="{00000000-0005-0000-0000-000005D60000}"/>
    <cellStyle name="Note 5 6 2 3 3" xfId="54923" xr:uid="{00000000-0005-0000-0000-000006D60000}"/>
    <cellStyle name="Note 5 6 2 4" xfId="54924" xr:uid="{00000000-0005-0000-0000-000007D60000}"/>
    <cellStyle name="Note 5 6 2 5" xfId="54925" xr:uid="{00000000-0005-0000-0000-000008D60000}"/>
    <cellStyle name="Note 5 6 2 6" xfId="54926" xr:uid="{00000000-0005-0000-0000-000009D60000}"/>
    <cellStyle name="Note 5 6 2 7" xfId="54927" xr:uid="{00000000-0005-0000-0000-00000AD60000}"/>
    <cellStyle name="Note 5 6 3" xfId="54928" xr:uid="{00000000-0005-0000-0000-00000BD60000}"/>
    <cellStyle name="Note 5 6 3 2" xfId="54929" xr:uid="{00000000-0005-0000-0000-00000CD60000}"/>
    <cellStyle name="Note 5 6 3 2 2" xfId="54930" xr:uid="{00000000-0005-0000-0000-00000DD60000}"/>
    <cellStyle name="Note 5 6 3 2 3" xfId="54931" xr:uid="{00000000-0005-0000-0000-00000ED60000}"/>
    <cellStyle name="Note 5 6 3 3" xfId="54932" xr:uid="{00000000-0005-0000-0000-00000FD60000}"/>
    <cellStyle name="Note 5 6 3 4" xfId="54933" xr:uid="{00000000-0005-0000-0000-000010D60000}"/>
    <cellStyle name="Note 5 6 3 5" xfId="54934" xr:uid="{00000000-0005-0000-0000-000011D60000}"/>
    <cellStyle name="Note 5 6 3 6" xfId="54935" xr:uid="{00000000-0005-0000-0000-000012D60000}"/>
    <cellStyle name="Note 5 6 4" xfId="54936" xr:uid="{00000000-0005-0000-0000-000013D60000}"/>
    <cellStyle name="Note 5 6 4 2" xfId="54937" xr:uid="{00000000-0005-0000-0000-000014D60000}"/>
    <cellStyle name="Note 5 6 4 2 2" xfId="54938" xr:uid="{00000000-0005-0000-0000-000015D60000}"/>
    <cellStyle name="Note 5 6 4 2 3" xfId="54939" xr:uid="{00000000-0005-0000-0000-000016D60000}"/>
    <cellStyle name="Note 5 6 4 3" xfId="54940" xr:uid="{00000000-0005-0000-0000-000017D60000}"/>
    <cellStyle name="Note 5 6 4 4" xfId="54941" xr:uid="{00000000-0005-0000-0000-000018D60000}"/>
    <cellStyle name="Note 5 6 4 5" xfId="54942" xr:uid="{00000000-0005-0000-0000-000019D60000}"/>
    <cellStyle name="Note 5 6 4 6" xfId="54943" xr:uid="{00000000-0005-0000-0000-00001AD60000}"/>
    <cellStyle name="Note 5 6 5" xfId="54944" xr:uid="{00000000-0005-0000-0000-00001BD60000}"/>
    <cellStyle name="Note 5 6 5 2" xfId="54945" xr:uid="{00000000-0005-0000-0000-00001CD60000}"/>
    <cellStyle name="Note 5 6 5 3" xfId="54946" xr:uid="{00000000-0005-0000-0000-00001DD60000}"/>
    <cellStyle name="Note 5 6 6" xfId="54947" xr:uid="{00000000-0005-0000-0000-00001ED60000}"/>
    <cellStyle name="Note 5 6 7" xfId="54948" xr:uid="{00000000-0005-0000-0000-00001FD60000}"/>
    <cellStyle name="Note 5 6 8" xfId="54949" xr:uid="{00000000-0005-0000-0000-000020D60000}"/>
    <cellStyle name="Note 5 6 9" xfId="54950" xr:uid="{00000000-0005-0000-0000-000021D60000}"/>
    <cellStyle name="Note 5 7" xfId="54951" xr:uid="{00000000-0005-0000-0000-000022D60000}"/>
    <cellStyle name="Note 5 7 2" xfId="54952" xr:uid="{00000000-0005-0000-0000-000023D60000}"/>
    <cellStyle name="Note 5 7 2 2" xfId="54953" xr:uid="{00000000-0005-0000-0000-000024D60000}"/>
    <cellStyle name="Note 5 7 2 2 2" xfId="54954" xr:uid="{00000000-0005-0000-0000-000025D60000}"/>
    <cellStyle name="Note 5 7 2 2 3" xfId="54955" xr:uid="{00000000-0005-0000-0000-000026D60000}"/>
    <cellStyle name="Note 5 7 2 3" xfId="54956" xr:uid="{00000000-0005-0000-0000-000027D60000}"/>
    <cellStyle name="Note 5 7 2 4" xfId="54957" xr:uid="{00000000-0005-0000-0000-000028D60000}"/>
    <cellStyle name="Note 5 7 2 5" xfId="54958" xr:uid="{00000000-0005-0000-0000-000029D60000}"/>
    <cellStyle name="Note 5 7 2 6" xfId="54959" xr:uid="{00000000-0005-0000-0000-00002AD60000}"/>
    <cellStyle name="Note 5 7 3" xfId="54960" xr:uid="{00000000-0005-0000-0000-00002BD60000}"/>
    <cellStyle name="Note 5 7 3 2" xfId="54961" xr:uid="{00000000-0005-0000-0000-00002CD60000}"/>
    <cellStyle name="Note 5 7 3 3" xfId="54962" xr:uid="{00000000-0005-0000-0000-00002DD60000}"/>
    <cellStyle name="Note 5 7 4" xfId="54963" xr:uid="{00000000-0005-0000-0000-00002ED60000}"/>
    <cellStyle name="Note 5 7 5" xfId="54964" xr:uid="{00000000-0005-0000-0000-00002FD60000}"/>
    <cellStyle name="Note 5 7 6" xfId="54965" xr:uid="{00000000-0005-0000-0000-000030D60000}"/>
    <cellStyle name="Note 5 7 7" xfId="54966" xr:uid="{00000000-0005-0000-0000-000031D60000}"/>
    <cellStyle name="Note 5 8" xfId="54967" xr:uid="{00000000-0005-0000-0000-000032D60000}"/>
    <cellStyle name="Note 5 8 2" xfId="54968" xr:uid="{00000000-0005-0000-0000-000033D60000}"/>
    <cellStyle name="Note 5 8 2 2" xfId="54969" xr:uid="{00000000-0005-0000-0000-000034D60000}"/>
    <cellStyle name="Note 5 8 2 3" xfId="54970" xr:uid="{00000000-0005-0000-0000-000035D60000}"/>
    <cellStyle name="Note 5 8 3" xfId="54971" xr:uid="{00000000-0005-0000-0000-000036D60000}"/>
    <cellStyle name="Note 5 8 4" xfId="54972" xr:uid="{00000000-0005-0000-0000-000037D60000}"/>
    <cellStyle name="Note 5 8 5" xfId="54973" xr:uid="{00000000-0005-0000-0000-000038D60000}"/>
    <cellStyle name="Note 5 8 6" xfId="54974" xr:uid="{00000000-0005-0000-0000-000039D60000}"/>
    <cellStyle name="Note 5 9" xfId="54975" xr:uid="{00000000-0005-0000-0000-00003AD60000}"/>
    <cellStyle name="Note 5 9 2" xfId="54976" xr:uid="{00000000-0005-0000-0000-00003BD60000}"/>
    <cellStyle name="Note 5 9 2 2" xfId="54977" xr:uid="{00000000-0005-0000-0000-00003CD60000}"/>
    <cellStyle name="Note 5 9 2 3" xfId="54978" xr:uid="{00000000-0005-0000-0000-00003DD60000}"/>
    <cellStyle name="Note 5 9 3" xfId="54979" xr:uid="{00000000-0005-0000-0000-00003ED60000}"/>
    <cellStyle name="Note 5 9 4" xfId="54980" xr:uid="{00000000-0005-0000-0000-00003FD60000}"/>
    <cellStyle name="Note 5 9 5" xfId="54981" xr:uid="{00000000-0005-0000-0000-000040D60000}"/>
    <cellStyle name="Note 5 9 6" xfId="54982" xr:uid="{00000000-0005-0000-0000-000041D60000}"/>
    <cellStyle name="Note 6" xfId="54983" xr:uid="{00000000-0005-0000-0000-000042D60000}"/>
    <cellStyle name="Note 6 10" xfId="54984" xr:uid="{00000000-0005-0000-0000-000043D60000}"/>
    <cellStyle name="Note 6 11" xfId="54985" xr:uid="{00000000-0005-0000-0000-000044D60000}"/>
    <cellStyle name="Note 6 2" xfId="54986" xr:uid="{00000000-0005-0000-0000-000045D60000}"/>
    <cellStyle name="Note 6 2 2" xfId="54987" xr:uid="{00000000-0005-0000-0000-000046D60000}"/>
    <cellStyle name="Note 6 2 2 2" xfId="54988" xr:uid="{00000000-0005-0000-0000-000047D60000}"/>
    <cellStyle name="Note 6 2 2 2 2" xfId="54989" xr:uid="{00000000-0005-0000-0000-000048D60000}"/>
    <cellStyle name="Note 6 2 2 2 3" xfId="54990" xr:uid="{00000000-0005-0000-0000-000049D60000}"/>
    <cellStyle name="Note 6 2 2 3" xfId="54991" xr:uid="{00000000-0005-0000-0000-00004AD60000}"/>
    <cellStyle name="Note 6 2 2 4" xfId="54992" xr:uid="{00000000-0005-0000-0000-00004BD60000}"/>
    <cellStyle name="Note 6 2 2 5" xfId="54993" xr:uid="{00000000-0005-0000-0000-00004CD60000}"/>
    <cellStyle name="Note 6 2 2 6" xfId="54994" xr:uid="{00000000-0005-0000-0000-00004DD60000}"/>
    <cellStyle name="Note 6 2 3" xfId="54995" xr:uid="{00000000-0005-0000-0000-00004ED60000}"/>
    <cellStyle name="Note 6 2 3 2" xfId="54996" xr:uid="{00000000-0005-0000-0000-00004FD60000}"/>
    <cellStyle name="Note 6 2 3 2 2" xfId="54997" xr:uid="{00000000-0005-0000-0000-000050D60000}"/>
    <cellStyle name="Note 6 2 3 2 3" xfId="54998" xr:uid="{00000000-0005-0000-0000-000051D60000}"/>
    <cellStyle name="Note 6 2 3 3" xfId="54999" xr:uid="{00000000-0005-0000-0000-000052D60000}"/>
    <cellStyle name="Note 6 2 3 4" xfId="55000" xr:uid="{00000000-0005-0000-0000-000053D60000}"/>
    <cellStyle name="Note 6 2 3 5" xfId="55001" xr:uid="{00000000-0005-0000-0000-000054D60000}"/>
    <cellStyle name="Note 6 2 3 6" xfId="55002" xr:uid="{00000000-0005-0000-0000-000055D60000}"/>
    <cellStyle name="Note 6 2 4" xfId="55003" xr:uid="{00000000-0005-0000-0000-000056D60000}"/>
    <cellStyle name="Note 6 2 4 2" xfId="55004" xr:uid="{00000000-0005-0000-0000-000057D60000}"/>
    <cellStyle name="Note 6 2 4 3" xfId="55005" xr:uid="{00000000-0005-0000-0000-000058D60000}"/>
    <cellStyle name="Note 6 2 5" xfId="55006" xr:uid="{00000000-0005-0000-0000-000059D60000}"/>
    <cellStyle name="Note 6 2 6" xfId="55007" xr:uid="{00000000-0005-0000-0000-00005AD60000}"/>
    <cellStyle name="Note 6 2 7" xfId="55008" xr:uid="{00000000-0005-0000-0000-00005BD60000}"/>
    <cellStyle name="Note 6 2 8" xfId="55009" xr:uid="{00000000-0005-0000-0000-00005CD60000}"/>
    <cellStyle name="Note 6 3" xfId="55010" xr:uid="{00000000-0005-0000-0000-00005DD60000}"/>
    <cellStyle name="Note 6 3 2" xfId="55011" xr:uid="{00000000-0005-0000-0000-00005ED60000}"/>
    <cellStyle name="Note 6 3 2 2" xfId="55012" xr:uid="{00000000-0005-0000-0000-00005FD60000}"/>
    <cellStyle name="Note 6 3 2 2 2" xfId="55013" xr:uid="{00000000-0005-0000-0000-000060D60000}"/>
    <cellStyle name="Note 6 3 2 2 3" xfId="55014" xr:uid="{00000000-0005-0000-0000-000061D60000}"/>
    <cellStyle name="Note 6 3 2 3" xfId="55015" xr:uid="{00000000-0005-0000-0000-000062D60000}"/>
    <cellStyle name="Note 6 3 2 4" xfId="55016" xr:uid="{00000000-0005-0000-0000-000063D60000}"/>
    <cellStyle name="Note 6 3 2 5" xfId="55017" xr:uid="{00000000-0005-0000-0000-000064D60000}"/>
    <cellStyle name="Note 6 3 2 6" xfId="55018" xr:uid="{00000000-0005-0000-0000-000065D60000}"/>
    <cellStyle name="Note 6 3 3" xfId="55019" xr:uid="{00000000-0005-0000-0000-000066D60000}"/>
    <cellStyle name="Note 6 3 3 2" xfId="55020" xr:uid="{00000000-0005-0000-0000-000067D60000}"/>
    <cellStyle name="Note 6 3 3 3" xfId="55021" xr:uid="{00000000-0005-0000-0000-000068D60000}"/>
    <cellStyle name="Note 6 3 4" xfId="55022" xr:uid="{00000000-0005-0000-0000-000069D60000}"/>
    <cellStyle name="Note 6 3 5" xfId="55023" xr:uid="{00000000-0005-0000-0000-00006AD60000}"/>
    <cellStyle name="Note 6 3 6" xfId="55024" xr:uid="{00000000-0005-0000-0000-00006BD60000}"/>
    <cellStyle name="Note 6 3 7" xfId="55025" xr:uid="{00000000-0005-0000-0000-00006CD60000}"/>
    <cellStyle name="Note 6 4" xfId="55026" xr:uid="{00000000-0005-0000-0000-00006DD60000}"/>
    <cellStyle name="Note 6 4 2" xfId="55027" xr:uid="{00000000-0005-0000-0000-00006ED60000}"/>
    <cellStyle name="Note 6 4 2 2" xfId="55028" xr:uid="{00000000-0005-0000-0000-00006FD60000}"/>
    <cellStyle name="Note 6 4 2 3" xfId="55029" xr:uid="{00000000-0005-0000-0000-000070D60000}"/>
    <cellStyle name="Note 6 4 3" xfId="55030" xr:uid="{00000000-0005-0000-0000-000071D60000}"/>
    <cellStyle name="Note 6 4 4" xfId="55031" xr:uid="{00000000-0005-0000-0000-000072D60000}"/>
    <cellStyle name="Note 6 4 5" xfId="55032" xr:uid="{00000000-0005-0000-0000-000073D60000}"/>
    <cellStyle name="Note 6 4 6" xfId="55033" xr:uid="{00000000-0005-0000-0000-000074D60000}"/>
    <cellStyle name="Note 6 5" xfId="55034" xr:uid="{00000000-0005-0000-0000-000075D60000}"/>
    <cellStyle name="Note 6 5 2" xfId="55035" xr:uid="{00000000-0005-0000-0000-000076D60000}"/>
    <cellStyle name="Note 6 5 2 2" xfId="55036" xr:uid="{00000000-0005-0000-0000-000077D60000}"/>
    <cellStyle name="Note 6 5 2 3" xfId="55037" xr:uid="{00000000-0005-0000-0000-000078D60000}"/>
    <cellStyle name="Note 6 5 3" xfId="55038" xr:uid="{00000000-0005-0000-0000-000079D60000}"/>
    <cellStyle name="Note 6 5 4" xfId="55039" xr:uid="{00000000-0005-0000-0000-00007AD60000}"/>
    <cellStyle name="Note 6 5 5" xfId="55040" xr:uid="{00000000-0005-0000-0000-00007BD60000}"/>
    <cellStyle name="Note 6 5 6" xfId="55041" xr:uid="{00000000-0005-0000-0000-00007CD60000}"/>
    <cellStyle name="Note 6 6" xfId="55042" xr:uid="{00000000-0005-0000-0000-00007DD60000}"/>
    <cellStyle name="Note 6 6 2" xfId="55043" xr:uid="{00000000-0005-0000-0000-00007ED60000}"/>
    <cellStyle name="Note 6 6 2 2" xfId="55044" xr:uid="{00000000-0005-0000-0000-00007FD60000}"/>
    <cellStyle name="Note 6 6 2 3" xfId="55045" xr:uid="{00000000-0005-0000-0000-000080D60000}"/>
    <cellStyle name="Note 6 6 3" xfId="55046" xr:uid="{00000000-0005-0000-0000-000081D60000}"/>
    <cellStyle name="Note 6 6 4" xfId="55047" xr:uid="{00000000-0005-0000-0000-000082D60000}"/>
    <cellStyle name="Note 6 6 5" xfId="55048" xr:uid="{00000000-0005-0000-0000-000083D60000}"/>
    <cellStyle name="Note 6 6 6" xfId="55049" xr:uid="{00000000-0005-0000-0000-000084D60000}"/>
    <cellStyle name="Note 6 7" xfId="55050" xr:uid="{00000000-0005-0000-0000-000085D60000}"/>
    <cellStyle name="Note 6 7 2" xfId="55051" xr:uid="{00000000-0005-0000-0000-000086D60000}"/>
    <cellStyle name="Note 6 7 3" xfId="55052" xr:uid="{00000000-0005-0000-0000-000087D60000}"/>
    <cellStyle name="Note 6 8" xfId="55053" xr:uid="{00000000-0005-0000-0000-000088D60000}"/>
    <cellStyle name="Note 6 9" xfId="55054" xr:uid="{00000000-0005-0000-0000-000089D60000}"/>
    <cellStyle name="Note 7" xfId="55055" xr:uid="{00000000-0005-0000-0000-00008AD60000}"/>
    <cellStyle name="Note 7 2" xfId="55056" xr:uid="{00000000-0005-0000-0000-00008BD60000}"/>
    <cellStyle name="Note 7 2 2" xfId="55057" xr:uid="{00000000-0005-0000-0000-00008CD60000}"/>
    <cellStyle name="Note 7 2 3" xfId="55058" xr:uid="{00000000-0005-0000-0000-00008DD60000}"/>
    <cellStyle name="Note 7 3" xfId="55059" xr:uid="{00000000-0005-0000-0000-00008ED60000}"/>
    <cellStyle name="Note 7 4" xfId="55060" xr:uid="{00000000-0005-0000-0000-00008FD60000}"/>
    <cellStyle name="Note 7 5" xfId="55061" xr:uid="{00000000-0005-0000-0000-000090D60000}"/>
    <cellStyle name="Note 7 6" xfId="55062" xr:uid="{00000000-0005-0000-0000-000091D60000}"/>
    <cellStyle name="Note 8" xfId="55063" xr:uid="{00000000-0005-0000-0000-000092D60000}"/>
    <cellStyle name="Note 8 2" xfId="55064" xr:uid="{00000000-0005-0000-0000-000093D60000}"/>
    <cellStyle name="Note 8 2 2" xfId="55065" xr:uid="{00000000-0005-0000-0000-000094D60000}"/>
    <cellStyle name="Note 8 2 3" xfId="55066" xr:uid="{00000000-0005-0000-0000-000095D60000}"/>
    <cellStyle name="Note 8 3" xfId="55067" xr:uid="{00000000-0005-0000-0000-000096D60000}"/>
    <cellStyle name="Note 8 4" xfId="55068" xr:uid="{00000000-0005-0000-0000-000097D60000}"/>
    <cellStyle name="Note 8 5" xfId="55069" xr:uid="{00000000-0005-0000-0000-000098D60000}"/>
    <cellStyle name="Note 8 6" xfId="55070" xr:uid="{00000000-0005-0000-0000-000099D60000}"/>
    <cellStyle name="Note 9" xfId="55071" xr:uid="{00000000-0005-0000-0000-00009AD60000}"/>
    <cellStyle name="Note 9 2" xfId="55072" xr:uid="{00000000-0005-0000-0000-00009BD60000}"/>
    <cellStyle name="Note 9 2 2" xfId="55073" xr:uid="{00000000-0005-0000-0000-00009CD60000}"/>
    <cellStyle name="Note 9 2 3" xfId="55074" xr:uid="{00000000-0005-0000-0000-00009DD60000}"/>
    <cellStyle name="Note 9 3" xfId="55075" xr:uid="{00000000-0005-0000-0000-00009ED60000}"/>
    <cellStyle name="Note 9 4" xfId="55076" xr:uid="{00000000-0005-0000-0000-00009FD60000}"/>
    <cellStyle name="Note 9 5" xfId="55077" xr:uid="{00000000-0005-0000-0000-0000A0D60000}"/>
    <cellStyle name="Note 9 6" xfId="55078" xr:uid="{00000000-0005-0000-0000-0000A1D60000}"/>
    <cellStyle name="Output" xfId="12" builtinId="21" customBuiltin="1"/>
    <cellStyle name="Output 2" xfId="266" xr:uid="{00000000-0005-0000-0000-0000A3D60000}"/>
    <cellStyle name="Output 2 2" xfId="267" xr:uid="{00000000-0005-0000-0000-0000A4D60000}"/>
    <cellStyle name="Output 2 2 2" xfId="537" xr:uid="{00000000-0005-0000-0000-0000A5D60000}"/>
    <cellStyle name="Output 2 2 3" xfId="538" xr:uid="{00000000-0005-0000-0000-0000A6D60000}"/>
    <cellStyle name="Output 2 3" xfId="539" xr:uid="{00000000-0005-0000-0000-0000A7D60000}"/>
    <cellStyle name="Output 2 3 2" xfId="540" xr:uid="{00000000-0005-0000-0000-0000A8D60000}"/>
    <cellStyle name="Output 2 3 3" xfId="541" xr:uid="{00000000-0005-0000-0000-0000A9D60000}"/>
    <cellStyle name="Output 2 4" xfId="542" xr:uid="{00000000-0005-0000-0000-0000AAD60000}"/>
    <cellStyle name="Output 2 4 2" xfId="543" xr:uid="{00000000-0005-0000-0000-0000ABD60000}"/>
    <cellStyle name="Output 2 4 3" xfId="544" xr:uid="{00000000-0005-0000-0000-0000ACD60000}"/>
    <cellStyle name="Output 2 4 4" xfId="545" xr:uid="{00000000-0005-0000-0000-0000ADD60000}"/>
    <cellStyle name="Output 2 5" xfId="546" xr:uid="{00000000-0005-0000-0000-0000AED60000}"/>
    <cellStyle name="Output 2 6" xfId="547" xr:uid="{00000000-0005-0000-0000-0000AFD60000}"/>
    <cellStyle name="Output 2 7" xfId="548" xr:uid="{00000000-0005-0000-0000-0000B0D60000}"/>
    <cellStyle name="Output 2 8" xfId="549" xr:uid="{00000000-0005-0000-0000-0000B1D60000}"/>
    <cellStyle name="Output 3" xfId="55079" xr:uid="{00000000-0005-0000-0000-0000B2D60000}"/>
    <cellStyle name="Output 4" xfId="55080" xr:uid="{00000000-0005-0000-0000-0000B3D60000}"/>
    <cellStyle name="Output 5" xfId="55081" xr:uid="{00000000-0005-0000-0000-0000B4D60000}"/>
    <cellStyle name="Output Amounts" xfId="55082" xr:uid="{00000000-0005-0000-0000-0000B5D60000}"/>
    <cellStyle name="OUTPUT AMOUNTS 2" xfId="55083" xr:uid="{00000000-0005-0000-0000-0000B6D60000}"/>
    <cellStyle name="OUTPUT AMOUNTS 2 2" xfId="55084" xr:uid="{00000000-0005-0000-0000-0000B7D60000}"/>
    <cellStyle name="Output Amounts 3" xfId="55085" xr:uid="{00000000-0005-0000-0000-0000B8D60000}"/>
    <cellStyle name="Output Amounts 4" xfId="55086" xr:uid="{00000000-0005-0000-0000-0000B9D60000}"/>
    <cellStyle name="Output Amounts 5" xfId="55087" xr:uid="{00000000-0005-0000-0000-0000BAD60000}"/>
    <cellStyle name="Output Amounts 6" xfId="55088" xr:uid="{00000000-0005-0000-0000-0000BBD60000}"/>
    <cellStyle name="Output Amounts 7" xfId="55089" xr:uid="{00000000-0005-0000-0000-0000BCD60000}"/>
    <cellStyle name="OUTPUT AMOUNTS_PYBS" xfId="55090" xr:uid="{00000000-0005-0000-0000-0000BDD60000}"/>
    <cellStyle name="Output Column Headings" xfId="55091" xr:uid="{00000000-0005-0000-0000-0000BED60000}"/>
    <cellStyle name="OUTPUT COLUMN HEADINGS 2" xfId="55092" xr:uid="{00000000-0005-0000-0000-0000BFD60000}"/>
    <cellStyle name="OUTPUT COLUMN HEADINGS 2 2" xfId="55093" xr:uid="{00000000-0005-0000-0000-0000C0D60000}"/>
    <cellStyle name="Output Column Headings 3" xfId="55094" xr:uid="{00000000-0005-0000-0000-0000C1D60000}"/>
    <cellStyle name="Output Column Headings 4" xfId="55095" xr:uid="{00000000-0005-0000-0000-0000C2D60000}"/>
    <cellStyle name="Output Column Headings 5" xfId="55096" xr:uid="{00000000-0005-0000-0000-0000C3D60000}"/>
    <cellStyle name="Output Column Headings 6" xfId="55097" xr:uid="{00000000-0005-0000-0000-0000C4D60000}"/>
    <cellStyle name="Output Column Headings 7" xfId="55098" xr:uid="{00000000-0005-0000-0000-0000C5D60000}"/>
    <cellStyle name="OUTPUT COLUMN HEADINGS_PYBS" xfId="55099" xr:uid="{00000000-0005-0000-0000-0000C6D60000}"/>
    <cellStyle name="Output Line Items" xfId="55100" xr:uid="{00000000-0005-0000-0000-0000C7D60000}"/>
    <cellStyle name="OUTPUT LINE ITEMS 2" xfId="55101" xr:uid="{00000000-0005-0000-0000-0000C8D60000}"/>
    <cellStyle name="OUTPUT LINE ITEMS 2 2" xfId="55102" xr:uid="{00000000-0005-0000-0000-0000C9D60000}"/>
    <cellStyle name="Output Line Items 3" xfId="55103" xr:uid="{00000000-0005-0000-0000-0000CAD60000}"/>
    <cellStyle name="Output Line Items 4" xfId="55104" xr:uid="{00000000-0005-0000-0000-0000CBD60000}"/>
    <cellStyle name="Output Line Items 5" xfId="55105" xr:uid="{00000000-0005-0000-0000-0000CCD60000}"/>
    <cellStyle name="Output Line Items 6" xfId="55106" xr:uid="{00000000-0005-0000-0000-0000CDD60000}"/>
    <cellStyle name="Output Line Items 7" xfId="55107" xr:uid="{00000000-0005-0000-0000-0000CED60000}"/>
    <cellStyle name="OUTPUT LINE ITEMS_PYBS" xfId="55108" xr:uid="{00000000-0005-0000-0000-0000CFD60000}"/>
    <cellStyle name="Output Report Heading" xfId="55109" xr:uid="{00000000-0005-0000-0000-0000D0D60000}"/>
    <cellStyle name="OUTPUT REPORT HEADING 2" xfId="55110" xr:uid="{00000000-0005-0000-0000-0000D1D60000}"/>
    <cellStyle name="OUTPUT REPORT HEADING 2 2" xfId="55111" xr:uid="{00000000-0005-0000-0000-0000D2D60000}"/>
    <cellStyle name="Output Report Heading 3" xfId="55112" xr:uid="{00000000-0005-0000-0000-0000D3D60000}"/>
    <cellStyle name="Output Report Heading 4" xfId="55113" xr:uid="{00000000-0005-0000-0000-0000D4D60000}"/>
    <cellStyle name="Output Report Heading 5" xfId="55114" xr:uid="{00000000-0005-0000-0000-0000D5D60000}"/>
    <cellStyle name="Output Report Heading 6" xfId="55115" xr:uid="{00000000-0005-0000-0000-0000D6D60000}"/>
    <cellStyle name="Output Report Heading 7" xfId="55116" xr:uid="{00000000-0005-0000-0000-0000D7D60000}"/>
    <cellStyle name="OUTPUT REPORT HEADING_PYBS" xfId="55117" xr:uid="{00000000-0005-0000-0000-0000D8D60000}"/>
    <cellStyle name="Output Report Title" xfId="55118" xr:uid="{00000000-0005-0000-0000-0000D9D60000}"/>
    <cellStyle name="OUTPUT REPORT TITLE 2" xfId="55119" xr:uid="{00000000-0005-0000-0000-0000DAD60000}"/>
    <cellStyle name="OUTPUT REPORT TITLE 2 2" xfId="55120" xr:uid="{00000000-0005-0000-0000-0000DBD60000}"/>
    <cellStyle name="Output Report Title 3" xfId="55121" xr:uid="{00000000-0005-0000-0000-0000DCD60000}"/>
    <cellStyle name="Output Report Title 4" xfId="55122" xr:uid="{00000000-0005-0000-0000-0000DDD60000}"/>
    <cellStyle name="Output Report Title 5" xfId="55123" xr:uid="{00000000-0005-0000-0000-0000DED60000}"/>
    <cellStyle name="Output Report Title 6" xfId="55124" xr:uid="{00000000-0005-0000-0000-0000DFD60000}"/>
    <cellStyle name="Output Report Title 7" xfId="55125" xr:uid="{00000000-0005-0000-0000-0000E0D60000}"/>
    <cellStyle name="OUTPUT REPORT TITLE_PYBS" xfId="55126" xr:uid="{00000000-0005-0000-0000-0000E1D60000}"/>
    <cellStyle name="Override" xfId="55127" xr:uid="{00000000-0005-0000-0000-0000E2D60000}"/>
    <cellStyle name="Override 2" xfId="55128" xr:uid="{00000000-0005-0000-0000-0000E3D60000}"/>
    <cellStyle name="Percent" xfId="2" builtinId="5"/>
    <cellStyle name="Percent (2)" xfId="55129" xr:uid="{00000000-0005-0000-0000-0000E5D60000}"/>
    <cellStyle name="Percent (2) 2" xfId="55130" xr:uid="{00000000-0005-0000-0000-0000E6D60000}"/>
    <cellStyle name="Percent (2) 3" xfId="55131" xr:uid="{00000000-0005-0000-0000-0000E7D60000}"/>
    <cellStyle name="Percent [1]" xfId="55132" xr:uid="{00000000-0005-0000-0000-0000E8D60000}"/>
    <cellStyle name="Percent [1] 2" xfId="55133" xr:uid="{00000000-0005-0000-0000-0000E9D60000}"/>
    <cellStyle name="Percent [1] 2 2" xfId="55134" xr:uid="{00000000-0005-0000-0000-0000EAD60000}"/>
    <cellStyle name="Percent [1] 3" xfId="55135" xr:uid="{00000000-0005-0000-0000-0000EBD60000}"/>
    <cellStyle name="Percent [1] 4" xfId="55136" xr:uid="{00000000-0005-0000-0000-0000ECD60000}"/>
    <cellStyle name="Percent [1] 4 2" xfId="55137" xr:uid="{00000000-0005-0000-0000-0000EDD60000}"/>
    <cellStyle name="Percent [1] 5" xfId="55138" xr:uid="{00000000-0005-0000-0000-0000EED60000}"/>
    <cellStyle name="Percent [1] 6" xfId="55139" xr:uid="{00000000-0005-0000-0000-0000EFD60000}"/>
    <cellStyle name="Percent [2]" xfId="55140" xr:uid="{00000000-0005-0000-0000-0000F0D60000}"/>
    <cellStyle name="Percent [2] 2" xfId="55141" xr:uid="{00000000-0005-0000-0000-0000F1D60000}"/>
    <cellStyle name="Percent [2] 2 2" xfId="55142" xr:uid="{00000000-0005-0000-0000-0000F2D60000}"/>
    <cellStyle name="Percent [2] 3" xfId="55143" xr:uid="{00000000-0005-0000-0000-0000F3D60000}"/>
    <cellStyle name="Percent [2] 4" xfId="55144" xr:uid="{00000000-0005-0000-0000-0000F4D60000}"/>
    <cellStyle name="Percent [2]_2011 Q2 CSXT-R-CSAOAJ-04-JNA-ART (General Acct)" xfId="55145" xr:uid="{00000000-0005-0000-0000-0000F5D60000}"/>
    <cellStyle name="Percent [4]" xfId="55146" xr:uid="{00000000-0005-0000-0000-0000F6D60000}"/>
    <cellStyle name="Percent [4] 2" xfId="55147" xr:uid="{00000000-0005-0000-0000-0000F7D60000}"/>
    <cellStyle name="Percent [4] 3" xfId="55148" xr:uid="{00000000-0005-0000-0000-0000F8D60000}"/>
    <cellStyle name="Percent 10" xfId="550" xr:uid="{00000000-0005-0000-0000-0000F9D60000}"/>
    <cellStyle name="Percent 11" xfId="55149" xr:uid="{00000000-0005-0000-0000-0000FAD60000}"/>
    <cellStyle name="Percent 12" xfId="55150" xr:uid="{00000000-0005-0000-0000-0000FBD60000}"/>
    <cellStyle name="Percent 12 2" xfId="55151" xr:uid="{00000000-0005-0000-0000-0000FCD60000}"/>
    <cellStyle name="Percent 12 2 2" xfId="55152" xr:uid="{00000000-0005-0000-0000-0000FDD60000}"/>
    <cellStyle name="Percent 12 2 3" xfId="55153" xr:uid="{00000000-0005-0000-0000-0000FED60000}"/>
    <cellStyle name="Percent 12 3" xfId="55154" xr:uid="{00000000-0005-0000-0000-0000FFD60000}"/>
    <cellStyle name="Percent 12 4" xfId="55155" xr:uid="{00000000-0005-0000-0000-000000D70000}"/>
    <cellStyle name="Percent 12 5" xfId="55156" xr:uid="{00000000-0005-0000-0000-000001D70000}"/>
    <cellStyle name="Percent 12 6" xfId="55157" xr:uid="{00000000-0005-0000-0000-000002D70000}"/>
    <cellStyle name="Percent 13" xfId="55158" xr:uid="{00000000-0005-0000-0000-000003D70000}"/>
    <cellStyle name="Percent 13 2" xfId="55159" xr:uid="{00000000-0005-0000-0000-000004D70000}"/>
    <cellStyle name="Percent 13 2 2" xfId="55160" xr:uid="{00000000-0005-0000-0000-000005D70000}"/>
    <cellStyle name="Percent 13 2 3" xfId="55161" xr:uid="{00000000-0005-0000-0000-000006D70000}"/>
    <cellStyle name="Percent 13 3" xfId="55162" xr:uid="{00000000-0005-0000-0000-000007D70000}"/>
    <cellStyle name="Percent 13 4" xfId="55163" xr:uid="{00000000-0005-0000-0000-000008D70000}"/>
    <cellStyle name="Percent 13 5" xfId="55164" xr:uid="{00000000-0005-0000-0000-000009D70000}"/>
    <cellStyle name="Percent 13 6" xfId="55165" xr:uid="{00000000-0005-0000-0000-00000AD70000}"/>
    <cellStyle name="Percent 14" xfId="55166" xr:uid="{00000000-0005-0000-0000-00000BD70000}"/>
    <cellStyle name="Percent 15" xfId="55167" xr:uid="{00000000-0005-0000-0000-00000CD70000}"/>
    <cellStyle name="Percent 15 2" xfId="55168" xr:uid="{00000000-0005-0000-0000-00000DD70000}"/>
    <cellStyle name="Percent 15 3" xfId="55169" xr:uid="{00000000-0005-0000-0000-00000ED70000}"/>
    <cellStyle name="Percent 16" xfId="55170" xr:uid="{00000000-0005-0000-0000-00000FD70000}"/>
    <cellStyle name="Percent 17" xfId="55171" xr:uid="{00000000-0005-0000-0000-000010D70000}"/>
    <cellStyle name="Percent 18" xfId="55172" xr:uid="{00000000-0005-0000-0000-000011D70000}"/>
    <cellStyle name="Percent 2" xfId="164" xr:uid="{00000000-0005-0000-0000-000012D70000}"/>
    <cellStyle name="Percent 2 10" xfId="55173" xr:uid="{00000000-0005-0000-0000-000013D70000}"/>
    <cellStyle name="Percent 2 11" xfId="55174" xr:uid="{00000000-0005-0000-0000-000014D70000}"/>
    <cellStyle name="Percent 2 12" xfId="55175" xr:uid="{00000000-0005-0000-0000-000015D70000}"/>
    <cellStyle name="Percent 2 12 10" xfId="55176" xr:uid="{00000000-0005-0000-0000-000016D70000}"/>
    <cellStyle name="Percent 2 12 11" xfId="55177" xr:uid="{00000000-0005-0000-0000-000017D70000}"/>
    <cellStyle name="Percent 2 12 2" xfId="55178" xr:uid="{00000000-0005-0000-0000-000018D70000}"/>
    <cellStyle name="Percent 2 12 2 2" xfId="55179" xr:uid="{00000000-0005-0000-0000-000019D70000}"/>
    <cellStyle name="Percent 2 12 2 2 2" xfId="55180" xr:uid="{00000000-0005-0000-0000-00001AD70000}"/>
    <cellStyle name="Percent 2 12 2 2 2 2" xfId="55181" xr:uid="{00000000-0005-0000-0000-00001BD70000}"/>
    <cellStyle name="Percent 2 12 2 2 2 3" xfId="55182" xr:uid="{00000000-0005-0000-0000-00001CD70000}"/>
    <cellStyle name="Percent 2 12 2 2 3" xfId="55183" xr:uid="{00000000-0005-0000-0000-00001DD70000}"/>
    <cellStyle name="Percent 2 12 2 2 4" xfId="55184" xr:uid="{00000000-0005-0000-0000-00001ED70000}"/>
    <cellStyle name="Percent 2 12 2 2 5" xfId="55185" xr:uid="{00000000-0005-0000-0000-00001FD70000}"/>
    <cellStyle name="Percent 2 12 2 2 6" xfId="55186" xr:uid="{00000000-0005-0000-0000-000020D70000}"/>
    <cellStyle name="Percent 2 12 2 3" xfId="55187" xr:uid="{00000000-0005-0000-0000-000021D70000}"/>
    <cellStyle name="Percent 2 12 2 3 2" xfId="55188" xr:uid="{00000000-0005-0000-0000-000022D70000}"/>
    <cellStyle name="Percent 2 12 2 3 2 2" xfId="55189" xr:uid="{00000000-0005-0000-0000-000023D70000}"/>
    <cellStyle name="Percent 2 12 2 3 2 3" xfId="55190" xr:uid="{00000000-0005-0000-0000-000024D70000}"/>
    <cellStyle name="Percent 2 12 2 3 3" xfId="55191" xr:uid="{00000000-0005-0000-0000-000025D70000}"/>
    <cellStyle name="Percent 2 12 2 3 4" xfId="55192" xr:uid="{00000000-0005-0000-0000-000026D70000}"/>
    <cellStyle name="Percent 2 12 2 3 5" xfId="55193" xr:uid="{00000000-0005-0000-0000-000027D70000}"/>
    <cellStyle name="Percent 2 12 2 3 6" xfId="55194" xr:uid="{00000000-0005-0000-0000-000028D70000}"/>
    <cellStyle name="Percent 2 12 2 4" xfId="55195" xr:uid="{00000000-0005-0000-0000-000029D70000}"/>
    <cellStyle name="Percent 2 12 2 4 2" xfId="55196" xr:uid="{00000000-0005-0000-0000-00002AD70000}"/>
    <cellStyle name="Percent 2 12 2 4 3" xfId="55197" xr:uid="{00000000-0005-0000-0000-00002BD70000}"/>
    <cellStyle name="Percent 2 12 2 5" xfId="55198" xr:uid="{00000000-0005-0000-0000-00002CD70000}"/>
    <cellStyle name="Percent 2 12 2 6" xfId="55199" xr:uid="{00000000-0005-0000-0000-00002DD70000}"/>
    <cellStyle name="Percent 2 12 2 7" xfId="55200" xr:uid="{00000000-0005-0000-0000-00002ED70000}"/>
    <cellStyle name="Percent 2 12 2 8" xfId="55201" xr:uid="{00000000-0005-0000-0000-00002FD70000}"/>
    <cellStyle name="Percent 2 12 3" xfId="55202" xr:uid="{00000000-0005-0000-0000-000030D70000}"/>
    <cellStyle name="Percent 2 12 3 2" xfId="55203" xr:uid="{00000000-0005-0000-0000-000031D70000}"/>
    <cellStyle name="Percent 2 12 3 2 2" xfId="55204" xr:uid="{00000000-0005-0000-0000-000032D70000}"/>
    <cellStyle name="Percent 2 12 3 2 2 2" xfId="55205" xr:uid="{00000000-0005-0000-0000-000033D70000}"/>
    <cellStyle name="Percent 2 12 3 2 2 3" xfId="55206" xr:uid="{00000000-0005-0000-0000-000034D70000}"/>
    <cellStyle name="Percent 2 12 3 2 3" xfId="55207" xr:uid="{00000000-0005-0000-0000-000035D70000}"/>
    <cellStyle name="Percent 2 12 3 2 4" xfId="55208" xr:uid="{00000000-0005-0000-0000-000036D70000}"/>
    <cellStyle name="Percent 2 12 3 2 5" xfId="55209" xr:uid="{00000000-0005-0000-0000-000037D70000}"/>
    <cellStyle name="Percent 2 12 3 2 6" xfId="55210" xr:uid="{00000000-0005-0000-0000-000038D70000}"/>
    <cellStyle name="Percent 2 12 3 3" xfId="55211" xr:uid="{00000000-0005-0000-0000-000039D70000}"/>
    <cellStyle name="Percent 2 12 3 3 2" xfId="55212" xr:uid="{00000000-0005-0000-0000-00003AD70000}"/>
    <cellStyle name="Percent 2 12 3 3 3" xfId="55213" xr:uid="{00000000-0005-0000-0000-00003BD70000}"/>
    <cellStyle name="Percent 2 12 3 4" xfId="55214" xr:uid="{00000000-0005-0000-0000-00003CD70000}"/>
    <cellStyle name="Percent 2 12 3 5" xfId="55215" xr:uid="{00000000-0005-0000-0000-00003DD70000}"/>
    <cellStyle name="Percent 2 12 3 6" xfId="55216" xr:uid="{00000000-0005-0000-0000-00003ED70000}"/>
    <cellStyle name="Percent 2 12 3 7" xfId="55217" xr:uid="{00000000-0005-0000-0000-00003FD70000}"/>
    <cellStyle name="Percent 2 12 4" xfId="55218" xr:uid="{00000000-0005-0000-0000-000040D70000}"/>
    <cellStyle name="Percent 2 12 4 2" xfId="55219" xr:uid="{00000000-0005-0000-0000-000041D70000}"/>
    <cellStyle name="Percent 2 12 4 2 2" xfId="55220" xr:uid="{00000000-0005-0000-0000-000042D70000}"/>
    <cellStyle name="Percent 2 12 4 2 3" xfId="55221" xr:uid="{00000000-0005-0000-0000-000043D70000}"/>
    <cellStyle name="Percent 2 12 4 3" xfId="55222" xr:uid="{00000000-0005-0000-0000-000044D70000}"/>
    <cellStyle name="Percent 2 12 4 4" xfId="55223" xr:uid="{00000000-0005-0000-0000-000045D70000}"/>
    <cellStyle name="Percent 2 12 4 5" xfId="55224" xr:uid="{00000000-0005-0000-0000-000046D70000}"/>
    <cellStyle name="Percent 2 12 4 6" xfId="55225" xr:uid="{00000000-0005-0000-0000-000047D70000}"/>
    <cellStyle name="Percent 2 12 5" xfId="55226" xr:uid="{00000000-0005-0000-0000-000048D70000}"/>
    <cellStyle name="Percent 2 12 5 2" xfId="55227" xr:uid="{00000000-0005-0000-0000-000049D70000}"/>
    <cellStyle name="Percent 2 12 5 2 2" xfId="55228" xr:uid="{00000000-0005-0000-0000-00004AD70000}"/>
    <cellStyle name="Percent 2 12 5 2 3" xfId="55229" xr:uid="{00000000-0005-0000-0000-00004BD70000}"/>
    <cellStyle name="Percent 2 12 5 3" xfId="55230" xr:uid="{00000000-0005-0000-0000-00004CD70000}"/>
    <cellStyle name="Percent 2 12 5 4" xfId="55231" xr:uid="{00000000-0005-0000-0000-00004DD70000}"/>
    <cellStyle name="Percent 2 12 5 5" xfId="55232" xr:uid="{00000000-0005-0000-0000-00004ED70000}"/>
    <cellStyle name="Percent 2 12 5 6" xfId="55233" xr:uid="{00000000-0005-0000-0000-00004FD70000}"/>
    <cellStyle name="Percent 2 12 6" xfId="55234" xr:uid="{00000000-0005-0000-0000-000050D70000}"/>
    <cellStyle name="Percent 2 12 6 2" xfId="55235" xr:uid="{00000000-0005-0000-0000-000051D70000}"/>
    <cellStyle name="Percent 2 12 6 2 2" xfId="55236" xr:uid="{00000000-0005-0000-0000-000052D70000}"/>
    <cellStyle name="Percent 2 12 6 2 3" xfId="55237" xr:uid="{00000000-0005-0000-0000-000053D70000}"/>
    <cellStyle name="Percent 2 12 6 3" xfId="55238" xr:uid="{00000000-0005-0000-0000-000054D70000}"/>
    <cellStyle name="Percent 2 12 6 4" xfId="55239" xr:uid="{00000000-0005-0000-0000-000055D70000}"/>
    <cellStyle name="Percent 2 12 6 5" xfId="55240" xr:uid="{00000000-0005-0000-0000-000056D70000}"/>
    <cellStyle name="Percent 2 12 6 6" xfId="55241" xr:uid="{00000000-0005-0000-0000-000057D70000}"/>
    <cellStyle name="Percent 2 12 7" xfId="55242" xr:uid="{00000000-0005-0000-0000-000058D70000}"/>
    <cellStyle name="Percent 2 12 7 2" xfId="55243" xr:uid="{00000000-0005-0000-0000-000059D70000}"/>
    <cellStyle name="Percent 2 12 7 3" xfId="55244" xr:uid="{00000000-0005-0000-0000-00005AD70000}"/>
    <cellStyle name="Percent 2 12 8" xfId="55245" xr:uid="{00000000-0005-0000-0000-00005BD70000}"/>
    <cellStyle name="Percent 2 12 9" xfId="55246" xr:uid="{00000000-0005-0000-0000-00005CD70000}"/>
    <cellStyle name="Percent 2 13" xfId="55247" xr:uid="{00000000-0005-0000-0000-00005DD70000}"/>
    <cellStyle name="Percent 2 13 2" xfId="55248" xr:uid="{00000000-0005-0000-0000-00005ED70000}"/>
    <cellStyle name="Percent 2 13 2 2" xfId="55249" xr:uid="{00000000-0005-0000-0000-00005FD70000}"/>
    <cellStyle name="Percent 2 13 2 3" xfId="55250" xr:uid="{00000000-0005-0000-0000-000060D70000}"/>
    <cellStyle name="Percent 2 13 3" xfId="55251" xr:uid="{00000000-0005-0000-0000-000061D70000}"/>
    <cellStyle name="Percent 2 13 4" xfId="55252" xr:uid="{00000000-0005-0000-0000-000062D70000}"/>
    <cellStyle name="Percent 2 13 5" xfId="55253" xr:uid="{00000000-0005-0000-0000-000063D70000}"/>
    <cellStyle name="Percent 2 13 6" xfId="55254" xr:uid="{00000000-0005-0000-0000-000064D70000}"/>
    <cellStyle name="Percent 2 14" xfId="55255" xr:uid="{00000000-0005-0000-0000-000065D70000}"/>
    <cellStyle name="Percent 2 14 2" xfId="55256" xr:uid="{00000000-0005-0000-0000-000066D70000}"/>
    <cellStyle name="Percent 2 14 2 2" xfId="55257" xr:uid="{00000000-0005-0000-0000-000067D70000}"/>
    <cellStyle name="Percent 2 14 2 3" xfId="55258" xr:uid="{00000000-0005-0000-0000-000068D70000}"/>
    <cellStyle name="Percent 2 14 3" xfId="55259" xr:uid="{00000000-0005-0000-0000-000069D70000}"/>
    <cellStyle name="Percent 2 14 4" xfId="55260" xr:uid="{00000000-0005-0000-0000-00006AD70000}"/>
    <cellStyle name="Percent 2 14 5" xfId="55261" xr:uid="{00000000-0005-0000-0000-00006BD70000}"/>
    <cellStyle name="Percent 2 14 6" xfId="55262" xr:uid="{00000000-0005-0000-0000-00006CD70000}"/>
    <cellStyle name="Percent 2 2" xfId="165" xr:uid="{00000000-0005-0000-0000-00006DD70000}"/>
    <cellStyle name="Percent 2 2 10" xfId="55263" xr:uid="{00000000-0005-0000-0000-00006ED70000}"/>
    <cellStyle name="Percent 2 2 10 2" xfId="55264" xr:uid="{00000000-0005-0000-0000-00006FD70000}"/>
    <cellStyle name="Percent 2 2 10 2 2" xfId="55265" xr:uid="{00000000-0005-0000-0000-000070D70000}"/>
    <cellStyle name="Percent 2 2 10 2 3" xfId="55266" xr:uid="{00000000-0005-0000-0000-000071D70000}"/>
    <cellStyle name="Percent 2 2 10 3" xfId="55267" xr:uid="{00000000-0005-0000-0000-000072D70000}"/>
    <cellStyle name="Percent 2 2 10 4" xfId="55268" xr:uid="{00000000-0005-0000-0000-000073D70000}"/>
    <cellStyle name="Percent 2 2 10 5" xfId="55269" xr:uid="{00000000-0005-0000-0000-000074D70000}"/>
    <cellStyle name="Percent 2 2 10 6" xfId="55270" xr:uid="{00000000-0005-0000-0000-000075D70000}"/>
    <cellStyle name="Percent 2 2 11" xfId="55271" xr:uid="{00000000-0005-0000-0000-000076D70000}"/>
    <cellStyle name="Percent 2 2 11 2" xfId="55272" xr:uid="{00000000-0005-0000-0000-000077D70000}"/>
    <cellStyle name="Percent 2 2 11 2 2" xfId="55273" xr:uid="{00000000-0005-0000-0000-000078D70000}"/>
    <cellStyle name="Percent 2 2 11 2 3" xfId="55274" xr:uid="{00000000-0005-0000-0000-000079D70000}"/>
    <cellStyle name="Percent 2 2 11 3" xfId="55275" xr:uid="{00000000-0005-0000-0000-00007AD70000}"/>
    <cellStyle name="Percent 2 2 11 4" xfId="55276" xr:uid="{00000000-0005-0000-0000-00007BD70000}"/>
    <cellStyle name="Percent 2 2 11 5" xfId="55277" xr:uid="{00000000-0005-0000-0000-00007CD70000}"/>
    <cellStyle name="Percent 2 2 11 6" xfId="55278" xr:uid="{00000000-0005-0000-0000-00007DD70000}"/>
    <cellStyle name="Percent 2 2 12" xfId="55279" xr:uid="{00000000-0005-0000-0000-00007ED70000}"/>
    <cellStyle name="Percent 2 2 12 2" xfId="55280" xr:uid="{00000000-0005-0000-0000-00007FD70000}"/>
    <cellStyle name="Percent 2 2 12 2 2" xfId="55281" xr:uid="{00000000-0005-0000-0000-000080D70000}"/>
    <cellStyle name="Percent 2 2 12 2 3" xfId="55282" xr:uid="{00000000-0005-0000-0000-000081D70000}"/>
    <cellStyle name="Percent 2 2 12 3" xfId="55283" xr:uid="{00000000-0005-0000-0000-000082D70000}"/>
    <cellStyle name="Percent 2 2 12 4" xfId="55284" xr:uid="{00000000-0005-0000-0000-000083D70000}"/>
    <cellStyle name="Percent 2 2 12 5" xfId="55285" xr:uid="{00000000-0005-0000-0000-000084D70000}"/>
    <cellStyle name="Percent 2 2 12 6" xfId="55286" xr:uid="{00000000-0005-0000-0000-000085D70000}"/>
    <cellStyle name="Percent 2 2 13" xfId="55287" xr:uid="{00000000-0005-0000-0000-000086D70000}"/>
    <cellStyle name="Percent 2 2 13 2" xfId="55288" xr:uid="{00000000-0005-0000-0000-000087D70000}"/>
    <cellStyle name="Percent 2 2 13 2 2" xfId="55289" xr:uid="{00000000-0005-0000-0000-000088D70000}"/>
    <cellStyle name="Percent 2 2 13 2 3" xfId="55290" xr:uid="{00000000-0005-0000-0000-000089D70000}"/>
    <cellStyle name="Percent 2 2 13 3" xfId="55291" xr:uid="{00000000-0005-0000-0000-00008AD70000}"/>
    <cellStyle name="Percent 2 2 13 4" xfId="55292" xr:uid="{00000000-0005-0000-0000-00008BD70000}"/>
    <cellStyle name="Percent 2 2 13 5" xfId="55293" xr:uid="{00000000-0005-0000-0000-00008CD70000}"/>
    <cellStyle name="Percent 2 2 13 6" xfId="55294" xr:uid="{00000000-0005-0000-0000-00008DD70000}"/>
    <cellStyle name="Percent 2 2 14" xfId="55295" xr:uid="{00000000-0005-0000-0000-00008ED70000}"/>
    <cellStyle name="Percent 2 2 14 2" xfId="55296" xr:uid="{00000000-0005-0000-0000-00008FD70000}"/>
    <cellStyle name="Percent 2 2 14 2 2" xfId="55297" xr:uid="{00000000-0005-0000-0000-000090D70000}"/>
    <cellStyle name="Percent 2 2 14 2 3" xfId="55298" xr:uid="{00000000-0005-0000-0000-000091D70000}"/>
    <cellStyle name="Percent 2 2 14 3" xfId="55299" xr:uid="{00000000-0005-0000-0000-000092D70000}"/>
    <cellStyle name="Percent 2 2 14 4" xfId="55300" xr:uid="{00000000-0005-0000-0000-000093D70000}"/>
    <cellStyle name="Percent 2 2 14 5" xfId="55301" xr:uid="{00000000-0005-0000-0000-000094D70000}"/>
    <cellStyle name="Percent 2 2 14 6" xfId="55302" xr:uid="{00000000-0005-0000-0000-000095D70000}"/>
    <cellStyle name="Percent 2 2 15" xfId="55303" xr:uid="{00000000-0005-0000-0000-000096D70000}"/>
    <cellStyle name="Percent 2 2 15 2" xfId="55304" xr:uid="{00000000-0005-0000-0000-000097D70000}"/>
    <cellStyle name="Percent 2 2 15 3" xfId="55305" xr:uid="{00000000-0005-0000-0000-000098D70000}"/>
    <cellStyle name="Percent 2 2 16" xfId="55306" xr:uid="{00000000-0005-0000-0000-000099D70000}"/>
    <cellStyle name="Percent 2 2 17" xfId="55307" xr:uid="{00000000-0005-0000-0000-00009AD70000}"/>
    <cellStyle name="Percent 2 2 18" xfId="55308" xr:uid="{00000000-0005-0000-0000-00009BD70000}"/>
    <cellStyle name="Percent 2 2 19" xfId="55309" xr:uid="{00000000-0005-0000-0000-00009CD70000}"/>
    <cellStyle name="Percent 2 2 2" xfId="551" xr:uid="{00000000-0005-0000-0000-00009DD70000}"/>
    <cellStyle name="Percent 2 2 2 10" xfId="55310" xr:uid="{00000000-0005-0000-0000-00009ED70000}"/>
    <cellStyle name="Percent 2 2 2 10 2" xfId="55311" xr:uid="{00000000-0005-0000-0000-00009FD70000}"/>
    <cellStyle name="Percent 2 2 2 10 2 2" xfId="55312" xr:uid="{00000000-0005-0000-0000-0000A0D70000}"/>
    <cellStyle name="Percent 2 2 2 10 2 3" xfId="55313" xr:uid="{00000000-0005-0000-0000-0000A1D70000}"/>
    <cellStyle name="Percent 2 2 2 10 3" xfId="55314" xr:uid="{00000000-0005-0000-0000-0000A2D70000}"/>
    <cellStyle name="Percent 2 2 2 10 4" xfId="55315" xr:uid="{00000000-0005-0000-0000-0000A3D70000}"/>
    <cellStyle name="Percent 2 2 2 10 5" xfId="55316" xr:uid="{00000000-0005-0000-0000-0000A4D70000}"/>
    <cellStyle name="Percent 2 2 2 10 6" xfId="55317" xr:uid="{00000000-0005-0000-0000-0000A5D70000}"/>
    <cellStyle name="Percent 2 2 2 11" xfId="55318" xr:uid="{00000000-0005-0000-0000-0000A6D70000}"/>
    <cellStyle name="Percent 2 2 2 11 2" xfId="55319" xr:uid="{00000000-0005-0000-0000-0000A7D70000}"/>
    <cellStyle name="Percent 2 2 2 11 2 2" xfId="55320" xr:uid="{00000000-0005-0000-0000-0000A8D70000}"/>
    <cellStyle name="Percent 2 2 2 11 2 3" xfId="55321" xr:uid="{00000000-0005-0000-0000-0000A9D70000}"/>
    <cellStyle name="Percent 2 2 2 11 3" xfId="55322" xr:uid="{00000000-0005-0000-0000-0000AAD70000}"/>
    <cellStyle name="Percent 2 2 2 11 4" xfId="55323" xr:uid="{00000000-0005-0000-0000-0000ABD70000}"/>
    <cellStyle name="Percent 2 2 2 11 5" xfId="55324" xr:uid="{00000000-0005-0000-0000-0000ACD70000}"/>
    <cellStyle name="Percent 2 2 2 11 6" xfId="55325" xr:uid="{00000000-0005-0000-0000-0000ADD70000}"/>
    <cellStyle name="Percent 2 2 2 12" xfId="55326" xr:uid="{00000000-0005-0000-0000-0000AED70000}"/>
    <cellStyle name="Percent 2 2 2 12 2" xfId="55327" xr:uid="{00000000-0005-0000-0000-0000AFD70000}"/>
    <cellStyle name="Percent 2 2 2 12 3" xfId="55328" xr:uid="{00000000-0005-0000-0000-0000B0D70000}"/>
    <cellStyle name="Percent 2 2 2 13" xfId="55329" xr:uid="{00000000-0005-0000-0000-0000B1D70000}"/>
    <cellStyle name="Percent 2 2 2 14" xfId="55330" xr:uid="{00000000-0005-0000-0000-0000B2D70000}"/>
    <cellStyle name="Percent 2 2 2 15" xfId="55331" xr:uid="{00000000-0005-0000-0000-0000B3D70000}"/>
    <cellStyle name="Percent 2 2 2 16" xfId="55332" xr:uid="{00000000-0005-0000-0000-0000B4D70000}"/>
    <cellStyle name="Percent 2 2 2 2" xfId="552" xr:uid="{00000000-0005-0000-0000-0000B5D70000}"/>
    <cellStyle name="Percent 2 2 2 2 10" xfId="55333" xr:uid="{00000000-0005-0000-0000-0000B6D70000}"/>
    <cellStyle name="Percent 2 2 2 2 10 2" xfId="55334" xr:uid="{00000000-0005-0000-0000-0000B7D70000}"/>
    <cellStyle name="Percent 2 2 2 2 10 3" xfId="55335" xr:uid="{00000000-0005-0000-0000-0000B8D70000}"/>
    <cellStyle name="Percent 2 2 2 2 11" xfId="55336" xr:uid="{00000000-0005-0000-0000-0000B9D70000}"/>
    <cellStyle name="Percent 2 2 2 2 12" xfId="55337" xr:uid="{00000000-0005-0000-0000-0000BAD70000}"/>
    <cellStyle name="Percent 2 2 2 2 13" xfId="55338" xr:uid="{00000000-0005-0000-0000-0000BBD70000}"/>
    <cellStyle name="Percent 2 2 2 2 14" xfId="55339" xr:uid="{00000000-0005-0000-0000-0000BCD70000}"/>
    <cellStyle name="Percent 2 2 2 2 2" xfId="55340" xr:uid="{00000000-0005-0000-0000-0000BDD70000}"/>
    <cellStyle name="Percent 2 2 2 2 2 10" xfId="55341" xr:uid="{00000000-0005-0000-0000-0000BED70000}"/>
    <cellStyle name="Percent 2 2 2 2 2 11" xfId="55342" xr:uid="{00000000-0005-0000-0000-0000BFD70000}"/>
    <cellStyle name="Percent 2 2 2 2 2 12" xfId="55343" xr:uid="{00000000-0005-0000-0000-0000C0D70000}"/>
    <cellStyle name="Percent 2 2 2 2 2 13" xfId="55344" xr:uid="{00000000-0005-0000-0000-0000C1D70000}"/>
    <cellStyle name="Percent 2 2 2 2 2 2" xfId="55345" xr:uid="{00000000-0005-0000-0000-0000C2D70000}"/>
    <cellStyle name="Percent 2 2 2 2 2 2 10" xfId="55346" xr:uid="{00000000-0005-0000-0000-0000C3D70000}"/>
    <cellStyle name="Percent 2 2 2 2 2 2 2" xfId="55347" xr:uid="{00000000-0005-0000-0000-0000C4D70000}"/>
    <cellStyle name="Percent 2 2 2 2 2 2 2 2" xfId="55348" xr:uid="{00000000-0005-0000-0000-0000C5D70000}"/>
    <cellStyle name="Percent 2 2 2 2 2 2 2 2 2" xfId="55349" xr:uid="{00000000-0005-0000-0000-0000C6D70000}"/>
    <cellStyle name="Percent 2 2 2 2 2 2 2 2 2 2" xfId="55350" xr:uid="{00000000-0005-0000-0000-0000C7D70000}"/>
    <cellStyle name="Percent 2 2 2 2 2 2 2 2 2 3" xfId="55351" xr:uid="{00000000-0005-0000-0000-0000C8D70000}"/>
    <cellStyle name="Percent 2 2 2 2 2 2 2 2 3" xfId="55352" xr:uid="{00000000-0005-0000-0000-0000C9D70000}"/>
    <cellStyle name="Percent 2 2 2 2 2 2 2 2 4" xfId="55353" xr:uid="{00000000-0005-0000-0000-0000CAD70000}"/>
    <cellStyle name="Percent 2 2 2 2 2 2 2 2 5" xfId="55354" xr:uid="{00000000-0005-0000-0000-0000CBD70000}"/>
    <cellStyle name="Percent 2 2 2 2 2 2 2 2 6" xfId="55355" xr:uid="{00000000-0005-0000-0000-0000CCD70000}"/>
    <cellStyle name="Percent 2 2 2 2 2 2 2 3" xfId="55356" xr:uid="{00000000-0005-0000-0000-0000CDD70000}"/>
    <cellStyle name="Percent 2 2 2 2 2 2 2 3 2" xfId="55357" xr:uid="{00000000-0005-0000-0000-0000CED70000}"/>
    <cellStyle name="Percent 2 2 2 2 2 2 2 3 2 2" xfId="55358" xr:uid="{00000000-0005-0000-0000-0000CFD70000}"/>
    <cellStyle name="Percent 2 2 2 2 2 2 2 3 2 3" xfId="55359" xr:uid="{00000000-0005-0000-0000-0000D0D70000}"/>
    <cellStyle name="Percent 2 2 2 2 2 2 2 3 3" xfId="55360" xr:uid="{00000000-0005-0000-0000-0000D1D70000}"/>
    <cellStyle name="Percent 2 2 2 2 2 2 2 3 4" xfId="55361" xr:uid="{00000000-0005-0000-0000-0000D2D70000}"/>
    <cellStyle name="Percent 2 2 2 2 2 2 2 3 5" xfId="55362" xr:uid="{00000000-0005-0000-0000-0000D3D70000}"/>
    <cellStyle name="Percent 2 2 2 2 2 2 2 3 6" xfId="55363" xr:uid="{00000000-0005-0000-0000-0000D4D70000}"/>
    <cellStyle name="Percent 2 2 2 2 2 2 2 4" xfId="55364" xr:uid="{00000000-0005-0000-0000-0000D5D70000}"/>
    <cellStyle name="Percent 2 2 2 2 2 2 2 4 2" xfId="55365" xr:uid="{00000000-0005-0000-0000-0000D6D70000}"/>
    <cellStyle name="Percent 2 2 2 2 2 2 2 4 3" xfId="55366" xr:uid="{00000000-0005-0000-0000-0000D7D70000}"/>
    <cellStyle name="Percent 2 2 2 2 2 2 2 5" xfId="55367" xr:uid="{00000000-0005-0000-0000-0000D8D70000}"/>
    <cellStyle name="Percent 2 2 2 2 2 2 2 6" xfId="55368" xr:uid="{00000000-0005-0000-0000-0000D9D70000}"/>
    <cellStyle name="Percent 2 2 2 2 2 2 2 7" xfId="55369" xr:uid="{00000000-0005-0000-0000-0000DAD70000}"/>
    <cellStyle name="Percent 2 2 2 2 2 2 2 8" xfId="55370" xr:uid="{00000000-0005-0000-0000-0000DBD70000}"/>
    <cellStyle name="Percent 2 2 2 2 2 2 3" xfId="55371" xr:uid="{00000000-0005-0000-0000-0000DCD70000}"/>
    <cellStyle name="Percent 2 2 2 2 2 2 3 2" xfId="55372" xr:uid="{00000000-0005-0000-0000-0000DDD70000}"/>
    <cellStyle name="Percent 2 2 2 2 2 2 3 2 2" xfId="55373" xr:uid="{00000000-0005-0000-0000-0000DED70000}"/>
    <cellStyle name="Percent 2 2 2 2 2 2 3 2 2 2" xfId="55374" xr:uid="{00000000-0005-0000-0000-0000DFD70000}"/>
    <cellStyle name="Percent 2 2 2 2 2 2 3 2 2 3" xfId="55375" xr:uid="{00000000-0005-0000-0000-0000E0D70000}"/>
    <cellStyle name="Percent 2 2 2 2 2 2 3 2 3" xfId="55376" xr:uid="{00000000-0005-0000-0000-0000E1D70000}"/>
    <cellStyle name="Percent 2 2 2 2 2 2 3 2 4" xfId="55377" xr:uid="{00000000-0005-0000-0000-0000E2D70000}"/>
    <cellStyle name="Percent 2 2 2 2 2 2 3 2 5" xfId="55378" xr:uid="{00000000-0005-0000-0000-0000E3D70000}"/>
    <cellStyle name="Percent 2 2 2 2 2 2 3 2 6" xfId="55379" xr:uid="{00000000-0005-0000-0000-0000E4D70000}"/>
    <cellStyle name="Percent 2 2 2 2 2 2 3 3" xfId="55380" xr:uid="{00000000-0005-0000-0000-0000E5D70000}"/>
    <cellStyle name="Percent 2 2 2 2 2 2 3 3 2" xfId="55381" xr:uid="{00000000-0005-0000-0000-0000E6D70000}"/>
    <cellStyle name="Percent 2 2 2 2 2 2 3 3 3" xfId="55382" xr:uid="{00000000-0005-0000-0000-0000E7D70000}"/>
    <cellStyle name="Percent 2 2 2 2 2 2 3 4" xfId="55383" xr:uid="{00000000-0005-0000-0000-0000E8D70000}"/>
    <cellStyle name="Percent 2 2 2 2 2 2 3 5" xfId="55384" xr:uid="{00000000-0005-0000-0000-0000E9D70000}"/>
    <cellStyle name="Percent 2 2 2 2 2 2 3 6" xfId="55385" xr:uid="{00000000-0005-0000-0000-0000EAD70000}"/>
    <cellStyle name="Percent 2 2 2 2 2 2 3 7" xfId="55386" xr:uid="{00000000-0005-0000-0000-0000EBD70000}"/>
    <cellStyle name="Percent 2 2 2 2 2 2 4" xfId="55387" xr:uid="{00000000-0005-0000-0000-0000ECD70000}"/>
    <cellStyle name="Percent 2 2 2 2 2 2 4 2" xfId="55388" xr:uid="{00000000-0005-0000-0000-0000EDD70000}"/>
    <cellStyle name="Percent 2 2 2 2 2 2 4 2 2" xfId="55389" xr:uid="{00000000-0005-0000-0000-0000EED70000}"/>
    <cellStyle name="Percent 2 2 2 2 2 2 4 2 3" xfId="55390" xr:uid="{00000000-0005-0000-0000-0000EFD70000}"/>
    <cellStyle name="Percent 2 2 2 2 2 2 4 3" xfId="55391" xr:uid="{00000000-0005-0000-0000-0000F0D70000}"/>
    <cellStyle name="Percent 2 2 2 2 2 2 4 4" xfId="55392" xr:uid="{00000000-0005-0000-0000-0000F1D70000}"/>
    <cellStyle name="Percent 2 2 2 2 2 2 4 5" xfId="55393" xr:uid="{00000000-0005-0000-0000-0000F2D70000}"/>
    <cellStyle name="Percent 2 2 2 2 2 2 4 6" xfId="55394" xr:uid="{00000000-0005-0000-0000-0000F3D70000}"/>
    <cellStyle name="Percent 2 2 2 2 2 2 5" xfId="55395" xr:uid="{00000000-0005-0000-0000-0000F4D70000}"/>
    <cellStyle name="Percent 2 2 2 2 2 2 5 2" xfId="55396" xr:uid="{00000000-0005-0000-0000-0000F5D70000}"/>
    <cellStyle name="Percent 2 2 2 2 2 2 5 2 2" xfId="55397" xr:uid="{00000000-0005-0000-0000-0000F6D70000}"/>
    <cellStyle name="Percent 2 2 2 2 2 2 5 2 3" xfId="55398" xr:uid="{00000000-0005-0000-0000-0000F7D70000}"/>
    <cellStyle name="Percent 2 2 2 2 2 2 5 3" xfId="55399" xr:uid="{00000000-0005-0000-0000-0000F8D70000}"/>
    <cellStyle name="Percent 2 2 2 2 2 2 5 4" xfId="55400" xr:uid="{00000000-0005-0000-0000-0000F9D70000}"/>
    <cellStyle name="Percent 2 2 2 2 2 2 5 5" xfId="55401" xr:uid="{00000000-0005-0000-0000-0000FAD70000}"/>
    <cellStyle name="Percent 2 2 2 2 2 2 5 6" xfId="55402" xr:uid="{00000000-0005-0000-0000-0000FBD70000}"/>
    <cellStyle name="Percent 2 2 2 2 2 2 6" xfId="55403" xr:uid="{00000000-0005-0000-0000-0000FCD70000}"/>
    <cellStyle name="Percent 2 2 2 2 2 2 6 2" xfId="55404" xr:uid="{00000000-0005-0000-0000-0000FDD70000}"/>
    <cellStyle name="Percent 2 2 2 2 2 2 6 3" xfId="55405" xr:uid="{00000000-0005-0000-0000-0000FED70000}"/>
    <cellStyle name="Percent 2 2 2 2 2 2 7" xfId="55406" xr:uid="{00000000-0005-0000-0000-0000FFD70000}"/>
    <cellStyle name="Percent 2 2 2 2 2 2 8" xfId="55407" xr:uid="{00000000-0005-0000-0000-000000D80000}"/>
    <cellStyle name="Percent 2 2 2 2 2 2 9" xfId="55408" xr:uid="{00000000-0005-0000-0000-000001D80000}"/>
    <cellStyle name="Percent 2 2 2 2 2 3" xfId="55409" xr:uid="{00000000-0005-0000-0000-000002D80000}"/>
    <cellStyle name="Percent 2 2 2 2 2 3 2" xfId="55410" xr:uid="{00000000-0005-0000-0000-000003D80000}"/>
    <cellStyle name="Percent 2 2 2 2 2 3 2 2" xfId="55411" xr:uid="{00000000-0005-0000-0000-000004D80000}"/>
    <cellStyle name="Percent 2 2 2 2 2 3 2 2 2" xfId="55412" xr:uid="{00000000-0005-0000-0000-000005D80000}"/>
    <cellStyle name="Percent 2 2 2 2 2 3 2 2 2 2" xfId="55413" xr:uid="{00000000-0005-0000-0000-000006D80000}"/>
    <cellStyle name="Percent 2 2 2 2 2 3 2 2 2 3" xfId="55414" xr:uid="{00000000-0005-0000-0000-000007D80000}"/>
    <cellStyle name="Percent 2 2 2 2 2 3 2 2 3" xfId="55415" xr:uid="{00000000-0005-0000-0000-000008D80000}"/>
    <cellStyle name="Percent 2 2 2 2 2 3 2 2 4" xfId="55416" xr:uid="{00000000-0005-0000-0000-000009D80000}"/>
    <cellStyle name="Percent 2 2 2 2 2 3 2 2 5" xfId="55417" xr:uid="{00000000-0005-0000-0000-00000AD80000}"/>
    <cellStyle name="Percent 2 2 2 2 2 3 2 2 6" xfId="55418" xr:uid="{00000000-0005-0000-0000-00000BD80000}"/>
    <cellStyle name="Percent 2 2 2 2 2 3 2 3" xfId="55419" xr:uid="{00000000-0005-0000-0000-00000CD80000}"/>
    <cellStyle name="Percent 2 2 2 2 2 3 2 3 2" xfId="55420" xr:uid="{00000000-0005-0000-0000-00000DD80000}"/>
    <cellStyle name="Percent 2 2 2 2 2 3 2 3 3" xfId="55421" xr:uid="{00000000-0005-0000-0000-00000ED80000}"/>
    <cellStyle name="Percent 2 2 2 2 2 3 2 4" xfId="55422" xr:uid="{00000000-0005-0000-0000-00000FD80000}"/>
    <cellStyle name="Percent 2 2 2 2 2 3 2 5" xfId="55423" xr:uid="{00000000-0005-0000-0000-000010D80000}"/>
    <cellStyle name="Percent 2 2 2 2 2 3 2 6" xfId="55424" xr:uid="{00000000-0005-0000-0000-000011D80000}"/>
    <cellStyle name="Percent 2 2 2 2 2 3 2 7" xfId="55425" xr:uid="{00000000-0005-0000-0000-000012D80000}"/>
    <cellStyle name="Percent 2 2 2 2 2 3 3" xfId="55426" xr:uid="{00000000-0005-0000-0000-000013D80000}"/>
    <cellStyle name="Percent 2 2 2 2 2 3 3 2" xfId="55427" xr:uid="{00000000-0005-0000-0000-000014D80000}"/>
    <cellStyle name="Percent 2 2 2 2 2 3 3 2 2" xfId="55428" xr:uid="{00000000-0005-0000-0000-000015D80000}"/>
    <cellStyle name="Percent 2 2 2 2 2 3 3 2 3" xfId="55429" xr:uid="{00000000-0005-0000-0000-000016D80000}"/>
    <cellStyle name="Percent 2 2 2 2 2 3 3 3" xfId="55430" xr:uid="{00000000-0005-0000-0000-000017D80000}"/>
    <cellStyle name="Percent 2 2 2 2 2 3 3 4" xfId="55431" xr:uid="{00000000-0005-0000-0000-000018D80000}"/>
    <cellStyle name="Percent 2 2 2 2 2 3 3 5" xfId="55432" xr:uid="{00000000-0005-0000-0000-000019D80000}"/>
    <cellStyle name="Percent 2 2 2 2 2 3 3 6" xfId="55433" xr:uid="{00000000-0005-0000-0000-00001AD80000}"/>
    <cellStyle name="Percent 2 2 2 2 2 3 4" xfId="55434" xr:uid="{00000000-0005-0000-0000-00001BD80000}"/>
    <cellStyle name="Percent 2 2 2 2 2 3 4 2" xfId="55435" xr:uid="{00000000-0005-0000-0000-00001CD80000}"/>
    <cellStyle name="Percent 2 2 2 2 2 3 4 2 2" xfId="55436" xr:uid="{00000000-0005-0000-0000-00001DD80000}"/>
    <cellStyle name="Percent 2 2 2 2 2 3 4 2 3" xfId="55437" xr:uid="{00000000-0005-0000-0000-00001ED80000}"/>
    <cellStyle name="Percent 2 2 2 2 2 3 4 3" xfId="55438" xr:uid="{00000000-0005-0000-0000-00001FD80000}"/>
    <cellStyle name="Percent 2 2 2 2 2 3 4 4" xfId="55439" xr:uid="{00000000-0005-0000-0000-000020D80000}"/>
    <cellStyle name="Percent 2 2 2 2 2 3 4 5" xfId="55440" xr:uid="{00000000-0005-0000-0000-000021D80000}"/>
    <cellStyle name="Percent 2 2 2 2 2 3 4 6" xfId="55441" xr:uid="{00000000-0005-0000-0000-000022D80000}"/>
    <cellStyle name="Percent 2 2 2 2 2 3 5" xfId="55442" xr:uid="{00000000-0005-0000-0000-000023D80000}"/>
    <cellStyle name="Percent 2 2 2 2 2 3 5 2" xfId="55443" xr:uid="{00000000-0005-0000-0000-000024D80000}"/>
    <cellStyle name="Percent 2 2 2 2 2 3 5 3" xfId="55444" xr:uid="{00000000-0005-0000-0000-000025D80000}"/>
    <cellStyle name="Percent 2 2 2 2 2 3 6" xfId="55445" xr:uid="{00000000-0005-0000-0000-000026D80000}"/>
    <cellStyle name="Percent 2 2 2 2 2 3 7" xfId="55446" xr:uid="{00000000-0005-0000-0000-000027D80000}"/>
    <cellStyle name="Percent 2 2 2 2 2 3 8" xfId="55447" xr:uid="{00000000-0005-0000-0000-000028D80000}"/>
    <cellStyle name="Percent 2 2 2 2 2 3 9" xfId="55448" xr:uid="{00000000-0005-0000-0000-000029D80000}"/>
    <cellStyle name="Percent 2 2 2 2 2 4" xfId="55449" xr:uid="{00000000-0005-0000-0000-00002AD80000}"/>
    <cellStyle name="Percent 2 2 2 2 2 4 2" xfId="55450" xr:uid="{00000000-0005-0000-0000-00002BD80000}"/>
    <cellStyle name="Percent 2 2 2 2 2 4 2 2" xfId="55451" xr:uid="{00000000-0005-0000-0000-00002CD80000}"/>
    <cellStyle name="Percent 2 2 2 2 2 4 2 2 2" xfId="55452" xr:uid="{00000000-0005-0000-0000-00002DD80000}"/>
    <cellStyle name="Percent 2 2 2 2 2 4 2 2 3" xfId="55453" xr:uid="{00000000-0005-0000-0000-00002ED80000}"/>
    <cellStyle name="Percent 2 2 2 2 2 4 2 3" xfId="55454" xr:uid="{00000000-0005-0000-0000-00002FD80000}"/>
    <cellStyle name="Percent 2 2 2 2 2 4 2 4" xfId="55455" xr:uid="{00000000-0005-0000-0000-000030D80000}"/>
    <cellStyle name="Percent 2 2 2 2 2 4 2 5" xfId="55456" xr:uid="{00000000-0005-0000-0000-000031D80000}"/>
    <cellStyle name="Percent 2 2 2 2 2 4 2 6" xfId="55457" xr:uid="{00000000-0005-0000-0000-000032D80000}"/>
    <cellStyle name="Percent 2 2 2 2 2 4 3" xfId="55458" xr:uid="{00000000-0005-0000-0000-000033D80000}"/>
    <cellStyle name="Percent 2 2 2 2 2 4 3 2" xfId="55459" xr:uid="{00000000-0005-0000-0000-000034D80000}"/>
    <cellStyle name="Percent 2 2 2 2 2 4 3 3" xfId="55460" xr:uid="{00000000-0005-0000-0000-000035D80000}"/>
    <cellStyle name="Percent 2 2 2 2 2 4 4" xfId="55461" xr:uid="{00000000-0005-0000-0000-000036D80000}"/>
    <cellStyle name="Percent 2 2 2 2 2 4 5" xfId="55462" xr:uid="{00000000-0005-0000-0000-000037D80000}"/>
    <cellStyle name="Percent 2 2 2 2 2 4 6" xfId="55463" xr:uid="{00000000-0005-0000-0000-000038D80000}"/>
    <cellStyle name="Percent 2 2 2 2 2 4 7" xfId="55464" xr:uid="{00000000-0005-0000-0000-000039D80000}"/>
    <cellStyle name="Percent 2 2 2 2 2 5" xfId="55465" xr:uid="{00000000-0005-0000-0000-00003AD80000}"/>
    <cellStyle name="Percent 2 2 2 2 2 5 2" xfId="55466" xr:uid="{00000000-0005-0000-0000-00003BD80000}"/>
    <cellStyle name="Percent 2 2 2 2 2 5 2 2" xfId="55467" xr:uid="{00000000-0005-0000-0000-00003CD80000}"/>
    <cellStyle name="Percent 2 2 2 2 2 5 2 3" xfId="55468" xr:uid="{00000000-0005-0000-0000-00003DD80000}"/>
    <cellStyle name="Percent 2 2 2 2 2 5 3" xfId="55469" xr:uid="{00000000-0005-0000-0000-00003ED80000}"/>
    <cellStyle name="Percent 2 2 2 2 2 5 4" xfId="55470" xr:uid="{00000000-0005-0000-0000-00003FD80000}"/>
    <cellStyle name="Percent 2 2 2 2 2 5 5" xfId="55471" xr:uid="{00000000-0005-0000-0000-000040D80000}"/>
    <cellStyle name="Percent 2 2 2 2 2 5 6" xfId="55472" xr:uid="{00000000-0005-0000-0000-000041D80000}"/>
    <cellStyle name="Percent 2 2 2 2 2 6" xfId="55473" xr:uid="{00000000-0005-0000-0000-000042D80000}"/>
    <cellStyle name="Percent 2 2 2 2 2 6 2" xfId="55474" xr:uid="{00000000-0005-0000-0000-000043D80000}"/>
    <cellStyle name="Percent 2 2 2 2 2 6 2 2" xfId="55475" xr:uid="{00000000-0005-0000-0000-000044D80000}"/>
    <cellStyle name="Percent 2 2 2 2 2 6 2 3" xfId="55476" xr:uid="{00000000-0005-0000-0000-000045D80000}"/>
    <cellStyle name="Percent 2 2 2 2 2 6 3" xfId="55477" xr:uid="{00000000-0005-0000-0000-000046D80000}"/>
    <cellStyle name="Percent 2 2 2 2 2 6 4" xfId="55478" xr:uid="{00000000-0005-0000-0000-000047D80000}"/>
    <cellStyle name="Percent 2 2 2 2 2 6 5" xfId="55479" xr:uid="{00000000-0005-0000-0000-000048D80000}"/>
    <cellStyle name="Percent 2 2 2 2 2 6 6" xfId="55480" xr:uid="{00000000-0005-0000-0000-000049D80000}"/>
    <cellStyle name="Percent 2 2 2 2 2 7" xfId="55481" xr:uid="{00000000-0005-0000-0000-00004AD80000}"/>
    <cellStyle name="Percent 2 2 2 2 2 7 2" xfId="55482" xr:uid="{00000000-0005-0000-0000-00004BD80000}"/>
    <cellStyle name="Percent 2 2 2 2 2 7 2 2" xfId="55483" xr:uid="{00000000-0005-0000-0000-00004CD80000}"/>
    <cellStyle name="Percent 2 2 2 2 2 7 2 3" xfId="55484" xr:uid="{00000000-0005-0000-0000-00004DD80000}"/>
    <cellStyle name="Percent 2 2 2 2 2 7 3" xfId="55485" xr:uid="{00000000-0005-0000-0000-00004ED80000}"/>
    <cellStyle name="Percent 2 2 2 2 2 7 4" xfId="55486" xr:uid="{00000000-0005-0000-0000-00004FD80000}"/>
    <cellStyle name="Percent 2 2 2 2 2 7 5" xfId="55487" xr:uid="{00000000-0005-0000-0000-000050D80000}"/>
    <cellStyle name="Percent 2 2 2 2 2 7 6" xfId="55488" xr:uid="{00000000-0005-0000-0000-000051D80000}"/>
    <cellStyle name="Percent 2 2 2 2 2 8" xfId="55489" xr:uid="{00000000-0005-0000-0000-000052D80000}"/>
    <cellStyle name="Percent 2 2 2 2 2 8 2" xfId="55490" xr:uid="{00000000-0005-0000-0000-000053D80000}"/>
    <cellStyle name="Percent 2 2 2 2 2 8 2 2" xfId="55491" xr:uid="{00000000-0005-0000-0000-000054D80000}"/>
    <cellStyle name="Percent 2 2 2 2 2 8 2 3" xfId="55492" xr:uid="{00000000-0005-0000-0000-000055D80000}"/>
    <cellStyle name="Percent 2 2 2 2 2 8 3" xfId="55493" xr:uid="{00000000-0005-0000-0000-000056D80000}"/>
    <cellStyle name="Percent 2 2 2 2 2 8 4" xfId="55494" xr:uid="{00000000-0005-0000-0000-000057D80000}"/>
    <cellStyle name="Percent 2 2 2 2 2 8 5" xfId="55495" xr:uid="{00000000-0005-0000-0000-000058D80000}"/>
    <cellStyle name="Percent 2 2 2 2 2 8 6" xfId="55496" xr:uid="{00000000-0005-0000-0000-000059D80000}"/>
    <cellStyle name="Percent 2 2 2 2 2 9" xfId="55497" xr:uid="{00000000-0005-0000-0000-00005AD80000}"/>
    <cellStyle name="Percent 2 2 2 2 2 9 2" xfId="55498" xr:uid="{00000000-0005-0000-0000-00005BD80000}"/>
    <cellStyle name="Percent 2 2 2 2 2 9 3" xfId="55499" xr:uid="{00000000-0005-0000-0000-00005CD80000}"/>
    <cellStyle name="Percent 2 2 2 2 3" xfId="55500" xr:uid="{00000000-0005-0000-0000-00005DD80000}"/>
    <cellStyle name="Percent 2 2 2 2 3 10" xfId="55501" xr:uid="{00000000-0005-0000-0000-00005ED80000}"/>
    <cellStyle name="Percent 2 2 2 2 3 2" xfId="55502" xr:uid="{00000000-0005-0000-0000-00005FD80000}"/>
    <cellStyle name="Percent 2 2 2 2 3 2 2" xfId="55503" xr:uid="{00000000-0005-0000-0000-000060D80000}"/>
    <cellStyle name="Percent 2 2 2 2 3 2 2 2" xfId="55504" xr:uid="{00000000-0005-0000-0000-000061D80000}"/>
    <cellStyle name="Percent 2 2 2 2 3 2 2 2 2" xfId="55505" xr:uid="{00000000-0005-0000-0000-000062D80000}"/>
    <cellStyle name="Percent 2 2 2 2 3 2 2 2 3" xfId="55506" xr:uid="{00000000-0005-0000-0000-000063D80000}"/>
    <cellStyle name="Percent 2 2 2 2 3 2 2 3" xfId="55507" xr:uid="{00000000-0005-0000-0000-000064D80000}"/>
    <cellStyle name="Percent 2 2 2 2 3 2 2 4" xfId="55508" xr:uid="{00000000-0005-0000-0000-000065D80000}"/>
    <cellStyle name="Percent 2 2 2 2 3 2 2 5" xfId="55509" xr:uid="{00000000-0005-0000-0000-000066D80000}"/>
    <cellStyle name="Percent 2 2 2 2 3 2 2 6" xfId="55510" xr:uid="{00000000-0005-0000-0000-000067D80000}"/>
    <cellStyle name="Percent 2 2 2 2 3 2 3" xfId="55511" xr:uid="{00000000-0005-0000-0000-000068D80000}"/>
    <cellStyle name="Percent 2 2 2 2 3 2 3 2" xfId="55512" xr:uid="{00000000-0005-0000-0000-000069D80000}"/>
    <cellStyle name="Percent 2 2 2 2 3 2 3 2 2" xfId="55513" xr:uid="{00000000-0005-0000-0000-00006AD80000}"/>
    <cellStyle name="Percent 2 2 2 2 3 2 3 2 3" xfId="55514" xr:uid="{00000000-0005-0000-0000-00006BD80000}"/>
    <cellStyle name="Percent 2 2 2 2 3 2 3 3" xfId="55515" xr:uid="{00000000-0005-0000-0000-00006CD80000}"/>
    <cellStyle name="Percent 2 2 2 2 3 2 3 4" xfId="55516" xr:uid="{00000000-0005-0000-0000-00006DD80000}"/>
    <cellStyle name="Percent 2 2 2 2 3 2 3 5" xfId="55517" xr:uid="{00000000-0005-0000-0000-00006ED80000}"/>
    <cellStyle name="Percent 2 2 2 2 3 2 3 6" xfId="55518" xr:uid="{00000000-0005-0000-0000-00006FD80000}"/>
    <cellStyle name="Percent 2 2 2 2 3 2 4" xfId="55519" xr:uid="{00000000-0005-0000-0000-000070D80000}"/>
    <cellStyle name="Percent 2 2 2 2 3 2 4 2" xfId="55520" xr:uid="{00000000-0005-0000-0000-000071D80000}"/>
    <cellStyle name="Percent 2 2 2 2 3 2 4 3" xfId="55521" xr:uid="{00000000-0005-0000-0000-000072D80000}"/>
    <cellStyle name="Percent 2 2 2 2 3 2 5" xfId="55522" xr:uid="{00000000-0005-0000-0000-000073D80000}"/>
    <cellStyle name="Percent 2 2 2 2 3 2 6" xfId="55523" xr:uid="{00000000-0005-0000-0000-000074D80000}"/>
    <cellStyle name="Percent 2 2 2 2 3 2 7" xfId="55524" xr:uid="{00000000-0005-0000-0000-000075D80000}"/>
    <cellStyle name="Percent 2 2 2 2 3 2 8" xfId="55525" xr:uid="{00000000-0005-0000-0000-000076D80000}"/>
    <cellStyle name="Percent 2 2 2 2 3 3" xfId="55526" xr:uid="{00000000-0005-0000-0000-000077D80000}"/>
    <cellStyle name="Percent 2 2 2 2 3 3 2" xfId="55527" xr:uid="{00000000-0005-0000-0000-000078D80000}"/>
    <cellStyle name="Percent 2 2 2 2 3 3 2 2" xfId="55528" xr:uid="{00000000-0005-0000-0000-000079D80000}"/>
    <cellStyle name="Percent 2 2 2 2 3 3 2 2 2" xfId="55529" xr:uid="{00000000-0005-0000-0000-00007AD80000}"/>
    <cellStyle name="Percent 2 2 2 2 3 3 2 2 3" xfId="55530" xr:uid="{00000000-0005-0000-0000-00007BD80000}"/>
    <cellStyle name="Percent 2 2 2 2 3 3 2 3" xfId="55531" xr:uid="{00000000-0005-0000-0000-00007CD80000}"/>
    <cellStyle name="Percent 2 2 2 2 3 3 2 4" xfId="55532" xr:uid="{00000000-0005-0000-0000-00007DD80000}"/>
    <cellStyle name="Percent 2 2 2 2 3 3 2 5" xfId="55533" xr:uid="{00000000-0005-0000-0000-00007ED80000}"/>
    <cellStyle name="Percent 2 2 2 2 3 3 2 6" xfId="55534" xr:uid="{00000000-0005-0000-0000-00007FD80000}"/>
    <cellStyle name="Percent 2 2 2 2 3 3 3" xfId="55535" xr:uid="{00000000-0005-0000-0000-000080D80000}"/>
    <cellStyle name="Percent 2 2 2 2 3 3 3 2" xfId="55536" xr:uid="{00000000-0005-0000-0000-000081D80000}"/>
    <cellStyle name="Percent 2 2 2 2 3 3 3 3" xfId="55537" xr:uid="{00000000-0005-0000-0000-000082D80000}"/>
    <cellStyle name="Percent 2 2 2 2 3 3 4" xfId="55538" xr:uid="{00000000-0005-0000-0000-000083D80000}"/>
    <cellStyle name="Percent 2 2 2 2 3 3 5" xfId="55539" xr:uid="{00000000-0005-0000-0000-000084D80000}"/>
    <cellStyle name="Percent 2 2 2 2 3 3 6" xfId="55540" xr:uid="{00000000-0005-0000-0000-000085D80000}"/>
    <cellStyle name="Percent 2 2 2 2 3 3 7" xfId="55541" xr:uid="{00000000-0005-0000-0000-000086D80000}"/>
    <cellStyle name="Percent 2 2 2 2 3 4" xfId="55542" xr:uid="{00000000-0005-0000-0000-000087D80000}"/>
    <cellStyle name="Percent 2 2 2 2 3 4 2" xfId="55543" xr:uid="{00000000-0005-0000-0000-000088D80000}"/>
    <cellStyle name="Percent 2 2 2 2 3 4 2 2" xfId="55544" xr:uid="{00000000-0005-0000-0000-000089D80000}"/>
    <cellStyle name="Percent 2 2 2 2 3 4 2 3" xfId="55545" xr:uid="{00000000-0005-0000-0000-00008AD80000}"/>
    <cellStyle name="Percent 2 2 2 2 3 4 3" xfId="55546" xr:uid="{00000000-0005-0000-0000-00008BD80000}"/>
    <cellStyle name="Percent 2 2 2 2 3 4 4" xfId="55547" xr:uid="{00000000-0005-0000-0000-00008CD80000}"/>
    <cellStyle name="Percent 2 2 2 2 3 4 5" xfId="55548" xr:uid="{00000000-0005-0000-0000-00008DD80000}"/>
    <cellStyle name="Percent 2 2 2 2 3 4 6" xfId="55549" xr:uid="{00000000-0005-0000-0000-00008ED80000}"/>
    <cellStyle name="Percent 2 2 2 2 3 5" xfId="55550" xr:uid="{00000000-0005-0000-0000-00008FD80000}"/>
    <cellStyle name="Percent 2 2 2 2 3 5 2" xfId="55551" xr:uid="{00000000-0005-0000-0000-000090D80000}"/>
    <cellStyle name="Percent 2 2 2 2 3 5 2 2" xfId="55552" xr:uid="{00000000-0005-0000-0000-000091D80000}"/>
    <cellStyle name="Percent 2 2 2 2 3 5 2 3" xfId="55553" xr:uid="{00000000-0005-0000-0000-000092D80000}"/>
    <cellStyle name="Percent 2 2 2 2 3 5 3" xfId="55554" xr:uid="{00000000-0005-0000-0000-000093D80000}"/>
    <cellStyle name="Percent 2 2 2 2 3 5 4" xfId="55555" xr:uid="{00000000-0005-0000-0000-000094D80000}"/>
    <cellStyle name="Percent 2 2 2 2 3 5 5" xfId="55556" xr:uid="{00000000-0005-0000-0000-000095D80000}"/>
    <cellStyle name="Percent 2 2 2 2 3 5 6" xfId="55557" xr:uid="{00000000-0005-0000-0000-000096D80000}"/>
    <cellStyle name="Percent 2 2 2 2 3 6" xfId="55558" xr:uid="{00000000-0005-0000-0000-000097D80000}"/>
    <cellStyle name="Percent 2 2 2 2 3 6 2" xfId="55559" xr:uid="{00000000-0005-0000-0000-000098D80000}"/>
    <cellStyle name="Percent 2 2 2 2 3 6 3" xfId="55560" xr:uid="{00000000-0005-0000-0000-000099D80000}"/>
    <cellStyle name="Percent 2 2 2 2 3 7" xfId="55561" xr:uid="{00000000-0005-0000-0000-00009AD80000}"/>
    <cellStyle name="Percent 2 2 2 2 3 8" xfId="55562" xr:uid="{00000000-0005-0000-0000-00009BD80000}"/>
    <cellStyle name="Percent 2 2 2 2 3 9" xfId="55563" xr:uid="{00000000-0005-0000-0000-00009CD80000}"/>
    <cellStyle name="Percent 2 2 2 2 4" xfId="55564" xr:uid="{00000000-0005-0000-0000-00009DD80000}"/>
    <cellStyle name="Percent 2 2 2 2 4 2" xfId="55565" xr:uid="{00000000-0005-0000-0000-00009ED80000}"/>
    <cellStyle name="Percent 2 2 2 2 4 2 2" xfId="55566" xr:uid="{00000000-0005-0000-0000-00009FD80000}"/>
    <cellStyle name="Percent 2 2 2 2 4 2 2 2" xfId="55567" xr:uid="{00000000-0005-0000-0000-0000A0D80000}"/>
    <cellStyle name="Percent 2 2 2 2 4 2 2 2 2" xfId="55568" xr:uid="{00000000-0005-0000-0000-0000A1D80000}"/>
    <cellStyle name="Percent 2 2 2 2 4 2 2 2 3" xfId="55569" xr:uid="{00000000-0005-0000-0000-0000A2D80000}"/>
    <cellStyle name="Percent 2 2 2 2 4 2 2 3" xfId="55570" xr:uid="{00000000-0005-0000-0000-0000A3D80000}"/>
    <cellStyle name="Percent 2 2 2 2 4 2 2 4" xfId="55571" xr:uid="{00000000-0005-0000-0000-0000A4D80000}"/>
    <cellStyle name="Percent 2 2 2 2 4 2 2 5" xfId="55572" xr:uid="{00000000-0005-0000-0000-0000A5D80000}"/>
    <cellStyle name="Percent 2 2 2 2 4 2 2 6" xfId="55573" xr:uid="{00000000-0005-0000-0000-0000A6D80000}"/>
    <cellStyle name="Percent 2 2 2 2 4 2 3" xfId="55574" xr:uid="{00000000-0005-0000-0000-0000A7D80000}"/>
    <cellStyle name="Percent 2 2 2 2 4 2 3 2" xfId="55575" xr:uid="{00000000-0005-0000-0000-0000A8D80000}"/>
    <cellStyle name="Percent 2 2 2 2 4 2 3 3" xfId="55576" xr:uid="{00000000-0005-0000-0000-0000A9D80000}"/>
    <cellStyle name="Percent 2 2 2 2 4 2 4" xfId="55577" xr:uid="{00000000-0005-0000-0000-0000AAD80000}"/>
    <cellStyle name="Percent 2 2 2 2 4 2 5" xfId="55578" xr:uid="{00000000-0005-0000-0000-0000ABD80000}"/>
    <cellStyle name="Percent 2 2 2 2 4 2 6" xfId="55579" xr:uid="{00000000-0005-0000-0000-0000ACD80000}"/>
    <cellStyle name="Percent 2 2 2 2 4 2 7" xfId="55580" xr:uid="{00000000-0005-0000-0000-0000ADD80000}"/>
    <cellStyle name="Percent 2 2 2 2 4 3" xfId="55581" xr:uid="{00000000-0005-0000-0000-0000AED80000}"/>
    <cellStyle name="Percent 2 2 2 2 4 3 2" xfId="55582" xr:uid="{00000000-0005-0000-0000-0000AFD80000}"/>
    <cellStyle name="Percent 2 2 2 2 4 3 2 2" xfId="55583" xr:uid="{00000000-0005-0000-0000-0000B0D80000}"/>
    <cellStyle name="Percent 2 2 2 2 4 3 2 3" xfId="55584" xr:uid="{00000000-0005-0000-0000-0000B1D80000}"/>
    <cellStyle name="Percent 2 2 2 2 4 3 3" xfId="55585" xr:uid="{00000000-0005-0000-0000-0000B2D80000}"/>
    <cellStyle name="Percent 2 2 2 2 4 3 4" xfId="55586" xr:uid="{00000000-0005-0000-0000-0000B3D80000}"/>
    <cellStyle name="Percent 2 2 2 2 4 3 5" xfId="55587" xr:uid="{00000000-0005-0000-0000-0000B4D80000}"/>
    <cellStyle name="Percent 2 2 2 2 4 3 6" xfId="55588" xr:uid="{00000000-0005-0000-0000-0000B5D80000}"/>
    <cellStyle name="Percent 2 2 2 2 4 4" xfId="55589" xr:uid="{00000000-0005-0000-0000-0000B6D80000}"/>
    <cellStyle name="Percent 2 2 2 2 4 4 2" xfId="55590" xr:uid="{00000000-0005-0000-0000-0000B7D80000}"/>
    <cellStyle name="Percent 2 2 2 2 4 4 2 2" xfId="55591" xr:uid="{00000000-0005-0000-0000-0000B8D80000}"/>
    <cellStyle name="Percent 2 2 2 2 4 4 2 3" xfId="55592" xr:uid="{00000000-0005-0000-0000-0000B9D80000}"/>
    <cellStyle name="Percent 2 2 2 2 4 4 3" xfId="55593" xr:uid="{00000000-0005-0000-0000-0000BAD80000}"/>
    <cellStyle name="Percent 2 2 2 2 4 4 4" xfId="55594" xr:uid="{00000000-0005-0000-0000-0000BBD80000}"/>
    <cellStyle name="Percent 2 2 2 2 4 4 5" xfId="55595" xr:uid="{00000000-0005-0000-0000-0000BCD80000}"/>
    <cellStyle name="Percent 2 2 2 2 4 4 6" xfId="55596" xr:uid="{00000000-0005-0000-0000-0000BDD80000}"/>
    <cellStyle name="Percent 2 2 2 2 4 5" xfId="55597" xr:uid="{00000000-0005-0000-0000-0000BED80000}"/>
    <cellStyle name="Percent 2 2 2 2 4 5 2" xfId="55598" xr:uid="{00000000-0005-0000-0000-0000BFD80000}"/>
    <cellStyle name="Percent 2 2 2 2 4 5 3" xfId="55599" xr:uid="{00000000-0005-0000-0000-0000C0D80000}"/>
    <cellStyle name="Percent 2 2 2 2 4 6" xfId="55600" xr:uid="{00000000-0005-0000-0000-0000C1D80000}"/>
    <cellStyle name="Percent 2 2 2 2 4 7" xfId="55601" xr:uid="{00000000-0005-0000-0000-0000C2D80000}"/>
    <cellStyle name="Percent 2 2 2 2 4 8" xfId="55602" xr:uid="{00000000-0005-0000-0000-0000C3D80000}"/>
    <cellStyle name="Percent 2 2 2 2 4 9" xfId="55603" xr:uid="{00000000-0005-0000-0000-0000C4D80000}"/>
    <cellStyle name="Percent 2 2 2 2 5" xfId="55604" xr:uid="{00000000-0005-0000-0000-0000C5D80000}"/>
    <cellStyle name="Percent 2 2 2 2 5 2" xfId="55605" xr:uid="{00000000-0005-0000-0000-0000C6D80000}"/>
    <cellStyle name="Percent 2 2 2 2 5 2 2" xfId="55606" xr:uid="{00000000-0005-0000-0000-0000C7D80000}"/>
    <cellStyle name="Percent 2 2 2 2 5 2 2 2" xfId="55607" xr:uid="{00000000-0005-0000-0000-0000C8D80000}"/>
    <cellStyle name="Percent 2 2 2 2 5 2 2 3" xfId="55608" xr:uid="{00000000-0005-0000-0000-0000C9D80000}"/>
    <cellStyle name="Percent 2 2 2 2 5 2 3" xfId="55609" xr:uid="{00000000-0005-0000-0000-0000CAD80000}"/>
    <cellStyle name="Percent 2 2 2 2 5 2 4" xfId="55610" xr:uid="{00000000-0005-0000-0000-0000CBD80000}"/>
    <cellStyle name="Percent 2 2 2 2 5 2 5" xfId="55611" xr:uid="{00000000-0005-0000-0000-0000CCD80000}"/>
    <cellStyle name="Percent 2 2 2 2 5 2 6" xfId="55612" xr:uid="{00000000-0005-0000-0000-0000CDD80000}"/>
    <cellStyle name="Percent 2 2 2 2 5 3" xfId="55613" xr:uid="{00000000-0005-0000-0000-0000CED80000}"/>
    <cellStyle name="Percent 2 2 2 2 5 3 2" xfId="55614" xr:uid="{00000000-0005-0000-0000-0000CFD80000}"/>
    <cellStyle name="Percent 2 2 2 2 5 3 3" xfId="55615" xr:uid="{00000000-0005-0000-0000-0000D0D80000}"/>
    <cellStyle name="Percent 2 2 2 2 5 4" xfId="55616" xr:uid="{00000000-0005-0000-0000-0000D1D80000}"/>
    <cellStyle name="Percent 2 2 2 2 5 5" xfId="55617" xr:uid="{00000000-0005-0000-0000-0000D2D80000}"/>
    <cellStyle name="Percent 2 2 2 2 5 6" xfId="55618" xr:uid="{00000000-0005-0000-0000-0000D3D80000}"/>
    <cellStyle name="Percent 2 2 2 2 5 7" xfId="55619" xr:uid="{00000000-0005-0000-0000-0000D4D80000}"/>
    <cellStyle name="Percent 2 2 2 2 6" xfId="55620" xr:uid="{00000000-0005-0000-0000-0000D5D80000}"/>
    <cellStyle name="Percent 2 2 2 2 6 2" xfId="55621" xr:uid="{00000000-0005-0000-0000-0000D6D80000}"/>
    <cellStyle name="Percent 2 2 2 2 6 2 2" xfId="55622" xr:uid="{00000000-0005-0000-0000-0000D7D80000}"/>
    <cellStyle name="Percent 2 2 2 2 6 2 3" xfId="55623" xr:uid="{00000000-0005-0000-0000-0000D8D80000}"/>
    <cellStyle name="Percent 2 2 2 2 6 3" xfId="55624" xr:uid="{00000000-0005-0000-0000-0000D9D80000}"/>
    <cellStyle name="Percent 2 2 2 2 6 4" xfId="55625" xr:uid="{00000000-0005-0000-0000-0000DAD80000}"/>
    <cellStyle name="Percent 2 2 2 2 6 5" xfId="55626" xr:uid="{00000000-0005-0000-0000-0000DBD80000}"/>
    <cellStyle name="Percent 2 2 2 2 6 6" xfId="55627" xr:uid="{00000000-0005-0000-0000-0000DCD80000}"/>
    <cellStyle name="Percent 2 2 2 2 7" xfId="55628" xr:uid="{00000000-0005-0000-0000-0000DDD80000}"/>
    <cellStyle name="Percent 2 2 2 2 7 2" xfId="55629" xr:uid="{00000000-0005-0000-0000-0000DED80000}"/>
    <cellStyle name="Percent 2 2 2 2 7 2 2" xfId="55630" xr:uid="{00000000-0005-0000-0000-0000DFD80000}"/>
    <cellStyle name="Percent 2 2 2 2 7 2 3" xfId="55631" xr:uid="{00000000-0005-0000-0000-0000E0D80000}"/>
    <cellStyle name="Percent 2 2 2 2 7 3" xfId="55632" xr:uid="{00000000-0005-0000-0000-0000E1D80000}"/>
    <cellStyle name="Percent 2 2 2 2 7 4" xfId="55633" xr:uid="{00000000-0005-0000-0000-0000E2D80000}"/>
    <cellStyle name="Percent 2 2 2 2 7 5" xfId="55634" xr:uid="{00000000-0005-0000-0000-0000E3D80000}"/>
    <cellStyle name="Percent 2 2 2 2 7 6" xfId="55635" xr:uid="{00000000-0005-0000-0000-0000E4D80000}"/>
    <cellStyle name="Percent 2 2 2 2 8" xfId="55636" xr:uid="{00000000-0005-0000-0000-0000E5D80000}"/>
    <cellStyle name="Percent 2 2 2 2 8 2" xfId="55637" xr:uid="{00000000-0005-0000-0000-0000E6D80000}"/>
    <cellStyle name="Percent 2 2 2 2 8 2 2" xfId="55638" xr:uid="{00000000-0005-0000-0000-0000E7D80000}"/>
    <cellStyle name="Percent 2 2 2 2 8 2 3" xfId="55639" xr:uid="{00000000-0005-0000-0000-0000E8D80000}"/>
    <cellStyle name="Percent 2 2 2 2 8 3" xfId="55640" xr:uid="{00000000-0005-0000-0000-0000E9D80000}"/>
    <cellStyle name="Percent 2 2 2 2 8 4" xfId="55641" xr:uid="{00000000-0005-0000-0000-0000EAD80000}"/>
    <cellStyle name="Percent 2 2 2 2 8 5" xfId="55642" xr:uid="{00000000-0005-0000-0000-0000EBD80000}"/>
    <cellStyle name="Percent 2 2 2 2 8 6" xfId="55643" xr:uid="{00000000-0005-0000-0000-0000ECD80000}"/>
    <cellStyle name="Percent 2 2 2 2 9" xfId="55644" xr:uid="{00000000-0005-0000-0000-0000EDD80000}"/>
    <cellStyle name="Percent 2 2 2 2 9 2" xfId="55645" xr:uid="{00000000-0005-0000-0000-0000EED80000}"/>
    <cellStyle name="Percent 2 2 2 2 9 2 2" xfId="55646" xr:uid="{00000000-0005-0000-0000-0000EFD80000}"/>
    <cellStyle name="Percent 2 2 2 2 9 2 3" xfId="55647" xr:uid="{00000000-0005-0000-0000-0000F0D80000}"/>
    <cellStyle name="Percent 2 2 2 2 9 3" xfId="55648" xr:uid="{00000000-0005-0000-0000-0000F1D80000}"/>
    <cellStyle name="Percent 2 2 2 2 9 4" xfId="55649" xr:uid="{00000000-0005-0000-0000-0000F2D80000}"/>
    <cellStyle name="Percent 2 2 2 2 9 5" xfId="55650" xr:uid="{00000000-0005-0000-0000-0000F3D80000}"/>
    <cellStyle name="Percent 2 2 2 2 9 6" xfId="55651" xr:uid="{00000000-0005-0000-0000-0000F4D80000}"/>
    <cellStyle name="Percent 2 2 2 3" xfId="55652" xr:uid="{00000000-0005-0000-0000-0000F5D80000}"/>
    <cellStyle name="Percent 2 2 2 3 10" xfId="55653" xr:uid="{00000000-0005-0000-0000-0000F6D80000}"/>
    <cellStyle name="Percent 2 2 2 3 10 2" xfId="55654" xr:uid="{00000000-0005-0000-0000-0000F7D80000}"/>
    <cellStyle name="Percent 2 2 2 3 10 3" xfId="55655" xr:uid="{00000000-0005-0000-0000-0000F8D80000}"/>
    <cellStyle name="Percent 2 2 2 3 11" xfId="55656" xr:uid="{00000000-0005-0000-0000-0000F9D80000}"/>
    <cellStyle name="Percent 2 2 2 3 12" xfId="55657" xr:uid="{00000000-0005-0000-0000-0000FAD80000}"/>
    <cellStyle name="Percent 2 2 2 3 13" xfId="55658" xr:uid="{00000000-0005-0000-0000-0000FBD80000}"/>
    <cellStyle name="Percent 2 2 2 3 14" xfId="55659" xr:uid="{00000000-0005-0000-0000-0000FCD80000}"/>
    <cellStyle name="Percent 2 2 2 3 2" xfId="55660" xr:uid="{00000000-0005-0000-0000-0000FDD80000}"/>
    <cellStyle name="Percent 2 2 2 3 2 10" xfId="55661" xr:uid="{00000000-0005-0000-0000-0000FED80000}"/>
    <cellStyle name="Percent 2 2 2 3 2 11" xfId="55662" xr:uid="{00000000-0005-0000-0000-0000FFD80000}"/>
    <cellStyle name="Percent 2 2 2 3 2 12" xfId="55663" xr:uid="{00000000-0005-0000-0000-000000D90000}"/>
    <cellStyle name="Percent 2 2 2 3 2 13" xfId="55664" xr:uid="{00000000-0005-0000-0000-000001D90000}"/>
    <cellStyle name="Percent 2 2 2 3 2 2" xfId="55665" xr:uid="{00000000-0005-0000-0000-000002D90000}"/>
    <cellStyle name="Percent 2 2 2 3 2 2 10" xfId="55666" xr:uid="{00000000-0005-0000-0000-000003D90000}"/>
    <cellStyle name="Percent 2 2 2 3 2 2 2" xfId="55667" xr:uid="{00000000-0005-0000-0000-000004D90000}"/>
    <cellStyle name="Percent 2 2 2 3 2 2 2 2" xfId="55668" xr:uid="{00000000-0005-0000-0000-000005D90000}"/>
    <cellStyle name="Percent 2 2 2 3 2 2 2 2 2" xfId="55669" xr:uid="{00000000-0005-0000-0000-000006D90000}"/>
    <cellStyle name="Percent 2 2 2 3 2 2 2 2 2 2" xfId="55670" xr:uid="{00000000-0005-0000-0000-000007D90000}"/>
    <cellStyle name="Percent 2 2 2 3 2 2 2 2 2 3" xfId="55671" xr:uid="{00000000-0005-0000-0000-000008D90000}"/>
    <cellStyle name="Percent 2 2 2 3 2 2 2 2 3" xfId="55672" xr:uid="{00000000-0005-0000-0000-000009D90000}"/>
    <cellStyle name="Percent 2 2 2 3 2 2 2 2 4" xfId="55673" xr:uid="{00000000-0005-0000-0000-00000AD90000}"/>
    <cellStyle name="Percent 2 2 2 3 2 2 2 2 5" xfId="55674" xr:uid="{00000000-0005-0000-0000-00000BD90000}"/>
    <cellStyle name="Percent 2 2 2 3 2 2 2 2 6" xfId="55675" xr:uid="{00000000-0005-0000-0000-00000CD90000}"/>
    <cellStyle name="Percent 2 2 2 3 2 2 2 3" xfId="55676" xr:uid="{00000000-0005-0000-0000-00000DD90000}"/>
    <cellStyle name="Percent 2 2 2 3 2 2 2 3 2" xfId="55677" xr:uid="{00000000-0005-0000-0000-00000ED90000}"/>
    <cellStyle name="Percent 2 2 2 3 2 2 2 3 2 2" xfId="55678" xr:uid="{00000000-0005-0000-0000-00000FD90000}"/>
    <cellStyle name="Percent 2 2 2 3 2 2 2 3 2 3" xfId="55679" xr:uid="{00000000-0005-0000-0000-000010D90000}"/>
    <cellStyle name="Percent 2 2 2 3 2 2 2 3 3" xfId="55680" xr:uid="{00000000-0005-0000-0000-000011D90000}"/>
    <cellStyle name="Percent 2 2 2 3 2 2 2 3 4" xfId="55681" xr:uid="{00000000-0005-0000-0000-000012D90000}"/>
    <cellStyle name="Percent 2 2 2 3 2 2 2 3 5" xfId="55682" xr:uid="{00000000-0005-0000-0000-000013D90000}"/>
    <cellStyle name="Percent 2 2 2 3 2 2 2 3 6" xfId="55683" xr:uid="{00000000-0005-0000-0000-000014D90000}"/>
    <cellStyle name="Percent 2 2 2 3 2 2 2 4" xfId="55684" xr:uid="{00000000-0005-0000-0000-000015D90000}"/>
    <cellStyle name="Percent 2 2 2 3 2 2 2 4 2" xfId="55685" xr:uid="{00000000-0005-0000-0000-000016D90000}"/>
    <cellStyle name="Percent 2 2 2 3 2 2 2 4 3" xfId="55686" xr:uid="{00000000-0005-0000-0000-000017D90000}"/>
    <cellStyle name="Percent 2 2 2 3 2 2 2 5" xfId="55687" xr:uid="{00000000-0005-0000-0000-000018D90000}"/>
    <cellStyle name="Percent 2 2 2 3 2 2 2 6" xfId="55688" xr:uid="{00000000-0005-0000-0000-000019D90000}"/>
    <cellStyle name="Percent 2 2 2 3 2 2 2 7" xfId="55689" xr:uid="{00000000-0005-0000-0000-00001AD90000}"/>
    <cellStyle name="Percent 2 2 2 3 2 2 2 8" xfId="55690" xr:uid="{00000000-0005-0000-0000-00001BD90000}"/>
    <cellStyle name="Percent 2 2 2 3 2 2 3" xfId="55691" xr:uid="{00000000-0005-0000-0000-00001CD90000}"/>
    <cellStyle name="Percent 2 2 2 3 2 2 3 2" xfId="55692" xr:uid="{00000000-0005-0000-0000-00001DD90000}"/>
    <cellStyle name="Percent 2 2 2 3 2 2 3 2 2" xfId="55693" xr:uid="{00000000-0005-0000-0000-00001ED90000}"/>
    <cellStyle name="Percent 2 2 2 3 2 2 3 2 2 2" xfId="55694" xr:uid="{00000000-0005-0000-0000-00001FD90000}"/>
    <cellStyle name="Percent 2 2 2 3 2 2 3 2 2 3" xfId="55695" xr:uid="{00000000-0005-0000-0000-000020D90000}"/>
    <cellStyle name="Percent 2 2 2 3 2 2 3 2 3" xfId="55696" xr:uid="{00000000-0005-0000-0000-000021D90000}"/>
    <cellStyle name="Percent 2 2 2 3 2 2 3 2 4" xfId="55697" xr:uid="{00000000-0005-0000-0000-000022D90000}"/>
    <cellStyle name="Percent 2 2 2 3 2 2 3 2 5" xfId="55698" xr:uid="{00000000-0005-0000-0000-000023D90000}"/>
    <cellStyle name="Percent 2 2 2 3 2 2 3 2 6" xfId="55699" xr:uid="{00000000-0005-0000-0000-000024D90000}"/>
    <cellStyle name="Percent 2 2 2 3 2 2 3 3" xfId="55700" xr:uid="{00000000-0005-0000-0000-000025D90000}"/>
    <cellStyle name="Percent 2 2 2 3 2 2 3 3 2" xfId="55701" xr:uid="{00000000-0005-0000-0000-000026D90000}"/>
    <cellStyle name="Percent 2 2 2 3 2 2 3 3 3" xfId="55702" xr:uid="{00000000-0005-0000-0000-000027D90000}"/>
    <cellStyle name="Percent 2 2 2 3 2 2 3 4" xfId="55703" xr:uid="{00000000-0005-0000-0000-000028D90000}"/>
    <cellStyle name="Percent 2 2 2 3 2 2 3 5" xfId="55704" xr:uid="{00000000-0005-0000-0000-000029D90000}"/>
    <cellStyle name="Percent 2 2 2 3 2 2 3 6" xfId="55705" xr:uid="{00000000-0005-0000-0000-00002AD90000}"/>
    <cellStyle name="Percent 2 2 2 3 2 2 3 7" xfId="55706" xr:uid="{00000000-0005-0000-0000-00002BD90000}"/>
    <cellStyle name="Percent 2 2 2 3 2 2 4" xfId="55707" xr:uid="{00000000-0005-0000-0000-00002CD90000}"/>
    <cellStyle name="Percent 2 2 2 3 2 2 4 2" xfId="55708" xr:uid="{00000000-0005-0000-0000-00002DD90000}"/>
    <cellStyle name="Percent 2 2 2 3 2 2 4 2 2" xfId="55709" xr:uid="{00000000-0005-0000-0000-00002ED90000}"/>
    <cellStyle name="Percent 2 2 2 3 2 2 4 2 3" xfId="55710" xr:uid="{00000000-0005-0000-0000-00002FD90000}"/>
    <cellStyle name="Percent 2 2 2 3 2 2 4 3" xfId="55711" xr:uid="{00000000-0005-0000-0000-000030D90000}"/>
    <cellStyle name="Percent 2 2 2 3 2 2 4 4" xfId="55712" xr:uid="{00000000-0005-0000-0000-000031D90000}"/>
    <cellStyle name="Percent 2 2 2 3 2 2 4 5" xfId="55713" xr:uid="{00000000-0005-0000-0000-000032D90000}"/>
    <cellStyle name="Percent 2 2 2 3 2 2 4 6" xfId="55714" xr:uid="{00000000-0005-0000-0000-000033D90000}"/>
    <cellStyle name="Percent 2 2 2 3 2 2 5" xfId="55715" xr:uid="{00000000-0005-0000-0000-000034D90000}"/>
    <cellStyle name="Percent 2 2 2 3 2 2 5 2" xfId="55716" xr:uid="{00000000-0005-0000-0000-000035D90000}"/>
    <cellStyle name="Percent 2 2 2 3 2 2 5 2 2" xfId="55717" xr:uid="{00000000-0005-0000-0000-000036D90000}"/>
    <cellStyle name="Percent 2 2 2 3 2 2 5 2 3" xfId="55718" xr:uid="{00000000-0005-0000-0000-000037D90000}"/>
    <cellStyle name="Percent 2 2 2 3 2 2 5 3" xfId="55719" xr:uid="{00000000-0005-0000-0000-000038D90000}"/>
    <cellStyle name="Percent 2 2 2 3 2 2 5 4" xfId="55720" xr:uid="{00000000-0005-0000-0000-000039D90000}"/>
    <cellStyle name="Percent 2 2 2 3 2 2 5 5" xfId="55721" xr:uid="{00000000-0005-0000-0000-00003AD90000}"/>
    <cellStyle name="Percent 2 2 2 3 2 2 5 6" xfId="55722" xr:uid="{00000000-0005-0000-0000-00003BD90000}"/>
    <cellStyle name="Percent 2 2 2 3 2 2 6" xfId="55723" xr:uid="{00000000-0005-0000-0000-00003CD90000}"/>
    <cellStyle name="Percent 2 2 2 3 2 2 6 2" xfId="55724" xr:uid="{00000000-0005-0000-0000-00003DD90000}"/>
    <cellStyle name="Percent 2 2 2 3 2 2 6 3" xfId="55725" xr:uid="{00000000-0005-0000-0000-00003ED90000}"/>
    <cellStyle name="Percent 2 2 2 3 2 2 7" xfId="55726" xr:uid="{00000000-0005-0000-0000-00003FD90000}"/>
    <cellStyle name="Percent 2 2 2 3 2 2 8" xfId="55727" xr:uid="{00000000-0005-0000-0000-000040D90000}"/>
    <cellStyle name="Percent 2 2 2 3 2 2 9" xfId="55728" xr:uid="{00000000-0005-0000-0000-000041D90000}"/>
    <cellStyle name="Percent 2 2 2 3 2 3" xfId="55729" xr:uid="{00000000-0005-0000-0000-000042D90000}"/>
    <cellStyle name="Percent 2 2 2 3 2 3 2" xfId="55730" xr:uid="{00000000-0005-0000-0000-000043D90000}"/>
    <cellStyle name="Percent 2 2 2 3 2 3 2 2" xfId="55731" xr:uid="{00000000-0005-0000-0000-000044D90000}"/>
    <cellStyle name="Percent 2 2 2 3 2 3 2 2 2" xfId="55732" xr:uid="{00000000-0005-0000-0000-000045D90000}"/>
    <cellStyle name="Percent 2 2 2 3 2 3 2 2 2 2" xfId="55733" xr:uid="{00000000-0005-0000-0000-000046D90000}"/>
    <cellStyle name="Percent 2 2 2 3 2 3 2 2 2 3" xfId="55734" xr:uid="{00000000-0005-0000-0000-000047D90000}"/>
    <cellStyle name="Percent 2 2 2 3 2 3 2 2 3" xfId="55735" xr:uid="{00000000-0005-0000-0000-000048D90000}"/>
    <cellStyle name="Percent 2 2 2 3 2 3 2 2 4" xfId="55736" xr:uid="{00000000-0005-0000-0000-000049D90000}"/>
    <cellStyle name="Percent 2 2 2 3 2 3 2 2 5" xfId="55737" xr:uid="{00000000-0005-0000-0000-00004AD90000}"/>
    <cellStyle name="Percent 2 2 2 3 2 3 2 2 6" xfId="55738" xr:uid="{00000000-0005-0000-0000-00004BD90000}"/>
    <cellStyle name="Percent 2 2 2 3 2 3 2 3" xfId="55739" xr:uid="{00000000-0005-0000-0000-00004CD90000}"/>
    <cellStyle name="Percent 2 2 2 3 2 3 2 3 2" xfId="55740" xr:uid="{00000000-0005-0000-0000-00004DD90000}"/>
    <cellStyle name="Percent 2 2 2 3 2 3 2 3 3" xfId="55741" xr:uid="{00000000-0005-0000-0000-00004ED90000}"/>
    <cellStyle name="Percent 2 2 2 3 2 3 2 4" xfId="55742" xr:uid="{00000000-0005-0000-0000-00004FD90000}"/>
    <cellStyle name="Percent 2 2 2 3 2 3 2 5" xfId="55743" xr:uid="{00000000-0005-0000-0000-000050D90000}"/>
    <cellStyle name="Percent 2 2 2 3 2 3 2 6" xfId="55744" xr:uid="{00000000-0005-0000-0000-000051D90000}"/>
    <cellStyle name="Percent 2 2 2 3 2 3 2 7" xfId="55745" xr:uid="{00000000-0005-0000-0000-000052D90000}"/>
    <cellStyle name="Percent 2 2 2 3 2 3 3" xfId="55746" xr:uid="{00000000-0005-0000-0000-000053D90000}"/>
    <cellStyle name="Percent 2 2 2 3 2 3 3 2" xfId="55747" xr:uid="{00000000-0005-0000-0000-000054D90000}"/>
    <cellStyle name="Percent 2 2 2 3 2 3 3 2 2" xfId="55748" xr:uid="{00000000-0005-0000-0000-000055D90000}"/>
    <cellStyle name="Percent 2 2 2 3 2 3 3 2 3" xfId="55749" xr:uid="{00000000-0005-0000-0000-000056D90000}"/>
    <cellStyle name="Percent 2 2 2 3 2 3 3 3" xfId="55750" xr:uid="{00000000-0005-0000-0000-000057D90000}"/>
    <cellStyle name="Percent 2 2 2 3 2 3 3 4" xfId="55751" xr:uid="{00000000-0005-0000-0000-000058D90000}"/>
    <cellStyle name="Percent 2 2 2 3 2 3 3 5" xfId="55752" xr:uid="{00000000-0005-0000-0000-000059D90000}"/>
    <cellStyle name="Percent 2 2 2 3 2 3 3 6" xfId="55753" xr:uid="{00000000-0005-0000-0000-00005AD90000}"/>
    <cellStyle name="Percent 2 2 2 3 2 3 4" xfId="55754" xr:uid="{00000000-0005-0000-0000-00005BD90000}"/>
    <cellStyle name="Percent 2 2 2 3 2 3 4 2" xfId="55755" xr:uid="{00000000-0005-0000-0000-00005CD90000}"/>
    <cellStyle name="Percent 2 2 2 3 2 3 4 2 2" xfId="55756" xr:uid="{00000000-0005-0000-0000-00005DD90000}"/>
    <cellStyle name="Percent 2 2 2 3 2 3 4 2 3" xfId="55757" xr:uid="{00000000-0005-0000-0000-00005ED90000}"/>
    <cellStyle name="Percent 2 2 2 3 2 3 4 3" xfId="55758" xr:uid="{00000000-0005-0000-0000-00005FD90000}"/>
    <cellStyle name="Percent 2 2 2 3 2 3 4 4" xfId="55759" xr:uid="{00000000-0005-0000-0000-000060D90000}"/>
    <cellStyle name="Percent 2 2 2 3 2 3 4 5" xfId="55760" xr:uid="{00000000-0005-0000-0000-000061D90000}"/>
    <cellStyle name="Percent 2 2 2 3 2 3 4 6" xfId="55761" xr:uid="{00000000-0005-0000-0000-000062D90000}"/>
    <cellStyle name="Percent 2 2 2 3 2 3 5" xfId="55762" xr:uid="{00000000-0005-0000-0000-000063D90000}"/>
    <cellStyle name="Percent 2 2 2 3 2 3 5 2" xfId="55763" xr:uid="{00000000-0005-0000-0000-000064D90000}"/>
    <cellStyle name="Percent 2 2 2 3 2 3 5 3" xfId="55764" xr:uid="{00000000-0005-0000-0000-000065D90000}"/>
    <cellStyle name="Percent 2 2 2 3 2 3 6" xfId="55765" xr:uid="{00000000-0005-0000-0000-000066D90000}"/>
    <cellStyle name="Percent 2 2 2 3 2 3 7" xfId="55766" xr:uid="{00000000-0005-0000-0000-000067D90000}"/>
    <cellStyle name="Percent 2 2 2 3 2 3 8" xfId="55767" xr:uid="{00000000-0005-0000-0000-000068D90000}"/>
    <cellStyle name="Percent 2 2 2 3 2 3 9" xfId="55768" xr:uid="{00000000-0005-0000-0000-000069D90000}"/>
    <cellStyle name="Percent 2 2 2 3 2 4" xfId="55769" xr:uid="{00000000-0005-0000-0000-00006AD90000}"/>
    <cellStyle name="Percent 2 2 2 3 2 4 2" xfId="55770" xr:uid="{00000000-0005-0000-0000-00006BD90000}"/>
    <cellStyle name="Percent 2 2 2 3 2 4 2 2" xfId="55771" xr:uid="{00000000-0005-0000-0000-00006CD90000}"/>
    <cellStyle name="Percent 2 2 2 3 2 4 2 2 2" xfId="55772" xr:uid="{00000000-0005-0000-0000-00006DD90000}"/>
    <cellStyle name="Percent 2 2 2 3 2 4 2 2 3" xfId="55773" xr:uid="{00000000-0005-0000-0000-00006ED90000}"/>
    <cellStyle name="Percent 2 2 2 3 2 4 2 3" xfId="55774" xr:uid="{00000000-0005-0000-0000-00006FD90000}"/>
    <cellStyle name="Percent 2 2 2 3 2 4 2 4" xfId="55775" xr:uid="{00000000-0005-0000-0000-000070D90000}"/>
    <cellStyle name="Percent 2 2 2 3 2 4 2 5" xfId="55776" xr:uid="{00000000-0005-0000-0000-000071D90000}"/>
    <cellStyle name="Percent 2 2 2 3 2 4 2 6" xfId="55777" xr:uid="{00000000-0005-0000-0000-000072D90000}"/>
    <cellStyle name="Percent 2 2 2 3 2 4 3" xfId="55778" xr:uid="{00000000-0005-0000-0000-000073D90000}"/>
    <cellStyle name="Percent 2 2 2 3 2 4 3 2" xfId="55779" xr:uid="{00000000-0005-0000-0000-000074D90000}"/>
    <cellStyle name="Percent 2 2 2 3 2 4 3 3" xfId="55780" xr:uid="{00000000-0005-0000-0000-000075D90000}"/>
    <cellStyle name="Percent 2 2 2 3 2 4 4" xfId="55781" xr:uid="{00000000-0005-0000-0000-000076D90000}"/>
    <cellStyle name="Percent 2 2 2 3 2 4 5" xfId="55782" xr:uid="{00000000-0005-0000-0000-000077D90000}"/>
    <cellStyle name="Percent 2 2 2 3 2 4 6" xfId="55783" xr:uid="{00000000-0005-0000-0000-000078D90000}"/>
    <cellStyle name="Percent 2 2 2 3 2 4 7" xfId="55784" xr:uid="{00000000-0005-0000-0000-000079D90000}"/>
    <cellStyle name="Percent 2 2 2 3 2 5" xfId="55785" xr:uid="{00000000-0005-0000-0000-00007AD90000}"/>
    <cellStyle name="Percent 2 2 2 3 2 5 2" xfId="55786" xr:uid="{00000000-0005-0000-0000-00007BD90000}"/>
    <cellStyle name="Percent 2 2 2 3 2 5 2 2" xfId="55787" xr:uid="{00000000-0005-0000-0000-00007CD90000}"/>
    <cellStyle name="Percent 2 2 2 3 2 5 2 3" xfId="55788" xr:uid="{00000000-0005-0000-0000-00007DD90000}"/>
    <cellStyle name="Percent 2 2 2 3 2 5 3" xfId="55789" xr:uid="{00000000-0005-0000-0000-00007ED90000}"/>
    <cellStyle name="Percent 2 2 2 3 2 5 4" xfId="55790" xr:uid="{00000000-0005-0000-0000-00007FD90000}"/>
    <cellStyle name="Percent 2 2 2 3 2 5 5" xfId="55791" xr:uid="{00000000-0005-0000-0000-000080D90000}"/>
    <cellStyle name="Percent 2 2 2 3 2 5 6" xfId="55792" xr:uid="{00000000-0005-0000-0000-000081D90000}"/>
    <cellStyle name="Percent 2 2 2 3 2 6" xfId="55793" xr:uid="{00000000-0005-0000-0000-000082D90000}"/>
    <cellStyle name="Percent 2 2 2 3 2 6 2" xfId="55794" xr:uid="{00000000-0005-0000-0000-000083D90000}"/>
    <cellStyle name="Percent 2 2 2 3 2 6 2 2" xfId="55795" xr:uid="{00000000-0005-0000-0000-000084D90000}"/>
    <cellStyle name="Percent 2 2 2 3 2 6 2 3" xfId="55796" xr:uid="{00000000-0005-0000-0000-000085D90000}"/>
    <cellStyle name="Percent 2 2 2 3 2 6 3" xfId="55797" xr:uid="{00000000-0005-0000-0000-000086D90000}"/>
    <cellStyle name="Percent 2 2 2 3 2 6 4" xfId="55798" xr:uid="{00000000-0005-0000-0000-000087D90000}"/>
    <cellStyle name="Percent 2 2 2 3 2 6 5" xfId="55799" xr:uid="{00000000-0005-0000-0000-000088D90000}"/>
    <cellStyle name="Percent 2 2 2 3 2 6 6" xfId="55800" xr:uid="{00000000-0005-0000-0000-000089D90000}"/>
    <cellStyle name="Percent 2 2 2 3 2 7" xfId="55801" xr:uid="{00000000-0005-0000-0000-00008AD90000}"/>
    <cellStyle name="Percent 2 2 2 3 2 7 2" xfId="55802" xr:uid="{00000000-0005-0000-0000-00008BD90000}"/>
    <cellStyle name="Percent 2 2 2 3 2 7 2 2" xfId="55803" xr:uid="{00000000-0005-0000-0000-00008CD90000}"/>
    <cellStyle name="Percent 2 2 2 3 2 7 2 3" xfId="55804" xr:uid="{00000000-0005-0000-0000-00008DD90000}"/>
    <cellStyle name="Percent 2 2 2 3 2 7 3" xfId="55805" xr:uid="{00000000-0005-0000-0000-00008ED90000}"/>
    <cellStyle name="Percent 2 2 2 3 2 7 4" xfId="55806" xr:uid="{00000000-0005-0000-0000-00008FD90000}"/>
    <cellStyle name="Percent 2 2 2 3 2 7 5" xfId="55807" xr:uid="{00000000-0005-0000-0000-000090D90000}"/>
    <cellStyle name="Percent 2 2 2 3 2 7 6" xfId="55808" xr:uid="{00000000-0005-0000-0000-000091D90000}"/>
    <cellStyle name="Percent 2 2 2 3 2 8" xfId="55809" xr:uid="{00000000-0005-0000-0000-000092D90000}"/>
    <cellStyle name="Percent 2 2 2 3 2 8 2" xfId="55810" xr:uid="{00000000-0005-0000-0000-000093D90000}"/>
    <cellStyle name="Percent 2 2 2 3 2 8 2 2" xfId="55811" xr:uid="{00000000-0005-0000-0000-000094D90000}"/>
    <cellStyle name="Percent 2 2 2 3 2 8 2 3" xfId="55812" xr:uid="{00000000-0005-0000-0000-000095D90000}"/>
    <cellStyle name="Percent 2 2 2 3 2 8 3" xfId="55813" xr:uid="{00000000-0005-0000-0000-000096D90000}"/>
    <cellStyle name="Percent 2 2 2 3 2 8 4" xfId="55814" xr:uid="{00000000-0005-0000-0000-000097D90000}"/>
    <cellStyle name="Percent 2 2 2 3 2 8 5" xfId="55815" xr:uid="{00000000-0005-0000-0000-000098D90000}"/>
    <cellStyle name="Percent 2 2 2 3 2 8 6" xfId="55816" xr:uid="{00000000-0005-0000-0000-000099D90000}"/>
    <cellStyle name="Percent 2 2 2 3 2 9" xfId="55817" xr:uid="{00000000-0005-0000-0000-00009AD90000}"/>
    <cellStyle name="Percent 2 2 2 3 2 9 2" xfId="55818" xr:uid="{00000000-0005-0000-0000-00009BD90000}"/>
    <cellStyle name="Percent 2 2 2 3 2 9 3" xfId="55819" xr:uid="{00000000-0005-0000-0000-00009CD90000}"/>
    <cellStyle name="Percent 2 2 2 3 3" xfId="55820" xr:uid="{00000000-0005-0000-0000-00009DD90000}"/>
    <cellStyle name="Percent 2 2 2 3 3 10" xfId="55821" xr:uid="{00000000-0005-0000-0000-00009ED90000}"/>
    <cellStyle name="Percent 2 2 2 3 3 2" xfId="55822" xr:uid="{00000000-0005-0000-0000-00009FD90000}"/>
    <cellStyle name="Percent 2 2 2 3 3 2 2" xfId="55823" xr:uid="{00000000-0005-0000-0000-0000A0D90000}"/>
    <cellStyle name="Percent 2 2 2 3 3 2 2 2" xfId="55824" xr:uid="{00000000-0005-0000-0000-0000A1D90000}"/>
    <cellStyle name="Percent 2 2 2 3 3 2 2 2 2" xfId="55825" xr:uid="{00000000-0005-0000-0000-0000A2D90000}"/>
    <cellStyle name="Percent 2 2 2 3 3 2 2 2 3" xfId="55826" xr:uid="{00000000-0005-0000-0000-0000A3D90000}"/>
    <cellStyle name="Percent 2 2 2 3 3 2 2 3" xfId="55827" xr:uid="{00000000-0005-0000-0000-0000A4D90000}"/>
    <cellStyle name="Percent 2 2 2 3 3 2 2 4" xfId="55828" xr:uid="{00000000-0005-0000-0000-0000A5D90000}"/>
    <cellStyle name="Percent 2 2 2 3 3 2 2 5" xfId="55829" xr:uid="{00000000-0005-0000-0000-0000A6D90000}"/>
    <cellStyle name="Percent 2 2 2 3 3 2 2 6" xfId="55830" xr:uid="{00000000-0005-0000-0000-0000A7D90000}"/>
    <cellStyle name="Percent 2 2 2 3 3 2 3" xfId="55831" xr:uid="{00000000-0005-0000-0000-0000A8D90000}"/>
    <cellStyle name="Percent 2 2 2 3 3 2 3 2" xfId="55832" xr:uid="{00000000-0005-0000-0000-0000A9D90000}"/>
    <cellStyle name="Percent 2 2 2 3 3 2 3 2 2" xfId="55833" xr:uid="{00000000-0005-0000-0000-0000AAD90000}"/>
    <cellStyle name="Percent 2 2 2 3 3 2 3 2 3" xfId="55834" xr:uid="{00000000-0005-0000-0000-0000ABD90000}"/>
    <cellStyle name="Percent 2 2 2 3 3 2 3 3" xfId="55835" xr:uid="{00000000-0005-0000-0000-0000ACD90000}"/>
    <cellStyle name="Percent 2 2 2 3 3 2 3 4" xfId="55836" xr:uid="{00000000-0005-0000-0000-0000ADD90000}"/>
    <cellStyle name="Percent 2 2 2 3 3 2 3 5" xfId="55837" xr:uid="{00000000-0005-0000-0000-0000AED90000}"/>
    <cellStyle name="Percent 2 2 2 3 3 2 3 6" xfId="55838" xr:uid="{00000000-0005-0000-0000-0000AFD90000}"/>
    <cellStyle name="Percent 2 2 2 3 3 2 4" xfId="55839" xr:uid="{00000000-0005-0000-0000-0000B0D90000}"/>
    <cellStyle name="Percent 2 2 2 3 3 2 4 2" xfId="55840" xr:uid="{00000000-0005-0000-0000-0000B1D90000}"/>
    <cellStyle name="Percent 2 2 2 3 3 2 4 3" xfId="55841" xr:uid="{00000000-0005-0000-0000-0000B2D90000}"/>
    <cellStyle name="Percent 2 2 2 3 3 2 5" xfId="55842" xr:uid="{00000000-0005-0000-0000-0000B3D90000}"/>
    <cellStyle name="Percent 2 2 2 3 3 2 6" xfId="55843" xr:uid="{00000000-0005-0000-0000-0000B4D90000}"/>
    <cellStyle name="Percent 2 2 2 3 3 2 7" xfId="55844" xr:uid="{00000000-0005-0000-0000-0000B5D90000}"/>
    <cellStyle name="Percent 2 2 2 3 3 2 8" xfId="55845" xr:uid="{00000000-0005-0000-0000-0000B6D90000}"/>
    <cellStyle name="Percent 2 2 2 3 3 3" xfId="55846" xr:uid="{00000000-0005-0000-0000-0000B7D90000}"/>
    <cellStyle name="Percent 2 2 2 3 3 3 2" xfId="55847" xr:uid="{00000000-0005-0000-0000-0000B8D90000}"/>
    <cellStyle name="Percent 2 2 2 3 3 3 2 2" xfId="55848" xr:uid="{00000000-0005-0000-0000-0000B9D90000}"/>
    <cellStyle name="Percent 2 2 2 3 3 3 2 2 2" xfId="55849" xr:uid="{00000000-0005-0000-0000-0000BAD90000}"/>
    <cellStyle name="Percent 2 2 2 3 3 3 2 2 3" xfId="55850" xr:uid="{00000000-0005-0000-0000-0000BBD90000}"/>
    <cellStyle name="Percent 2 2 2 3 3 3 2 3" xfId="55851" xr:uid="{00000000-0005-0000-0000-0000BCD90000}"/>
    <cellStyle name="Percent 2 2 2 3 3 3 2 4" xfId="55852" xr:uid="{00000000-0005-0000-0000-0000BDD90000}"/>
    <cellStyle name="Percent 2 2 2 3 3 3 2 5" xfId="55853" xr:uid="{00000000-0005-0000-0000-0000BED90000}"/>
    <cellStyle name="Percent 2 2 2 3 3 3 2 6" xfId="55854" xr:uid="{00000000-0005-0000-0000-0000BFD90000}"/>
    <cellStyle name="Percent 2 2 2 3 3 3 3" xfId="55855" xr:uid="{00000000-0005-0000-0000-0000C0D90000}"/>
    <cellStyle name="Percent 2 2 2 3 3 3 3 2" xfId="55856" xr:uid="{00000000-0005-0000-0000-0000C1D90000}"/>
    <cellStyle name="Percent 2 2 2 3 3 3 3 3" xfId="55857" xr:uid="{00000000-0005-0000-0000-0000C2D90000}"/>
    <cellStyle name="Percent 2 2 2 3 3 3 4" xfId="55858" xr:uid="{00000000-0005-0000-0000-0000C3D90000}"/>
    <cellStyle name="Percent 2 2 2 3 3 3 5" xfId="55859" xr:uid="{00000000-0005-0000-0000-0000C4D90000}"/>
    <cellStyle name="Percent 2 2 2 3 3 3 6" xfId="55860" xr:uid="{00000000-0005-0000-0000-0000C5D90000}"/>
    <cellStyle name="Percent 2 2 2 3 3 3 7" xfId="55861" xr:uid="{00000000-0005-0000-0000-0000C6D90000}"/>
    <cellStyle name="Percent 2 2 2 3 3 4" xfId="55862" xr:uid="{00000000-0005-0000-0000-0000C7D90000}"/>
    <cellStyle name="Percent 2 2 2 3 3 4 2" xfId="55863" xr:uid="{00000000-0005-0000-0000-0000C8D90000}"/>
    <cellStyle name="Percent 2 2 2 3 3 4 2 2" xfId="55864" xr:uid="{00000000-0005-0000-0000-0000C9D90000}"/>
    <cellStyle name="Percent 2 2 2 3 3 4 2 3" xfId="55865" xr:uid="{00000000-0005-0000-0000-0000CAD90000}"/>
    <cellStyle name="Percent 2 2 2 3 3 4 3" xfId="55866" xr:uid="{00000000-0005-0000-0000-0000CBD90000}"/>
    <cellStyle name="Percent 2 2 2 3 3 4 4" xfId="55867" xr:uid="{00000000-0005-0000-0000-0000CCD90000}"/>
    <cellStyle name="Percent 2 2 2 3 3 4 5" xfId="55868" xr:uid="{00000000-0005-0000-0000-0000CDD90000}"/>
    <cellStyle name="Percent 2 2 2 3 3 4 6" xfId="55869" xr:uid="{00000000-0005-0000-0000-0000CED90000}"/>
    <cellStyle name="Percent 2 2 2 3 3 5" xfId="55870" xr:uid="{00000000-0005-0000-0000-0000CFD90000}"/>
    <cellStyle name="Percent 2 2 2 3 3 5 2" xfId="55871" xr:uid="{00000000-0005-0000-0000-0000D0D90000}"/>
    <cellStyle name="Percent 2 2 2 3 3 5 2 2" xfId="55872" xr:uid="{00000000-0005-0000-0000-0000D1D90000}"/>
    <cellStyle name="Percent 2 2 2 3 3 5 2 3" xfId="55873" xr:uid="{00000000-0005-0000-0000-0000D2D90000}"/>
    <cellStyle name="Percent 2 2 2 3 3 5 3" xfId="55874" xr:uid="{00000000-0005-0000-0000-0000D3D90000}"/>
    <cellStyle name="Percent 2 2 2 3 3 5 4" xfId="55875" xr:uid="{00000000-0005-0000-0000-0000D4D90000}"/>
    <cellStyle name="Percent 2 2 2 3 3 5 5" xfId="55876" xr:uid="{00000000-0005-0000-0000-0000D5D90000}"/>
    <cellStyle name="Percent 2 2 2 3 3 5 6" xfId="55877" xr:uid="{00000000-0005-0000-0000-0000D6D90000}"/>
    <cellStyle name="Percent 2 2 2 3 3 6" xfId="55878" xr:uid="{00000000-0005-0000-0000-0000D7D90000}"/>
    <cellStyle name="Percent 2 2 2 3 3 6 2" xfId="55879" xr:uid="{00000000-0005-0000-0000-0000D8D90000}"/>
    <cellStyle name="Percent 2 2 2 3 3 6 3" xfId="55880" xr:uid="{00000000-0005-0000-0000-0000D9D90000}"/>
    <cellStyle name="Percent 2 2 2 3 3 7" xfId="55881" xr:uid="{00000000-0005-0000-0000-0000DAD90000}"/>
    <cellStyle name="Percent 2 2 2 3 3 8" xfId="55882" xr:uid="{00000000-0005-0000-0000-0000DBD90000}"/>
    <cellStyle name="Percent 2 2 2 3 3 9" xfId="55883" xr:uid="{00000000-0005-0000-0000-0000DCD90000}"/>
    <cellStyle name="Percent 2 2 2 3 4" xfId="55884" xr:uid="{00000000-0005-0000-0000-0000DDD90000}"/>
    <cellStyle name="Percent 2 2 2 3 4 2" xfId="55885" xr:uid="{00000000-0005-0000-0000-0000DED90000}"/>
    <cellStyle name="Percent 2 2 2 3 4 2 2" xfId="55886" xr:uid="{00000000-0005-0000-0000-0000DFD90000}"/>
    <cellStyle name="Percent 2 2 2 3 4 2 2 2" xfId="55887" xr:uid="{00000000-0005-0000-0000-0000E0D90000}"/>
    <cellStyle name="Percent 2 2 2 3 4 2 2 2 2" xfId="55888" xr:uid="{00000000-0005-0000-0000-0000E1D90000}"/>
    <cellStyle name="Percent 2 2 2 3 4 2 2 2 3" xfId="55889" xr:uid="{00000000-0005-0000-0000-0000E2D90000}"/>
    <cellStyle name="Percent 2 2 2 3 4 2 2 3" xfId="55890" xr:uid="{00000000-0005-0000-0000-0000E3D90000}"/>
    <cellStyle name="Percent 2 2 2 3 4 2 2 4" xfId="55891" xr:uid="{00000000-0005-0000-0000-0000E4D90000}"/>
    <cellStyle name="Percent 2 2 2 3 4 2 2 5" xfId="55892" xr:uid="{00000000-0005-0000-0000-0000E5D90000}"/>
    <cellStyle name="Percent 2 2 2 3 4 2 2 6" xfId="55893" xr:uid="{00000000-0005-0000-0000-0000E6D90000}"/>
    <cellStyle name="Percent 2 2 2 3 4 2 3" xfId="55894" xr:uid="{00000000-0005-0000-0000-0000E7D90000}"/>
    <cellStyle name="Percent 2 2 2 3 4 2 3 2" xfId="55895" xr:uid="{00000000-0005-0000-0000-0000E8D90000}"/>
    <cellStyle name="Percent 2 2 2 3 4 2 3 3" xfId="55896" xr:uid="{00000000-0005-0000-0000-0000E9D90000}"/>
    <cellStyle name="Percent 2 2 2 3 4 2 4" xfId="55897" xr:uid="{00000000-0005-0000-0000-0000EAD90000}"/>
    <cellStyle name="Percent 2 2 2 3 4 2 5" xfId="55898" xr:uid="{00000000-0005-0000-0000-0000EBD90000}"/>
    <cellStyle name="Percent 2 2 2 3 4 2 6" xfId="55899" xr:uid="{00000000-0005-0000-0000-0000ECD90000}"/>
    <cellStyle name="Percent 2 2 2 3 4 2 7" xfId="55900" xr:uid="{00000000-0005-0000-0000-0000EDD90000}"/>
    <cellStyle name="Percent 2 2 2 3 4 3" xfId="55901" xr:uid="{00000000-0005-0000-0000-0000EED90000}"/>
    <cellStyle name="Percent 2 2 2 3 4 3 2" xfId="55902" xr:uid="{00000000-0005-0000-0000-0000EFD90000}"/>
    <cellStyle name="Percent 2 2 2 3 4 3 2 2" xfId="55903" xr:uid="{00000000-0005-0000-0000-0000F0D90000}"/>
    <cellStyle name="Percent 2 2 2 3 4 3 2 3" xfId="55904" xr:uid="{00000000-0005-0000-0000-0000F1D90000}"/>
    <cellStyle name="Percent 2 2 2 3 4 3 3" xfId="55905" xr:uid="{00000000-0005-0000-0000-0000F2D90000}"/>
    <cellStyle name="Percent 2 2 2 3 4 3 4" xfId="55906" xr:uid="{00000000-0005-0000-0000-0000F3D90000}"/>
    <cellStyle name="Percent 2 2 2 3 4 3 5" xfId="55907" xr:uid="{00000000-0005-0000-0000-0000F4D90000}"/>
    <cellStyle name="Percent 2 2 2 3 4 3 6" xfId="55908" xr:uid="{00000000-0005-0000-0000-0000F5D90000}"/>
    <cellStyle name="Percent 2 2 2 3 4 4" xfId="55909" xr:uid="{00000000-0005-0000-0000-0000F6D90000}"/>
    <cellStyle name="Percent 2 2 2 3 4 4 2" xfId="55910" xr:uid="{00000000-0005-0000-0000-0000F7D90000}"/>
    <cellStyle name="Percent 2 2 2 3 4 4 2 2" xfId="55911" xr:uid="{00000000-0005-0000-0000-0000F8D90000}"/>
    <cellStyle name="Percent 2 2 2 3 4 4 2 3" xfId="55912" xr:uid="{00000000-0005-0000-0000-0000F9D90000}"/>
    <cellStyle name="Percent 2 2 2 3 4 4 3" xfId="55913" xr:uid="{00000000-0005-0000-0000-0000FAD90000}"/>
    <cellStyle name="Percent 2 2 2 3 4 4 4" xfId="55914" xr:uid="{00000000-0005-0000-0000-0000FBD90000}"/>
    <cellStyle name="Percent 2 2 2 3 4 4 5" xfId="55915" xr:uid="{00000000-0005-0000-0000-0000FCD90000}"/>
    <cellStyle name="Percent 2 2 2 3 4 4 6" xfId="55916" xr:uid="{00000000-0005-0000-0000-0000FDD90000}"/>
    <cellStyle name="Percent 2 2 2 3 4 5" xfId="55917" xr:uid="{00000000-0005-0000-0000-0000FED90000}"/>
    <cellStyle name="Percent 2 2 2 3 4 5 2" xfId="55918" xr:uid="{00000000-0005-0000-0000-0000FFD90000}"/>
    <cellStyle name="Percent 2 2 2 3 4 5 3" xfId="55919" xr:uid="{00000000-0005-0000-0000-000000DA0000}"/>
    <cellStyle name="Percent 2 2 2 3 4 6" xfId="55920" xr:uid="{00000000-0005-0000-0000-000001DA0000}"/>
    <cellStyle name="Percent 2 2 2 3 4 7" xfId="55921" xr:uid="{00000000-0005-0000-0000-000002DA0000}"/>
    <cellStyle name="Percent 2 2 2 3 4 8" xfId="55922" xr:uid="{00000000-0005-0000-0000-000003DA0000}"/>
    <cellStyle name="Percent 2 2 2 3 4 9" xfId="55923" xr:uid="{00000000-0005-0000-0000-000004DA0000}"/>
    <cellStyle name="Percent 2 2 2 3 5" xfId="55924" xr:uid="{00000000-0005-0000-0000-000005DA0000}"/>
    <cellStyle name="Percent 2 2 2 3 5 2" xfId="55925" xr:uid="{00000000-0005-0000-0000-000006DA0000}"/>
    <cellStyle name="Percent 2 2 2 3 5 2 2" xfId="55926" xr:uid="{00000000-0005-0000-0000-000007DA0000}"/>
    <cellStyle name="Percent 2 2 2 3 5 2 2 2" xfId="55927" xr:uid="{00000000-0005-0000-0000-000008DA0000}"/>
    <cellStyle name="Percent 2 2 2 3 5 2 2 3" xfId="55928" xr:uid="{00000000-0005-0000-0000-000009DA0000}"/>
    <cellStyle name="Percent 2 2 2 3 5 2 3" xfId="55929" xr:uid="{00000000-0005-0000-0000-00000ADA0000}"/>
    <cellStyle name="Percent 2 2 2 3 5 2 4" xfId="55930" xr:uid="{00000000-0005-0000-0000-00000BDA0000}"/>
    <cellStyle name="Percent 2 2 2 3 5 2 5" xfId="55931" xr:uid="{00000000-0005-0000-0000-00000CDA0000}"/>
    <cellStyle name="Percent 2 2 2 3 5 2 6" xfId="55932" xr:uid="{00000000-0005-0000-0000-00000DDA0000}"/>
    <cellStyle name="Percent 2 2 2 3 5 3" xfId="55933" xr:uid="{00000000-0005-0000-0000-00000EDA0000}"/>
    <cellStyle name="Percent 2 2 2 3 5 3 2" xfId="55934" xr:uid="{00000000-0005-0000-0000-00000FDA0000}"/>
    <cellStyle name="Percent 2 2 2 3 5 3 3" xfId="55935" xr:uid="{00000000-0005-0000-0000-000010DA0000}"/>
    <cellStyle name="Percent 2 2 2 3 5 4" xfId="55936" xr:uid="{00000000-0005-0000-0000-000011DA0000}"/>
    <cellStyle name="Percent 2 2 2 3 5 5" xfId="55937" xr:uid="{00000000-0005-0000-0000-000012DA0000}"/>
    <cellStyle name="Percent 2 2 2 3 5 6" xfId="55938" xr:uid="{00000000-0005-0000-0000-000013DA0000}"/>
    <cellStyle name="Percent 2 2 2 3 5 7" xfId="55939" xr:uid="{00000000-0005-0000-0000-000014DA0000}"/>
    <cellStyle name="Percent 2 2 2 3 6" xfId="55940" xr:uid="{00000000-0005-0000-0000-000015DA0000}"/>
    <cellStyle name="Percent 2 2 2 3 6 2" xfId="55941" xr:uid="{00000000-0005-0000-0000-000016DA0000}"/>
    <cellStyle name="Percent 2 2 2 3 6 2 2" xfId="55942" xr:uid="{00000000-0005-0000-0000-000017DA0000}"/>
    <cellStyle name="Percent 2 2 2 3 6 2 3" xfId="55943" xr:uid="{00000000-0005-0000-0000-000018DA0000}"/>
    <cellStyle name="Percent 2 2 2 3 6 3" xfId="55944" xr:uid="{00000000-0005-0000-0000-000019DA0000}"/>
    <cellStyle name="Percent 2 2 2 3 6 4" xfId="55945" xr:uid="{00000000-0005-0000-0000-00001ADA0000}"/>
    <cellStyle name="Percent 2 2 2 3 6 5" xfId="55946" xr:uid="{00000000-0005-0000-0000-00001BDA0000}"/>
    <cellStyle name="Percent 2 2 2 3 6 6" xfId="55947" xr:uid="{00000000-0005-0000-0000-00001CDA0000}"/>
    <cellStyle name="Percent 2 2 2 3 7" xfId="55948" xr:uid="{00000000-0005-0000-0000-00001DDA0000}"/>
    <cellStyle name="Percent 2 2 2 3 7 2" xfId="55949" xr:uid="{00000000-0005-0000-0000-00001EDA0000}"/>
    <cellStyle name="Percent 2 2 2 3 7 2 2" xfId="55950" xr:uid="{00000000-0005-0000-0000-00001FDA0000}"/>
    <cellStyle name="Percent 2 2 2 3 7 2 3" xfId="55951" xr:uid="{00000000-0005-0000-0000-000020DA0000}"/>
    <cellStyle name="Percent 2 2 2 3 7 3" xfId="55952" xr:uid="{00000000-0005-0000-0000-000021DA0000}"/>
    <cellStyle name="Percent 2 2 2 3 7 4" xfId="55953" xr:uid="{00000000-0005-0000-0000-000022DA0000}"/>
    <cellStyle name="Percent 2 2 2 3 7 5" xfId="55954" xr:uid="{00000000-0005-0000-0000-000023DA0000}"/>
    <cellStyle name="Percent 2 2 2 3 7 6" xfId="55955" xr:uid="{00000000-0005-0000-0000-000024DA0000}"/>
    <cellStyle name="Percent 2 2 2 3 8" xfId="55956" xr:uid="{00000000-0005-0000-0000-000025DA0000}"/>
    <cellStyle name="Percent 2 2 2 3 8 2" xfId="55957" xr:uid="{00000000-0005-0000-0000-000026DA0000}"/>
    <cellStyle name="Percent 2 2 2 3 8 2 2" xfId="55958" xr:uid="{00000000-0005-0000-0000-000027DA0000}"/>
    <cellStyle name="Percent 2 2 2 3 8 2 3" xfId="55959" xr:uid="{00000000-0005-0000-0000-000028DA0000}"/>
    <cellStyle name="Percent 2 2 2 3 8 3" xfId="55960" xr:uid="{00000000-0005-0000-0000-000029DA0000}"/>
    <cellStyle name="Percent 2 2 2 3 8 4" xfId="55961" xr:uid="{00000000-0005-0000-0000-00002ADA0000}"/>
    <cellStyle name="Percent 2 2 2 3 8 5" xfId="55962" xr:uid="{00000000-0005-0000-0000-00002BDA0000}"/>
    <cellStyle name="Percent 2 2 2 3 8 6" xfId="55963" xr:uid="{00000000-0005-0000-0000-00002CDA0000}"/>
    <cellStyle name="Percent 2 2 2 3 9" xfId="55964" xr:uid="{00000000-0005-0000-0000-00002DDA0000}"/>
    <cellStyle name="Percent 2 2 2 3 9 2" xfId="55965" xr:uid="{00000000-0005-0000-0000-00002EDA0000}"/>
    <cellStyle name="Percent 2 2 2 3 9 2 2" xfId="55966" xr:uid="{00000000-0005-0000-0000-00002FDA0000}"/>
    <cellStyle name="Percent 2 2 2 3 9 2 3" xfId="55967" xr:uid="{00000000-0005-0000-0000-000030DA0000}"/>
    <cellStyle name="Percent 2 2 2 3 9 3" xfId="55968" xr:uid="{00000000-0005-0000-0000-000031DA0000}"/>
    <cellStyle name="Percent 2 2 2 3 9 4" xfId="55969" xr:uid="{00000000-0005-0000-0000-000032DA0000}"/>
    <cellStyle name="Percent 2 2 2 3 9 5" xfId="55970" xr:uid="{00000000-0005-0000-0000-000033DA0000}"/>
    <cellStyle name="Percent 2 2 2 3 9 6" xfId="55971" xr:uid="{00000000-0005-0000-0000-000034DA0000}"/>
    <cellStyle name="Percent 2 2 2 4" xfId="55972" xr:uid="{00000000-0005-0000-0000-000035DA0000}"/>
    <cellStyle name="Percent 2 2 2 4 10" xfId="55973" xr:uid="{00000000-0005-0000-0000-000036DA0000}"/>
    <cellStyle name="Percent 2 2 2 4 11" xfId="55974" xr:uid="{00000000-0005-0000-0000-000037DA0000}"/>
    <cellStyle name="Percent 2 2 2 4 12" xfId="55975" xr:uid="{00000000-0005-0000-0000-000038DA0000}"/>
    <cellStyle name="Percent 2 2 2 4 13" xfId="55976" xr:uid="{00000000-0005-0000-0000-000039DA0000}"/>
    <cellStyle name="Percent 2 2 2 4 2" xfId="55977" xr:uid="{00000000-0005-0000-0000-00003ADA0000}"/>
    <cellStyle name="Percent 2 2 2 4 2 10" xfId="55978" xr:uid="{00000000-0005-0000-0000-00003BDA0000}"/>
    <cellStyle name="Percent 2 2 2 4 2 2" xfId="55979" xr:uid="{00000000-0005-0000-0000-00003CDA0000}"/>
    <cellStyle name="Percent 2 2 2 4 2 2 2" xfId="55980" xr:uid="{00000000-0005-0000-0000-00003DDA0000}"/>
    <cellStyle name="Percent 2 2 2 4 2 2 2 2" xfId="55981" xr:uid="{00000000-0005-0000-0000-00003EDA0000}"/>
    <cellStyle name="Percent 2 2 2 4 2 2 2 2 2" xfId="55982" xr:uid="{00000000-0005-0000-0000-00003FDA0000}"/>
    <cellStyle name="Percent 2 2 2 4 2 2 2 2 3" xfId="55983" xr:uid="{00000000-0005-0000-0000-000040DA0000}"/>
    <cellStyle name="Percent 2 2 2 4 2 2 2 3" xfId="55984" xr:uid="{00000000-0005-0000-0000-000041DA0000}"/>
    <cellStyle name="Percent 2 2 2 4 2 2 2 4" xfId="55985" xr:uid="{00000000-0005-0000-0000-000042DA0000}"/>
    <cellStyle name="Percent 2 2 2 4 2 2 2 5" xfId="55986" xr:uid="{00000000-0005-0000-0000-000043DA0000}"/>
    <cellStyle name="Percent 2 2 2 4 2 2 2 6" xfId="55987" xr:uid="{00000000-0005-0000-0000-000044DA0000}"/>
    <cellStyle name="Percent 2 2 2 4 2 2 3" xfId="55988" xr:uid="{00000000-0005-0000-0000-000045DA0000}"/>
    <cellStyle name="Percent 2 2 2 4 2 2 3 2" xfId="55989" xr:uid="{00000000-0005-0000-0000-000046DA0000}"/>
    <cellStyle name="Percent 2 2 2 4 2 2 3 2 2" xfId="55990" xr:uid="{00000000-0005-0000-0000-000047DA0000}"/>
    <cellStyle name="Percent 2 2 2 4 2 2 3 2 3" xfId="55991" xr:uid="{00000000-0005-0000-0000-000048DA0000}"/>
    <cellStyle name="Percent 2 2 2 4 2 2 3 3" xfId="55992" xr:uid="{00000000-0005-0000-0000-000049DA0000}"/>
    <cellStyle name="Percent 2 2 2 4 2 2 3 4" xfId="55993" xr:uid="{00000000-0005-0000-0000-00004ADA0000}"/>
    <cellStyle name="Percent 2 2 2 4 2 2 3 5" xfId="55994" xr:uid="{00000000-0005-0000-0000-00004BDA0000}"/>
    <cellStyle name="Percent 2 2 2 4 2 2 3 6" xfId="55995" xr:uid="{00000000-0005-0000-0000-00004CDA0000}"/>
    <cellStyle name="Percent 2 2 2 4 2 2 4" xfId="55996" xr:uid="{00000000-0005-0000-0000-00004DDA0000}"/>
    <cellStyle name="Percent 2 2 2 4 2 2 4 2" xfId="55997" xr:uid="{00000000-0005-0000-0000-00004EDA0000}"/>
    <cellStyle name="Percent 2 2 2 4 2 2 4 3" xfId="55998" xr:uid="{00000000-0005-0000-0000-00004FDA0000}"/>
    <cellStyle name="Percent 2 2 2 4 2 2 5" xfId="55999" xr:uid="{00000000-0005-0000-0000-000050DA0000}"/>
    <cellStyle name="Percent 2 2 2 4 2 2 6" xfId="56000" xr:uid="{00000000-0005-0000-0000-000051DA0000}"/>
    <cellStyle name="Percent 2 2 2 4 2 2 7" xfId="56001" xr:uid="{00000000-0005-0000-0000-000052DA0000}"/>
    <cellStyle name="Percent 2 2 2 4 2 2 8" xfId="56002" xr:uid="{00000000-0005-0000-0000-000053DA0000}"/>
    <cellStyle name="Percent 2 2 2 4 2 3" xfId="56003" xr:uid="{00000000-0005-0000-0000-000054DA0000}"/>
    <cellStyle name="Percent 2 2 2 4 2 3 2" xfId="56004" xr:uid="{00000000-0005-0000-0000-000055DA0000}"/>
    <cellStyle name="Percent 2 2 2 4 2 3 2 2" xfId="56005" xr:uid="{00000000-0005-0000-0000-000056DA0000}"/>
    <cellStyle name="Percent 2 2 2 4 2 3 2 2 2" xfId="56006" xr:uid="{00000000-0005-0000-0000-000057DA0000}"/>
    <cellStyle name="Percent 2 2 2 4 2 3 2 2 3" xfId="56007" xr:uid="{00000000-0005-0000-0000-000058DA0000}"/>
    <cellStyle name="Percent 2 2 2 4 2 3 2 3" xfId="56008" xr:uid="{00000000-0005-0000-0000-000059DA0000}"/>
    <cellStyle name="Percent 2 2 2 4 2 3 2 4" xfId="56009" xr:uid="{00000000-0005-0000-0000-00005ADA0000}"/>
    <cellStyle name="Percent 2 2 2 4 2 3 2 5" xfId="56010" xr:uid="{00000000-0005-0000-0000-00005BDA0000}"/>
    <cellStyle name="Percent 2 2 2 4 2 3 2 6" xfId="56011" xr:uid="{00000000-0005-0000-0000-00005CDA0000}"/>
    <cellStyle name="Percent 2 2 2 4 2 3 3" xfId="56012" xr:uid="{00000000-0005-0000-0000-00005DDA0000}"/>
    <cellStyle name="Percent 2 2 2 4 2 3 3 2" xfId="56013" xr:uid="{00000000-0005-0000-0000-00005EDA0000}"/>
    <cellStyle name="Percent 2 2 2 4 2 3 3 3" xfId="56014" xr:uid="{00000000-0005-0000-0000-00005FDA0000}"/>
    <cellStyle name="Percent 2 2 2 4 2 3 4" xfId="56015" xr:uid="{00000000-0005-0000-0000-000060DA0000}"/>
    <cellStyle name="Percent 2 2 2 4 2 3 5" xfId="56016" xr:uid="{00000000-0005-0000-0000-000061DA0000}"/>
    <cellStyle name="Percent 2 2 2 4 2 3 6" xfId="56017" xr:uid="{00000000-0005-0000-0000-000062DA0000}"/>
    <cellStyle name="Percent 2 2 2 4 2 3 7" xfId="56018" xr:uid="{00000000-0005-0000-0000-000063DA0000}"/>
    <cellStyle name="Percent 2 2 2 4 2 4" xfId="56019" xr:uid="{00000000-0005-0000-0000-000064DA0000}"/>
    <cellStyle name="Percent 2 2 2 4 2 4 2" xfId="56020" xr:uid="{00000000-0005-0000-0000-000065DA0000}"/>
    <cellStyle name="Percent 2 2 2 4 2 4 2 2" xfId="56021" xr:uid="{00000000-0005-0000-0000-000066DA0000}"/>
    <cellStyle name="Percent 2 2 2 4 2 4 2 3" xfId="56022" xr:uid="{00000000-0005-0000-0000-000067DA0000}"/>
    <cellStyle name="Percent 2 2 2 4 2 4 3" xfId="56023" xr:uid="{00000000-0005-0000-0000-000068DA0000}"/>
    <cellStyle name="Percent 2 2 2 4 2 4 4" xfId="56024" xr:uid="{00000000-0005-0000-0000-000069DA0000}"/>
    <cellStyle name="Percent 2 2 2 4 2 4 5" xfId="56025" xr:uid="{00000000-0005-0000-0000-00006ADA0000}"/>
    <cellStyle name="Percent 2 2 2 4 2 4 6" xfId="56026" xr:uid="{00000000-0005-0000-0000-00006BDA0000}"/>
    <cellStyle name="Percent 2 2 2 4 2 5" xfId="56027" xr:uid="{00000000-0005-0000-0000-00006CDA0000}"/>
    <cellStyle name="Percent 2 2 2 4 2 5 2" xfId="56028" xr:uid="{00000000-0005-0000-0000-00006DDA0000}"/>
    <cellStyle name="Percent 2 2 2 4 2 5 2 2" xfId="56029" xr:uid="{00000000-0005-0000-0000-00006EDA0000}"/>
    <cellStyle name="Percent 2 2 2 4 2 5 2 3" xfId="56030" xr:uid="{00000000-0005-0000-0000-00006FDA0000}"/>
    <cellStyle name="Percent 2 2 2 4 2 5 3" xfId="56031" xr:uid="{00000000-0005-0000-0000-000070DA0000}"/>
    <cellStyle name="Percent 2 2 2 4 2 5 4" xfId="56032" xr:uid="{00000000-0005-0000-0000-000071DA0000}"/>
    <cellStyle name="Percent 2 2 2 4 2 5 5" xfId="56033" xr:uid="{00000000-0005-0000-0000-000072DA0000}"/>
    <cellStyle name="Percent 2 2 2 4 2 5 6" xfId="56034" xr:uid="{00000000-0005-0000-0000-000073DA0000}"/>
    <cellStyle name="Percent 2 2 2 4 2 6" xfId="56035" xr:uid="{00000000-0005-0000-0000-000074DA0000}"/>
    <cellStyle name="Percent 2 2 2 4 2 6 2" xfId="56036" xr:uid="{00000000-0005-0000-0000-000075DA0000}"/>
    <cellStyle name="Percent 2 2 2 4 2 6 3" xfId="56037" xr:uid="{00000000-0005-0000-0000-000076DA0000}"/>
    <cellStyle name="Percent 2 2 2 4 2 7" xfId="56038" xr:uid="{00000000-0005-0000-0000-000077DA0000}"/>
    <cellStyle name="Percent 2 2 2 4 2 8" xfId="56039" xr:uid="{00000000-0005-0000-0000-000078DA0000}"/>
    <cellStyle name="Percent 2 2 2 4 2 9" xfId="56040" xr:uid="{00000000-0005-0000-0000-000079DA0000}"/>
    <cellStyle name="Percent 2 2 2 4 3" xfId="56041" xr:uid="{00000000-0005-0000-0000-00007ADA0000}"/>
    <cellStyle name="Percent 2 2 2 4 3 2" xfId="56042" xr:uid="{00000000-0005-0000-0000-00007BDA0000}"/>
    <cellStyle name="Percent 2 2 2 4 3 2 2" xfId="56043" xr:uid="{00000000-0005-0000-0000-00007CDA0000}"/>
    <cellStyle name="Percent 2 2 2 4 3 2 2 2" xfId="56044" xr:uid="{00000000-0005-0000-0000-00007DDA0000}"/>
    <cellStyle name="Percent 2 2 2 4 3 2 2 2 2" xfId="56045" xr:uid="{00000000-0005-0000-0000-00007EDA0000}"/>
    <cellStyle name="Percent 2 2 2 4 3 2 2 2 3" xfId="56046" xr:uid="{00000000-0005-0000-0000-00007FDA0000}"/>
    <cellStyle name="Percent 2 2 2 4 3 2 2 3" xfId="56047" xr:uid="{00000000-0005-0000-0000-000080DA0000}"/>
    <cellStyle name="Percent 2 2 2 4 3 2 2 4" xfId="56048" xr:uid="{00000000-0005-0000-0000-000081DA0000}"/>
    <cellStyle name="Percent 2 2 2 4 3 2 2 5" xfId="56049" xr:uid="{00000000-0005-0000-0000-000082DA0000}"/>
    <cellStyle name="Percent 2 2 2 4 3 2 2 6" xfId="56050" xr:uid="{00000000-0005-0000-0000-000083DA0000}"/>
    <cellStyle name="Percent 2 2 2 4 3 2 3" xfId="56051" xr:uid="{00000000-0005-0000-0000-000084DA0000}"/>
    <cellStyle name="Percent 2 2 2 4 3 2 3 2" xfId="56052" xr:uid="{00000000-0005-0000-0000-000085DA0000}"/>
    <cellStyle name="Percent 2 2 2 4 3 2 3 3" xfId="56053" xr:uid="{00000000-0005-0000-0000-000086DA0000}"/>
    <cellStyle name="Percent 2 2 2 4 3 2 4" xfId="56054" xr:uid="{00000000-0005-0000-0000-000087DA0000}"/>
    <cellStyle name="Percent 2 2 2 4 3 2 5" xfId="56055" xr:uid="{00000000-0005-0000-0000-000088DA0000}"/>
    <cellStyle name="Percent 2 2 2 4 3 2 6" xfId="56056" xr:uid="{00000000-0005-0000-0000-000089DA0000}"/>
    <cellStyle name="Percent 2 2 2 4 3 2 7" xfId="56057" xr:uid="{00000000-0005-0000-0000-00008ADA0000}"/>
    <cellStyle name="Percent 2 2 2 4 3 3" xfId="56058" xr:uid="{00000000-0005-0000-0000-00008BDA0000}"/>
    <cellStyle name="Percent 2 2 2 4 3 3 2" xfId="56059" xr:uid="{00000000-0005-0000-0000-00008CDA0000}"/>
    <cellStyle name="Percent 2 2 2 4 3 3 2 2" xfId="56060" xr:uid="{00000000-0005-0000-0000-00008DDA0000}"/>
    <cellStyle name="Percent 2 2 2 4 3 3 2 3" xfId="56061" xr:uid="{00000000-0005-0000-0000-00008EDA0000}"/>
    <cellStyle name="Percent 2 2 2 4 3 3 3" xfId="56062" xr:uid="{00000000-0005-0000-0000-00008FDA0000}"/>
    <cellStyle name="Percent 2 2 2 4 3 3 4" xfId="56063" xr:uid="{00000000-0005-0000-0000-000090DA0000}"/>
    <cellStyle name="Percent 2 2 2 4 3 3 5" xfId="56064" xr:uid="{00000000-0005-0000-0000-000091DA0000}"/>
    <cellStyle name="Percent 2 2 2 4 3 3 6" xfId="56065" xr:uid="{00000000-0005-0000-0000-000092DA0000}"/>
    <cellStyle name="Percent 2 2 2 4 3 4" xfId="56066" xr:uid="{00000000-0005-0000-0000-000093DA0000}"/>
    <cellStyle name="Percent 2 2 2 4 3 4 2" xfId="56067" xr:uid="{00000000-0005-0000-0000-000094DA0000}"/>
    <cellStyle name="Percent 2 2 2 4 3 4 2 2" xfId="56068" xr:uid="{00000000-0005-0000-0000-000095DA0000}"/>
    <cellStyle name="Percent 2 2 2 4 3 4 2 3" xfId="56069" xr:uid="{00000000-0005-0000-0000-000096DA0000}"/>
    <cellStyle name="Percent 2 2 2 4 3 4 3" xfId="56070" xr:uid="{00000000-0005-0000-0000-000097DA0000}"/>
    <cellStyle name="Percent 2 2 2 4 3 4 4" xfId="56071" xr:uid="{00000000-0005-0000-0000-000098DA0000}"/>
    <cellStyle name="Percent 2 2 2 4 3 4 5" xfId="56072" xr:uid="{00000000-0005-0000-0000-000099DA0000}"/>
    <cellStyle name="Percent 2 2 2 4 3 4 6" xfId="56073" xr:uid="{00000000-0005-0000-0000-00009ADA0000}"/>
    <cellStyle name="Percent 2 2 2 4 3 5" xfId="56074" xr:uid="{00000000-0005-0000-0000-00009BDA0000}"/>
    <cellStyle name="Percent 2 2 2 4 3 5 2" xfId="56075" xr:uid="{00000000-0005-0000-0000-00009CDA0000}"/>
    <cellStyle name="Percent 2 2 2 4 3 5 3" xfId="56076" xr:uid="{00000000-0005-0000-0000-00009DDA0000}"/>
    <cellStyle name="Percent 2 2 2 4 3 6" xfId="56077" xr:uid="{00000000-0005-0000-0000-00009EDA0000}"/>
    <cellStyle name="Percent 2 2 2 4 3 7" xfId="56078" xr:uid="{00000000-0005-0000-0000-00009FDA0000}"/>
    <cellStyle name="Percent 2 2 2 4 3 8" xfId="56079" xr:uid="{00000000-0005-0000-0000-0000A0DA0000}"/>
    <cellStyle name="Percent 2 2 2 4 3 9" xfId="56080" xr:uid="{00000000-0005-0000-0000-0000A1DA0000}"/>
    <cellStyle name="Percent 2 2 2 4 4" xfId="56081" xr:uid="{00000000-0005-0000-0000-0000A2DA0000}"/>
    <cellStyle name="Percent 2 2 2 4 4 2" xfId="56082" xr:uid="{00000000-0005-0000-0000-0000A3DA0000}"/>
    <cellStyle name="Percent 2 2 2 4 4 2 2" xfId="56083" xr:uid="{00000000-0005-0000-0000-0000A4DA0000}"/>
    <cellStyle name="Percent 2 2 2 4 4 2 2 2" xfId="56084" xr:uid="{00000000-0005-0000-0000-0000A5DA0000}"/>
    <cellStyle name="Percent 2 2 2 4 4 2 2 3" xfId="56085" xr:uid="{00000000-0005-0000-0000-0000A6DA0000}"/>
    <cellStyle name="Percent 2 2 2 4 4 2 3" xfId="56086" xr:uid="{00000000-0005-0000-0000-0000A7DA0000}"/>
    <cellStyle name="Percent 2 2 2 4 4 2 4" xfId="56087" xr:uid="{00000000-0005-0000-0000-0000A8DA0000}"/>
    <cellStyle name="Percent 2 2 2 4 4 2 5" xfId="56088" xr:uid="{00000000-0005-0000-0000-0000A9DA0000}"/>
    <cellStyle name="Percent 2 2 2 4 4 2 6" xfId="56089" xr:uid="{00000000-0005-0000-0000-0000AADA0000}"/>
    <cellStyle name="Percent 2 2 2 4 4 3" xfId="56090" xr:uid="{00000000-0005-0000-0000-0000ABDA0000}"/>
    <cellStyle name="Percent 2 2 2 4 4 3 2" xfId="56091" xr:uid="{00000000-0005-0000-0000-0000ACDA0000}"/>
    <cellStyle name="Percent 2 2 2 4 4 3 3" xfId="56092" xr:uid="{00000000-0005-0000-0000-0000ADDA0000}"/>
    <cellStyle name="Percent 2 2 2 4 4 4" xfId="56093" xr:uid="{00000000-0005-0000-0000-0000AEDA0000}"/>
    <cellStyle name="Percent 2 2 2 4 4 5" xfId="56094" xr:uid="{00000000-0005-0000-0000-0000AFDA0000}"/>
    <cellStyle name="Percent 2 2 2 4 4 6" xfId="56095" xr:uid="{00000000-0005-0000-0000-0000B0DA0000}"/>
    <cellStyle name="Percent 2 2 2 4 4 7" xfId="56096" xr:uid="{00000000-0005-0000-0000-0000B1DA0000}"/>
    <cellStyle name="Percent 2 2 2 4 5" xfId="56097" xr:uid="{00000000-0005-0000-0000-0000B2DA0000}"/>
    <cellStyle name="Percent 2 2 2 4 5 2" xfId="56098" xr:uid="{00000000-0005-0000-0000-0000B3DA0000}"/>
    <cellStyle name="Percent 2 2 2 4 5 2 2" xfId="56099" xr:uid="{00000000-0005-0000-0000-0000B4DA0000}"/>
    <cellStyle name="Percent 2 2 2 4 5 2 3" xfId="56100" xr:uid="{00000000-0005-0000-0000-0000B5DA0000}"/>
    <cellStyle name="Percent 2 2 2 4 5 3" xfId="56101" xr:uid="{00000000-0005-0000-0000-0000B6DA0000}"/>
    <cellStyle name="Percent 2 2 2 4 5 4" xfId="56102" xr:uid="{00000000-0005-0000-0000-0000B7DA0000}"/>
    <cellStyle name="Percent 2 2 2 4 5 5" xfId="56103" xr:uid="{00000000-0005-0000-0000-0000B8DA0000}"/>
    <cellStyle name="Percent 2 2 2 4 5 6" xfId="56104" xr:uid="{00000000-0005-0000-0000-0000B9DA0000}"/>
    <cellStyle name="Percent 2 2 2 4 6" xfId="56105" xr:uid="{00000000-0005-0000-0000-0000BADA0000}"/>
    <cellStyle name="Percent 2 2 2 4 6 2" xfId="56106" xr:uid="{00000000-0005-0000-0000-0000BBDA0000}"/>
    <cellStyle name="Percent 2 2 2 4 6 2 2" xfId="56107" xr:uid="{00000000-0005-0000-0000-0000BCDA0000}"/>
    <cellStyle name="Percent 2 2 2 4 6 2 3" xfId="56108" xr:uid="{00000000-0005-0000-0000-0000BDDA0000}"/>
    <cellStyle name="Percent 2 2 2 4 6 3" xfId="56109" xr:uid="{00000000-0005-0000-0000-0000BEDA0000}"/>
    <cellStyle name="Percent 2 2 2 4 6 4" xfId="56110" xr:uid="{00000000-0005-0000-0000-0000BFDA0000}"/>
    <cellStyle name="Percent 2 2 2 4 6 5" xfId="56111" xr:uid="{00000000-0005-0000-0000-0000C0DA0000}"/>
    <cellStyle name="Percent 2 2 2 4 6 6" xfId="56112" xr:uid="{00000000-0005-0000-0000-0000C1DA0000}"/>
    <cellStyle name="Percent 2 2 2 4 7" xfId="56113" xr:uid="{00000000-0005-0000-0000-0000C2DA0000}"/>
    <cellStyle name="Percent 2 2 2 4 7 2" xfId="56114" xr:uid="{00000000-0005-0000-0000-0000C3DA0000}"/>
    <cellStyle name="Percent 2 2 2 4 7 2 2" xfId="56115" xr:uid="{00000000-0005-0000-0000-0000C4DA0000}"/>
    <cellStyle name="Percent 2 2 2 4 7 2 3" xfId="56116" xr:uid="{00000000-0005-0000-0000-0000C5DA0000}"/>
    <cellStyle name="Percent 2 2 2 4 7 3" xfId="56117" xr:uid="{00000000-0005-0000-0000-0000C6DA0000}"/>
    <cellStyle name="Percent 2 2 2 4 7 4" xfId="56118" xr:uid="{00000000-0005-0000-0000-0000C7DA0000}"/>
    <cellStyle name="Percent 2 2 2 4 7 5" xfId="56119" xr:uid="{00000000-0005-0000-0000-0000C8DA0000}"/>
    <cellStyle name="Percent 2 2 2 4 7 6" xfId="56120" xr:uid="{00000000-0005-0000-0000-0000C9DA0000}"/>
    <cellStyle name="Percent 2 2 2 4 8" xfId="56121" xr:uid="{00000000-0005-0000-0000-0000CADA0000}"/>
    <cellStyle name="Percent 2 2 2 4 8 2" xfId="56122" xr:uid="{00000000-0005-0000-0000-0000CBDA0000}"/>
    <cellStyle name="Percent 2 2 2 4 8 2 2" xfId="56123" xr:uid="{00000000-0005-0000-0000-0000CCDA0000}"/>
    <cellStyle name="Percent 2 2 2 4 8 2 3" xfId="56124" xr:uid="{00000000-0005-0000-0000-0000CDDA0000}"/>
    <cellStyle name="Percent 2 2 2 4 8 3" xfId="56125" xr:uid="{00000000-0005-0000-0000-0000CEDA0000}"/>
    <cellStyle name="Percent 2 2 2 4 8 4" xfId="56126" xr:uid="{00000000-0005-0000-0000-0000CFDA0000}"/>
    <cellStyle name="Percent 2 2 2 4 8 5" xfId="56127" xr:uid="{00000000-0005-0000-0000-0000D0DA0000}"/>
    <cellStyle name="Percent 2 2 2 4 8 6" xfId="56128" xr:uid="{00000000-0005-0000-0000-0000D1DA0000}"/>
    <cellStyle name="Percent 2 2 2 4 9" xfId="56129" xr:uid="{00000000-0005-0000-0000-0000D2DA0000}"/>
    <cellStyle name="Percent 2 2 2 4 9 2" xfId="56130" xr:uid="{00000000-0005-0000-0000-0000D3DA0000}"/>
    <cellStyle name="Percent 2 2 2 4 9 3" xfId="56131" xr:uid="{00000000-0005-0000-0000-0000D4DA0000}"/>
    <cellStyle name="Percent 2 2 2 5" xfId="56132" xr:uid="{00000000-0005-0000-0000-0000D5DA0000}"/>
    <cellStyle name="Percent 2 2 2 5 10" xfId="56133" xr:uid="{00000000-0005-0000-0000-0000D6DA0000}"/>
    <cellStyle name="Percent 2 2 2 5 2" xfId="56134" xr:uid="{00000000-0005-0000-0000-0000D7DA0000}"/>
    <cellStyle name="Percent 2 2 2 5 2 2" xfId="56135" xr:uid="{00000000-0005-0000-0000-0000D8DA0000}"/>
    <cellStyle name="Percent 2 2 2 5 2 2 2" xfId="56136" xr:uid="{00000000-0005-0000-0000-0000D9DA0000}"/>
    <cellStyle name="Percent 2 2 2 5 2 2 2 2" xfId="56137" xr:uid="{00000000-0005-0000-0000-0000DADA0000}"/>
    <cellStyle name="Percent 2 2 2 5 2 2 2 3" xfId="56138" xr:uid="{00000000-0005-0000-0000-0000DBDA0000}"/>
    <cellStyle name="Percent 2 2 2 5 2 2 3" xfId="56139" xr:uid="{00000000-0005-0000-0000-0000DCDA0000}"/>
    <cellStyle name="Percent 2 2 2 5 2 2 4" xfId="56140" xr:uid="{00000000-0005-0000-0000-0000DDDA0000}"/>
    <cellStyle name="Percent 2 2 2 5 2 2 5" xfId="56141" xr:uid="{00000000-0005-0000-0000-0000DEDA0000}"/>
    <cellStyle name="Percent 2 2 2 5 2 2 6" xfId="56142" xr:uid="{00000000-0005-0000-0000-0000DFDA0000}"/>
    <cellStyle name="Percent 2 2 2 5 2 3" xfId="56143" xr:uid="{00000000-0005-0000-0000-0000E0DA0000}"/>
    <cellStyle name="Percent 2 2 2 5 2 3 2" xfId="56144" xr:uid="{00000000-0005-0000-0000-0000E1DA0000}"/>
    <cellStyle name="Percent 2 2 2 5 2 3 2 2" xfId="56145" xr:uid="{00000000-0005-0000-0000-0000E2DA0000}"/>
    <cellStyle name="Percent 2 2 2 5 2 3 2 3" xfId="56146" xr:uid="{00000000-0005-0000-0000-0000E3DA0000}"/>
    <cellStyle name="Percent 2 2 2 5 2 3 3" xfId="56147" xr:uid="{00000000-0005-0000-0000-0000E4DA0000}"/>
    <cellStyle name="Percent 2 2 2 5 2 3 4" xfId="56148" xr:uid="{00000000-0005-0000-0000-0000E5DA0000}"/>
    <cellStyle name="Percent 2 2 2 5 2 3 5" xfId="56149" xr:uid="{00000000-0005-0000-0000-0000E6DA0000}"/>
    <cellStyle name="Percent 2 2 2 5 2 3 6" xfId="56150" xr:uid="{00000000-0005-0000-0000-0000E7DA0000}"/>
    <cellStyle name="Percent 2 2 2 5 2 4" xfId="56151" xr:uid="{00000000-0005-0000-0000-0000E8DA0000}"/>
    <cellStyle name="Percent 2 2 2 5 2 4 2" xfId="56152" xr:uid="{00000000-0005-0000-0000-0000E9DA0000}"/>
    <cellStyle name="Percent 2 2 2 5 2 4 3" xfId="56153" xr:uid="{00000000-0005-0000-0000-0000EADA0000}"/>
    <cellStyle name="Percent 2 2 2 5 2 5" xfId="56154" xr:uid="{00000000-0005-0000-0000-0000EBDA0000}"/>
    <cellStyle name="Percent 2 2 2 5 2 6" xfId="56155" xr:uid="{00000000-0005-0000-0000-0000ECDA0000}"/>
    <cellStyle name="Percent 2 2 2 5 2 7" xfId="56156" xr:uid="{00000000-0005-0000-0000-0000EDDA0000}"/>
    <cellStyle name="Percent 2 2 2 5 2 8" xfId="56157" xr:uid="{00000000-0005-0000-0000-0000EEDA0000}"/>
    <cellStyle name="Percent 2 2 2 5 3" xfId="56158" xr:uid="{00000000-0005-0000-0000-0000EFDA0000}"/>
    <cellStyle name="Percent 2 2 2 5 3 2" xfId="56159" xr:uid="{00000000-0005-0000-0000-0000F0DA0000}"/>
    <cellStyle name="Percent 2 2 2 5 3 2 2" xfId="56160" xr:uid="{00000000-0005-0000-0000-0000F1DA0000}"/>
    <cellStyle name="Percent 2 2 2 5 3 2 2 2" xfId="56161" xr:uid="{00000000-0005-0000-0000-0000F2DA0000}"/>
    <cellStyle name="Percent 2 2 2 5 3 2 2 3" xfId="56162" xr:uid="{00000000-0005-0000-0000-0000F3DA0000}"/>
    <cellStyle name="Percent 2 2 2 5 3 2 3" xfId="56163" xr:uid="{00000000-0005-0000-0000-0000F4DA0000}"/>
    <cellStyle name="Percent 2 2 2 5 3 2 4" xfId="56164" xr:uid="{00000000-0005-0000-0000-0000F5DA0000}"/>
    <cellStyle name="Percent 2 2 2 5 3 2 5" xfId="56165" xr:uid="{00000000-0005-0000-0000-0000F6DA0000}"/>
    <cellStyle name="Percent 2 2 2 5 3 2 6" xfId="56166" xr:uid="{00000000-0005-0000-0000-0000F7DA0000}"/>
    <cellStyle name="Percent 2 2 2 5 3 3" xfId="56167" xr:uid="{00000000-0005-0000-0000-0000F8DA0000}"/>
    <cellStyle name="Percent 2 2 2 5 3 3 2" xfId="56168" xr:uid="{00000000-0005-0000-0000-0000F9DA0000}"/>
    <cellStyle name="Percent 2 2 2 5 3 3 3" xfId="56169" xr:uid="{00000000-0005-0000-0000-0000FADA0000}"/>
    <cellStyle name="Percent 2 2 2 5 3 4" xfId="56170" xr:uid="{00000000-0005-0000-0000-0000FBDA0000}"/>
    <cellStyle name="Percent 2 2 2 5 3 5" xfId="56171" xr:uid="{00000000-0005-0000-0000-0000FCDA0000}"/>
    <cellStyle name="Percent 2 2 2 5 3 6" xfId="56172" xr:uid="{00000000-0005-0000-0000-0000FDDA0000}"/>
    <cellStyle name="Percent 2 2 2 5 3 7" xfId="56173" xr:uid="{00000000-0005-0000-0000-0000FEDA0000}"/>
    <cellStyle name="Percent 2 2 2 5 4" xfId="56174" xr:uid="{00000000-0005-0000-0000-0000FFDA0000}"/>
    <cellStyle name="Percent 2 2 2 5 4 2" xfId="56175" xr:uid="{00000000-0005-0000-0000-000000DB0000}"/>
    <cellStyle name="Percent 2 2 2 5 4 2 2" xfId="56176" xr:uid="{00000000-0005-0000-0000-000001DB0000}"/>
    <cellStyle name="Percent 2 2 2 5 4 2 3" xfId="56177" xr:uid="{00000000-0005-0000-0000-000002DB0000}"/>
    <cellStyle name="Percent 2 2 2 5 4 3" xfId="56178" xr:uid="{00000000-0005-0000-0000-000003DB0000}"/>
    <cellStyle name="Percent 2 2 2 5 4 4" xfId="56179" xr:uid="{00000000-0005-0000-0000-000004DB0000}"/>
    <cellStyle name="Percent 2 2 2 5 4 5" xfId="56180" xr:uid="{00000000-0005-0000-0000-000005DB0000}"/>
    <cellStyle name="Percent 2 2 2 5 4 6" xfId="56181" xr:uid="{00000000-0005-0000-0000-000006DB0000}"/>
    <cellStyle name="Percent 2 2 2 5 5" xfId="56182" xr:uid="{00000000-0005-0000-0000-000007DB0000}"/>
    <cellStyle name="Percent 2 2 2 5 5 2" xfId="56183" xr:uid="{00000000-0005-0000-0000-000008DB0000}"/>
    <cellStyle name="Percent 2 2 2 5 5 2 2" xfId="56184" xr:uid="{00000000-0005-0000-0000-000009DB0000}"/>
    <cellStyle name="Percent 2 2 2 5 5 2 3" xfId="56185" xr:uid="{00000000-0005-0000-0000-00000ADB0000}"/>
    <cellStyle name="Percent 2 2 2 5 5 3" xfId="56186" xr:uid="{00000000-0005-0000-0000-00000BDB0000}"/>
    <cellStyle name="Percent 2 2 2 5 5 4" xfId="56187" xr:uid="{00000000-0005-0000-0000-00000CDB0000}"/>
    <cellStyle name="Percent 2 2 2 5 5 5" xfId="56188" xr:uid="{00000000-0005-0000-0000-00000DDB0000}"/>
    <cellStyle name="Percent 2 2 2 5 5 6" xfId="56189" xr:uid="{00000000-0005-0000-0000-00000EDB0000}"/>
    <cellStyle name="Percent 2 2 2 5 6" xfId="56190" xr:uid="{00000000-0005-0000-0000-00000FDB0000}"/>
    <cellStyle name="Percent 2 2 2 5 6 2" xfId="56191" xr:uid="{00000000-0005-0000-0000-000010DB0000}"/>
    <cellStyle name="Percent 2 2 2 5 6 3" xfId="56192" xr:uid="{00000000-0005-0000-0000-000011DB0000}"/>
    <cellStyle name="Percent 2 2 2 5 7" xfId="56193" xr:uid="{00000000-0005-0000-0000-000012DB0000}"/>
    <cellStyle name="Percent 2 2 2 5 8" xfId="56194" xr:uid="{00000000-0005-0000-0000-000013DB0000}"/>
    <cellStyle name="Percent 2 2 2 5 9" xfId="56195" xr:uid="{00000000-0005-0000-0000-000014DB0000}"/>
    <cellStyle name="Percent 2 2 2 6" xfId="56196" xr:uid="{00000000-0005-0000-0000-000015DB0000}"/>
    <cellStyle name="Percent 2 2 2 6 2" xfId="56197" xr:uid="{00000000-0005-0000-0000-000016DB0000}"/>
    <cellStyle name="Percent 2 2 2 6 2 2" xfId="56198" xr:uid="{00000000-0005-0000-0000-000017DB0000}"/>
    <cellStyle name="Percent 2 2 2 6 2 2 2" xfId="56199" xr:uid="{00000000-0005-0000-0000-000018DB0000}"/>
    <cellStyle name="Percent 2 2 2 6 2 2 2 2" xfId="56200" xr:uid="{00000000-0005-0000-0000-000019DB0000}"/>
    <cellStyle name="Percent 2 2 2 6 2 2 2 3" xfId="56201" xr:uid="{00000000-0005-0000-0000-00001ADB0000}"/>
    <cellStyle name="Percent 2 2 2 6 2 2 3" xfId="56202" xr:uid="{00000000-0005-0000-0000-00001BDB0000}"/>
    <cellStyle name="Percent 2 2 2 6 2 2 4" xfId="56203" xr:uid="{00000000-0005-0000-0000-00001CDB0000}"/>
    <cellStyle name="Percent 2 2 2 6 2 2 5" xfId="56204" xr:uid="{00000000-0005-0000-0000-00001DDB0000}"/>
    <cellStyle name="Percent 2 2 2 6 2 2 6" xfId="56205" xr:uid="{00000000-0005-0000-0000-00001EDB0000}"/>
    <cellStyle name="Percent 2 2 2 6 2 3" xfId="56206" xr:uid="{00000000-0005-0000-0000-00001FDB0000}"/>
    <cellStyle name="Percent 2 2 2 6 2 3 2" xfId="56207" xr:uid="{00000000-0005-0000-0000-000020DB0000}"/>
    <cellStyle name="Percent 2 2 2 6 2 3 3" xfId="56208" xr:uid="{00000000-0005-0000-0000-000021DB0000}"/>
    <cellStyle name="Percent 2 2 2 6 2 4" xfId="56209" xr:uid="{00000000-0005-0000-0000-000022DB0000}"/>
    <cellStyle name="Percent 2 2 2 6 2 5" xfId="56210" xr:uid="{00000000-0005-0000-0000-000023DB0000}"/>
    <cellStyle name="Percent 2 2 2 6 2 6" xfId="56211" xr:uid="{00000000-0005-0000-0000-000024DB0000}"/>
    <cellStyle name="Percent 2 2 2 6 2 7" xfId="56212" xr:uid="{00000000-0005-0000-0000-000025DB0000}"/>
    <cellStyle name="Percent 2 2 2 6 3" xfId="56213" xr:uid="{00000000-0005-0000-0000-000026DB0000}"/>
    <cellStyle name="Percent 2 2 2 6 3 2" xfId="56214" xr:uid="{00000000-0005-0000-0000-000027DB0000}"/>
    <cellStyle name="Percent 2 2 2 6 3 2 2" xfId="56215" xr:uid="{00000000-0005-0000-0000-000028DB0000}"/>
    <cellStyle name="Percent 2 2 2 6 3 2 3" xfId="56216" xr:uid="{00000000-0005-0000-0000-000029DB0000}"/>
    <cellStyle name="Percent 2 2 2 6 3 3" xfId="56217" xr:uid="{00000000-0005-0000-0000-00002ADB0000}"/>
    <cellStyle name="Percent 2 2 2 6 3 4" xfId="56218" xr:uid="{00000000-0005-0000-0000-00002BDB0000}"/>
    <cellStyle name="Percent 2 2 2 6 3 5" xfId="56219" xr:uid="{00000000-0005-0000-0000-00002CDB0000}"/>
    <cellStyle name="Percent 2 2 2 6 3 6" xfId="56220" xr:uid="{00000000-0005-0000-0000-00002DDB0000}"/>
    <cellStyle name="Percent 2 2 2 6 4" xfId="56221" xr:uid="{00000000-0005-0000-0000-00002EDB0000}"/>
    <cellStyle name="Percent 2 2 2 6 4 2" xfId="56222" xr:uid="{00000000-0005-0000-0000-00002FDB0000}"/>
    <cellStyle name="Percent 2 2 2 6 4 2 2" xfId="56223" xr:uid="{00000000-0005-0000-0000-000030DB0000}"/>
    <cellStyle name="Percent 2 2 2 6 4 2 3" xfId="56224" xr:uid="{00000000-0005-0000-0000-000031DB0000}"/>
    <cellStyle name="Percent 2 2 2 6 4 3" xfId="56225" xr:uid="{00000000-0005-0000-0000-000032DB0000}"/>
    <cellStyle name="Percent 2 2 2 6 4 4" xfId="56226" xr:uid="{00000000-0005-0000-0000-000033DB0000}"/>
    <cellStyle name="Percent 2 2 2 6 4 5" xfId="56227" xr:uid="{00000000-0005-0000-0000-000034DB0000}"/>
    <cellStyle name="Percent 2 2 2 6 4 6" xfId="56228" xr:uid="{00000000-0005-0000-0000-000035DB0000}"/>
    <cellStyle name="Percent 2 2 2 6 5" xfId="56229" xr:uid="{00000000-0005-0000-0000-000036DB0000}"/>
    <cellStyle name="Percent 2 2 2 6 5 2" xfId="56230" xr:uid="{00000000-0005-0000-0000-000037DB0000}"/>
    <cellStyle name="Percent 2 2 2 6 5 3" xfId="56231" xr:uid="{00000000-0005-0000-0000-000038DB0000}"/>
    <cellStyle name="Percent 2 2 2 6 6" xfId="56232" xr:uid="{00000000-0005-0000-0000-000039DB0000}"/>
    <cellStyle name="Percent 2 2 2 6 7" xfId="56233" xr:uid="{00000000-0005-0000-0000-00003ADB0000}"/>
    <cellStyle name="Percent 2 2 2 6 8" xfId="56234" xr:uid="{00000000-0005-0000-0000-00003BDB0000}"/>
    <cellStyle name="Percent 2 2 2 6 9" xfId="56235" xr:uid="{00000000-0005-0000-0000-00003CDB0000}"/>
    <cellStyle name="Percent 2 2 2 7" xfId="56236" xr:uid="{00000000-0005-0000-0000-00003DDB0000}"/>
    <cellStyle name="Percent 2 2 2 7 2" xfId="56237" xr:uid="{00000000-0005-0000-0000-00003EDB0000}"/>
    <cellStyle name="Percent 2 2 2 7 2 2" xfId="56238" xr:uid="{00000000-0005-0000-0000-00003FDB0000}"/>
    <cellStyle name="Percent 2 2 2 7 2 2 2" xfId="56239" xr:uid="{00000000-0005-0000-0000-000040DB0000}"/>
    <cellStyle name="Percent 2 2 2 7 2 2 3" xfId="56240" xr:uid="{00000000-0005-0000-0000-000041DB0000}"/>
    <cellStyle name="Percent 2 2 2 7 2 3" xfId="56241" xr:uid="{00000000-0005-0000-0000-000042DB0000}"/>
    <cellStyle name="Percent 2 2 2 7 2 4" xfId="56242" xr:uid="{00000000-0005-0000-0000-000043DB0000}"/>
    <cellStyle name="Percent 2 2 2 7 2 5" xfId="56243" xr:uid="{00000000-0005-0000-0000-000044DB0000}"/>
    <cellStyle name="Percent 2 2 2 7 2 6" xfId="56244" xr:uid="{00000000-0005-0000-0000-000045DB0000}"/>
    <cellStyle name="Percent 2 2 2 7 3" xfId="56245" xr:uid="{00000000-0005-0000-0000-000046DB0000}"/>
    <cellStyle name="Percent 2 2 2 7 3 2" xfId="56246" xr:uid="{00000000-0005-0000-0000-000047DB0000}"/>
    <cellStyle name="Percent 2 2 2 7 3 3" xfId="56247" xr:uid="{00000000-0005-0000-0000-000048DB0000}"/>
    <cellStyle name="Percent 2 2 2 7 4" xfId="56248" xr:uid="{00000000-0005-0000-0000-000049DB0000}"/>
    <cellStyle name="Percent 2 2 2 7 5" xfId="56249" xr:uid="{00000000-0005-0000-0000-00004ADB0000}"/>
    <cellStyle name="Percent 2 2 2 7 6" xfId="56250" xr:uid="{00000000-0005-0000-0000-00004BDB0000}"/>
    <cellStyle name="Percent 2 2 2 7 7" xfId="56251" xr:uid="{00000000-0005-0000-0000-00004CDB0000}"/>
    <cellStyle name="Percent 2 2 2 8" xfId="56252" xr:uid="{00000000-0005-0000-0000-00004DDB0000}"/>
    <cellStyle name="Percent 2 2 2 8 2" xfId="56253" xr:uid="{00000000-0005-0000-0000-00004EDB0000}"/>
    <cellStyle name="Percent 2 2 2 8 2 2" xfId="56254" xr:uid="{00000000-0005-0000-0000-00004FDB0000}"/>
    <cellStyle name="Percent 2 2 2 8 2 3" xfId="56255" xr:uid="{00000000-0005-0000-0000-000050DB0000}"/>
    <cellStyle name="Percent 2 2 2 8 3" xfId="56256" xr:uid="{00000000-0005-0000-0000-000051DB0000}"/>
    <cellStyle name="Percent 2 2 2 8 4" xfId="56257" xr:uid="{00000000-0005-0000-0000-000052DB0000}"/>
    <cellStyle name="Percent 2 2 2 8 5" xfId="56258" xr:uid="{00000000-0005-0000-0000-000053DB0000}"/>
    <cellStyle name="Percent 2 2 2 8 6" xfId="56259" xr:uid="{00000000-0005-0000-0000-000054DB0000}"/>
    <cellStyle name="Percent 2 2 2 9" xfId="56260" xr:uid="{00000000-0005-0000-0000-000055DB0000}"/>
    <cellStyle name="Percent 2 2 2 9 2" xfId="56261" xr:uid="{00000000-0005-0000-0000-000056DB0000}"/>
    <cellStyle name="Percent 2 2 2 9 2 2" xfId="56262" xr:uid="{00000000-0005-0000-0000-000057DB0000}"/>
    <cellStyle name="Percent 2 2 2 9 2 3" xfId="56263" xr:uid="{00000000-0005-0000-0000-000058DB0000}"/>
    <cellStyle name="Percent 2 2 2 9 3" xfId="56264" xr:uid="{00000000-0005-0000-0000-000059DB0000}"/>
    <cellStyle name="Percent 2 2 2 9 4" xfId="56265" xr:uid="{00000000-0005-0000-0000-00005ADB0000}"/>
    <cellStyle name="Percent 2 2 2 9 5" xfId="56266" xr:uid="{00000000-0005-0000-0000-00005BDB0000}"/>
    <cellStyle name="Percent 2 2 2 9 6" xfId="56267" xr:uid="{00000000-0005-0000-0000-00005CDB0000}"/>
    <cellStyle name="Percent 2 2 20" xfId="56268" xr:uid="{00000000-0005-0000-0000-00005DDB0000}"/>
    <cellStyle name="Percent 2 2 3" xfId="553" xr:uid="{00000000-0005-0000-0000-00005EDB0000}"/>
    <cellStyle name="Percent 2 2 3 10" xfId="56269" xr:uid="{00000000-0005-0000-0000-00005FDB0000}"/>
    <cellStyle name="Percent 2 2 3 10 2" xfId="56270" xr:uid="{00000000-0005-0000-0000-000060DB0000}"/>
    <cellStyle name="Percent 2 2 3 10 2 2" xfId="56271" xr:uid="{00000000-0005-0000-0000-000061DB0000}"/>
    <cellStyle name="Percent 2 2 3 10 2 3" xfId="56272" xr:uid="{00000000-0005-0000-0000-000062DB0000}"/>
    <cellStyle name="Percent 2 2 3 10 3" xfId="56273" xr:uid="{00000000-0005-0000-0000-000063DB0000}"/>
    <cellStyle name="Percent 2 2 3 10 4" xfId="56274" xr:uid="{00000000-0005-0000-0000-000064DB0000}"/>
    <cellStyle name="Percent 2 2 3 10 5" xfId="56275" xr:uid="{00000000-0005-0000-0000-000065DB0000}"/>
    <cellStyle name="Percent 2 2 3 10 6" xfId="56276" xr:uid="{00000000-0005-0000-0000-000066DB0000}"/>
    <cellStyle name="Percent 2 2 3 11" xfId="56277" xr:uid="{00000000-0005-0000-0000-000067DB0000}"/>
    <cellStyle name="Percent 2 2 3 11 2" xfId="56278" xr:uid="{00000000-0005-0000-0000-000068DB0000}"/>
    <cellStyle name="Percent 2 2 3 11 2 2" xfId="56279" xr:uid="{00000000-0005-0000-0000-000069DB0000}"/>
    <cellStyle name="Percent 2 2 3 11 2 3" xfId="56280" xr:uid="{00000000-0005-0000-0000-00006ADB0000}"/>
    <cellStyle name="Percent 2 2 3 11 3" xfId="56281" xr:uid="{00000000-0005-0000-0000-00006BDB0000}"/>
    <cellStyle name="Percent 2 2 3 11 4" xfId="56282" xr:uid="{00000000-0005-0000-0000-00006CDB0000}"/>
    <cellStyle name="Percent 2 2 3 11 5" xfId="56283" xr:uid="{00000000-0005-0000-0000-00006DDB0000}"/>
    <cellStyle name="Percent 2 2 3 11 6" xfId="56284" xr:uid="{00000000-0005-0000-0000-00006EDB0000}"/>
    <cellStyle name="Percent 2 2 3 12" xfId="56285" xr:uid="{00000000-0005-0000-0000-00006FDB0000}"/>
    <cellStyle name="Percent 2 2 3 12 2" xfId="56286" xr:uid="{00000000-0005-0000-0000-000070DB0000}"/>
    <cellStyle name="Percent 2 2 3 12 3" xfId="56287" xr:uid="{00000000-0005-0000-0000-000071DB0000}"/>
    <cellStyle name="Percent 2 2 3 13" xfId="56288" xr:uid="{00000000-0005-0000-0000-000072DB0000}"/>
    <cellStyle name="Percent 2 2 3 14" xfId="56289" xr:uid="{00000000-0005-0000-0000-000073DB0000}"/>
    <cellStyle name="Percent 2 2 3 15" xfId="56290" xr:uid="{00000000-0005-0000-0000-000074DB0000}"/>
    <cellStyle name="Percent 2 2 3 16" xfId="56291" xr:uid="{00000000-0005-0000-0000-000075DB0000}"/>
    <cellStyle name="Percent 2 2 3 2" xfId="56292" xr:uid="{00000000-0005-0000-0000-000076DB0000}"/>
    <cellStyle name="Percent 2 2 3 2 10" xfId="56293" xr:uid="{00000000-0005-0000-0000-000077DB0000}"/>
    <cellStyle name="Percent 2 2 3 2 10 2" xfId="56294" xr:uid="{00000000-0005-0000-0000-000078DB0000}"/>
    <cellStyle name="Percent 2 2 3 2 10 3" xfId="56295" xr:uid="{00000000-0005-0000-0000-000079DB0000}"/>
    <cellStyle name="Percent 2 2 3 2 11" xfId="56296" xr:uid="{00000000-0005-0000-0000-00007ADB0000}"/>
    <cellStyle name="Percent 2 2 3 2 12" xfId="56297" xr:uid="{00000000-0005-0000-0000-00007BDB0000}"/>
    <cellStyle name="Percent 2 2 3 2 13" xfId="56298" xr:uid="{00000000-0005-0000-0000-00007CDB0000}"/>
    <cellStyle name="Percent 2 2 3 2 14" xfId="56299" xr:uid="{00000000-0005-0000-0000-00007DDB0000}"/>
    <cellStyle name="Percent 2 2 3 2 2" xfId="56300" xr:uid="{00000000-0005-0000-0000-00007EDB0000}"/>
    <cellStyle name="Percent 2 2 3 2 2 10" xfId="56301" xr:uid="{00000000-0005-0000-0000-00007FDB0000}"/>
    <cellStyle name="Percent 2 2 3 2 2 11" xfId="56302" xr:uid="{00000000-0005-0000-0000-000080DB0000}"/>
    <cellStyle name="Percent 2 2 3 2 2 12" xfId="56303" xr:uid="{00000000-0005-0000-0000-000081DB0000}"/>
    <cellStyle name="Percent 2 2 3 2 2 13" xfId="56304" xr:uid="{00000000-0005-0000-0000-000082DB0000}"/>
    <cellStyle name="Percent 2 2 3 2 2 2" xfId="56305" xr:uid="{00000000-0005-0000-0000-000083DB0000}"/>
    <cellStyle name="Percent 2 2 3 2 2 2 10" xfId="56306" xr:uid="{00000000-0005-0000-0000-000084DB0000}"/>
    <cellStyle name="Percent 2 2 3 2 2 2 2" xfId="56307" xr:uid="{00000000-0005-0000-0000-000085DB0000}"/>
    <cellStyle name="Percent 2 2 3 2 2 2 2 2" xfId="56308" xr:uid="{00000000-0005-0000-0000-000086DB0000}"/>
    <cellStyle name="Percent 2 2 3 2 2 2 2 2 2" xfId="56309" xr:uid="{00000000-0005-0000-0000-000087DB0000}"/>
    <cellStyle name="Percent 2 2 3 2 2 2 2 2 2 2" xfId="56310" xr:uid="{00000000-0005-0000-0000-000088DB0000}"/>
    <cellStyle name="Percent 2 2 3 2 2 2 2 2 2 3" xfId="56311" xr:uid="{00000000-0005-0000-0000-000089DB0000}"/>
    <cellStyle name="Percent 2 2 3 2 2 2 2 2 3" xfId="56312" xr:uid="{00000000-0005-0000-0000-00008ADB0000}"/>
    <cellStyle name="Percent 2 2 3 2 2 2 2 2 4" xfId="56313" xr:uid="{00000000-0005-0000-0000-00008BDB0000}"/>
    <cellStyle name="Percent 2 2 3 2 2 2 2 2 5" xfId="56314" xr:uid="{00000000-0005-0000-0000-00008CDB0000}"/>
    <cellStyle name="Percent 2 2 3 2 2 2 2 2 6" xfId="56315" xr:uid="{00000000-0005-0000-0000-00008DDB0000}"/>
    <cellStyle name="Percent 2 2 3 2 2 2 2 3" xfId="56316" xr:uid="{00000000-0005-0000-0000-00008EDB0000}"/>
    <cellStyle name="Percent 2 2 3 2 2 2 2 3 2" xfId="56317" xr:uid="{00000000-0005-0000-0000-00008FDB0000}"/>
    <cellStyle name="Percent 2 2 3 2 2 2 2 3 2 2" xfId="56318" xr:uid="{00000000-0005-0000-0000-000090DB0000}"/>
    <cellStyle name="Percent 2 2 3 2 2 2 2 3 2 3" xfId="56319" xr:uid="{00000000-0005-0000-0000-000091DB0000}"/>
    <cellStyle name="Percent 2 2 3 2 2 2 2 3 3" xfId="56320" xr:uid="{00000000-0005-0000-0000-000092DB0000}"/>
    <cellStyle name="Percent 2 2 3 2 2 2 2 3 4" xfId="56321" xr:uid="{00000000-0005-0000-0000-000093DB0000}"/>
    <cellStyle name="Percent 2 2 3 2 2 2 2 3 5" xfId="56322" xr:uid="{00000000-0005-0000-0000-000094DB0000}"/>
    <cellStyle name="Percent 2 2 3 2 2 2 2 3 6" xfId="56323" xr:uid="{00000000-0005-0000-0000-000095DB0000}"/>
    <cellStyle name="Percent 2 2 3 2 2 2 2 4" xfId="56324" xr:uid="{00000000-0005-0000-0000-000096DB0000}"/>
    <cellStyle name="Percent 2 2 3 2 2 2 2 4 2" xfId="56325" xr:uid="{00000000-0005-0000-0000-000097DB0000}"/>
    <cellStyle name="Percent 2 2 3 2 2 2 2 4 3" xfId="56326" xr:uid="{00000000-0005-0000-0000-000098DB0000}"/>
    <cellStyle name="Percent 2 2 3 2 2 2 2 5" xfId="56327" xr:uid="{00000000-0005-0000-0000-000099DB0000}"/>
    <cellStyle name="Percent 2 2 3 2 2 2 2 6" xfId="56328" xr:uid="{00000000-0005-0000-0000-00009ADB0000}"/>
    <cellStyle name="Percent 2 2 3 2 2 2 2 7" xfId="56329" xr:uid="{00000000-0005-0000-0000-00009BDB0000}"/>
    <cellStyle name="Percent 2 2 3 2 2 2 2 8" xfId="56330" xr:uid="{00000000-0005-0000-0000-00009CDB0000}"/>
    <cellStyle name="Percent 2 2 3 2 2 2 3" xfId="56331" xr:uid="{00000000-0005-0000-0000-00009DDB0000}"/>
    <cellStyle name="Percent 2 2 3 2 2 2 3 2" xfId="56332" xr:uid="{00000000-0005-0000-0000-00009EDB0000}"/>
    <cellStyle name="Percent 2 2 3 2 2 2 3 2 2" xfId="56333" xr:uid="{00000000-0005-0000-0000-00009FDB0000}"/>
    <cellStyle name="Percent 2 2 3 2 2 2 3 2 2 2" xfId="56334" xr:uid="{00000000-0005-0000-0000-0000A0DB0000}"/>
    <cellStyle name="Percent 2 2 3 2 2 2 3 2 2 3" xfId="56335" xr:uid="{00000000-0005-0000-0000-0000A1DB0000}"/>
    <cellStyle name="Percent 2 2 3 2 2 2 3 2 3" xfId="56336" xr:uid="{00000000-0005-0000-0000-0000A2DB0000}"/>
    <cellStyle name="Percent 2 2 3 2 2 2 3 2 4" xfId="56337" xr:uid="{00000000-0005-0000-0000-0000A3DB0000}"/>
    <cellStyle name="Percent 2 2 3 2 2 2 3 2 5" xfId="56338" xr:uid="{00000000-0005-0000-0000-0000A4DB0000}"/>
    <cellStyle name="Percent 2 2 3 2 2 2 3 2 6" xfId="56339" xr:uid="{00000000-0005-0000-0000-0000A5DB0000}"/>
    <cellStyle name="Percent 2 2 3 2 2 2 3 3" xfId="56340" xr:uid="{00000000-0005-0000-0000-0000A6DB0000}"/>
    <cellStyle name="Percent 2 2 3 2 2 2 3 3 2" xfId="56341" xr:uid="{00000000-0005-0000-0000-0000A7DB0000}"/>
    <cellStyle name="Percent 2 2 3 2 2 2 3 3 3" xfId="56342" xr:uid="{00000000-0005-0000-0000-0000A8DB0000}"/>
    <cellStyle name="Percent 2 2 3 2 2 2 3 4" xfId="56343" xr:uid="{00000000-0005-0000-0000-0000A9DB0000}"/>
    <cellStyle name="Percent 2 2 3 2 2 2 3 5" xfId="56344" xr:uid="{00000000-0005-0000-0000-0000AADB0000}"/>
    <cellStyle name="Percent 2 2 3 2 2 2 3 6" xfId="56345" xr:uid="{00000000-0005-0000-0000-0000ABDB0000}"/>
    <cellStyle name="Percent 2 2 3 2 2 2 3 7" xfId="56346" xr:uid="{00000000-0005-0000-0000-0000ACDB0000}"/>
    <cellStyle name="Percent 2 2 3 2 2 2 4" xfId="56347" xr:uid="{00000000-0005-0000-0000-0000ADDB0000}"/>
    <cellStyle name="Percent 2 2 3 2 2 2 4 2" xfId="56348" xr:uid="{00000000-0005-0000-0000-0000AEDB0000}"/>
    <cellStyle name="Percent 2 2 3 2 2 2 4 2 2" xfId="56349" xr:uid="{00000000-0005-0000-0000-0000AFDB0000}"/>
    <cellStyle name="Percent 2 2 3 2 2 2 4 2 3" xfId="56350" xr:uid="{00000000-0005-0000-0000-0000B0DB0000}"/>
    <cellStyle name="Percent 2 2 3 2 2 2 4 3" xfId="56351" xr:uid="{00000000-0005-0000-0000-0000B1DB0000}"/>
    <cellStyle name="Percent 2 2 3 2 2 2 4 4" xfId="56352" xr:uid="{00000000-0005-0000-0000-0000B2DB0000}"/>
    <cellStyle name="Percent 2 2 3 2 2 2 4 5" xfId="56353" xr:uid="{00000000-0005-0000-0000-0000B3DB0000}"/>
    <cellStyle name="Percent 2 2 3 2 2 2 4 6" xfId="56354" xr:uid="{00000000-0005-0000-0000-0000B4DB0000}"/>
    <cellStyle name="Percent 2 2 3 2 2 2 5" xfId="56355" xr:uid="{00000000-0005-0000-0000-0000B5DB0000}"/>
    <cellStyle name="Percent 2 2 3 2 2 2 5 2" xfId="56356" xr:uid="{00000000-0005-0000-0000-0000B6DB0000}"/>
    <cellStyle name="Percent 2 2 3 2 2 2 5 2 2" xfId="56357" xr:uid="{00000000-0005-0000-0000-0000B7DB0000}"/>
    <cellStyle name="Percent 2 2 3 2 2 2 5 2 3" xfId="56358" xr:uid="{00000000-0005-0000-0000-0000B8DB0000}"/>
    <cellStyle name="Percent 2 2 3 2 2 2 5 3" xfId="56359" xr:uid="{00000000-0005-0000-0000-0000B9DB0000}"/>
    <cellStyle name="Percent 2 2 3 2 2 2 5 4" xfId="56360" xr:uid="{00000000-0005-0000-0000-0000BADB0000}"/>
    <cellStyle name="Percent 2 2 3 2 2 2 5 5" xfId="56361" xr:uid="{00000000-0005-0000-0000-0000BBDB0000}"/>
    <cellStyle name="Percent 2 2 3 2 2 2 5 6" xfId="56362" xr:uid="{00000000-0005-0000-0000-0000BCDB0000}"/>
    <cellStyle name="Percent 2 2 3 2 2 2 6" xfId="56363" xr:uid="{00000000-0005-0000-0000-0000BDDB0000}"/>
    <cellStyle name="Percent 2 2 3 2 2 2 6 2" xfId="56364" xr:uid="{00000000-0005-0000-0000-0000BEDB0000}"/>
    <cellStyle name="Percent 2 2 3 2 2 2 6 3" xfId="56365" xr:uid="{00000000-0005-0000-0000-0000BFDB0000}"/>
    <cellStyle name="Percent 2 2 3 2 2 2 7" xfId="56366" xr:uid="{00000000-0005-0000-0000-0000C0DB0000}"/>
    <cellStyle name="Percent 2 2 3 2 2 2 8" xfId="56367" xr:uid="{00000000-0005-0000-0000-0000C1DB0000}"/>
    <cellStyle name="Percent 2 2 3 2 2 2 9" xfId="56368" xr:uid="{00000000-0005-0000-0000-0000C2DB0000}"/>
    <cellStyle name="Percent 2 2 3 2 2 3" xfId="56369" xr:uid="{00000000-0005-0000-0000-0000C3DB0000}"/>
    <cellStyle name="Percent 2 2 3 2 2 3 2" xfId="56370" xr:uid="{00000000-0005-0000-0000-0000C4DB0000}"/>
    <cellStyle name="Percent 2 2 3 2 2 3 2 2" xfId="56371" xr:uid="{00000000-0005-0000-0000-0000C5DB0000}"/>
    <cellStyle name="Percent 2 2 3 2 2 3 2 2 2" xfId="56372" xr:uid="{00000000-0005-0000-0000-0000C6DB0000}"/>
    <cellStyle name="Percent 2 2 3 2 2 3 2 2 2 2" xfId="56373" xr:uid="{00000000-0005-0000-0000-0000C7DB0000}"/>
    <cellStyle name="Percent 2 2 3 2 2 3 2 2 2 3" xfId="56374" xr:uid="{00000000-0005-0000-0000-0000C8DB0000}"/>
    <cellStyle name="Percent 2 2 3 2 2 3 2 2 3" xfId="56375" xr:uid="{00000000-0005-0000-0000-0000C9DB0000}"/>
    <cellStyle name="Percent 2 2 3 2 2 3 2 2 4" xfId="56376" xr:uid="{00000000-0005-0000-0000-0000CADB0000}"/>
    <cellStyle name="Percent 2 2 3 2 2 3 2 2 5" xfId="56377" xr:uid="{00000000-0005-0000-0000-0000CBDB0000}"/>
    <cellStyle name="Percent 2 2 3 2 2 3 2 2 6" xfId="56378" xr:uid="{00000000-0005-0000-0000-0000CCDB0000}"/>
    <cellStyle name="Percent 2 2 3 2 2 3 2 3" xfId="56379" xr:uid="{00000000-0005-0000-0000-0000CDDB0000}"/>
    <cellStyle name="Percent 2 2 3 2 2 3 2 3 2" xfId="56380" xr:uid="{00000000-0005-0000-0000-0000CEDB0000}"/>
    <cellStyle name="Percent 2 2 3 2 2 3 2 3 3" xfId="56381" xr:uid="{00000000-0005-0000-0000-0000CFDB0000}"/>
    <cellStyle name="Percent 2 2 3 2 2 3 2 4" xfId="56382" xr:uid="{00000000-0005-0000-0000-0000D0DB0000}"/>
    <cellStyle name="Percent 2 2 3 2 2 3 2 5" xfId="56383" xr:uid="{00000000-0005-0000-0000-0000D1DB0000}"/>
    <cellStyle name="Percent 2 2 3 2 2 3 2 6" xfId="56384" xr:uid="{00000000-0005-0000-0000-0000D2DB0000}"/>
    <cellStyle name="Percent 2 2 3 2 2 3 2 7" xfId="56385" xr:uid="{00000000-0005-0000-0000-0000D3DB0000}"/>
    <cellStyle name="Percent 2 2 3 2 2 3 3" xfId="56386" xr:uid="{00000000-0005-0000-0000-0000D4DB0000}"/>
    <cellStyle name="Percent 2 2 3 2 2 3 3 2" xfId="56387" xr:uid="{00000000-0005-0000-0000-0000D5DB0000}"/>
    <cellStyle name="Percent 2 2 3 2 2 3 3 2 2" xfId="56388" xr:uid="{00000000-0005-0000-0000-0000D6DB0000}"/>
    <cellStyle name="Percent 2 2 3 2 2 3 3 2 3" xfId="56389" xr:uid="{00000000-0005-0000-0000-0000D7DB0000}"/>
    <cellStyle name="Percent 2 2 3 2 2 3 3 3" xfId="56390" xr:uid="{00000000-0005-0000-0000-0000D8DB0000}"/>
    <cellStyle name="Percent 2 2 3 2 2 3 3 4" xfId="56391" xr:uid="{00000000-0005-0000-0000-0000D9DB0000}"/>
    <cellStyle name="Percent 2 2 3 2 2 3 3 5" xfId="56392" xr:uid="{00000000-0005-0000-0000-0000DADB0000}"/>
    <cellStyle name="Percent 2 2 3 2 2 3 3 6" xfId="56393" xr:uid="{00000000-0005-0000-0000-0000DBDB0000}"/>
    <cellStyle name="Percent 2 2 3 2 2 3 4" xfId="56394" xr:uid="{00000000-0005-0000-0000-0000DCDB0000}"/>
    <cellStyle name="Percent 2 2 3 2 2 3 4 2" xfId="56395" xr:uid="{00000000-0005-0000-0000-0000DDDB0000}"/>
    <cellStyle name="Percent 2 2 3 2 2 3 4 2 2" xfId="56396" xr:uid="{00000000-0005-0000-0000-0000DEDB0000}"/>
    <cellStyle name="Percent 2 2 3 2 2 3 4 2 3" xfId="56397" xr:uid="{00000000-0005-0000-0000-0000DFDB0000}"/>
    <cellStyle name="Percent 2 2 3 2 2 3 4 3" xfId="56398" xr:uid="{00000000-0005-0000-0000-0000E0DB0000}"/>
    <cellStyle name="Percent 2 2 3 2 2 3 4 4" xfId="56399" xr:uid="{00000000-0005-0000-0000-0000E1DB0000}"/>
    <cellStyle name="Percent 2 2 3 2 2 3 4 5" xfId="56400" xr:uid="{00000000-0005-0000-0000-0000E2DB0000}"/>
    <cellStyle name="Percent 2 2 3 2 2 3 4 6" xfId="56401" xr:uid="{00000000-0005-0000-0000-0000E3DB0000}"/>
    <cellStyle name="Percent 2 2 3 2 2 3 5" xfId="56402" xr:uid="{00000000-0005-0000-0000-0000E4DB0000}"/>
    <cellStyle name="Percent 2 2 3 2 2 3 5 2" xfId="56403" xr:uid="{00000000-0005-0000-0000-0000E5DB0000}"/>
    <cellStyle name="Percent 2 2 3 2 2 3 5 3" xfId="56404" xr:uid="{00000000-0005-0000-0000-0000E6DB0000}"/>
    <cellStyle name="Percent 2 2 3 2 2 3 6" xfId="56405" xr:uid="{00000000-0005-0000-0000-0000E7DB0000}"/>
    <cellStyle name="Percent 2 2 3 2 2 3 7" xfId="56406" xr:uid="{00000000-0005-0000-0000-0000E8DB0000}"/>
    <cellStyle name="Percent 2 2 3 2 2 3 8" xfId="56407" xr:uid="{00000000-0005-0000-0000-0000E9DB0000}"/>
    <cellStyle name="Percent 2 2 3 2 2 3 9" xfId="56408" xr:uid="{00000000-0005-0000-0000-0000EADB0000}"/>
    <cellStyle name="Percent 2 2 3 2 2 4" xfId="56409" xr:uid="{00000000-0005-0000-0000-0000EBDB0000}"/>
    <cellStyle name="Percent 2 2 3 2 2 4 2" xfId="56410" xr:uid="{00000000-0005-0000-0000-0000ECDB0000}"/>
    <cellStyle name="Percent 2 2 3 2 2 4 2 2" xfId="56411" xr:uid="{00000000-0005-0000-0000-0000EDDB0000}"/>
    <cellStyle name="Percent 2 2 3 2 2 4 2 2 2" xfId="56412" xr:uid="{00000000-0005-0000-0000-0000EEDB0000}"/>
    <cellStyle name="Percent 2 2 3 2 2 4 2 2 3" xfId="56413" xr:uid="{00000000-0005-0000-0000-0000EFDB0000}"/>
    <cellStyle name="Percent 2 2 3 2 2 4 2 3" xfId="56414" xr:uid="{00000000-0005-0000-0000-0000F0DB0000}"/>
    <cellStyle name="Percent 2 2 3 2 2 4 2 4" xfId="56415" xr:uid="{00000000-0005-0000-0000-0000F1DB0000}"/>
    <cellStyle name="Percent 2 2 3 2 2 4 2 5" xfId="56416" xr:uid="{00000000-0005-0000-0000-0000F2DB0000}"/>
    <cellStyle name="Percent 2 2 3 2 2 4 2 6" xfId="56417" xr:uid="{00000000-0005-0000-0000-0000F3DB0000}"/>
    <cellStyle name="Percent 2 2 3 2 2 4 3" xfId="56418" xr:uid="{00000000-0005-0000-0000-0000F4DB0000}"/>
    <cellStyle name="Percent 2 2 3 2 2 4 3 2" xfId="56419" xr:uid="{00000000-0005-0000-0000-0000F5DB0000}"/>
    <cellStyle name="Percent 2 2 3 2 2 4 3 3" xfId="56420" xr:uid="{00000000-0005-0000-0000-0000F6DB0000}"/>
    <cellStyle name="Percent 2 2 3 2 2 4 4" xfId="56421" xr:uid="{00000000-0005-0000-0000-0000F7DB0000}"/>
    <cellStyle name="Percent 2 2 3 2 2 4 5" xfId="56422" xr:uid="{00000000-0005-0000-0000-0000F8DB0000}"/>
    <cellStyle name="Percent 2 2 3 2 2 4 6" xfId="56423" xr:uid="{00000000-0005-0000-0000-0000F9DB0000}"/>
    <cellStyle name="Percent 2 2 3 2 2 4 7" xfId="56424" xr:uid="{00000000-0005-0000-0000-0000FADB0000}"/>
    <cellStyle name="Percent 2 2 3 2 2 5" xfId="56425" xr:uid="{00000000-0005-0000-0000-0000FBDB0000}"/>
    <cellStyle name="Percent 2 2 3 2 2 5 2" xfId="56426" xr:uid="{00000000-0005-0000-0000-0000FCDB0000}"/>
    <cellStyle name="Percent 2 2 3 2 2 5 2 2" xfId="56427" xr:uid="{00000000-0005-0000-0000-0000FDDB0000}"/>
    <cellStyle name="Percent 2 2 3 2 2 5 2 3" xfId="56428" xr:uid="{00000000-0005-0000-0000-0000FEDB0000}"/>
    <cellStyle name="Percent 2 2 3 2 2 5 3" xfId="56429" xr:uid="{00000000-0005-0000-0000-0000FFDB0000}"/>
    <cellStyle name="Percent 2 2 3 2 2 5 4" xfId="56430" xr:uid="{00000000-0005-0000-0000-000000DC0000}"/>
    <cellStyle name="Percent 2 2 3 2 2 5 5" xfId="56431" xr:uid="{00000000-0005-0000-0000-000001DC0000}"/>
    <cellStyle name="Percent 2 2 3 2 2 5 6" xfId="56432" xr:uid="{00000000-0005-0000-0000-000002DC0000}"/>
    <cellStyle name="Percent 2 2 3 2 2 6" xfId="56433" xr:uid="{00000000-0005-0000-0000-000003DC0000}"/>
    <cellStyle name="Percent 2 2 3 2 2 6 2" xfId="56434" xr:uid="{00000000-0005-0000-0000-000004DC0000}"/>
    <cellStyle name="Percent 2 2 3 2 2 6 2 2" xfId="56435" xr:uid="{00000000-0005-0000-0000-000005DC0000}"/>
    <cellStyle name="Percent 2 2 3 2 2 6 2 3" xfId="56436" xr:uid="{00000000-0005-0000-0000-000006DC0000}"/>
    <cellStyle name="Percent 2 2 3 2 2 6 3" xfId="56437" xr:uid="{00000000-0005-0000-0000-000007DC0000}"/>
    <cellStyle name="Percent 2 2 3 2 2 6 4" xfId="56438" xr:uid="{00000000-0005-0000-0000-000008DC0000}"/>
    <cellStyle name="Percent 2 2 3 2 2 6 5" xfId="56439" xr:uid="{00000000-0005-0000-0000-000009DC0000}"/>
    <cellStyle name="Percent 2 2 3 2 2 6 6" xfId="56440" xr:uid="{00000000-0005-0000-0000-00000ADC0000}"/>
    <cellStyle name="Percent 2 2 3 2 2 7" xfId="56441" xr:uid="{00000000-0005-0000-0000-00000BDC0000}"/>
    <cellStyle name="Percent 2 2 3 2 2 7 2" xfId="56442" xr:uid="{00000000-0005-0000-0000-00000CDC0000}"/>
    <cellStyle name="Percent 2 2 3 2 2 7 2 2" xfId="56443" xr:uid="{00000000-0005-0000-0000-00000DDC0000}"/>
    <cellStyle name="Percent 2 2 3 2 2 7 2 3" xfId="56444" xr:uid="{00000000-0005-0000-0000-00000EDC0000}"/>
    <cellStyle name="Percent 2 2 3 2 2 7 3" xfId="56445" xr:uid="{00000000-0005-0000-0000-00000FDC0000}"/>
    <cellStyle name="Percent 2 2 3 2 2 7 4" xfId="56446" xr:uid="{00000000-0005-0000-0000-000010DC0000}"/>
    <cellStyle name="Percent 2 2 3 2 2 7 5" xfId="56447" xr:uid="{00000000-0005-0000-0000-000011DC0000}"/>
    <cellStyle name="Percent 2 2 3 2 2 7 6" xfId="56448" xr:uid="{00000000-0005-0000-0000-000012DC0000}"/>
    <cellStyle name="Percent 2 2 3 2 2 8" xfId="56449" xr:uid="{00000000-0005-0000-0000-000013DC0000}"/>
    <cellStyle name="Percent 2 2 3 2 2 8 2" xfId="56450" xr:uid="{00000000-0005-0000-0000-000014DC0000}"/>
    <cellStyle name="Percent 2 2 3 2 2 8 2 2" xfId="56451" xr:uid="{00000000-0005-0000-0000-000015DC0000}"/>
    <cellStyle name="Percent 2 2 3 2 2 8 2 3" xfId="56452" xr:uid="{00000000-0005-0000-0000-000016DC0000}"/>
    <cellStyle name="Percent 2 2 3 2 2 8 3" xfId="56453" xr:uid="{00000000-0005-0000-0000-000017DC0000}"/>
    <cellStyle name="Percent 2 2 3 2 2 8 4" xfId="56454" xr:uid="{00000000-0005-0000-0000-000018DC0000}"/>
    <cellStyle name="Percent 2 2 3 2 2 8 5" xfId="56455" xr:uid="{00000000-0005-0000-0000-000019DC0000}"/>
    <cellStyle name="Percent 2 2 3 2 2 8 6" xfId="56456" xr:uid="{00000000-0005-0000-0000-00001ADC0000}"/>
    <cellStyle name="Percent 2 2 3 2 2 9" xfId="56457" xr:uid="{00000000-0005-0000-0000-00001BDC0000}"/>
    <cellStyle name="Percent 2 2 3 2 2 9 2" xfId="56458" xr:uid="{00000000-0005-0000-0000-00001CDC0000}"/>
    <cellStyle name="Percent 2 2 3 2 2 9 3" xfId="56459" xr:uid="{00000000-0005-0000-0000-00001DDC0000}"/>
    <cellStyle name="Percent 2 2 3 2 3" xfId="56460" xr:uid="{00000000-0005-0000-0000-00001EDC0000}"/>
    <cellStyle name="Percent 2 2 3 2 3 10" xfId="56461" xr:uid="{00000000-0005-0000-0000-00001FDC0000}"/>
    <cellStyle name="Percent 2 2 3 2 3 2" xfId="56462" xr:uid="{00000000-0005-0000-0000-000020DC0000}"/>
    <cellStyle name="Percent 2 2 3 2 3 2 2" xfId="56463" xr:uid="{00000000-0005-0000-0000-000021DC0000}"/>
    <cellStyle name="Percent 2 2 3 2 3 2 2 2" xfId="56464" xr:uid="{00000000-0005-0000-0000-000022DC0000}"/>
    <cellStyle name="Percent 2 2 3 2 3 2 2 2 2" xfId="56465" xr:uid="{00000000-0005-0000-0000-000023DC0000}"/>
    <cellStyle name="Percent 2 2 3 2 3 2 2 2 3" xfId="56466" xr:uid="{00000000-0005-0000-0000-000024DC0000}"/>
    <cellStyle name="Percent 2 2 3 2 3 2 2 3" xfId="56467" xr:uid="{00000000-0005-0000-0000-000025DC0000}"/>
    <cellStyle name="Percent 2 2 3 2 3 2 2 4" xfId="56468" xr:uid="{00000000-0005-0000-0000-000026DC0000}"/>
    <cellStyle name="Percent 2 2 3 2 3 2 2 5" xfId="56469" xr:uid="{00000000-0005-0000-0000-000027DC0000}"/>
    <cellStyle name="Percent 2 2 3 2 3 2 2 6" xfId="56470" xr:uid="{00000000-0005-0000-0000-000028DC0000}"/>
    <cellStyle name="Percent 2 2 3 2 3 2 3" xfId="56471" xr:uid="{00000000-0005-0000-0000-000029DC0000}"/>
    <cellStyle name="Percent 2 2 3 2 3 2 3 2" xfId="56472" xr:uid="{00000000-0005-0000-0000-00002ADC0000}"/>
    <cellStyle name="Percent 2 2 3 2 3 2 3 2 2" xfId="56473" xr:uid="{00000000-0005-0000-0000-00002BDC0000}"/>
    <cellStyle name="Percent 2 2 3 2 3 2 3 2 3" xfId="56474" xr:uid="{00000000-0005-0000-0000-00002CDC0000}"/>
    <cellStyle name="Percent 2 2 3 2 3 2 3 3" xfId="56475" xr:uid="{00000000-0005-0000-0000-00002DDC0000}"/>
    <cellStyle name="Percent 2 2 3 2 3 2 3 4" xfId="56476" xr:uid="{00000000-0005-0000-0000-00002EDC0000}"/>
    <cellStyle name="Percent 2 2 3 2 3 2 3 5" xfId="56477" xr:uid="{00000000-0005-0000-0000-00002FDC0000}"/>
    <cellStyle name="Percent 2 2 3 2 3 2 3 6" xfId="56478" xr:uid="{00000000-0005-0000-0000-000030DC0000}"/>
    <cellStyle name="Percent 2 2 3 2 3 2 4" xfId="56479" xr:uid="{00000000-0005-0000-0000-000031DC0000}"/>
    <cellStyle name="Percent 2 2 3 2 3 2 4 2" xfId="56480" xr:uid="{00000000-0005-0000-0000-000032DC0000}"/>
    <cellStyle name="Percent 2 2 3 2 3 2 4 3" xfId="56481" xr:uid="{00000000-0005-0000-0000-000033DC0000}"/>
    <cellStyle name="Percent 2 2 3 2 3 2 5" xfId="56482" xr:uid="{00000000-0005-0000-0000-000034DC0000}"/>
    <cellStyle name="Percent 2 2 3 2 3 2 6" xfId="56483" xr:uid="{00000000-0005-0000-0000-000035DC0000}"/>
    <cellStyle name="Percent 2 2 3 2 3 2 7" xfId="56484" xr:uid="{00000000-0005-0000-0000-000036DC0000}"/>
    <cellStyle name="Percent 2 2 3 2 3 2 8" xfId="56485" xr:uid="{00000000-0005-0000-0000-000037DC0000}"/>
    <cellStyle name="Percent 2 2 3 2 3 3" xfId="56486" xr:uid="{00000000-0005-0000-0000-000038DC0000}"/>
    <cellStyle name="Percent 2 2 3 2 3 3 2" xfId="56487" xr:uid="{00000000-0005-0000-0000-000039DC0000}"/>
    <cellStyle name="Percent 2 2 3 2 3 3 2 2" xfId="56488" xr:uid="{00000000-0005-0000-0000-00003ADC0000}"/>
    <cellStyle name="Percent 2 2 3 2 3 3 2 2 2" xfId="56489" xr:uid="{00000000-0005-0000-0000-00003BDC0000}"/>
    <cellStyle name="Percent 2 2 3 2 3 3 2 2 3" xfId="56490" xr:uid="{00000000-0005-0000-0000-00003CDC0000}"/>
    <cellStyle name="Percent 2 2 3 2 3 3 2 3" xfId="56491" xr:uid="{00000000-0005-0000-0000-00003DDC0000}"/>
    <cellStyle name="Percent 2 2 3 2 3 3 2 4" xfId="56492" xr:uid="{00000000-0005-0000-0000-00003EDC0000}"/>
    <cellStyle name="Percent 2 2 3 2 3 3 2 5" xfId="56493" xr:uid="{00000000-0005-0000-0000-00003FDC0000}"/>
    <cellStyle name="Percent 2 2 3 2 3 3 2 6" xfId="56494" xr:uid="{00000000-0005-0000-0000-000040DC0000}"/>
    <cellStyle name="Percent 2 2 3 2 3 3 3" xfId="56495" xr:uid="{00000000-0005-0000-0000-000041DC0000}"/>
    <cellStyle name="Percent 2 2 3 2 3 3 3 2" xfId="56496" xr:uid="{00000000-0005-0000-0000-000042DC0000}"/>
    <cellStyle name="Percent 2 2 3 2 3 3 3 3" xfId="56497" xr:uid="{00000000-0005-0000-0000-000043DC0000}"/>
    <cellStyle name="Percent 2 2 3 2 3 3 4" xfId="56498" xr:uid="{00000000-0005-0000-0000-000044DC0000}"/>
    <cellStyle name="Percent 2 2 3 2 3 3 5" xfId="56499" xr:uid="{00000000-0005-0000-0000-000045DC0000}"/>
    <cellStyle name="Percent 2 2 3 2 3 3 6" xfId="56500" xr:uid="{00000000-0005-0000-0000-000046DC0000}"/>
    <cellStyle name="Percent 2 2 3 2 3 3 7" xfId="56501" xr:uid="{00000000-0005-0000-0000-000047DC0000}"/>
    <cellStyle name="Percent 2 2 3 2 3 4" xfId="56502" xr:uid="{00000000-0005-0000-0000-000048DC0000}"/>
    <cellStyle name="Percent 2 2 3 2 3 4 2" xfId="56503" xr:uid="{00000000-0005-0000-0000-000049DC0000}"/>
    <cellStyle name="Percent 2 2 3 2 3 4 2 2" xfId="56504" xr:uid="{00000000-0005-0000-0000-00004ADC0000}"/>
    <cellStyle name="Percent 2 2 3 2 3 4 2 3" xfId="56505" xr:uid="{00000000-0005-0000-0000-00004BDC0000}"/>
    <cellStyle name="Percent 2 2 3 2 3 4 3" xfId="56506" xr:uid="{00000000-0005-0000-0000-00004CDC0000}"/>
    <cellStyle name="Percent 2 2 3 2 3 4 4" xfId="56507" xr:uid="{00000000-0005-0000-0000-00004DDC0000}"/>
    <cellStyle name="Percent 2 2 3 2 3 4 5" xfId="56508" xr:uid="{00000000-0005-0000-0000-00004EDC0000}"/>
    <cellStyle name="Percent 2 2 3 2 3 4 6" xfId="56509" xr:uid="{00000000-0005-0000-0000-00004FDC0000}"/>
    <cellStyle name="Percent 2 2 3 2 3 5" xfId="56510" xr:uid="{00000000-0005-0000-0000-000050DC0000}"/>
    <cellStyle name="Percent 2 2 3 2 3 5 2" xfId="56511" xr:uid="{00000000-0005-0000-0000-000051DC0000}"/>
    <cellStyle name="Percent 2 2 3 2 3 5 2 2" xfId="56512" xr:uid="{00000000-0005-0000-0000-000052DC0000}"/>
    <cellStyle name="Percent 2 2 3 2 3 5 2 3" xfId="56513" xr:uid="{00000000-0005-0000-0000-000053DC0000}"/>
    <cellStyle name="Percent 2 2 3 2 3 5 3" xfId="56514" xr:uid="{00000000-0005-0000-0000-000054DC0000}"/>
    <cellStyle name="Percent 2 2 3 2 3 5 4" xfId="56515" xr:uid="{00000000-0005-0000-0000-000055DC0000}"/>
    <cellStyle name="Percent 2 2 3 2 3 5 5" xfId="56516" xr:uid="{00000000-0005-0000-0000-000056DC0000}"/>
    <cellStyle name="Percent 2 2 3 2 3 5 6" xfId="56517" xr:uid="{00000000-0005-0000-0000-000057DC0000}"/>
    <cellStyle name="Percent 2 2 3 2 3 6" xfId="56518" xr:uid="{00000000-0005-0000-0000-000058DC0000}"/>
    <cellStyle name="Percent 2 2 3 2 3 6 2" xfId="56519" xr:uid="{00000000-0005-0000-0000-000059DC0000}"/>
    <cellStyle name="Percent 2 2 3 2 3 6 3" xfId="56520" xr:uid="{00000000-0005-0000-0000-00005ADC0000}"/>
    <cellStyle name="Percent 2 2 3 2 3 7" xfId="56521" xr:uid="{00000000-0005-0000-0000-00005BDC0000}"/>
    <cellStyle name="Percent 2 2 3 2 3 8" xfId="56522" xr:uid="{00000000-0005-0000-0000-00005CDC0000}"/>
    <cellStyle name="Percent 2 2 3 2 3 9" xfId="56523" xr:uid="{00000000-0005-0000-0000-00005DDC0000}"/>
    <cellStyle name="Percent 2 2 3 2 4" xfId="56524" xr:uid="{00000000-0005-0000-0000-00005EDC0000}"/>
    <cellStyle name="Percent 2 2 3 2 4 2" xfId="56525" xr:uid="{00000000-0005-0000-0000-00005FDC0000}"/>
    <cellStyle name="Percent 2 2 3 2 4 2 2" xfId="56526" xr:uid="{00000000-0005-0000-0000-000060DC0000}"/>
    <cellStyle name="Percent 2 2 3 2 4 2 2 2" xfId="56527" xr:uid="{00000000-0005-0000-0000-000061DC0000}"/>
    <cellStyle name="Percent 2 2 3 2 4 2 2 2 2" xfId="56528" xr:uid="{00000000-0005-0000-0000-000062DC0000}"/>
    <cellStyle name="Percent 2 2 3 2 4 2 2 2 3" xfId="56529" xr:uid="{00000000-0005-0000-0000-000063DC0000}"/>
    <cellStyle name="Percent 2 2 3 2 4 2 2 3" xfId="56530" xr:uid="{00000000-0005-0000-0000-000064DC0000}"/>
    <cellStyle name="Percent 2 2 3 2 4 2 2 4" xfId="56531" xr:uid="{00000000-0005-0000-0000-000065DC0000}"/>
    <cellStyle name="Percent 2 2 3 2 4 2 2 5" xfId="56532" xr:uid="{00000000-0005-0000-0000-000066DC0000}"/>
    <cellStyle name="Percent 2 2 3 2 4 2 2 6" xfId="56533" xr:uid="{00000000-0005-0000-0000-000067DC0000}"/>
    <cellStyle name="Percent 2 2 3 2 4 2 3" xfId="56534" xr:uid="{00000000-0005-0000-0000-000068DC0000}"/>
    <cellStyle name="Percent 2 2 3 2 4 2 3 2" xfId="56535" xr:uid="{00000000-0005-0000-0000-000069DC0000}"/>
    <cellStyle name="Percent 2 2 3 2 4 2 3 3" xfId="56536" xr:uid="{00000000-0005-0000-0000-00006ADC0000}"/>
    <cellStyle name="Percent 2 2 3 2 4 2 4" xfId="56537" xr:uid="{00000000-0005-0000-0000-00006BDC0000}"/>
    <cellStyle name="Percent 2 2 3 2 4 2 5" xfId="56538" xr:uid="{00000000-0005-0000-0000-00006CDC0000}"/>
    <cellStyle name="Percent 2 2 3 2 4 2 6" xfId="56539" xr:uid="{00000000-0005-0000-0000-00006DDC0000}"/>
    <cellStyle name="Percent 2 2 3 2 4 2 7" xfId="56540" xr:uid="{00000000-0005-0000-0000-00006EDC0000}"/>
    <cellStyle name="Percent 2 2 3 2 4 3" xfId="56541" xr:uid="{00000000-0005-0000-0000-00006FDC0000}"/>
    <cellStyle name="Percent 2 2 3 2 4 3 2" xfId="56542" xr:uid="{00000000-0005-0000-0000-000070DC0000}"/>
    <cellStyle name="Percent 2 2 3 2 4 3 2 2" xfId="56543" xr:uid="{00000000-0005-0000-0000-000071DC0000}"/>
    <cellStyle name="Percent 2 2 3 2 4 3 2 3" xfId="56544" xr:uid="{00000000-0005-0000-0000-000072DC0000}"/>
    <cellStyle name="Percent 2 2 3 2 4 3 3" xfId="56545" xr:uid="{00000000-0005-0000-0000-000073DC0000}"/>
    <cellStyle name="Percent 2 2 3 2 4 3 4" xfId="56546" xr:uid="{00000000-0005-0000-0000-000074DC0000}"/>
    <cellStyle name="Percent 2 2 3 2 4 3 5" xfId="56547" xr:uid="{00000000-0005-0000-0000-000075DC0000}"/>
    <cellStyle name="Percent 2 2 3 2 4 3 6" xfId="56548" xr:uid="{00000000-0005-0000-0000-000076DC0000}"/>
    <cellStyle name="Percent 2 2 3 2 4 4" xfId="56549" xr:uid="{00000000-0005-0000-0000-000077DC0000}"/>
    <cellStyle name="Percent 2 2 3 2 4 4 2" xfId="56550" xr:uid="{00000000-0005-0000-0000-000078DC0000}"/>
    <cellStyle name="Percent 2 2 3 2 4 4 2 2" xfId="56551" xr:uid="{00000000-0005-0000-0000-000079DC0000}"/>
    <cellStyle name="Percent 2 2 3 2 4 4 2 3" xfId="56552" xr:uid="{00000000-0005-0000-0000-00007ADC0000}"/>
    <cellStyle name="Percent 2 2 3 2 4 4 3" xfId="56553" xr:uid="{00000000-0005-0000-0000-00007BDC0000}"/>
    <cellStyle name="Percent 2 2 3 2 4 4 4" xfId="56554" xr:uid="{00000000-0005-0000-0000-00007CDC0000}"/>
    <cellStyle name="Percent 2 2 3 2 4 4 5" xfId="56555" xr:uid="{00000000-0005-0000-0000-00007DDC0000}"/>
    <cellStyle name="Percent 2 2 3 2 4 4 6" xfId="56556" xr:uid="{00000000-0005-0000-0000-00007EDC0000}"/>
    <cellStyle name="Percent 2 2 3 2 4 5" xfId="56557" xr:uid="{00000000-0005-0000-0000-00007FDC0000}"/>
    <cellStyle name="Percent 2 2 3 2 4 5 2" xfId="56558" xr:uid="{00000000-0005-0000-0000-000080DC0000}"/>
    <cellStyle name="Percent 2 2 3 2 4 5 3" xfId="56559" xr:uid="{00000000-0005-0000-0000-000081DC0000}"/>
    <cellStyle name="Percent 2 2 3 2 4 6" xfId="56560" xr:uid="{00000000-0005-0000-0000-000082DC0000}"/>
    <cellStyle name="Percent 2 2 3 2 4 7" xfId="56561" xr:uid="{00000000-0005-0000-0000-000083DC0000}"/>
    <cellStyle name="Percent 2 2 3 2 4 8" xfId="56562" xr:uid="{00000000-0005-0000-0000-000084DC0000}"/>
    <cellStyle name="Percent 2 2 3 2 4 9" xfId="56563" xr:uid="{00000000-0005-0000-0000-000085DC0000}"/>
    <cellStyle name="Percent 2 2 3 2 5" xfId="56564" xr:uid="{00000000-0005-0000-0000-000086DC0000}"/>
    <cellStyle name="Percent 2 2 3 2 5 2" xfId="56565" xr:uid="{00000000-0005-0000-0000-000087DC0000}"/>
    <cellStyle name="Percent 2 2 3 2 5 2 2" xfId="56566" xr:uid="{00000000-0005-0000-0000-000088DC0000}"/>
    <cellStyle name="Percent 2 2 3 2 5 2 2 2" xfId="56567" xr:uid="{00000000-0005-0000-0000-000089DC0000}"/>
    <cellStyle name="Percent 2 2 3 2 5 2 2 3" xfId="56568" xr:uid="{00000000-0005-0000-0000-00008ADC0000}"/>
    <cellStyle name="Percent 2 2 3 2 5 2 3" xfId="56569" xr:uid="{00000000-0005-0000-0000-00008BDC0000}"/>
    <cellStyle name="Percent 2 2 3 2 5 2 4" xfId="56570" xr:uid="{00000000-0005-0000-0000-00008CDC0000}"/>
    <cellStyle name="Percent 2 2 3 2 5 2 5" xfId="56571" xr:uid="{00000000-0005-0000-0000-00008DDC0000}"/>
    <cellStyle name="Percent 2 2 3 2 5 2 6" xfId="56572" xr:uid="{00000000-0005-0000-0000-00008EDC0000}"/>
    <cellStyle name="Percent 2 2 3 2 5 3" xfId="56573" xr:uid="{00000000-0005-0000-0000-00008FDC0000}"/>
    <cellStyle name="Percent 2 2 3 2 5 3 2" xfId="56574" xr:uid="{00000000-0005-0000-0000-000090DC0000}"/>
    <cellStyle name="Percent 2 2 3 2 5 3 3" xfId="56575" xr:uid="{00000000-0005-0000-0000-000091DC0000}"/>
    <cellStyle name="Percent 2 2 3 2 5 4" xfId="56576" xr:uid="{00000000-0005-0000-0000-000092DC0000}"/>
    <cellStyle name="Percent 2 2 3 2 5 5" xfId="56577" xr:uid="{00000000-0005-0000-0000-000093DC0000}"/>
    <cellStyle name="Percent 2 2 3 2 5 6" xfId="56578" xr:uid="{00000000-0005-0000-0000-000094DC0000}"/>
    <cellStyle name="Percent 2 2 3 2 5 7" xfId="56579" xr:uid="{00000000-0005-0000-0000-000095DC0000}"/>
    <cellStyle name="Percent 2 2 3 2 6" xfId="56580" xr:uid="{00000000-0005-0000-0000-000096DC0000}"/>
    <cellStyle name="Percent 2 2 3 2 6 2" xfId="56581" xr:uid="{00000000-0005-0000-0000-000097DC0000}"/>
    <cellStyle name="Percent 2 2 3 2 6 2 2" xfId="56582" xr:uid="{00000000-0005-0000-0000-000098DC0000}"/>
    <cellStyle name="Percent 2 2 3 2 6 2 3" xfId="56583" xr:uid="{00000000-0005-0000-0000-000099DC0000}"/>
    <cellStyle name="Percent 2 2 3 2 6 3" xfId="56584" xr:uid="{00000000-0005-0000-0000-00009ADC0000}"/>
    <cellStyle name="Percent 2 2 3 2 6 4" xfId="56585" xr:uid="{00000000-0005-0000-0000-00009BDC0000}"/>
    <cellStyle name="Percent 2 2 3 2 6 5" xfId="56586" xr:uid="{00000000-0005-0000-0000-00009CDC0000}"/>
    <cellStyle name="Percent 2 2 3 2 6 6" xfId="56587" xr:uid="{00000000-0005-0000-0000-00009DDC0000}"/>
    <cellStyle name="Percent 2 2 3 2 7" xfId="56588" xr:uid="{00000000-0005-0000-0000-00009EDC0000}"/>
    <cellStyle name="Percent 2 2 3 2 7 2" xfId="56589" xr:uid="{00000000-0005-0000-0000-00009FDC0000}"/>
    <cellStyle name="Percent 2 2 3 2 7 2 2" xfId="56590" xr:uid="{00000000-0005-0000-0000-0000A0DC0000}"/>
    <cellStyle name="Percent 2 2 3 2 7 2 3" xfId="56591" xr:uid="{00000000-0005-0000-0000-0000A1DC0000}"/>
    <cellStyle name="Percent 2 2 3 2 7 3" xfId="56592" xr:uid="{00000000-0005-0000-0000-0000A2DC0000}"/>
    <cellStyle name="Percent 2 2 3 2 7 4" xfId="56593" xr:uid="{00000000-0005-0000-0000-0000A3DC0000}"/>
    <cellStyle name="Percent 2 2 3 2 7 5" xfId="56594" xr:uid="{00000000-0005-0000-0000-0000A4DC0000}"/>
    <cellStyle name="Percent 2 2 3 2 7 6" xfId="56595" xr:uid="{00000000-0005-0000-0000-0000A5DC0000}"/>
    <cellStyle name="Percent 2 2 3 2 8" xfId="56596" xr:uid="{00000000-0005-0000-0000-0000A6DC0000}"/>
    <cellStyle name="Percent 2 2 3 2 8 2" xfId="56597" xr:uid="{00000000-0005-0000-0000-0000A7DC0000}"/>
    <cellStyle name="Percent 2 2 3 2 8 2 2" xfId="56598" xr:uid="{00000000-0005-0000-0000-0000A8DC0000}"/>
    <cellStyle name="Percent 2 2 3 2 8 2 3" xfId="56599" xr:uid="{00000000-0005-0000-0000-0000A9DC0000}"/>
    <cellStyle name="Percent 2 2 3 2 8 3" xfId="56600" xr:uid="{00000000-0005-0000-0000-0000AADC0000}"/>
    <cellStyle name="Percent 2 2 3 2 8 4" xfId="56601" xr:uid="{00000000-0005-0000-0000-0000ABDC0000}"/>
    <cellStyle name="Percent 2 2 3 2 8 5" xfId="56602" xr:uid="{00000000-0005-0000-0000-0000ACDC0000}"/>
    <cellStyle name="Percent 2 2 3 2 8 6" xfId="56603" xr:uid="{00000000-0005-0000-0000-0000ADDC0000}"/>
    <cellStyle name="Percent 2 2 3 2 9" xfId="56604" xr:uid="{00000000-0005-0000-0000-0000AEDC0000}"/>
    <cellStyle name="Percent 2 2 3 2 9 2" xfId="56605" xr:uid="{00000000-0005-0000-0000-0000AFDC0000}"/>
    <cellStyle name="Percent 2 2 3 2 9 2 2" xfId="56606" xr:uid="{00000000-0005-0000-0000-0000B0DC0000}"/>
    <cellStyle name="Percent 2 2 3 2 9 2 3" xfId="56607" xr:uid="{00000000-0005-0000-0000-0000B1DC0000}"/>
    <cellStyle name="Percent 2 2 3 2 9 3" xfId="56608" xr:uid="{00000000-0005-0000-0000-0000B2DC0000}"/>
    <cellStyle name="Percent 2 2 3 2 9 4" xfId="56609" xr:uid="{00000000-0005-0000-0000-0000B3DC0000}"/>
    <cellStyle name="Percent 2 2 3 2 9 5" xfId="56610" xr:uid="{00000000-0005-0000-0000-0000B4DC0000}"/>
    <cellStyle name="Percent 2 2 3 2 9 6" xfId="56611" xr:uid="{00000000-0005-0000-0000-0000B5DC0000}"/>
    <cellStyle name="Percent 2 2 3 3" xfId="56612" xr:uid="{00000000-0005-0000-0000-0000B6DC0000}"/>
    <cellStyle name="Percent 2 2 3 3 10" xfId="56613" xr:uid="{00000000-0005-0000-0000-0000B7DC0000}"/>
    <cellStyle name="Percent 2 2 3 3 10 2" xfId="56614" xr:uid="{00000000-0005-0000-0000-0000B8DC0000}"/>
    <cellStyle name="Percent 2 2 3 3 10 3" xfId="56615" xr:uid="{00000000-0005-0000-0000-0000B9DC0000}"/>
    <cellStyle name="Percent 2 2 3 3 11" xfId="56616" xr:uid="{00000000-0005-0000-0000-0000BADC0000}"/>
    <cellStyle name="Percent 2 2 3 3 12" xfId="56617" xr:uid="{00000000-0005-0000-0000-0000BBDC0000}"/>
    <cellStyle name="Percent 2 2 3 3 13" xfId="56618" xr:uid="{00000000-0005-0000-0000-0000BCDC0000}"/>
    <cellStyle name="Percent 2 2 3 3 14" xfId="56619" xr:uid="{00000000-0005-0000-0000-0000BDDC0000}"/>
    <cellStyle name="Percent 2 2 3 3 2" xfId="56620" xr:uid="{00000000-0005-0000-0000-0000BEDC0000}"/>
    <cellStyle name="Percent 2 2 3 3 2 10" xfId="56621" xr:uid="{00000000-0005-0000-0000-0000BFDC0000}"/>
    <cellStyle name="Percent 2 2 3 3 2 11" xfId="56622" xr:uid="{00000000-0005-0000-0000-0000C0DC0000}"/>
    <cellStyle name="Percent 2 2 3 3 2 12" xfId="56623" xr:uid="{00000000-0005-0000-0000-0000C1DC0000}"/>
    <cellStyle name="Percent 2 2 3 3 2 13" xfId="56624" xr:uid="{00000000-0005-0000-0000-0000C2DC0000}"/>
    <cellStyle name="Percent 2 2 3 3 2 2" xfId="56625" xr:uid="{00000000-0005-0000-0000-0000C3DC0000}"/>
    <cellStyle name="Percent 2 2 3 3 2 2 10" xfId="56626" xr:uid="{00000000-0005-0000-0000-0000C4DC0000}"/>
    <cellStyle name="Percent 2 2 3 3 2 2 2" xfId="56627" xr:uid="{00000000-0005-0000-0000-0000C5DC0000}"/>
    <cellStyle name="Percent 2 2 3 3 2 2 2 2" xfId="56628" xr:uid="{00000000-0005-0000-0000-0000C6DC0000}"/>
    <cellStyle name="Percent 2 2 3 3 2 2 2 2 2" xfId="56629" xr:uid="{00000000-0005-0000-0000-0000C7DC0000}"/>
    <cellStyle name="Percent 2 2 3 3 2 2 2 2 2 2" xfId="56630" xr:uid="{00000000-0005-0000-0000-0000C8DC0000}"/>
    <cellStyle name="Percent 2 2 3 3 2 2 2 2 2 3" xfId="56631" xr:uid="{00000000-0005-0000-0000-0000C9DC0000}"/>
    <cellStyle name="Percent 2 2 3 3 2 2 2 2 3" xfId="56632" xr:uid="{00000000-0005-0000-0000-0000CADC0000}"/>
    <cellStyle name="Percent 2 2 3 3 2 2 2 2 4" xfId="56633" xr:uid="{00000000-0005-0000-0000-0000CBDC0000}"/>
    <cellStyle name="Percent 2 2 3 3 2 2 2 2 5" xfId="56634" xr:uid="{00000000-0005-0000-0000-0000CCDC0000}"/>
    <cellStyle name="Percent 2 2 3 3 2 2 2 2 6" xfId="56635" xr:uid="{00000000-0005-0000-0000-0000CDDC0000}"/>
    <cellStyle name="Percent 2 2 3 3 2 2 2 3" xfId="56636" xr:uid="{00000000-0005-0000-0000-0000CEDC0000}"/>
    <cellStyle name="Percent 2 2 3 3 2 2 2 3 2" xfId="56637" xr:uid="{00000000-0005-0000-0000-0000CFDC0000}"/>
    <cellStyle name="Percent 2 2 3 3 2 2 2 3 2 2" xfId="56638" xr:uid="{00000000-0005-0000-0000-0000D0DC0000}"/>
    <cellStyle name="Percent 2 2 3 3 2 2 2 3 2 3" xfId="56639" xr:uid="{00000000-0005-0000-0000-0000D1DC0000}"/>
    <cellStyle name="Percent 2 2 3 3 2 2 2 3 3" xfId="56640" xr:uid="{00000000-0005-0000-0000-0000D2DC0000}"/>
    <cellStyle name="Percent 2 2 3 3 2 2 2 3 4" xfId="56641" xr:uid="{00000000-0005-0000-0000-0000D3DC0000}"/>
    <cellStyle name="Percent 2 2 3 3 2 2 2 3 5" xfId="56642" xr:uid="{00000000-0005-0000-0000-0000D4DC0000}"/>
    <cellStyle name="Percent 2 2 3 3 2 2 2 3 6" xfId="56643" xr:uid="{00000000-0005-0000-0000-0000D5DC0000}"/>
    <cellStyle name="Percent 2 2 3 3 2 2 2 4" xfId="56644" xr:uid="{00000000-0005-0000-0000-0000D6DC0000}"/>
    <cellStyle name="Percent 2 2 3 3 2 2 2 4 2" xfId="56645" xr:uid="{00000000-0005-0000-0000-0000D7DC0000}"/>
    <cellStyle name="Percent 2 2 3 3 2 2 2 4 3" xfId="56646" xr:uid="{00000000-0005-0000-0000-0000D8DC0000}"/>
    <cellStyle name="Percent 2 2 3 3 2 2 2 5" xfId="56647" xr:uid="{00000000-0005-0000-0000-0000D9DC0000}"/>
    <cellStyle name="Percent 2 2 3 3 2 2 2 6" xfId="56648" xr:uid="{00000000-0005-0000-0000-0000DADC0000}"/>
    <cellStyle name="Percent 2 2 3 3 2 2 2 7" xfId="56649" xr:uid="{00000000-0005-0000-0000-0000DBDC0000}"/>
    <cellStyle name="Percent 2 2 3 3 2 2 2 8" xfId="56650" xr:uid="{00000000-0005-0000-0000-0000DCDC0000}"/>
    <cellStyle name="Percent 2 2 3 3 2 2 3" xfId="56651" xr:uid="{00000000-0005-0000-0000-0000DDDC0000}"/>
    <cellStyle name="Percent 2 2 3 3 2 2 3 2" xfId="56652" xr:uid="{00000000-0005-0000-0000-0000DEDC0000}"/>
    <cellStyle name="Percent 2 2 3 3 2 2 3 2 2" xfId="56653" xr:uid="{00000000-0005-0000-0000-0000DFDC0000}"/>
    <cellStyle name="Percent 2 2 3 3 2 2 3 2 2 2" xfId="56654" xr:uid="{00000000-0005-0000-0000-0000E0DC0000}"/>
    <cellStyle name="Percent 2 2 3 3 2 2 3 2 2 3" xfId="56655" xr:uid="{00000000-0005-0000-0000-0000E1DC0000}"/>
    <cellStyle name="Percent 2 2 3 3 2 2 3 2 3" xfId="56656" xr:uid="{00000000-0005-0000-0000-0000E2DC0000}"/>
    <cellStyle name="Percent 2 2 3 3 2 2 3 2 4" xfId="56657" xr:uid="{00000000-0005-0000-0000-0000E3DC0000}"/>
    <cellStyle name="Percent 2 2 3 3 2 2 3 2 5" xfId="56658" xr:uid="{00000000-0005-0000-0000-0000E4DC0000}"/>
    <cellStyle name="Percent 2 2 3 3 2 2 3 2 6" xfId="56659" xr:uid="{00000000-0005-0000-0000-0000E5DC0000}"/>
    <cellStyle name="Percent 2 2 3 3 2 2 3 3" xfId="56660" xr:uid="{00000000-0005-0000-0000-0000E6DC0000}"/>
    <cellStyle name="Percent 2 2 3 3 2 2 3 3 2" xfId="56661" xr:uid="{00000000-0005-0000-0000-0000E7DC0000}"/>
    <cellStyle name="Percent 2 2 3 3 2 2 3 3 3" xfId="56662" xr:uid="{00000000-0005-0000-0000-0000E8DC0000}"/>
    <cellStyle name="Percent 2 2 3 3 2 2 3 4" xfId="56663" xr:uid="{00000000-0005-0000-0000-0000E9DC0000}"/>
    <cellStyle name="Percent 2 2 3 3 2 2 3 5" xfId="56664" xr:uid="{00000000-0005-0000-0000-0000EADC0000}"/>
    <cellStyle name="Percent 2 2 3 3 2 2 3 6" xfId="56665" xr:uid="{00000000-0005-0000-0000-0000EBDC0000}"/>
    <cellStyle name="Percent 2 2 3 3 2 2 3 7" xfId="56666" xr:uid="{00000000-0005-0000-0000-0000ECDC0000}"/>
    <cellStyle name="Percent 2 2 3 3 2 2 4" xfId="56667" xr:uid="{00000000-0005-0000-0000-0000EDDC0000}"/>
    <cellStyle name="Percent 2 2 3 3 2 2 4 2" xfId="56668" xr:uid="{00000000-0005-0000-0000-0000EEDC0000}"/>
    <cellStyle name="Percent 2 2 3 3 2 2 4 2 2" xfId="56669" xr:uid="{00000000-0005-0000-0000-0000EFDC0000}"/>
    <cellStyle name="Percent 2 2 3 3 2 2 4 2 3" xfId="56670" xr:uid="{00000000-0005-0000-0000-0000F0DC0000}"/>
    <cellStyle name="Percent 2 2 3 3 2 2 4 3" xfId="56671" xr:uid="{00000000-0005-0000-0000-0000F1DC0000}"/>
    <cellStyle name="Percent 2 2 3 3 2 2 4 4" xfId="56672" xr:uid="{00000000-0005-0000-0000-0000F2DC0000}"/>
    <cellStyle name="Percent 2 2 3 3 2 2 4 5" xfId="56673" xr:uid="{00000000-0005-0000-0000-0000F3DC0000}"/>
    <cellStyle name="Percent 2 2 3 3 2 2 4 6" xfId="56674" xr:uid="{00000000-0005-0000-0000-0000F4DC0000}"/>
    <cellStyle name="Percent 2 2 3 3 2 2 5" xfId="56675" xr:uid="{00000000-0005-0000-0000-0000F5DC0000}"/>
    <cellStyle name="Percent 2 2 3 3 2 2 5 2" xfId="56676" xr:uid="{00000000-0005-0000-0000-0000F6DC0000}"/>
    <cellStyle name="Percent 2 2 3 3 2 2 5 2 2" xfId="56677" xr:uid="{00000000-0005-0000-0000-0000F7DC0000}"/>
    <cellStyle name="Percent 2 2 3 3 2 2 5 2 3" xfId="56678" xr:uid="{00000000-0005-0000-0000-0000F8DC0000}"/>
    <cellStyle name="Percent 2 2 3 3 2 2 5 3" xfId="56679" xr:uid="{00000000-0005-0000-0000-0000F9DC0000}"/>
    <cellStyle name="Percent 2 2 3 3 2 2 5 4" xfId="56680" xr:uid="{00000000-0005-0000-0000-0000FADC0000}"/>
    <cellStyle name="Percent 2 2 3 3 2 2 5 5" xfId="56681" xr:uid="{00000000-0005-0000-0000-0000FBDC0000}"/>
    <cellStyle name="Percent 2 2 3 3 2 2 5 6" xfId="56682" xr:uid="{00000000-0005-0000-0000-0000FCDC0000}"/>
    <cellStyle name="Percent 2 2 3 3 2 2 6" xfId="56683" xr:uid="{00000000-0005-0000-0000-0000FDDC0000}"/>
    <cellStyle name="Percent 2 2 3 3 2 2 6 2" xfId="56684" xr:uid="{00000000-0005-0000-0000-0000FEDC0000}"/>
    <cellStyle name="Percent 2 2 3 3 2 2 6 3" xfId="56685" xr:uid="{00000000-0005-0000-0000-0000FFDC0000}"/>
    <cellStyle name="Percent 2 2 3 3 2 2 7" xfId="56686" xr:uid="{00000000-0005-0000-0000-000000DD0000}"/>
    <cellStyle name="Percent 2 2 3 3 2 2 8" xfId="56687" xr:uid="{00000000-0005-0000-0000-000001DD0000}"/>
    <cellStyle name="Percent 2 2 3 3 2 2 9" xfId="56688" xr:uid="{00000000-0005-0000-0000-000002DD0000}"/>
    <cellStyle name="Percent 2 2 3 3 2 3" xfId="56689" xr:uid="{00000000-0005-0000-0000-000003DD0000}"/>
    <cellStyle name="Percent 2 2 3 3 2 3 2" xfId="56690" xr:uid="{00000000-0005-0000-0000-000004DD0000}"/>
    <cellStyle name="Percent 2 2 3 3 2 3 2 2" xfId="56691" xr:uid="{00000000-0005-0000-0000-000005DD0000}"/>
    <cellStyle name="Percent 2 2 3 3 2 3 2 2 2" xfId="56692" xr:uid="{00000000-0005-0000-0000-000006DD0000}"/>
    <cellStyle name="Percent 2 2 3 3 2 3 2 2 2 2" xfId="56693" xr:uid="{00000000-0005-0000-0000-000007DD0000}"/>
    <cellStyle name="Percent 2 2 3 3 2 3 2 2 2 3" xfId="56694" xr:uid="{00000000-0005-0000-0000-000008DD0000}"/>
    <cellStyle name="Percent 2 2 3 3 2 3 2 2 3" xfId="56695" xr:uid="{00000000-0005-0000-0000-000009DD0000}"/>
    <cellStyle name="Percent 2 2 3 3 2 3 2 2 4" xfId="56696" xr:uid="{00000000-0005-0000-0000-00000ADD0000}"/>
    <cellStyle name="Percent 2 2 3 3 2 3 2 2 5" xfId="56697" xr:uid="{00000000-0005-0000-0000-00000BDD0000}"/>
    <cellStyle name="Percent 2 2 3 3 2 3 2 2 6" xfId="56698" xr:uid="{00000000-0005-0000-0000-00000CDD0000}"/>
    <cellStyle name="Percent 2 2 3 3 2 3 2 3" xfId="56699" xr:uid="{00000000-0005-0000-0000-00000DDD0000}"/>
    <cellStyle name="Percent 2 2 3 3 2 3 2 3 2" xfId="56700" xr:uid="{00000000-0005-0000-0000-00000EDD0000}"/>
    <cellStyle name="Percent 2 2 3 3 2 3 2 3 3" xfId="56701" xr:uid="{00000000-0005-0000-0000-00000FDD0000}"/>
    <cellStyle name="Percent 2 2 3 3 2 3 2 4" xfId="56702" xr:uid="{00000000-0005-0000-0000-000010DD0000}"/>
    <cellStyle name="Percent 2 2 3 3 2 3 2 5" xfId="56703" xr:uid="{00000000-0005-0000-0000-000011DD0000}"/>
    <cellStyle name="Percent 2 2 3 3 2 3 2 6" xfId="56704" xr:uid="{00000000-0005-0000-0000-000012DD0000}"/>
    <cellStyle name="Percent 2 2 3 3 2 3 2 7" xfId="56705" xr:uid="{00000000-0005-0000-0000-000013DD0000}"/>
    <cellStyle name="Percent 2 2 3 3 2 3 3" xfId="56706" xr:uid="{00000000-0005-0000-0000-000014DD0000}"/>
    <cellStyle name="Percent 2 2 3 3 2 3 3 2" xfId="56707" xr:uid="{00000000-0005-0000-0000-000015DD0000}"/>
    <cellStyle name="Percent 2 2 3 3 2 3 3 2 2" xfId="56708" xr:uid="{00000000-0005-0000-0000-000016DD0000}"/>
    <cellStyle name="Percent 2 2 3 3 2 3 3 2 3" xfId="56709" xr:uid="{00000000-0005-0000-0000-000017DD0000}"/>
    <cellStyle name="Percent 2 2 3 3 2 3 3 3" xfId="56710" xr:uid="{00000000-0005-0000-0000-000018DD0000}"/>
    <cellStyle name="Percent 2 2 3 3 2 3 3 4" xfId="56711" xr:uid="{00000000-0005-0000-0000-000019DD0000}"/>
    <cellStyle name="Percent 2 2 3 3 2 3 3 5" xfId="56712" xr:uid="{00000000-0005-0000-0000-00001ADD0000}"/>
    <cellStyle name="Percent 2 2 3 3 2 3 3 6" xfId="56713" xr:uid="{00000000-0005-0000-0000-00001BDD0000}"/>
    <cellStyle name="Percent 2 2 3 3 2 3 4" xfId="56714" xr:uid="{00000000-0005-0000-0000-00001CDD0000}"/>
    <cellStyle name="Percent 2 2 3 3 2 3 4 2" xfId="56715" xr:uid="{00000000-0005-0000-0000-00001DDD0000}"/>
    <cellStyle name="Percent 2 2 3 3 2 3 4 2 2" xfId="56716" xr:uid="{00000000-0005-0000-0000-00001EDD0000}"/>
    <cellStyle name="Percent 2 2 3 3 2 3 4 2 3" xfId="56717" xr:uid="{00000000-0005-0000-0000-00001FDD0000}"/>
    <cellStyle name="Percent 2 2 3 3 2 3 4 3" xfId="56718" xr:uid="{00000000-0005-0000-0000-000020DD0000}"/>
    <cellStyle name="Percent 2 2 3 3 2 3 4 4" xfId="56719" xr:uid="{00000000-0005-0000-0000-000021DD0000}"/>
    <cellStyle name="Percent 2 2 3 3 2 3 4 5" xfId="56720" xr:uid="{00000000-0005-0000-0000-000022DD0000}"/>
    <cellStyle name="Percent 2 2 3 3 2 3 4 6" xfId="56721" xr:uid="{00000000-0005-0000-0000-000023DD0000}"/>
    <cellStyle name="Percent 2 2 3 3 2 3 5" xfId="56722" xr:uid="{00000000-0005-0000-0000-000024DD0000}"/>
    <cellStyle name="Percent 2 2 3 3 2 3 5 2" xfId="56723" xr:uid="{00000000-0005-0000-0000-000025DD0000}"/>
    <cellStyle name="Percent 2 2 3 3 2 3 5 3" xfId="56724" xr:uid="{00000000-0005-0000-0000-000026DD0000}"/>
    <cellStyle name="Percent 2 2 3 3 2 3 6" xfId="56725" xr:uid="{00000000-0005-0000-0000-000027DD0000}"/>
    <cellStyle name="Percent 2 2 3 3 2 3 7" xfId="56726" xr:uid="{00000000-0005-0000-0000-000028DD0000}"/>
    <cellStyle name="Percent 2 2 3 3 2 3 8" xfId="56727" xr:uid="{00000000-0005-0000-0000-000029DD0000}"/>
    <cellStyle name="Percent 2 2 3 3 2 3 9" xfId="56728" xr:uid="{00000000-0005-0000-0000-00002ADD0000}"/>
    <cellStyle name="Percent 2 2 3 3 2 4" xfId="56729" xr:uid="{00000000-0005-0000-0000-00002BDD0000}"/>
    <cellStyle name="Percent 2 2 3 3 2 4 2" xfId="56730" xr:uid="{00000000-0005-0000-0000-00002CDD0000}"/>
    <cellStyle name="Percent 2 2 3 3 2 4 2 2" xfId="56731" xr:uid="{00000000-0005-0000-0000-00002DDD0000}"/>
    <cellStyle name="Percent 2 2 3 3 2 4 2 2 2" xfId="56732" xr:uid="{00000000-0005-0000-0000-00002EDD0000}"/>
    <cellStyle name="Percent 2 2 3 3 2 4 2 2 3" xfId="56733" xr:uid="{00000000-0005-0000-0000-00002FDD0000}"/>
    <cellStyle name="Percent 2 2 3 3 2 4 2 3" xfId="56734" xr:uid="{00000000-0005-0000-0000-000030DD0000}"/>
    <cellStyle name="Percent 2 2 3 3 2 4 2 4" xfId="56735" xr:uid="{00000000-0005-0000-0000-000031DD0000}"/>
    <cellStyle name="Percent 2 2 3 3 2 4 2 5" xfId="56736" xr:uid="{00000000-0005-0000-0000-000032DD0000}"/>
    <cellStyle name="Percent 2 2 3 3 2 4 2 6" xfId="56737" xr:uid="{00000000-0005-0000-0000-000033DD0000}"/>
    <cellStyle name="Percent 2 2 3 3 2 4 3" xfId="56738" xr:uid="{00000000-0005-0000-0000-000034DD0000}"/>
    <cellStyle name="Percent 2 2 3 3 2 4 3 2" xfId="56739" xr:uid="{00000000-0005-0000-0000-000035DD0000}"/>
    <cellStyle name="Percent 2 2 3 3 2 4 3 3" xfId="56740" xr:uid="{00000000-0005-0000-0000-000036DD0000}"/>
    <cellStyle name="Percent 2 2 3 3 2 4 4" xfId="56741" xr:uid="{00000000-0005-0000-0000-000037DD0000}"/>
    <cellStyle name="Percent 2 2 3 3 2 4 5" xfId="56742" xr:uid="{00000000-0005-0000-0000-000038DD0000}"/>
    <cellStyle name="Percent 2 2 3 3 2 4 6" xfId="56743" xr:uid="{00000000-0005-0000-0000-000039DD0000}"/>
    <cellStyle name="Percent 2 2 3 3 2 4 7" xfId="56744" xr:uid="{00000000-0005-0000-0000-00003ADD0000}"/>
    <cellStyle name="Percent 2 2 3 3 2 5" xfId="56745" xr:uid="{00000000-0005-0000-0000-00003BDD0000}"/>
    <cellStyle name="Percent 2 2 3 3 2 5 2" xfId="56746" xr:uid="{00000000-0005-0000-0000-00003CDD0000}"/>
    <cellStyle name="Percent 2 2 3 3 2 5 2 2" xfId="56747" xr:uid="{00000000-0005-0000-0000-00003DDD0000}"/>
    <cellStyle name="Percent 2 2 3 3 2 5 2 3" xfId="56748" xr:uid="{00000000-0005-0000-0000-00003EDD0000}"/>
    <cellStyle name="Percent 2 2 3 3 2 5 3" xfId="56749" xr:uid="{00000000-0005-0000-0000-00003FDD0000}"/>
    <cellStyle name="Percent 2 2 3 3 2 5 4" xfId="56750" xr:uid="{00000000-0005-0000-0000-000040DD0000}"/>
    <cellStyle name="Percent 2 2 3 3 2 5 5" xfId="56751" xr:uid="{00000000-0005-0000-0000-000041DD0000}"/>
    <cellStyle name="Percent 2 2 3 3 2 5 6" xfId="56752" xr:uid="{00000000-0005-0000-0000-000042DD0000}"/>
    <cellStyle name="Percent 2 2 3 3 2 6" xfId="56753" xr:uid="{00000000-0005-0000-0000-000043DD0000}"/>
    <cellStyle name="Percent 2 2 3 3 2 6 2" xfId="56754" xr:uid="{00000000-0005-0000-0000-000044DD0000}"/>
    <cellStyle name="Percent 2 2 3 3 2 6 2 2" xfId="56755" xr:uid="{00000000-0005-0000-0000-000045DD0000}"/>
    <cellStyle name="Percent 2 2 3 3 2 6 2 3" xfId="56756" xr:uid="{00000000-0005-0000-0000-000046DD0000}"/>
    <cellStyle name="Percent 2 2 3 3 2 6 3" xfId="56757" xr:uid="{00000000-0005-0000-0000-000047DD0000}"/>
    <cellStyle name="Percent 2 2 3 3 2 6 4" xfId="56758" xr:uid="{00000000-0005-0000-0000-000048DD0000}"/>
    <cellStyle name="Percent 2 2 3 3 2 6 5" xfId="56759" xr:uid="{00000000-0005-0000-0000-000049DD0000}"/>
    <cellStyle name="Percent 2 2 3 3 2 6 6" xfId="56760" xr:uid="{00000000-0005-0000-0000-00004ADD0000}"/>
    <cellStyle name="Percent 2 2 3 3 2 7" xfId="56761" xr:uid="{00000000-0005-0000-0000-00004BDD0000}"/>
    <cellStyle name="Percent 2 2 3 3 2 7 2" xfId="56762" xr:uid="{00000000-0005-0000-0000-00004CDD0000}"/>
    <cellStyle name="Percent 2 2 3 3 2 7 2 2" xfId="56763" xr:uid="{00000000-0005-0000-0000-00004DDD0000}"/>
    <cellStyle name="Percent 2 2 3 3 2 7 2 3" xfId="56764" xr:uid="{00000000-0005-0000-0000-00004EDD0000}"/>
    <cellStyle name="Percent 2 2 3 3 2 7 3" xfId="56765" xr:uid="{00000000-0005-0000-0000-00004FDD0000}"/>
    <cellStyle name="Percent 2 2 3 3 2 7 4" xfId="56766" xr:uid="{00000000-0005-0000-0000-000050DD0000}"/>
    <cellStyle name="Percent 2 2 3 3 2 7 5" xfId="56767" xr:uid="{00000000-0005-0000-0000-000051DD0000}"/>
    <cellStyle name="Percent 2 2 3 3 2 7 6" xfId="56768" xr:uid="{00000000-0005-0000-0000-000052DD0000}"/>
    <cellStyle name="Percent 2 2 3 3 2 8" xfId="56769" xr:uid="{00000000-0005-0000-0000-000053DD0000}"/>
    <cellStyle name="Percent 2 2 3 3 2 8 2" xfId="56770" xr:uid="{00000000-0005-0000-0000-000054DD0000}"/>
    <cellStyle name="Percent 2 2 3 3 2 8 2 2" xfId="56771" xr:uid="{00000000-0005-0000-0000-000055DD0000}"/>
    <cellStyle name="Percent 2 2 3 3 2 8 2 3" xfId="56772" xr:uid="{00000000-0005-0000-0000-000056DD0000}"/>
    <cellStyle name="Percent 2 2 3 3 2 8 3" xfId="56773" xr:uid="{00000000-0005-0000-0000-000057DD0000}"/>
    <cellStyle name="Percent 2 2 3 3 2 8 4" xfId="56774" xr:uid="{00000000-0005-0000-0000-000058DD0000}"/>
    <cellStyle name="Percent 2 2 3 3 2 8 5" xfId="56775" xr:uid="{00000000-0005-0000-0000-000059DD0000}"/>
    <cellStyle name="Percent 2 2 3 3 2 8 6" xfId="56776" xr:uid="{00000000-0005-0000-0000-00005ADD0000}"/>
    <cellStyle name="Percent 2 2 3 3 2 9" xfId="56777" xr:uid="{00000000-0005-0000-0000-00005BDD0000}"/>
    <cellStyle name="Percent 2 2 3 3 2 9 2" xfId="56778" xr:uid="{00000000-0005-0000-0000-00005CDD0000}"/>
    <cellStyle name="Percent 2 2 3 3 2 9 3" xfId="56779" xr:uid="{00000000-0005-0000-0000-00005DDD0000}"/>
    <cellStyle name="Percent 2 2 3 3 3" xfId="56780" xr:uid="{00000000-0005-0000-0000-00005EDD0000}"/>
    <cellStyle name="Percent 2 2 3 3 3 10" xfId="56781" xr:uid="{00000000-0005-0000-0000-00005FDD0000}"/>
    <cellStyle name="Percent 2 2 3 3 3 2" xfId="56782" xr:uid="{00000000-0005-0000-0000-000060DD0000}"/>
    <cellStyle name="Percent 2 2 3 3 3 2 2" xfId="56783" xr:uid="{00000000-0005-0000-0000-000061DD0000}"/>
    <cellStyle name="Percent 2 2 3 3 3 2 2 2" xfId="56784" xr:uid="{00000000-0005-0000-0000-000062DD0000}"/>
    <cellStyle name="Percent 2 2 3 3 3 2 2 2 2" xfId="56785" xr:uid="{00000000-0005-0000-0000-000063DD0000}"/>
    <cellStyle name="Percent 2 2 3 3 3 2 2 2 3" xfId="56786" xr:uid="{00000000-0005-0000-0000-000064DD0000}"/>
    <cellStyle name="Percent 2 2 3 3 3 2 2 3" xfId="56787" xr:uid="{00000000-0005-0000-0000-000065DD0000}"/>
    <cellStyle name="Percent 2 2 3 3 3 2 2 4" xfId="56788" xr:uid="{00000000-0005-0000-0000-000066DD0000}"/>
    <cellStyle name="Percent 2 2 3 3 3 2 2 5" xfId="56789" xr:uid="{00000000-0005-0000-0000-000067DD0000}"/>
    <cellStyle name="Percent 2 2 3 3 3 2 2 6" xfId="56790" xr:uid="{00000000-0005-0000-0000-000068DD0000}"/>
    <cellStyle name="Percent 2 2 3 3 3 2 3" xfId="56791" xr:uid="{00000000-0005-0000-0000-000069DD0000}"/>
    <cellStyle name="Percent 2 2 3 3 3 2 3 2" xfId="56792" xr:uid="{00000000-0005-0000-0000-00006ADD0000}"/>
    <cellStyle name="Percent 2 2 3 3 3 2 3 2 2" xfId="56793" xr:uid="{00000000-0005-0000-0000-00006BDD0000}"/>
    <cellStyle name="Percent 2 2 3 3 3 2 3 2 3" xfId="56794" xr:uid="{00000000-0005-0000-0000-00006CDD0000}"/>
    <cellStyle name="Percent 2 2 3 3 3 2 3 3" xfId="56795" xr:uid="{00000000-0005-0000-0000-00006DDD0000}"/>
    <cellStyle name="Percent 2 2 3 3 3 2 3 4" xfId="56796" xr:uid="{00000000-0005-0000-0000-00006EDD0000}"/>
    <cellStyle name="Percent 2 2 3 3 3 2 3 5" xfId="56797" xr:uid="{00000000-0005-0000-0000-00006FDD0000}"/>
    <cellStyle name="Percent 2 2 3 3 3 2 3 6" xfId="56798" xr:uid="{00000000-0005-0000-0000-000070DD0000}"/>
    <cellStyle name="Percent 2 2 3 3 3 2 4" xfId="56799" xr:uid="{00000000-0005-0000-0000-000071DD0000}"/>
    <cellStyle name="Percent 2 2 3 3 3 2 4 2" xfId="56800" xr:uid="{00000000-0005-0000-0000-000072DD0000}"/>
    <cellStyle name="Percent 2 2 3 3 3 2 4 3" xfId="56801" xr:uid="{00000000-0005-0000-0000-000073DD0000}"/>
    <cellStyle name="Percent 2 2 3 3 3 2 5" xfId="56802" xr:uid="{00000000-0005-0000-0000-000074DD0000}"/>
    <cellStyle name="Percent 2 2 3 3 3 2 6" xfId="56803" xr:uid="{00000000-0005-0000-0000-000075DD0000}"/>
    <cellStyle name="Percent 2 2 3 3 3 2 7" xfId="56804" xr:uid="{00000000-0005-0000-0000-000076DD0000}"/>
    <cellStyle name="Percent 2 2 3 3 3 2 8" xfId="56805" xr:uid="{00000000-0005-0000-0000-000077DD0000}"/>
    <cellStyle name="Percent 2 2 3 3 3 3" xfId="56806" xr:uid="{00000000-0005-0000-0000-000078DD0000}"/>
    <cellStyle name="Percent 2 2 3 3 3 3 2" xfId="56807" xr:uid="{00000000-0005-0000-0000-000079DD0000}"/>
    <cellStyle name="Percent 2 2 3 3 3 3 2 2" xfId="56808" xr:uid="{00000000-0005-0000-0000-00007ADD0000}"/>
    <cellStyle name="Percent 2 2 3 3 3 3 2 2 2" xfId="56809" xr:uid="{00000000-0005-0000-0000-00007BDD0000}"/>
    <cellStyle name="Percent 2 2 3 3 3 3 2 2 3" xfId="56810" xr:uid="{00000000-0005-0000-0000-00007CDD0000}"/>
    <cellStyle name="Percent 2 2 3 3 3 3 2 3" xfId="56811" xr:uid="{00000000-0005-0000-0000-00007DDD0000}"/>
    <cellStyle name="Percent 2 2 3 3 3 3 2 4" xfId="56812" xr:uid="{00000000-0005-0000-0000-00007EDD0000}"/>
    <cellStyle name="Percent 2 2 3 3 3 3 2 5" xfId="56813" xr:uid="{00000000-0005-0000-0000-00007FDD0000}"/>
    <cellStyle name="Percent 2 2 3 3 3 3 2 6" xfId="56814" xr:uid="{00000000-0005-0000-0000-000080DD0000}"/>
    <cellStyle name="Percent 2 2 3 3 3 3 3" xfId="56815" xr:uid="{00000000-0005-0000-0000-000081DD0000}"/>
    <cellStyle name="Percent 2 2 3 3 3 3 3 2" xfId="56816" xr:uid="{00000000-0005-0000-0000-000082DD0000}"/>
    <cellStyle name="Percent 2 2 3 3 3 3 3 3" xfId="56817" xr:uid="{00000000-0005-0000-0000-000083DD0000}"/>
    <cellStyle name="Percent 2 2 3 3 3 3 4" xfId="56818" xr:uid="{00000000-0005-0000-0000-000084DD0000}"/>
    <cellStyle name="Percent 2 2 3 3 3 3 5" xfId="56819" xr:uid="{00000000-0005-0000-0000-000085DD0000}"/>
    <cellStyle name="Percent 2 2 3 3 3 3 6" xfId="56820" xr:uid="{00000000-0005-0000-0000-000086DD0000}"/>
    <cellStyle name="Percent 2 2 3 3 3 3 7" xfId="56821" xr:uid="{00000000-0005-0000-0000-000087DD0000}"/>
    <cellStyle name="Percent 2 2 3 3 3 4" xfId="56822" xr:uid="{00000000-0005-0000-0000-000088DD0000}"/>
    <cellStyle name="Percent 2 2 3 3 3 4 2" xfId="56823" xr:uid="{00000000-0005-0000-0000-000089DD0000}"/>
    <cellStyle name="Percent 2 2 3 3 3 4 2 2" xfId="56824" xr:uid="{00000000-0005-0000-0000-00008ADD0000}"/>
    <cellStyle name="Percent 2 2 3 3 3 4 2 3" xfId="56825" xr:uid="{00000000-0005-0000-0000-00008BDD0000}"/>
    <cellStyle name="Percent 2 2 3 3 3 4 3" xfId="56826" xr:uid="{00000000-0005-0000-0000-00008CDD0000}"/>
    <cellStyle name="Percent 2 2 3 3 3 4 4" xfId="56827" xr:uid="{00000000-0005-0000-0000-00008DDD0000}"/>
    <cellStyle name="Percent 2 2 3 3 3 4 5" xfId="56828" xr:uid="{00000000-0005-0000-0000-00008EDD0000}"/>
    <cellStyle name="Percent 2 2 3 3 3 4 6" xfId="56829" xr:uid="{00000000-0005-0000-0000-00008FDD0000}"/>
    <cellStyle name="Percent 2 2 3 3 3 5" xfId="56830" xr:uid="{00000000-0005-0000-0000-000090DD0000}"/>
    <cellStyle name="Percent 2 2 3 3 3 5 2" xfId="56831" xr:uid="{00000000-0005-0000-0000-000091DD0000}"/>
    <cellStyle name="Percent 2 2 3 3 3 5 2 2" xfId="56832" xr:uid="{00000000-0005-0000-0000-000092DD0000}"/>
    <cellStyle name="Percent 2 2 3 3 3 5 2 3" xfId="56833" xr:uid="{00000000-0005-0000-0000-000093DD0000}"/>
    <cellStyle name="Percent 2 2 3 3 3 5 3" xfId="56834" xr:uid="{00000000-0005-0000-0000-000094DD0000}"/>
    <cellStyle name="Percent 2 2 3 3 3 5 4" xfId="56835" xr:uid="{00000000-0005-0000-0000-000095DD0000}"/>
    <cellStyle name="Percent 2 2 3 3 3 5 5" xfId="56836" xr:uid="{00000000-0005-0000-0000-000096DD0000}"/>
    <cellStyle name="Percent 2 2 3 3 3 5 6" xfId="56837" xr:uid="{00000000-0005-0000-0000-000097DD0000}"/>
    <cellStyle name="Percent 2 2 3 3 3 6" xfId="56838" xr:uid="{00000000-0005-0000-0000-000098DD0000}"/>
    <cellStyle name="Percent 2 2 3 3 3 6 2" xfId="56839" xr:uid="{00000000-0005-0000-0000-000099DD0000}"/>
    <cellStyle name="Percent 2 2 3 3 3 6 3" xfId="56840" xr:uid="{00000000-0005-0000-0000-00009ADD0000}"/>
    <cellStyle name="Percent 2 2 3 3 3 7" xfId="56841" xr:uid="{00000000-0005-0000-0000-00009BDD0000}"/>
    <cellStyle name="Percent 2 2 3 3 3 8" xfId="56842" xr:uid="{00000000-0005-0000-0000-00009CDD0000}"/>
    <cellStyle name="Percent 2 2 3 3 3 9" xfId="56843" xr:uid="{00000000-0005-0000-0000-00009DDD0000}"/>
    <cellStyle name="Percent 2 2 3 3 4" xfId="56844" xr:uid="{00000000-0005-0000-0000-00009EDD0000}"/>
    <cellStyle name="Percent 2 2 3 3 4 2" xfId="56845" xr:uid="{00000000-0005-0000-0000-00009FDD0000}"/>
    <cellStyle name="Percent 2 2 3 3 4 2 2" xfId="56846" xr:uid="{00000000-0005-0000-0000-0000A0DD0000}"/>
    <cellStyle name="Percent 2 2 3 3 4 2 2 2" xfId="56847" xr:uid="{00000000-0005-0000-0000-0000A1DD0000}"/>
    <cellStyle name="Percent 2 2 3 3 4 2 2 2 2" xfId="56848" xr:uid="{00000000-0005-0000-0000-0000A2DD0000}"/>
    <cellStyle name="Percent 2 2 3 3 4 2 2 2 3" xfId="56849" xr:uid="{00000000-0005-0000-0000-0000A3DD0000}"/>
    <cellStyle name="Percent 2 2 3 3 4 2 2 3" xfId="56850" xr:uid="{00000000-0005-0000-0000-0000A4DD0000}"/>
    <cellStyle name="Percent 2 2 3 3 4 2 2 4" xfId="56851" xr:uid="{00000000-0005-0000-0000-0000A5DD0000}"/>
    <cellStyle name="Percent 2 2 3 3 4 2 2 5" xfId="56852" xr:uid="{00000000-0005-0000-0000-0000A6DD0000}"/>
    <cellStyle name="Percent 2 2 3 3 4 2 2 6" xfId="56853" xr:uid="{00000000-0005-0000-0000-0000A7DD0000}"/>
    <cellStyle name="Percent 2 2 3 3 4 2 3" xfId="56854" xr:uid="{00000000-0005-0000-0000-0000A8DD0000}"/>
    <cellStyle name="Percent 2 2 3 3 4 2 3 2" xfId="56855" xr:uid="{00000000-0005-0000-0000-0000A9DD0000}"/>
    <cellStyle name="Percent 2 2 3 3 4 2 3 3" xfId="56856" xr:uid="{00000000-0005-0000-0000-0000AADD0000}"/>
    <cellStyle name="Percent 2 2 3 3 4 2 4" xfId="56857" xr:uid="{00000000-0005-0000-0000-0000ABDD0000}"/>
    <cellStyle name="Percent 2 2 3 3 4 2 5" xfId="56858" xr:uid="{00000000-0005-0000-0000-0000ACDD0000}"/>
    <cellStyle name="Percent 2 2 3 3 4 2 6" xfId="56859" xr:uid="{00000000-0005-0000-0000-0000ADDD0000}"/>
    <cellStyle name="Percent 2 2 3 3 4 2 7" xfId="56860" xr:uid="{00000000-0005-0000-0000-0000AEDD0000}"/>
    <cellStyle name="Percent 2 2 3 3 4 3" xfId="56861" xr:uid="{00000000-0005-0000-0000-0000AFDD0000}"/>
    <cellStyle name="Percent 2 2 3 3 4 3 2" xfId="56862" xr:uid="{00000000-0005-0000-0000-0000B0DD0000}"/>
    <cellStyle name="Percent 2 2 3 3 4 3 2 2" xfId="56863" xr:uid="{00000000-0005-0000-0000-0000B1DD0000}"/>
    <cellStyle name="Percent 2 2 3 3 4 3 2 3" xfId="56864" xr:uid="{00000000-0005-0000-0000-0000B2DD0000}"/>
    <cellStyle name="Percent 2 2 3 3 4 3 3" xfId="56865" xr:uid="{00000000-0005-0000-0000-0000B3DD0000}"/>
    <cellStyle name="Percent 2 2 3 3 4 3 4" xfId="56866" xr:uid="{00000000-0005-0000-0000-0000B4DD0000}"/>
    <cellStyle name="Percent 2 2 3 3 4 3 5" xfId="56867" xr:uid="{00000000-0005-0000-0000-0000B5DD0000}"/>
    <cellStyle name="Percent 2 2 3 3 4 3 6" xfId="56868" xr:uid="{00000000-0005-0000-0000-0000B6DD0000}"/>
    <cellStyle name="Percent 2 2 3 3 4 4" xfId="56869" xr:uid="{00000000-0005-0000-0000-0000B7DD0000}"/>
    <cellStyle name="Percent 2 2 3 3 4 4 2" xfId="56870" xr:uid="{00000000-0005-0000-0000-0000B8DD0000}"/>
    <cellStyle name="Percent 2 2 3 3 4 4 2 2" xfId="56871" xr:uid="{00000000-0005-0000-0000-0000B9DD0000}"/>
    <cellStyle name="Percent 2 2 3 3 4 4 2 3" xfId="56872" xr:uid="{00000000-0005-0000-0000-0000BADD0000}"/>
    <cellStyle name="Percent 2 2 3 3 4 4 3" xfId="56873" xr:uid="{00000000-0005-0000-0000-0000BBDD0000}"/>
    <cellStyle name="Percent 2 2 3 3 4 4 4" xfId="56874" xr:uid="{00000000-0005-0000-0000-0000BCDD0000}"/>
    <cellStyle name="Percent 2 2 3 3 4 4 5" xfId="56875" xr:uid="{00000000-0005-0000-0000-0000BDDD0000}"/>
    <cellStyle name="Percent 2 2 3 3 4 4 6" xfId="56876" xr:uid="{00000000-0005-0000-0000-0000BEDD0000}"/>
    <cellStyle name="Percent 2 2 3 3 4 5" xfId="56877" xr:uid="{00000000-0005-0000-0000-0000BFDD0000}"/>
    <cellStyle name="Percent 2 2 3 3 4 5 2" xfId="56878" xr:uid="{00000000-0005-0000-0000-0000C0DD0000}"/>
    <cellStyle name="Percent 2 2 3 3 4 5 3" xfId="56879" xr:uid="{00000000-0005-0000-0000-0000C1DD0000}"/>
    <cellStyle name="Percent 2 2 3 3 4 6" xfId="56880" xr:uid="{00000000-0005-0000-0000-0000C2DD0000}"/>
    <cellStyle name="Percent 2 2 3 3 4 7" xfId="56881" xr:uid="{00000000-0005-0000-0000-0000C3DD0000}"/>
    <cellStyle name="Percent 2 2 3 3 4 8" xfId="56882" xr:uid="{00000000-0005-0000-0000-0000C4DD0000}"/>
    <cellStyle name="Percent 2 2 3 3 4 9" xfId="56883" xr:uid="{00000000-0005-0000-0000-0000C5DD0000}"/>
    <cellStyle name="Percent 2 2 3 3 5" xfId="56884" xr:uid="{00000000-0005-0000-0000-0000C6DD0000}"/>
    <cellStyle name="Percent 2 2 3 3 5 2" xfId="56885" xr:uid="{00000000-0005-0000-0000-0000C7DD0000}"/>
    <cellStyle name="Percent 2 2 3 3 5 2 2" xfId="56886" xr:uid="{00000000-0005-0000-0000-0000C8DD0000}"/>
    <cellStyle name="Percent 2 2 3 3 5 2 2 2" xfId="56887" xr:uid="{00000000-0005-0000-0000-0000C9DD0000}"/>
    <cellStyle name="Percent 2 2 3 3 5 2 2 3" xfId="56888" xr:uid="{00000000-0005-0000-0000-0000CADD0000}"/>
    <cellStyle name="Percent 2 2 3 3 5 2 3" xfId="56889" xr:uid="{00000000-0005-0000-0000-0000CBDD0000}"/>
    <cellStyle name="Percent 2 2 3 3 5 2 4" xfId="56890" xr:uid="{00000000-0005-0000-0000-0000CCDD0000}"/>
    <cellStyle name="Percent 2 2 3 3 5 2 5" xfId="56891" xr:uid="{00000000-0005-0000-0000-0000CDDD0000}"/>
    <cellStyle name="Percent 2 2 3 3 5 2 6" xfId="56892" xr:uid="{00000000-0005-0000-0000-0000CEDD0000}"/>
    <cellStyle name="Percent 2 2 3 3 5 3" xfId="56893" xr:uid="{00000000-0005-0000-0000-0000CFDD0000}"/>
    <cellStyle name="Percent 2 2 3 3 5 3 2" xfId="56894" xr:uid="{00000000-0005-0000-0000-0000D0DD0000}"/>
    <cellStyle name="Percent 2 2 3 3 5 3 3" xfId="56895" xr:uid="{00000000-0005-0000-0000-0000D1DD0000}"/>
    <cellStyle name="Percent 2 2 3 3 5 4" xfId="56896" xr:uid="{00000000-0005-0000-0000-0000D2DD0000}"/>
    <cellStyle name="Percent 2 2 3 3 5 5" xfId="56897" xr:uid="{00000000-0005-0000-0000-0000D3DD0000}"/>
    <cellStyle name="Percent 2 2 3 3 5 6" xfId="56898" xr:uid="{00000000-0005-0000-0000-0000D4DD0000}"/>
    <cellStyle name="Percent 2 2 3 3 5 7" xfId="56899" xr:uid="{00000000-0005-0000-0000-0000D5DD0000}"/>
    <cellStyle name="Percent 2 2 3 3 6" xfId="56900" xr:uid="{00000000-0005-0000-0000-0000D6DD0000}"/>
    <cellStyle name="Percent 2 2 3 3 6 2" xfId="56901" xr:uid="{00000000-0005-0000-0000-0000D7DD0000}"/>
    <cellStyle name="Percent 2 2 3 3 6 2 2" xfId="56902" xr:uid="{00000000-0005-0000-0000-0000D8DD0000}"/>
    <cellStyle name="Percent 2 2 3 3 6 2 3" xfId="56903" xr:uid="{00000000-0005-0000-0000-0000D9DD0000}"/>
    <cellStyle name="Percent 2 2 3 3 6 3" xfId="56904" xr:uid="{00000000-0005-0000-0000-0000DADD0000}"/>
    <cellStyle name="Percent 2 2 3 3 6 4" xfId="56905" xr:uid="{00000000-0005-0000-0000-0000DBDD0000}"/>
    <cellStyle name="Percent 2 2 3 3 6 5" xfId="56906" xr:uid="{00000000-0005-0000-0000-0000DCDD0000}"/>
    <cellStyle name="Percent 2 2 3 3 6 6" xfId="56907" xr:uid="{00000000-0005-0000-0000-0000DDDD0000}"/>
    <cellStyle name="Percent 2 2 3 3 7" xfId="56908" xr:uid="{00000000-0005-0000-0000-0000DEDD0000}"/>
    <cellStyle name="Percent 2 2 3 3 7 2" xfId="56909" xr:uid="{00000000-0005-0000-0000-0000DFDD0000}"/>
    <cellStyle name="Percent 2 2 3 3 7 2 2" xfId="56910" xr:uid="{00000000-0005-0000-0000-0000E0DD0000}"/>
    <cellStyle name="Percent 2 2 3 3 7 2 3" xfId="56911" xr:uid="{00000000-0005-0000-0000-0000E1DD0000}"/>
    <cellStyle name="Percent 2 2 3 3 7 3" xfId="56912" xr:uid="{00000000-0005-0000-0000-0000E2DD0000}"/>
    <cellStyle name="Percent 2 2 3 3 7 4" xfId="56913" xr:uid="{00000000-0005-0000-0000-0000E3DD0000}"/>
    <cellStyle name="Percent 2 2 3 3 7 5" xfId="56914" xr:uid="{00000000-0005-0000-0000-0000E4DD0000}"/>
    <cellStyle name="Percent 2 2 3 3 7 6" xfId="56915" xr:uid="{00000000-0005-0000-0000-0000E5DD0000}"/>
    <cellStyle name="Percent 2 2 3 3 8" xfId="56916" xr:uid="{00000000-0005-0000-0000-0000E6DD0000}"/>
    <cellStyle name="Percent 2 2 3 3 8 2" xfId="56917" xr:uid="{00000000-0005-0000-0000-0000E7DD0000}"/>
    <cellStyle name="Percent 2 2 3 3 8 2 2" xfId="56918" xr:uid="{00000000-0005-0000-0000-0000E8DD0000}"/>
    <cellStyle name="Percent 2 2 3 3 8 2 3" xfId="56919" xr:uid="{00000000-0005-0000-0000-0000E9DD0000}"/>
    <cellStyle name="Percent 2 2 3 3 8 3" xfId="56920" xr:uid="{00000000-0005-0000-0000-0000EADD0000}"/>
    <cellStyle name="Percent 2 2 3 3 8 4" xfId="56921" xr:uid="{00000000-0005-0000-0000-0000EBDD0000}"/>
    <cellStyle name="Percent 2 2 3 3 8 5" xfId="56922" xr:uid="{00000000-0005-0000-0000-0000ECDD0000}"/>
    <cellStyle name="Percent 2 2 3 3 8 6" xfId="56923" xr:uid="{00000000-0005-0000-0000-0000EDDD0000}"/>
    <cellStyle name="Percent 2 2 3 3 9" xfId="56924" xr:uid="{00000000-0005-0000-0000-0000EEDD0000}"/>
    <cellStyle name="Percent 2 2 3 3 9 2" xfId="56925" xr:uid="{00000000-0005-0000-0000-0000EFDD0000}"/>
    <cellStyle name="Percent 2 2 3 3 9 2 2" xfId="56926" xr:uid="{00000000-0005-0000-0000-0000F0DD0000}"/>
    <cellStyle name="Percent 2 2 3 3 9 2 3" xfId="56927" xr:uid="{00000000-0005-0000-0000-0000F1DD0000}"/>
    <cellStyle name="Percent 2 2 3 3 9 3" xfId="56928" xr:uid="{00000000-0005-0000-0000-0000F2DD0000}"/>
    <cellStyle name="Percent 2 2 3 3 9 4" xfId="56929" xr:uid="{00000000-0005-0000-0000-0000F3DD0000}"/>
    <cellStyle name="Percent 2 2 3 3 9 5" xfId="56930" xr:uid="{00000000-0005-0000-0000-0000F4DD0000}"/>
    <cellStyle name="Percent 2 2 3 3 9 6" xfId="56931" xr:uid="{00000000-0005-0000-0000-0000F5DD0000}"/>
    <cellStyle name="Percent 2 2 3 4" xfId="56932" xr:uid="{00000000-0005-0000-0000-0000F6DD0000}"/>
    <cellStyle name="Percent 2 2 3 4 10" xfId="56933" xr:uid="{00000000-0005-0000-0000-0000F7DD0000}"/>
    <cellStyle name="Percent 2 2 3 4 11" xfId="56934" xr:uid="{00000000-0005-0000-0000-0000F8DD0000}"/>
    <cellStyle name="Percent 2 2 3 4 12" xfId="56935" xr:uid="{00000000-0005-0000-0000-0000F9DD0000}"/>
    <cellStyle name="Percent 2 2 3 4 13" xfId="56936" xr:uid="{00000000-0005-0000-0000-0000FADD0000}"/>
    <cellStyle name="Percent 2 2 3 4 2" xfId="56937" xr:uid="{00000000-0005-0000-0000-0000FBDD0000}"/>
    <cellStyle name="Percent 2 2 3 4 2 10" xfId="56938" xr:uid="{00000000-0005-0000-0000-0000FCDD0000}"/>
    <cellStyle name="Percent 2 2 3 4 2 2" xfId="56939" xr:uid="{00000000-0005-0000-0000-0000FDDD0000}"/>
    <cellStyle name="Percent 2 2 3 4 2 2 2" xfId="56940" xr:uid="{00000000-0005-0000-0000-0000FEDD0000}"/>
    <cellStyle name="Percent 2 2 3 4 2 2 2 2" xfId="56941" xr:uid="{00000000-0005-0000-0000-0000FFDD0000}"/>
    <cellStyle name="Percent 2 2 3 4 2 2 2 2 2" xfId="56942" xr:uid="{00000000-0005-0000-0000-000000DE0000}"/>
    <cellStyle name="Percent 2 2 3 4 2 2 2 2 3" xfId="56943" xr:uid="{00000000-0005-0000-0000-000001DE0000}"/>
    <cellStyle name="Percent 2 2 3 4 2 2 2 3" xfId="56944" xr:uid="{00000000-0005-0000-0000-000002DE0000}"/>
    <cellStyle name="Percent 2 2 3 4 2 2 2 4" xfId="56945" xr:uid="{00000000-0005-0000-0000-000003DE0000}"/>
    <cellStyle name="Percent 2 2 3 4 2 2 2 5" xfId="56946" xr:uid="{00000000-0005-0000-0000-000004DE0000}"/>
    <cellStyle name="Percent 2 2 3 4 2 2 2 6" xfId="56947" xr:uid="{00000000-0005-0000-0000-000005DE0000}"/>
    <cellStyle name="Percent 2 2 3 4 2 2 3" xfId="56948" xr:uid="{00000000-0005-0000-0000-000006DE0000}"/>
    <cellStyle name="Percent 2 2 3 4 2 2 3 2" xfId="56949" xr:uid="{00000000-0005-0000-0000-000007DE0000}"/>
    <cellStyle name="Percent 2 2 3 4 2 2 3 2 2" xfId="56950" xr:uid="{00000000-0005-0000-0000-000008DE0000}"/>
    <cellStyle name="Percent 2 2 3 4 2 2 3 2 3" xfId="56951" xr:uid="{00000000-0005-0000-0000-000009DE0000}"/>
    <cellStyle name="Percent 2 2 3 4 2 2 3 3" xfId="56952" xr:uid="{00000000-0005-0000-0000-00000ADE0000}"/>
    <cellStyle name="Percent 2 2 3 4 2 2 3 4" xfId="56953" xr:uid="{00000000-0005-0000-0000-00000BDE0000}"/>
    <cellStyle name="Percent 2 2 3 4 2 2 3 5" xfId="56954" xr:uid="{00000000-0005-0000-0000-00000CDE0000}"/>
    <cellStyle name="Percent 2 2 3 4 2 2 3 6" xfId="56955" xr:uid="{00000000-0005-0000-0000-00000DDE0000}"/>
    <cellStyle name="Percent 2 2 3 4 2 2 4" xfId="56956" xr:uid="{00000000-0005-0000-0000-00000EDE0000}"/>
    <cellStyle name="Percent 2 2 3 4 2 2 4 2" xfId="56957" xr:uid="{00000000-0005-0000-0000-00000FDE0000}"/>
    <cellStyle name="Percent 2 2 3 4 2 2 4 3" xfId="56958" xr:uid="{00000000-0005-0000-0000-000010DE0000}"/>
    <cellStyle name="Percent 2 2 3 4 2 2 5" xfId="56959" xr:uid="{00000000-0005-0000-0000-000011DE0000}"/>
    <cellStyle name="Percent 2 2 3 4 2 2 6" xfId="56960" xr:uid="{00000000-0005-0000-0000-000012DE0000}"/>
    <cellStyle name="Percent 2 2 3 4 2 2 7" xfId="56961" xr:uid="{00000000-0005-0000-0000-000013DE0000}"/>
    <cellStyle name="Percent 2 2 3 4 2 2 8" xfId="56962" xr:uid="{00000000-0005-0000-0000-000014DE0000}"/>
    <cellStyle name="Percent 2 2 3 4 2 3" xfId="56963" xr:uid="{00000000-0005-0000-0000-000015DE0000}"/>
    <cellStyle name="Percent 2 2 3 4 2 3 2" xfId="56964" xr:uid="{00000000-0005-0000-0000-000016DE0000}"/>
    <cellStyle name="Percent 2 2 3 4 2 3 2 2" xfId="56965" xr:uid="{00000000-0005-0000-0000-000017DE0000}"/>
    <cellStyle name="Percent 2 2 3 4 2 3 2 2 2" xfId="56966" xr:uid="{00000000-0005-0000-0000-000018DE0000}"/>
    <cellStyle name="Percent 2 2 3 4 2 3 2 2 3" xfId="56967" xr:uid="{00000000-0005-0000-0000-000019DE0000}"/>
    <cellStyle name="Percent 2 2 3 4 2 3 2 3" xfId="56968" xr:uid="{00000000-0005-0000-0000-00001ADE0000}"/>
    <cellStyle name="Percent 2 2 3 4 2 3 2 4" xfId="56969" xr:uid="{00000000-0005-0000-0000-00001BDE0000}"/>
    <cellStyle name="Percent 2 2 3 4 2 3 2 5" xfId="56970" xr:uid="{00000000-0005-0000-0000-00001CDE0000}"/>
    <cellStyle name="Percent 2 2 3 4 2 3 2 6" xfId="56971" xr:uid="{00000000-0005-0000-0000-00001DDE0000}"/>
    <cellStyle name="Percent 2 2 3 4 2 3 3" xfId="56972" xr:uid="{00000000-0005-0000-0000-00001EDE0000}"/>
    <cellStyle name="Percent 2 2 3 4 2 3 3 2" xfId="56973" xr:uid="{00000000-0005-0000-0000-00001FDE0000}"/>
    <cellStyle name="Percent 2 2 3 4 2 3 3 3" xfId="56974" xr:uid="{00000000-0005-0000-0000-000020DE0000}"/>
    <cellStyle name="Percent 2 2 3 4 2 3 4" xfId="56975" xr:uid="{00000000-0005-0000-0000-000021DE0000}"/>
    <cellStyle name="Percent 2 2 3 4 2 3 5" xfId="56976" xr:uid="{00000000-0005-0000-0000-000022DE0000}"/>
    <cellStyle name="Percent 2 2 3 4 2 3 6" xfId="56977" xr:uid="{00000000-0005-0000-0000-000023DE0000}"/>
    <cellStyle name="Percent 2 2 3 4 2 3 7" xfId="56978" xr:uid="{00000000-0005-0000-0000-000024DE0000}"/>
    <cellStyle name="Percent 2 2 3 4 2 4" xfId="56979" xr:uid="{00000000-0005-0000-0000-000025DE0000}"/>
    <cellStyle name="Percent 2 2 3 4 2 4 2" xfId="56980" xr:uid="{00000000-0005-0000-0000-000026DE0000}"/>
    <cellStyle name="Percent 2 2 3 4 2 4 2 2" xfId="56981" xr:uid="{00000000-0005-0000-0000-000027DE0000}"/>
    <cellStyle name="Percent 2 2 3 4 2 4 2 3" xfId="56982" xr:uid="{00000000-0005-0000-0000-000028DE0000}"/>
    <cellStyle name="Percent 2 2 3 4 2 4 3" xfId="56983" xr:uid="{00000000-0005-0000-0000-000029DE0000}"/>
    <cellStyle name="Percent 2 2 3 4 2 4 4" xfId="56984" xr:uid="{00000000-0005-0000-0000-00002ADE0000}"/>
    <cellStyle name="Percent 2 2 3 4 2 4 5" xfId="56985" xr:uid="{00000000-0005-0000-0000-00002BDE0000}"/>
    <cellStyle name="Percent 2 2 3 4 2 4 6" xfId="56986" xr:uid="{00000000-0005-0000-0000-00002CDE0000}"/>
    <cellStyle name="Percent 2 2 3 4 2 5" xfId="56987" xr:uid="{00000000-0005-0000-0000-00002DDE0000}"/>
    <cellStyle name="Percent 2 2 3 4 2 5 2" xfId="56988" xr:uid="{00000000-0005-0000-0000-00002EDE0000}"/>
    <cellStyle name="Percent 2 2 3 4 2 5 2 2" xfId="56989" xr:uid="{00000000-0005-0000-0000-00002FDE0000}"/>
    <cellStyle name="Percent 2 2 3 4 2 5 2 3" xfId="56990" xr:uid="{00000000-0005-0000-0000-000030DE0000}"/>
    <cellStyle name="Percent 2 2 3 4 2 5 3" xfId="56991" xr:uid="{00000000-0005-0000-0000-000031DE0000}"/>
    <cellStyle name="Percent 2 2 3 4 2 5 4" xfId="56992" xr:uid="{00000000-0005-0000-0000-000032DE0000}"/>
    <cellStyle name="Percent 2 2 3 4 2 5 5" xfId="56993" xr:uid="{00000000-0005-0000-0000-000033DE0000}"/>
    <cellStyle name="Percent 2 2 3 4 2 5 6" xfId="56994" xr:uid="{00000000-0005-0000-0000-000034DE0000}"/>
    <cellStyle name="Percent 2 2 3 4 2 6" xfId="56995" xr:uid="{00000000-0005-0000-0000-000035DE0000}"/>
    <cellStyle name="Percent 2 2 3 4 2 6 2" xfId="56996" xr:uid="{00000000-0005-0000-0000-000036DE0000}"/>
    <cellStyle name="Percent 2 2 3 4 2 6 3" xfId="56997" xr:uid="{00000000-0005-0000-0000-000037DE0000}"/>
    <cellStyle name="Percent 2 2 3 4 2 7" xfId="56998" xr:uid="{00000000-0005-0000-0000-000038DE0000}"/>
    <cellStyle name="Percent 2 2 3 4 2 8" xfId="56999" xr:uid="{00000000-0005-0000-0000-000039DE0000}"/>
    <cellStyle name="Percent 2 2 3 4 2 9" xfId="57000" xr:uid="{00000000-0005-0000-0000-00003ADE0000}"/>
    <cellStyle name="Percent 2 2 3 4 3" xfId="57001" xr:uid="{00000000-0005-0000-0000-00003BDE0000}"/>
    <cellStyle name="Percent 2 2 3 4 3 2" xfId="57002" xr:uid="{00000000-0005-0000-0000-00003CDE0000}"/>
    <cellStyle name="Percent 2 2 3 4 3 2 2" xfId="57003" xr:uid="{00000000-0005-0000-0000-00003DDE0000}"/>
    <cellStyle name="Percent 2 2 3 4 3 2 2 2" xfId="57004" xr:uid="{00000000-0005-0000-0000-00003EDE0000}"/>
    <cellStyle name="Percent 2 2 3 4 3 2 2 2 2" xfId="57005" xr:uid="{00000000-0005-0000-0000-00003FDE0000}"/>
    <cellStyle name="Percent 2 2 3 4 3 2 2 2 3" xfId="57006" xr:uid="{00000000-0005-0000-0000-000040DE0000}"/>
    <cellStyle name="Percent 2 2 3 4 3 2 2 3" xfId="57007" xr:uid="{00000000-0005-0000-0000-000041DE0000}"/>
    <cellStyle name="Percent 2 2 3 4 3 2 2 4" xfId="57008" xr:uid="{00000000-0005-0000-0000-000042DE0000}"/>
    <cellStyle name="Percent 2 2 3 4 3 2 2 5" xfId="57009" xr:uid="{00000000-0005-0000-0000-000043DE0000}"/>
    <cellStyle name="Percent 2 2 3 4 3 2 2 6" xfId="57010" xr:uid="{00000000-0005-0000-0000-000044DE0000}"/>
    <cellStyle name="Percent 2 2 3 4 3 2 3" xfId="57011" xr:uid="{00000000-0005-0000-0000-000045DE0000}"/>
    <cellStyle name="Percent 2 2 3 4 3 2 3 2" xfId="57012" xr:uid="{00000000-0005-0000-0000-000046DE0000}"/>
    <cellStyle name="Percent 2 2 3 4 3 2 3 3" xfId="57013" xr:uid="{00000000-0005-0000-0000-000047DE0000}"/>
    <cellStyle name="Percent 2 2 3 4 3 2 4" xfId="57014" xr:uid="{00000000-0005-0000-0000-000048DE0000}"/>
    <cellStyle name="Percent 2 2 3 4 3 2 5" xfId="57015" xr:uid="{00000000-0005-0000-0000-000049DE0000}"/>
    <cellStyle name="Percent 2 2 3 4 3 2 6" xfId="57016" xr:uid="{00000000-0005-0000-0000-00004ADE0000}"/>
    <cellStyle name="Percent 2 2 3 4 3 2 7" xfId="57017" xr:uid="{00000000-0005-0000-0000-00004BDE0000}"/>
    <cellStyle name="Percent 2 2 3 4 3 3" xfId="57018" xr:uid="{00000000-0005-0000-0000-00004CDE0000}"/>
    <cellStyle name="Percent 2 2 3 4 3 3 2" xfId="57019" xr:uid="{00000000-0005-0000-0000-00004DDE0000}"/>
    <cellStyle name="Percent 2 2 3 4 3 3 2 2" xfId="57020" xr:uid="{00000000-0005-0000-0000-00004EDE0000}"/>
    <cellStyle name="Percent 2 2 3 4 3 3 2 3" xfId="57021" xr:uid="{00000000-0005-0000-0000-00004FDE0000}"/>
    <cellStyle name="Percent 2 2 3 4 3 3 3" xfId="57022" xr:uid="{00000000-0005-0000-0000-000050DE0000}"/>
    <cellStyle name="Percent 2 2 3 4 3 3 4" xfId="57023" xr:uid="{00000000-0005-0000-0000-000051DE0000}"/>
    <cellStyle name="Percent 2 2 3 4 3 3 5" xfId="57024" xr:uid="{00000000-0005-0000-0000-000052DE0000}"/>
    <cellStyle name="Percent 2 2 3 4 3 3 6" xfId="57025" xr:uid="{00000000-0005-0000-0000-000053DE0000}"/>
    <cellStyle name="Percent 2 2 3 4 3 4" xfId="57026" xr:uid="{00000000-0005-0000-0000-000054DE0000}"/>
    <cellStyle name="Percent 2 2 3 4 3 4 2" xfId="57027" xr:uid="{00000000-0005-0000-0000-000055DE0000}"/>
    <cellStyle name="Percent 2 2 3 4 3 4 2 2" xfId="57028" xr:uid="{00000000-0005-0000-0000-000056DE0000}"/>
    <cellStyle name="Percent 2 2 3 4 3 4 2 3" xfId="57029" xr:uid="{00000000-0005-0000-0000-000057DE0000}"/>
    <cellStyle name="Percent 2 2 3 4 3 4 3" xfId="57030" xr:uid="{00000000-0005-0000-0000-000058DE0000}"/>
    <cellStyle name="Percent 2 2 3 4 3 4 4" xfId="57031" xr:uid="{00000000-0005-0000-0000-000059DE0000}"/>
    <cellStyle name="Percent 2 2 3 4 3 4 5" xfId="57032" xr:uid="{00000000-0005-0000-0000-00005ADE0000}"/>
    <cellStyle name="Percent 2 2 3 4 3 4 6" xfId="57033" xr:uid="{00000000-0005-0000-0000-00005BDE0000}"/>
    <cellStyle name="Percent 2 2 3 4 3 5" xfId="57034" xr:uid="{00000000-0005-0000-0000-00005CDE0000}"/>
    <cellStyle name="Percent 2 2 3 4 3 5 2" xfId="57035" xr:uid="{00000000-0005-0000-0000-00005DDE0000}"/>
    <cellStyle name="Percent 2 2 3 4 3 5 3" xfId="57036" xr:uid="{00000000-0005-0000-0000-00005EDE0000}"/>
    <cellStyle name="Percent 2 2 3 4 3 6" xfId="57037" xr:uid="{00000000-0005-0000-0000-00005FDE0000}"/>
    <cellStyle name="Percent 2 2 3 4 3 7" xfId="57038" xr:uid="{00000000-0005-0000-0000-000060DE0000}"/>
    <cellStyle name="Percent 2 2 3 4 3 8" xfId="57039" xr:uid="{00000000-0005-0000-0000-000061DE0000}"/>
    <cellStyle name="Percent 2 2 3 4 3 9" xfId="57040" xr:uid="{00000000-0005-0000-0000-000062DE0000}"/>
    <cellStyle name="Percent 2 2 3 4 4" xfId="57041" xr:uid="{00000000-0005-0000-0000-000063DE0000}"/>
    <cellStyle name="Percent 2 2 3 4 4 2" xfId="57042" xr:uid="{00000000-0005-0000-0000-000064DE0000}"/>
    <cellStyle name="Percent 2 2 3 4 4 2 2" xfId="57043" xr:uid="{00000000-0005-0000-0000-000065DE0000}"/>
    <cellStyle name="Percent 2 2 3 4 4 2 2 2" xfId="57044" xr:uid="{00000000-0005-0000-0000-000066DE0000}"/>
    <cellStyle name="Percent 2 2 3 4 4 2 2 3" xfId="57045" xr:uid="{00000000-0005-0000-0000-000067DE0000}"/>
    <cellStyle name="Percent 2 2 3 4 4 2 3" xfId="57046" xr:uid="{00000000-0005-0000-0000-000068DE0000}"/>
    <cellStyle name="Percent 2 2 3 4 4 2 4" xfId="57047" xr:uid="{00000000-0005-0000-0000-000069DE0000}"/>
    <cellStyle name="Percent 2 2 3 4 4 2 5" xfId="57048" xr:uid="{00000000-0005-0000-0000-00006ADE0000}"/>
    <cellStyle name="Percent 2 2 3 4 4 2 6" xfId="57049" xr:uid="{00000000-0005-0000-0000-00006BDE0000}"/>
    <cellStyle name="Percent 2 2 3 4 4 3" xfId="57050" xr:uid="{00000000-0005-0000-0000-00006CDE0000}"/>
    <cellStyle name="Percent 2 2 3 4 4 3 2" xfId="57051" xr:uid="{00000000-0005-0000-0000-00006DDE0000}"/>
    <cellStyle name="Percent 2 2 3 4 4 3 3" xfId="57052" xr:uid="{00000000-0005-0000-0000-00006EDE0000}"/>
    <cellStyle name="Percent 2 2 3 4 4 4" xfId="57053" xr:uid="{00000000-0005-0000-0000-00006FDE0000}"/>
    <cellStyle name="Percent 2 2 3 4 4 5" xfId="57054" xr:uid="{00000000-0005-0000-0000-000070DE0000}"/>
    <cellStyle name="Percent 2 2 3 4 4 6" xfId="57055" xr:uid="{00000000-0005-0000-0000-000071DE0000}"/>
    <cellStyle name="Percent 2 2 3 4 4 7" xfId="57056" xr:uid="{00000000-0005-0000-0000-000072DE0000}"/>
    <cellStyle name="Percent 2 2 3 4 5" xfId="57057" xr:uid="{00000000-0005-0000-0000-000073DE0000}"/>
    <cellStyle name="Percent 2 2 3 4 5 2" xfId="57058" xr:uid="{00000000-0005-0000-0000-000074DE0000}"/>
    <cellStyle name="Percent 2 2 3 4 5 2 2" xfId="57059" xr:uid="{00000000-0005-0000-0000-000075DE0000}"/>
    <cellStyle name="Percent 2 2 3 4 5 2 3" xfId="57060" xr:uid="{00000000-0005-0000-0000-000076DE0000}"/>
    <cellStyle name="Percent 2 2 3 4 5 3" xfId="57061" xr:uid="{00000000-0005-0000-0000-000077DE0000}"/>
    <cellStyle name="Percent 2 2 3 4 5 4" xfId="57062" xr:uid="{00000000-0005-0000-0000-000078DE0000}"/>
    <cellStyle name="Percent 2 2 3 4 5 5" xfId="57063" xr:uid="{00000000-0005-0000-0000-000079DE0000}"/>
    <cellStyle name="Percent 2 2 3 4 5 6" xfId="57064" xr:uid="{00000000-0005-0000-0000-00007ADE0000}"/>
    <cellStyle name="Percent 2 2 3 4 6" xfId="57065" xr:uid="{00000000-0005-0000-0000-00007BDE0000}"/>
    <cellStyle name="Percent 2 2 3 4 6 2" xfId="57066" xr:uid="{00000000-0005-0000-0000-00007CDE0000}"/>
    <cellStyle name="Percent 2 2 3 4 6 2 2" xfId="57067" xr:uid="{00000000-0005-0000-0000-00007DDE0000}"/>
    <cellStyle name="Percent 2 2 3 4 6 2 3" xfId="57068" xr:uid="{00000000-0005-0000-0000-00007EDE0000}"/>
    <cellStyle name="Percent 2 2 3 4 6 3" xfId="57069" xr:uid="{00000000-0005-0000-0000-00007FDE0000}"/>
    <cellStyle name="Percent 2 2 3 4 6 4" xfId="57070" xr:uid="{00000000-0005-0000-0000-000080DE0000}"/>
    <cellStyle name="Percent 2 2 3 4 6 5" xfId="57071" xr:uid="{00000000-0005-0000-0000-000081DE0000}"/>
    <cellStyle name="Percent 2 2 3 4 6 6" xfId="57072" xr:uid="{00000000-0005-0000-0000-000082DE0000}"/>
    <cellStyle name="Percent 2 2 3 4 7" xfId="57073" xr:uid="{00000000-0005-0000-0000-000083DE0000}"/>
    <cellStyle name="Percent 2 2 3 4 7 2" xfId="57074" xr:uid="{00000000-0005-0000-0000-000084DE0000}"/>
    <cellStyle name="Percent 2 2 3 4 7 2 2" xfId="57075" xr:uid="{00000000-0005-0000-0000-000085DE0000}"/>
    <cellStyle name="Percent 2 2 3 4 7 2 3" xfId="57076" xr:uid="{00000000-0005-0000-0000-000086DE0000}"/>
    <cellStyle name="Percent 2 2 3 4 7 3" xfId="57077" xr:uid="{00000000-0005-0000-0000-000087DE0000}"/>
    <cellStyle name="Percent 2 2 3 4 7 4" xfId="57078" xr:uid="{00000000-0005-0000-0000-000088DE0000}"/>
    <cellStyle name="Percent 2 2 3 4 7 5" xfId="57079" xr:uid="{00000000-0005-0000-0000-000089DE0000}"/>
    <cellStyle name="Percent 2 2 3 4 7 6" xfId="57080" xr:uid="{00000000-0005-0000-0000-00008ADE0000}"/>
    <cellStyle name="Percent 2 2 3 4 8" xfId="57081" xr:uid="{00000000-0005-0000-0000-00008BDE0000}"/>
    <cellStyle name="Percent 2 2 3 4 8 2" xfId="57082" xr:uid="{00000000-0005-0000-0000-00008CDE0000}"/>
    <cellStyle name="Percent 2 2 3 4 8 2 2" xfId="57083" xr:uid="{00000000-0005-0000-0000-00008DDE0000}"/>
    <cellStyle name="Percent 2 2 3 4 8 2 3" xfId="57084" xr:uid="{00000000-0005-0000-0000-00008EDE0000}"/>
    <cellStyle name="Percent 2 2 3 4 8 3" xfId="57085" xr:uid="{00000000-0005-0000-0000-00008FDE0000}"/>
    <cellStyle name="Percent 2 2 3 4 8 4" xfId="57086" xr:uid="{00000000-0005-0000-0000-000090DE0000}"/>
    <cellStyle name="Percent 2 2 3 4 8 5" xfId="57087" xr:uid="{00000000-0005-0000-0000-000091DE0000}"/>
    <cellStyle name="Percent 2 2 3 4 8 6" xfId="57088" xr:uid="{00000000-0005-0000-0000-000092DE0000}"/>
    <cellStyle name="Percent 2 2 3 4 9" xfId="57089" xr:uid="{00000000-0005-0000-0000-000093DE0000}"/>
    <cellStyle name="Percent 2 2 3 4 9 2" xfId="57090" xr:uid="{00000000-0005-0000-0000-000094DE0000}"/>
    <cellStyle name="Percent 2 2 3 4 9 3" xfId="57091" xr:uid="{00000000-0005-0000-0000-000095DE0000}"/>
    <cellStyle name="Percent 2 2 3 5" xfId="57092" xr:uid="{00000000-0005-0000-0000-000096DE0000}"/>
    <cellStyle name="Percent 2 2 3 5 10" xfId="57093" xr:uid="{00000000-0005-0000-0000-000097DE0000}"/>
    <cellStyle name="Percent 2 2 3 5 2" xfId="57094" xr:uid="{00000000-0005-0000-0000-000098DE0000}"/>
    <cellStyle name="Percent 2 2 3 5 2 2" xfId="57095" xr:uid="{00000000-0005-0000-0000-000099DE0000}"/>
    <cellStyle name="Percent 2 2 3 5 2 2 2" xfId="57096" xr:uid="{00000000-0005-0000-0000-00009ADE0000}"/>
    <cellStyle name="Percent 2 2 3 5 2 2 2 2" xfId="57097" xr:uid="{00000000-0005-0000-0000-00009BDE0000}"/>
    <cellStyle name="Percent 2 2 3 5 2 2 2 3" xfId="57098" xr:uid="{00000000-0005-0000-0000-00009CDE0000}"/>
    <cellStyle name="Percent 2 2 3 5 2 2 3" xfId="57099" xr:uid="{00000000-0005-0000-0000-00009DDE0000}"/>
    <cellStyle name="Percent 2 2 3 5 2 2 4" xfId="57100" xr:uid="{00000000-0005-0000-0000-00009EDE0000}"/>
    <cellStyle name="Percent 2 2 3 5 2 2 5" xfId="57101" xr:uid="{00000000-0005-0000-0000-00009FDE0000}"/>
    <cellStyle name="Percent 2 2 3 5 2 2 6" xfId="57102" xr:uid="{00000000-0005-0000-0000-0000A0DE0000}"/>
    <cellStyle name="Percent 2 2 3 5 2 3" xfId="57103" xr:uid="{00000000-0005-0000-0000-0000A1DE0000}"/>
    <cellStyle name="Percent 2 2 3 5 2 3 2" xfId="57104" xr:uid="{00000000-0005-0000-0000-0000A2DE0000}"/>
    <cellStyle name="Percent 2 2 3 5 2 3 2 2" xfId="57105" xr:uid="{00000000-0005-0000-0000-0000A3DE0000}"/>
    <cellStyle name="Percent 2 2 3 5 2 3 2 3" xfId="57106" xr:uid="{00000000-0005-0000-0000-0000A4DE0000}"/>
    <cellStyle name="Percent 2 2 3 5 2 3 3" xfId="57107" xr:uid="{00000000-0005-0000-0000-0000A5DE0000}"/>
    <cellStyle name="Percent 2 2 3 5 2 3 4" xfId="57108" xr:uid="{00000000-0005-0000-0000-0000A6DE0000}"/>
    <cellStyle name="Percent 2 2 3 5 2 3 5" xfId="57109" xr:uid="{00000000-0005-0000-0000-0000A7DE0000}"/>
    <cellStyle name="Percent 2 2 3 5 2 3 6" xfId="57110" xr:uid="{00000000-0005-0000-0000-0000A8DE0000}"/>
    <cellStyle name="Percent 2 2 3 5 2 4" xfId="57111" xr:uid="{00000000-0005-0000-0000-0000A9DE0000}"/>
    <cellStyle name="Percent 2 2 3 5 2 4 2" xfId="57112" xr:uid="{00000000-0005-0000-0000-0000AADE0000}"/>
    <cellStyle name="Percent 2 2 3 5 2 4 3" xfId="57113" xr:uid="{00000000-0005-0000-0000-0000ABDE0000}"/>
    <cellStyle name="Percent 2 2 3 5 2 5" xfId="57114" xr:uid="{00000000-0005-0000-0000-0000ACDE0000}"/>
    <cellStyle name="Percent 2 2 3 5 2 6" xfId="57115" xr:uid="{00000000-0005-0000-0000-0000ADDE0000}"/>
    <cellStyle name="Percent 2 2 3 5 2 7" xfId="57116" xr:uid="{00000000-0005-0000-0000-0000AEDE0000}"/>
    <cellStyle name="Percent 2 2 3 5 2 8" xfId="57117" xr:uid="{00000000-0005-0000-0000-0000AFDE0000}"/>
    <cellStyle name="Percent 2 2 3 5 3" xfId="57118" xr:uid="{00000000-0005-0000-0000-0000B0DE0000}"/>
    <cellStyle name="Percent 2 2 3 5 3 2" xfId="57119" xr:uid="{00000000-0005-0000-0000-0000B1DE0000}"/>
    <cellStyle name="Percent 2 2 3 5 3 2 2" xfId="57120" xr:uid="{00000000-0005-0000-0000-0000B2DE0000}"/>
    <cellStyle name="Percent 2 2 3 5 3 2 2 2" xfId="57121" xr:uid="{00000000-0005-0000-0000-0000B3DE0000}"/>
    <cellStyle name="Percent 2 2 3 5 3 2 2 3" xfId="57122" xr:uid="{00000000-0005-0000-0000-0000B4DE0000}"/>
    <cellStyle name="Percent 2 2 3 5 3 2 3" xfId="57123" xr:uid="{00000000-0005-0000-0000-0000B5DE0000}"/>
    <cellStyle name="Percent 2 2 3 5 3 2 4" xfId="57124" xr:uid="{00000000-0005-0000-0000-0000B6DE0000}"/>
    <cellStyle name="Percent 2 2 3 5 3 2 5" xfId="57125" xr:uid="{00000000-0005-0000-0000-0000B7DE0000}"/>
    <cellStyle name="Percent 2 2 3 5 3 2 6" xfId="57126" xr:uid="{00000000-0005-0000-0000-0000B8DE0000}"/>
    <cellStyle name="Percent 2 2 3 5 3 3" xfId="57127" xr:uid="{00000000-0005-0000-0000-0000B9DE0000}"/>
    <cellStyle name="Percent 2 2 3 5 3 3 2" xfId="57128" xr:uid="{00000000-0005-0000-0000-0000BADE0000}"/>
    <cellStyle name="Percent 2 2 3 5 3 3 3" xfId="57129" xr:uid="{00000000-0005-0000-0000-0000BBDE0000}"/>
    <cellStyle name="Percent 2 2 3 5 3 4" xfId="57130" xr:uid="{00000000-0005-0000-0000-0000BCDE0000}"/>
    <cellStyle name="Percent 2 2 3 5 3 5" xfId="57131" xr:uid="{00000000-0005-0000-0000-0000BDDE0000}"/>
    <cellStyle name="Percent 2 2 3 5 3 6" xfId="57132" xr:uid="{00000000-0005-0000-0000-0000BEDE0000}"/>
    <cellStyle name="Percent 2 2 3 5 3 7" xfId="57133" xr:uid="{00000000-0005-0000-0000-0000BFDE0000}"/>
    <cellStyle name="Percent 2 2 3 5 4" xfId="57134" xr:uid="{00000000-0005-0000-0000-0000C0DE0000}"/>
    <cellStyle name="Percent 2 2 3 5 4 2" xfId="57135" xr:uid="{00000000-0005-0000-0000-0000C1DE0000}"/>
    <cellStyle name="Percent 2 2 3 5 4 2 2" xfId="57136" xr:uid="{00000000-0005-0000-0000-0000C2DE0000}"/>
    <cellStyle name="Percent 2 2 3 5 4 2 3" xfId="57137" xr:uid="{00000000-0005-0000-0000-0000C3DE0000}"/>
    <cellStyle name="Percent 2 2 3 5 4 3" xfId="57138" xr:uid="{00000000-0005-0000-0000-0000C4DE0000}"/>
    <cellStyle name="Percent 2 2 3 5 4 4" xfId="57139" xr:uid="{00000000-0005-0000-0000-0000C5DE0000}"/>
    <cellStyle name="Percent 2 2 3 5 4 5" xfId="57140" xr:uid="{00000000-0005-0000-0000-0000C6DE0000}"/>
    <cellStyle name="Percent 2 2 3 5 4 6" xfId="57141" xr:uid="{00000000-0005-0000-0000-0000C7DE0000}"/>
    <cellStyle name="Percent 2 2 3 5 5" xfId="57142" xr:uid="{00000000-0005-0000-0000-0000C8DE0000}"/>
    <cellStyle name="Percent 2 2 3 5 5 2" xfId="57143" xr:uid="{00000000-0005-0000-0000-0000C9DE0000}"/>
    <cellStyle name="Percent 2 2 3 5 5 2 2" xfId="57144" xr:uid="{00000000-0005-0000-0000-0000CADE0000}"/>
    <cellStyle name="Percent 2 2 3 5 5 2 3" xfId="57145" xr:uid="{00000000-0005-0000-0000-0000CBDE0000}"/>
    <cellStyle name="Percent 2 2 3 5 5 3" xfId="57146" xr:uid="{00000000-0005-0000-0000-0000CCDE0000}"/>
    <cellStyle name="Percent 2 2 3 5 5 4" xfId="57147" xr:uid="{00000000-0005-0000-0000-0000CDDE0000}"/>
    <cellStyle name="Percent 2 2 3 5 5 5" xfId="57148" xr:uid="{00000000-0005-0000-0000-0000CEDE0000}"/>
    <cellStyle name="Percent 2 2 3 5 5 6" xfId="57149" xr:uid="{00000000-0005-0000-0000-0000CFDE0000}"/>
    <cellStyle name="Percent 2 2 3 5 6" xfId="57150" xr:uid="{00000000-0005-0000-0000-0000D0DE0000}"/>
    <cellStyle name="Percent 2 2 3 5 6 2" xfId="57151" xr:uid="{00000000-0005-0000-0000-0000D1DE0000}"/>
    <cellStyle name="Percent 2 2 3 5 6 3" xfId="57152" xr:uid="{00000000-0005-0000-0000-0000D2DE0000}"/>
    <cellStyle name="Percent 2 2 3 5 7" xfId="57153" xr:uid="{00000000-0005-0000-0000-0000D3DE0000}"/>
    <cellStyle name="Percent 2 2 3 5 8" xfId="57154" xr:uid="{00000000-0005-0000-0000-0000D4DE0000}"/>
    <cellStyle name="Percent 2 2 3 5 9" xfId="57155" xr:uid="{00000000-0005-0000-0000-0000D5DE0000}"/>
    <cellStyle name="Percent 2 2 3 6" xfId="57156" xr:uid="{00000000-0005-0000-0000-0000D6DE0000}"/>
    <cellStyle name="Percent 2 2 3 6 2" xfId="57157" xr:uid="{00000000-0005-0000-0000-0000D7DE0000}"/>
    <cellStyle name="Percent 2 2 3 6 2 2" xfId="57158" xr:uid="{00000000-0005-0000-0000-0000D8DE0000}"/>
    <cellStyle name="Percent 2 2 3 6 2 2 2" xfId="57159" xr:uid="{00000000-0005-0000-0000-0000D9DE0000}"/>
    <cellStyle name="Percent 2 2 3 6 2 2 2 2" xfId="57160" xr:uid="{00000000-0005-0000-0000-0000DADE0000}"/>
    <cellStyle name="Percent 2 2 3 6 2 2 2 3" xfId="57161" xr:uid="{00000000-0005-0000-0000-0000DBDE0000}"/>
    <cellStyle name="Percent 2 2 3 6 2 2 3" xfId="57162" xr:uid="{00000000-0005-0000-0000-0000DCDE0000}"/>
    <cellStyle name="Percent 2 2 3 6 2 2 4" xfId="57163" xr:uid="{00000000-0005-0000-0000-0000DDDE0000}"/>
    <cellStyle name="Percent 2 2 3 6 2 2 5" xfId="57164" xr:uid="{00000000-0005-0000-0000-0000DEDE0000}"/>
    <cellStyle name="Percent 2 2 3 6 2 2 6" xfId="57165" xr:uid="{00000000-0005-0000-0000-0000DFDE0000}"/>
    <cellStyle name="Percent 2 2 3 6 2 3" xfId="57166" xr:uid="{00000000-0005-0000-0000-0000E0DE0000}"/>
    <cellStyle name="Percent 2 2 3 6 2 3 2" xfId="57167" xr:uid="{00000000-0005-0000-0000-0000E1DE0000}"/>
    <cellStyle name="Percent 2 2 3 6 2 3 3" xfId="57168" xr:uid="{00000000-0005-0000-0000-0000E2DE0000}"/>
    <cellStyle name="Percent 2 2 3 6 2 4" xfId="57169" xr:uid="{00000000-0005-0000-0000-0000E3DE0000}"/>
    <cellStyle name="Percent 2 2 3 6 2 5" xfId="57170" xr:uid="{00000000-0005-0000-0000-0000E4DE0000}"/>
    <cellStyle name="Percent 2 2 3 6 2 6" xfId="57171" xr:uid="{00000000-0005-0000-0000-0000E5DE0000}"/>
    <cellStyle name="Percent 2 2 3 6 2 7" xfId="57172" xr:uid="{00000000-0005-0000-0000-0000E6DE0000}"/>
    <cellStyle name="Percent 2 2 3 6 3" xfId="57173" xr:uid="{00000000-0005-0000-0000-0000E7DE0000}"/>
    <cellStyle name="Percent 2 2 3 6 3 2" xfId="57174" xr:uid="{00000000-0005-0000-0000-0000E8DE0000}"/>
    <cellStyle name="Percent 2 2 3 6 3 2 2" xfId="57175" xr:uid="{00000000-0005-0000-0000-0000E9DE0000}"/>
    <cellStyle name="Percent 2 2 3 6 3 2 3" xfId="57176" xr:uid="{00000000-0005-0000-0000-0000EADE0000}"/>
    <cellStyle name="Percent 2 2 3 6 3 3" xfId="57177" xr:uid="{00000000-0005-0000-0000-0000EBDE0000}"/>
    <cellStyle name="Percent 2 2 3 6 3 4" xfId="57178" xr:uid="{00000000-0005-0000-0000-0000ECDE0000}"/>
    <cellStyle name="Percent 2 2 3 6 3 5" xfId="57179" xr:uid="{00000000-0005-0000-0000-0000EDDE0000}"/>
    <cellStyle name="Percent 2 2 3 6 3 6" xfId="57180" xr:uid="{00000000-0005-0000-0000-0000EEDE0000}"/>
    <cellStyle name="Percent 2 2 3 6 4" xfId="57181" xr:uid="{00000000-0005-0000-0000-0000EFDE0000}"/>
    <cellStyle name="Percent 2 2 3 6 4 2" xfId="57182" xr:uid="{00000000-0005-0000-0000-0000F0DE0000}"/>
    <cellStyle name="Percent 2 2 3 6 4 2 2" xfId="57183" xr:uid="{00000000-0005-0000-0000-0000F1DE0000}"/>
    <cellStyle name="Percent 2 2 3 6 4 2 3" xfId="57184" xr:uid="{00000000-0005-0000-0000-0000F2DE0000}"/>
    <cellStyle name="Percent 2 2 3 6 4 3" xfId="57185" xr:uid="{00000000-0005-0000-0000-0000F3DE0000}"/>
    <cellStyle name="Percent 2 2 3 6 4 4" xfId="57186" xr:uid="{00000000-0005-0000-0000-0000F4DE0000}"/>
    <cellStyle name="Percent 2 2 3 6 4 5" xfId="57187" xr:uid="{00000000-0005-0000-0000-0000F5DE0000}"/>
    <cellStyle name="Percent 2 2 3 6 4 6" xfId="57188" xr:uid="{00000000-0005-0000-0000-0000F6DE0000}"/>
    <cellStyle name="Percent 2 2 3 6 5" xfId="57189" xr:uid="{00000000-0005-0000-0000-0000F7DE0000}"/>
    <cellStyle name="Percent 2 2 3 6 5 2" xfId="57190" xr:uid="{00000000-0005-0000-0000-0000F8DE0000}"/>
    <cellStyle name="Percent 2 2 3 6 5 3" xfId="57191" xr:uid="{00000000-0005-0000-0000-0000F9DE0000}"/>
    <cellStyle name="Percent 2 2 3 6 6" xfId="57192" xr:uid="{00000000-0005-0000-0000-0000FADE0000}"/>
    <cellStyle name="Percent 2 2 3 6 7" xfId="57193" xr:uid="{00000000-0005-0000-0000-0000FBDE0000}"/>
    <cellStyle name="Percent 2 2 3 6 8" xfId="57194" xr:uid="{00000000-0005-0000-0000-0000FCDE0000}"/>
    <cellStyle name="Percent 2 2 3 6 9" xfId="57195" xr:uid="{00000000-0005-0000-0000-0000FDDE0000}"/>
    <cellStyle name="Percent 2 2 3 7" xfId="57196" xr:uid="{00000000-0005-0000-0000-0000FEDE0000}"/>
    <cellStyle name="Percent 2 2 3 7 2" xfId="57197" xr:uid="{00000000-0005-0000-0000-0000FFDE0000}"/>
    <cellStyle name="Percent 2 2 3 7 2 2" xfId="57198" xr:uid="{00000000-0005-0000-0000-000000DF0000}"/>
    <cellStyle name="Percent 2 2 3 7 2 2 2" xfId="57199" xr:uid="{00000000-0005-0000-0000-000001DF0000}"/>
    <cellStyle name="Percent 2 2 3 7 2 2 3" xfId="57200" xr:uid="{00000000-0005-0000-0000-000002DF0000}"/>
    <cellStyle name="Percent 2 2 3 7 2 3" xfId="57201" xr:uid="{00000000-0005-0000-0000-000003DF0000}"/>
    <cellStyle name="Percent 2 2 3 7 2 4" xfId="57202" xr:uid="{00000000-0005-0000-0000-000004DF0000}"/>
    <cellStyle name="Percent 2 2 3 7 2 5" xfId="57203" xr:uid="{00000000-0005-0000-0000-000005DF0000}"/>
    <cellStyle name="Percent 2 2 3 7 2 6" xfId="57204" xr:uid="{00000000-0005-0000-0000-000006DF0000}"/>
    <cellStyle name="Percent 2 2 3 7 3" xfId="57205" xr:uid="{00000000-0005-0000-0000-000007DF0000}"/>
    <cellStyle name="Percent 2 2 3 7 3 2" xfId="57206" xr:uid="{00000000-0005-0000-0000-000008DF0000}"/>
    <cellStyle name="Percent 2 2 3 7 3 3" xfId="57207" xr:uid="{00000000-0005-0000-0000-000009DF0000}"/>
    <cellStyle name="Percent 2 2 3 7 4" xfId="57208" xr:uid="{00000000-0005-0000-0000-00000ADF0000}"/>
    <cellStyle name="Percent 2 2 3 7 5" xfId="57209" xr:uid="{00000000-0005-0000-0000-00000BDF0000}"/>
    <cellStyle name="Percent 2 2 3 7 6" xfId="57210" xr:uid="{00000000-0005-0000-0000-00000CDF0000}"/>
    <cellStyle name="Percent 2 2 3 7 7" xfId="57211" xr:uid="{00000000-0005-0000-0000-00000DDF0000}"/>
    <cellStyle name="Percent 2 2 3 8" xfId="57212" xr:uid="{00000000-0005-0000-0000-00000EDF0000}"/>
    <cellStyle name="Percent 2 2 3 8 2" xfId="57213" xr:uid="{00000000-0005-0000-0000-00000FDF0000}"/>
    <cellStyle name="Percent 2 2 3 8 2 2" xfId="57214" xr:uid="{00000000-0005-0000-0000-000010DF0000}"/>
    <cellStyle name="Percent 2 2 3 8 2 3" xfId="57215" xr:uid="{00000000-0005-0000-0000-000011DF0000}"/>
    <cellStyle name="Percent 2 2 3 8 3" xfId="57216" xr:uid="{00000000-0005-0000-0000-000012DF0000}"/>
    <cellStyle name="Percent 2 2 3 8 4" xfId="57217" xr:uid="{00000000-0005-0000-0000-000013DF0000}"/>
    <cellStyle name="Percent 2 2 3 8 5" xfId="57218" xr:uid="{00000000-0005-0000-0000-000014DF0000}"/>
    <cellStyle name="Percent 2 2 3 8 6" xfId="57219" xr:uid="{00000000-0005-0000-0000-000015DF0000}"/>
    <cellStyle name="Percent 2 2 3 9" xfId="57220" xr:uid="{00000000-0005-0000-0000-000016DF0000}"/>
    <cellStyle name="Percent 2 2 3 9 2" xfId="57221" xr:uid="{00000000-0005-0000-0000-000017DF0000}"/>
    <cellStyle name="Percent 2 2 3 9 2 2" xfId="57222" xr:uid="{00000000-0005-0000-0000-000018DF0000}"/>
    <cellStyle name="Percent 2 2 3 9 2 3" xfId="57223" xr:uid="{00000000-0005-0000-0000-000019DF0000}"/>
    <cellStyle name="Percent 2 2 3 9 3" xfId="57224" xr:uid="{00000000-0005-0000-0000-00001ADF0000}"/>
    <cellStyle name="Percent 2 2 3 9 4" xfId="57225" xr:uid="{00000000-0005-0000-0000-00001BDF0000}"/>
    <cellStyle name="Percent 2 2 3 9 5" xfId="57226" xr:uid="{00000000-0005-0000-0000-00001CDF0000}"/>
    <cellStyle name="Percent 2 2 3 9 6" xfId="57227" xr:uid="{00000000-0005-0000-0000-00001DDF0000}"/>
    <cellStyle name="Percent 2 2 4" xfId="57228" xr:uid="{00000000-0005-0000-0000-00001EDF0000}"/>
    <cellStyle name="Percent 2 2 4 10" xfId="57229" xr:uid="{00000000-0005-0000-0000-00001FDF0000}"/>
    <cellStyle name="Percent 2 2 4 10 2" xfId="57230" xr:uid="{00000000-0005-0000-0000-000020DF0000}"/>
    <cellStyle name="Percent 2 2 4 10 3" xfId="57231" xr:uid="{00000000-0005-0000-0000-000021DF0000}"/>
    <cellStyle name="Percent 2 2 4 11" xfId="57232" xr:uid="{00000000-0005-0000-0000-000022DF0000}"/>
    <cellStyle name="Percent 2 2 4 12" xfId="57233" xr:uid="{00000000-0005-0000-0000-000023DF0000}"/>
    <cellStyle name="Percent 2 2 4 13" xfId="57234" xr:uid="{00000000-0005-0000-0000-000024DF0000}"/>
    <cellStyle name="Percent 2 2 4 14" xfId="57235" xr:uid="{00000000-0005-0000-0000-000025DF0000}"/>
    <cellStyle name="Percent 2 2 4 2" xfId="57236" xr:uid="{00000000-0005-0000-0000-000026DF0000}"/>
    <cellStyle name="Percent 2 2 4 2 10" xfId="57237" xr:uid="{00000000-0005-0000-0000-000027DF0000}"/>
    <cellStyle name="Percent 2 2 4 2 11" xfId="57238" xr:uid="{00000000-0005-0000-0000-000028DF0000}"/>
    <cellStyle name="Percent 2 2 4 2 12" xfId="57239" xr:uid="{00000000-0005-0000-0000-000029DF0000}"/>
    <cellStyle name="Percent 2 2 4 2 13" xfId="57240" xr:uid="{00000000-0005-0000-0000-00002ADF0000}"/>
    <cellStyle name="Percent 2 2 4 2 2" xfId="57241" xr:uid="{00000000-0005-0000-0000-00002BDF0000}"/>
    <cellStyle name="Percent 2 2 4 2 2 10" xfId="57242" xr:uid="{00000000-0005-0000-0000-00002CDF0000}"/>
    <cellStyle name="Percent 2 2 4 2 2 2" xfId="57243" xr:uid="{00000000-0005-0000-0000-00002DDF0000}"/>
    <cellStyle name="Percent 2 2 4 2 2 2 2" xfId="57244" xr:uid="{00000000-0005-0000-0000-00002EDF0000}"/>
    <cellStyle name="Percent 2 2 4 2 2 2 2 2" xfId="57245" xr:uid="{00000000-0005-0000-0000-00002FDF0000}"/>
    <cellStyle name="Percent 2 2 4 2 2 2 2 2 2" xfId="57246" xr:uid="{00000000-0005-0000-0000-000030DF0000}"/>
    <cellStyle name="Percent 2 2 4 2 2 2 2 2 3" xfId="57247" xr:uid="{00000000-0005-0000-0000-000031DF0000}"/>
    <cellStyle name="Percent 2 2 4 2 2 2 2 3" xfId="57248" xr:uid="{00000000-0005-0000-0000-000032DF0000}"/>
    <cellStyle name="Percent 2 2 4 2 2 2 2 4" xfId="57249" xr:uid="{00000000-0005-0000-0000-000033DF0000}"/>
    <cellStyle name="Percent 2 2 4 2 2 2 2 5" xfId="57250" xr:uid="{00000000-0005-0000-0000-000034DF0000}"/>
    <cellStyle name="Percent 2 2 4 2 2 2 2 6" xfId="57251" xr:uid="{00000000-0005-0000-0000-000035DF0000}"/>
    <cellStyle name="Percent 2 2 4 2 2 2 3" xfId="57252" xr:uid="{00000000-0005-0000-0000-000036DF0000}"/>
    <cellStyle name="Percent 2 2 4 2 2 2 3 2" xfId="57253" xr:uid="{00000000-0005-0000-0000-000037DF0000}"/>
    <cellStyle name="Percent 2 2 4 2 2 2 3 2 2" xfId="57254" xr:uid="{00000000-0005-0000-0000-000038DF0000}"/>
    <cellStyle name="Percent 2 2 4 2 2 2 3 2 3" xfId="57255" xr:uid="{00000000-0005-0000-0000-000039DF0000}"/>
    <cellStyle name="Percent 2 2 4 2 2 2 3 3" xfId="57256" xr:uid="{00000000-0005-0000-0000-00003ADF0000}"/>
    <cellStyle name="Percent 2 2 4 2 2 2 3 4" xfId="57257" xr:uid="{00000000-0005-0000-0000-00003BDF0000}"/>
    <cellStyle name="Percent 2 2 4 2 2 2 3 5" xfId="57258" xr:uid="{00000000-0005-0000-0000-00003CDF0000}"/>
    <cellStyle name="Percent 2 2 4 2 2 2 3 6" xfId="57259" xr:uid="{00000000-0005-0000-0000-00003DDF0000}"/>
    <cellStyle name="Percent 2 2 4 2 2 2 4" xfId="57260" xr:uid="{00000000-0005-0000-0000-00003EDF0000}"/>
    <cellStyle name="Percent 2 2 4 2 2 2 4 2" xfId="57261" xr:uid="{00000000-0005-0000-0000-00003FDF0000}"/>
    <cellStyle name="Percent 2 2 4 2 2 2 4 3" xfId="57262" xr:uid="{00000000-0005-0000-0000-000040DF0000}"/>
    <cellStyle name="Percent 2 2 4 2 2 2 5" xfId="57263" xr:uid="{00000000-0005-0000-0000-000041DF0000}"/>
    <cellStyle name="Percent 2 2 4 2 2 2 6" xfId="57264" xr:uid="{00000000-0005-0000-0000-000042DF0000}"/>
    <cellStyle name="Percent 2 2 4 2 2 2 7" xfId="57265" xr:uid="{00000000-0005-0000-0000-000043DF0000}"/>
    <cellStyle name="Percent 2 2 4 2 2 2 8" xfId="57266" xr:uid="{00000000-0005-0000-0000-000044DF0000}"/>
    <cellStyle name="Percent 2 2 4 2 2 3" xfId="57267" xr:uid="{00000000-0005-0000-0000-000045DF0000}"/>
    <cellStyle name="Percent 2 2 4 2 2 3 2" xfId="57268" xr:uid="{00000000-0005-0000-0000-000046DF0000}"/>
    <cellStyle name="Percent 2 2 4 2 2 3 2 2" xfId="57269" xr:uid="{00000000-0005-0000-0000-000047DF0000}"/>
    <cellStyle name="Percent 2 2 4 2 2 3 2 2 2" xfId="57270" xr:uid="{00000000-0005-0000-0000-000048DF0000}"/>
    <cellStyle name="Percent 2 2 4 2 2 3 2 2 3" xfId="57271" xr:uid="{00000000-0005-0000-0000-000049DF0000}"/>
    <cellStyle name="Percent 2 2 4 2 2 3 2 3" xfId="57272" xr:uid="{00000000-0005-0000-0000-00004ADF0000}"/>
    <cellStyle name="Percent 2 2 4 2 2 3 2 4" xfId="57273" xr:uid="{00000000-0005-0000-0000-00004BDF0000}"/>
    <cellStyle name="Percent 2 2 4 2 2 3 2 5" xfId="57274" xr:uid="{00000000-0005-0000-0000-00004CDF0000}"/>
    <cellStyle name="Percent 2 2 4 2 2 3 2 6" xfId="57275" xr:uid="{00000000-0005-0000-0000-00004DDF0000}"/>
    <cellStyle name="Percent 2 2 4 2 2 3 3" xfId="57276" xr:uid="{00000000-0005-0000-0000-00004EDF0000}"/>
    <cellStyle name="Percent 2 2 4 2 2 3 3 2" xfId="57277" xr:uid="{00000000-0005-0000-0000-00004FDF0000}"/>
    <cellStyle name="Percent 2 2 4 2 2 3 3 3" xfId="57278" xr:uid="{00000000-0005-0000-0000-000050DF0000}"/>
    <cellStyle name="Percent 2 2 4 2 2 3 4" xfId="57279" xr:uid="{00000000-0005-0000-0000-000051DF0000}"/>
    <cellStyle name="Percent 2 2 4 2 2 3 5" xfId="57280" xr:uid="{00000000-0005-0000-0000-000052DF0000}"/>
    <cellStyle name="Percent 2 2 4 2 2 3 6" xfId="57281" xr:uid="{00000000-0005-0000-0000-000053DF0000}"/>
    <cellStyle name="Percent 2 2 4 2 2 3 7" xfId="57282" xr:uid="{00000000-0005-0000-0000-000054DF0000}"/>
    <cellStyle name="Percent 2 2 4 2 2 4" xfId="57283" xr:uid="{00000000-0005-0000-0000-000055DF0000}"/>
    <cellStyle name="Percent 2 2 4 2 2 4 2" xfId="57284" xr:uid="{00000000-0005-0000-0000-000056DF0000}"/>
    <cellStyle name="Percent 2 2 4 2 2 4 2 2" xfId="57285" xr:uid="{00000000-0005-0000-0000-000057DF0000}"/>
    <cellStyle name="Percent 2 2 4 2 2 4 2 3" xfId="57286" xr:uid="{00000000-0005-0000-0000-000058DF0000}"/>
    <cellStyle name="Percent 2 2 4 2 2 4 3" xfId="57287" xr:uid="{00000000-0005-0000-0000-000059DF0000}"/>
    <cellStyle name="Percent 2 2 4 2 2 4 4" xfId="57288" xr:uid="{00000000-0005-0000-0000-00005ADF0000}"/>
    <cellStyle name="Percent 2 2 4 2 2 4 5" xfId="57289" xr:uid="{00000000-0005-0000-0000-00005BDF0000}"/>
    <cellStyle name="Percent 2 2 4 2 2 4 6" xfId="57290" xr:uid="{00000000-0005-0000-0000-00005CDF0000}"/>
    <cellStyle name="Percent 2 2 4 2 2 5" xfId="57291" xr:uid="{00000000-0005-0000-0000-00005DDF0000}"/>
    <cellStyle name="Percent 2 2 4 2 2 5 2" xfId="57292" xr:uid="{00000000-0005-0000-0000-00005EDF0000}"/>
    <cellStyle name="Percent 2 2 4 2 2 5 2 2" xfId="57293" xr:uid="{00000000-0005-0000-0000-00005FDF0000}"/>
    <cellStyle name="Percent 2 2 4 2 2 5 2 3" xfId="57294" xr:uid="{00000000-0005-0000-0000-000060DF0000}"/>
    <cellStyle name="Percent 2 2 4 2 2 5 3" xfId="57295" xr:uid="{00000000-0005-0000-0000-000061DF0000}"/>
    <cellStyle name="Percent 2 2 4 2 2 5 4" xfId="57296" xr:uid="{00000000-0005-0000-0000-000062DF0000}"/>
    <cellStyle name="Percent 2 2 4 2 2 5 5" xfId="57297" xr:uid="{00000000-0005-0000-0000-000063DF0000}"/>
    <cellStyle name="Percent 2 2 4 2 2 5 6" xfId="57298" xr:uid="{00000000-0005-0000-0000-000064DF0000}"/>
    <cellStyle name="Percent 2 2 4 2 2 6" xfId="57299" xr:uid="{00000000-0005-0000-0000-000065DF0000}"/>
    <cellStyle name="Percent 2 2 4 2 2 6 2" xfId="57300" xr:uid="{00000000-0005-0000-0000-000066DF0000}"/>
    <cellStyle name="Percent 2 2 4 2 2 6 3" xfId="57301" xr:uid="{00000000-0005-0000-0000-000067DF0000}"/>
    <cellStyle name="Percent 2 2 4 2 2 7" xfId="57302" xr:uid="{00000000-0005-0000-0000-000068DF0000}"/>
    <cellStyle name="Percent 2 2 4 2 2 8" xfId="57303" xr:uid="{00000000-0005-0000-0000-000069DF0000}"/>
    <cellStyle name="Percent 2 2 4 2 2 9" xfId="57304" xr:uid="{00000000-0005-0000-0000-00006ADF0000}"/>
    <cellStyle name="Percent 2 2 4 2 3" xfId="57305" xr:uid="{00000000-0005-0000-0000-00006BDF0000}"/>
    <cellStyle name="Percent 2 2 4 2 3 2" xfId="57306" xr:uid="{00000000-0005-0000-0000-00006CDF0000}"/>
    <cellStyle name="Percent 2 2 4 2 3 2 2" xfId="57307" xr:uid="{00000000-0005-0000-0000-00006DDF0000}"/>
    <cellStyle name="Percent 2 2 4 2 3 2 2 2" xfId="57308" xr:uid="{00000000-0005-0000-0000-00006EDF0000}"/>
    <cellStyle name="Percent 2 2 4 2 3 2 2 2 2" xfId="57309" xr:uid="{00000000-0005-0000-0000-00006FDF0000}"/>
    <cellStyle name="Percent 2 2 4 2 3 2 2 2 3" xfId="57310" xr:uid="{00000000-0005-0000-0000-000070DF0000}"/>
    <cellStyle name="Percent 2 2 4 2 3 2 2 3" xfId="57311" xr:uid="{00000000-0005-0000-0000-000071DF0000}"/>
    <cellStyle name="Percent 2 2 4 2 3 2 2 4" xfId="57312" xr:uid="{00000000-0005-0000-0000-000072DF0000}"/>
    <cellStyle name="Percent 2 2 4 2 3 2 2 5" xfId="57313" xr:uid="{00000000-0005-0000-0000-000073DF0000}"/>
    <cellStyle name="Percent 2 2 4 2 3 2 2 6" xfId="57314" xr:uid="{00000000-0005-0000-0000-000074DF0000}"/>
    <cellStyle name="Percent 2 2 4 2 3 2 3" xfId="57315" xr:uid="{00000000-0005-0000-0000-000075DF0000}"/>
    <cellStyle name="Percent 2 2 4 2 3 2 3 2" xfId="57316" xr:uid="{00000000-0005-0000-0000-000076DF0000}"/>
    <cellStyle name="Percent 2 2 4 2 3 2 3 3" xfId="57317" xr:uid="{00000000-0005-0000-0000-000077DF0000}"/>
    <cellStyle name="Percent 2 2 4 2 3 2 4" xfId="57318" xr:uid="{00000000-0005-0000-0000-000078DF0000}"/>
    <cellStyle name="Percent 2 2 4 2 3 2 5" xfId="57319" xr:uid="{00000000-0005-0000-0000-000079DF0000}"/>
    <cellStyle name="Percent 2 2 4 2 3 2 6" xfId="57320" xr:uid="{00000000-0005-0000-0000-00007ADF0000}"/>
    <cellStyle name="Percent 2 2 4 2 3 2 7" xfId="57321" xr:uid="{00000000-0005-0000-0000-00007BDF0000}"/>
    <cellStyle name="Percent 2 2 4 2 3 3" xfId="57322" xr:uid="{00000000-0005-0000-0000-00007CDF0000}"/>
    <cellStyle name="Percent 2 2 4 2 3 3 2" xfId="57323" xr:uid="{00000000-0005-0000-0000-00007DDF0000}"/>
    <cellStyle name="Percent 2 2 4 2 3 3 2 2" xfId="57324" xr:uid="{00000000-0005-0000-0000-00007EDF0000}"/>
    <cellStyle name="Percent 2 2 4 2 3 3 2 3" xfId="57325" xr:uid="{00000000-0005-0000-0000-00007FDF0000}"/>
    <cellStyle name="Percent 2 2 4 2 3 3 3" xfId="57326" xr:uid="{00000000-0005-0000-0000-000080DF0000}"/>
    <cellStyle name="Percent 2 2 4 2 3 3 4" xfId="57327" xr:uid="{00000000-0005-0000-0000-000081DF0000}"/>
    <cellStyle name="Percent 2 2 4 2 3 3 5" xfId="57328" xr:uid="{00000000-0005-0000-0000-000082DF0000}"/>
    <cellStyle name="Percent 2 2 4 2 3 3 6" xfId="57329" xr:uid="{00000000-0005-0000-0000-000083DF0000}"/>
    <cellStyle name="Percent 2 2 4 2 3 4" xfId="57330" xr:uid="{00000000-0005-0000-0000-000084DF0000}"/>
    <cellStyle name="Percent 2 2 4 2 3 4 2" xfId="57331" xr:uid="{00000000-0005-0000-0000-000085DF0000}"/>
    <cellStyle name="Percent 2 2 4 2 3 4 2 2" xfId="57332" xr:uid="{00000000-0005-0000-0000-000086DF0000}"/>
    <cellStyle name="Percent 2 2 4 2 3 4 2 3" xfId="57333" xr:uid="{00000000-0005-0000-0000-000087DF0000}"/>
    <cellStyle name="Percent 2 2 4 2 3 4 3" xfId="57334" xr:uid="{00000000-0005-0000-0000-000088DF0000}"/>
    <cellStyle name="Percent 2 2 4 2 3 4 4" xfId="57335" xr:uid="{00000000-0005-0000-0000-000089DF0000}"/>
    <cellStyle name="Percent 2 2 4 2 3 4 5" xfId="57336" xr:uid="{00000000-0005-0000-0000-00008ADF0000}"/>
    <cellStyle name="Percent 2 2 4 2 3 4 6" xfId="57337" xr:uid="{00000000-0005-0000-0000-00008BDF0000}"/>
    <cellStyle name="Percent 2 2 4 2 3 5" xfId="57338" xr:uid="{00000000-0005-0000-0000-00008CDF0000}"/>
    <cellStyle name="Percent 2 2 4 2 3 5 2" xfId="57339" xr:uid="{00000000-0005-0000-0000-00008DDF0000}"/>
    <cellStyle name="Percent 2 2 4 2 3 5 3" xfId="57340" xr:uid="{00000000-0005-0000-0000-00008EDF0000}"/>
    <cellStyle name="Percent 2 2 4 2 3 6" xfId="57341" xr:uid="{00000000-0005-0000-0000-00008FDF0000}"/>
    <cellStyle name="Percent 2 2 4 2 3 7" xfId="57342" xr:uid="{00000000-0005-0000-0000-000090DF0000}"/>
    <cellStyle name="Percent 2 2 4 2 3 8" xfId="57343" xr:uid="{00000000-0005-0000-0000-000091DF0000}"/>
    <cellStyle name="Percent 2 2 4 2 3 9" xfId="57344" xr:uid="{00000000-0005-0000-0000-000092DF0000}"/>
    <cellStyle name="Percent 2 2 4 2 4" xfId="57345" xr:uid="{00000000-0005-0000-0000-000093DF0000}"/>
    <cellStyle name="Percent 2 2 4 2 4 2" xfId="57346" xr:uid="{00000000-0005-0000-0000-000094DF0000}"/>
    <cellStyle name="Percent 2 2 4 2 4 2 2" xfId="57347" xr:uid="{00000000-0005-0000-0000-000095DF0000}"/>
    <cellStyle name="Percent 2 2 4 2 4 2 2 2" xfId="57348" xr:uid="{00000000-0005-0000-0000-000096DF0000}"/>
    <cellStyle name="Percent 2 2 4 2 4 2 2 3" xfId="57349" xr:uid="{00000000-0005-0000-0000-000097DF0000}"/>
    <cellStyle name="Percent 2 2 4 2 4 2 3" xfId="57350" xr:uid="{00000000-0005-0000-0000-000098DF0000}"/>
    <cellStyle name="Percent 2 2 4 2 4 2 4" xfId="57351" xr:uid="{00000000-0005-0000-0000-000099DF0000}"/>
    <cellStyle name="Percent 2 2 4 2 4 2 5" xfId="57352" xr:uid="{00000000-0005-0000-0000-00009ADF0000}"/>
    <cellStyle name="Percent 2 2 4 2 4 2 6" xfId="57353" xr:uid="{00000000-0005-0000-0000-00009BDF0000}"/>
    <cellStyle name="Percent 2 2 4 2 4 3" xfId="57354" xr:uid="{00000000-0005-0000-0000-00009CDF0000}"/>
    <cellStyle name="Percent 2 2 4 2 4 3 2" xfId="57355" xr:uid="{00000000-0005-0000-0000-00009DDF0000}"/>
    <cellStyle name="Percent 2 2 4 2 4 3 3" xfId="57356" xr:uid="{00000000-0005-0000-0000-00009EDF0000}"/>
    <cellStyle name="Percent 2 2 4 2 4 4" xfId="57357" xr:uid="{00000000-0005-0000-0000-00009FDF0000}"/>
    <cellStyle name="Percent 2 2 4 2 4 5" xfId="57358" xr:uid="{00000000-0005-0000-0000-0000A0DF0000}"/>
    <cellStyle name="Percent 2 2 4 2 4 6" xfId="57359" xr:uid="{00000000-0005-0000-0000-0000A1DF0000}"/>
    <cellStyle name="Percent 2 2 4 2 4 7" xfId="57360" xr:uid="{00000000-0005-0000-0000-0000A2DF0000}"/>
    <cellStyle name="Percent 2 2 4 2 5" xfId="57361" xr:uid="{00000000-0005-0000-0000-0000A3DF0000}"/>
    <cellStyle name="Percent 2 2 4 2 5 2" xfId="57362" xr:uid="{00000000-0005-0000-0000-0000A4DF0000}"/>
    <cellStyle name="Percent 2 2 4 2 5 2 2" xfId="57363" xr:uid="{00000000-0005-0000-0000-0000A5DF0000}"/>
    <cellStyle name="Percent 2 2 4 2 5 2 3" xfId="57364" xr:uid="{00000000-0005-0000-0000-0000A6DF0000}"/>
    <cellStyle name="Percent 2 2 4 2 5 3" xfId="57365" xr:uid="{00000000-0005-0000-0000-0000A7DF0000}"/>
    <cellStyle name="Percent 2 2 4 2 5 4" xfId="57366" xr:uid="{00000000-0005-0000-0000-0000A8DF0000}"/>
    <cellStyle name="Percent 2 2 4 2 5 5" xfId="57367" xr:uid="{00000000-0005-0000-0000-0000A9DF0000}"/>
    <cellStyle name="Percent 2 2 4 2 5 6" xfId="57368" xr:uid="{00000000-0005-0000-0000-0000AADF0000}"/>
    <cellStyle name="Percent 2 2 4 2 6" xfId="57369" xr:uid="{00000000-0005-0000-0000-0000ABDF0000}"/>
    <cellStyle name="Percent 2 2 4 2 6 2" xfId="57370" xr:uid="{00000000-0005-0000-0000-0000ACDF0000}"/>
    <cellStyle name="Percent 2 2 4 2 6 2 2" xfId="57371" xr:uid="{00000000-0005-0000-0000-0000ADDF0000}"/>
    <cellStyle name="Percent 2 2 4 2 6 2 3" xfId="57372" xr:uid="{00000000-0005-0000-0000-0000AEDF0000}"/>
    <cellStyle name="Percent 2 2 4 2 6 3" xfId="57373" xr:uid="{00000000-0005-0000-0000-0000AFDF0000}"/>
    <cellStyle name="Percent 2 2 4 2 6 4" xfId="57374" xr:uid="{00000000-0005-0000-0000-0000B0DF0000}"/>
    <cellStyle name="Percent 2 2 4 2 6 5" xfId="57375" xr:uid="{00000000-0005-0000-0000-0000B1DF0000}"/>
    <cellStyle name="Percent 2 2 4 2 6 6" xfId="57376" xr:uid="{00000000-0005-0000-0000-0000B2DF0000}"/>
    <cellStyle name="Percent 2 2 4 2 7" xfId="57377" xr:uid="{00000000-0005-0000-0000-0000B3DF0000}"/>
    <cellStyle name="Percent 2 2 4 2 7 2" xfId="57378" xr:uid="{00000000-0005-0000-0000-0000B4DF0000}"/>
    <cellStyle name="Percent 2 2 4 2 7 2 2" xfId="57379" xr:uid="{00000000-0005-0000-0000-0000B5DF0000}"/>
    <cellStyle name="Percent 2 2 4 2 7 2 3" xfId="57380" xr:uid="{00000000-0005-0000-0000-0000B6DF0000}"/>
    <cellStyle name="Percent 2 2 4 2 7 3" xfId="57381" xr:uid="{00000000-0005-0000-0000-0000B7DF0000}"/>
    <cellStyle name="Percent 2 2 4 2 7 4" xfId="57382" xr:uid="{00000000-0005-0000-0000-0000B8DF0000}"/>
    <cellStyle name="Percent 2 2 4 2 7 5" xfId="57383" xr:uid="{00000000-0005-0000-0000-0000B9DF0000}"/>
    <cellStyle name="Percent 2 2 4 2 7 6" xfId="57384" xr:uid="{00000000-0005-0000-0000-0000BADF0000}"/>
    <cellStyle name="Percent 2 2 4 2 8" xfId="57385" xr:uid="{00000000-0005-0000-0000-0000BBDF0000}"/>
    <cellStyle name="Percent 2 2 4 2 8 2" xfId="57386" xr:uid="{00000000-0005-0000-0000-0000BCDF0000}"/>
    <cellStyle name="Percent 2 2 4 2 8 2 2" xfId="57387" xr:uid="{00000000-0005-0000-0000-0000BDDF0000}"/>
    <cellStyle name="Percent 2 2 4 2 8 2 3" xfId="57388" xr:uid="{00000000-0005-0000-0000-0000BEDF0000}"/>
    <cellStyle name="Percent 2 2 4 2 8 3" xfId="57389" xr:uid="{00000000-0005-0000-0000-0000BFDF0000}"/>
    <cellStyle name="Percent 2 2 4 2 8 4" xfId="57390" xr:uid="{00000000-0005-0000-0000-0000C0DF0000}"/>
    <cellStyle name="Percent 2 2 4 2 8 5" xfId="57391" xr:uid="{00000000-0005-0000-0000-0000C1DF0000}"/>
    <cellStyle name="Percent 2 2 4 2 8 6" xfId="57392" xr:uid="{00000000-0005-0000-0000-0000C2DF0000}"/>
    <cellStyle name="Percent 2 2 4 2 9" xfId="57393" xr:uid="{00000000-0005-0000-0000-0000C3DF0000}"/>
    <cellStyle name="Percent 2 2 4 2 9 2" xfId="57394" xr:uid="{00000000-0005-0000-0000-0000C4DF0000}"/>
    <cellStyle name="Percent 2 2 4 2 9 3" xfId="57395" xr:uid="{00000000-0005-0000-0000-0000C5DF0000}"/>
    <cellStyle name="Percent 2 2 4 3" xfId="57396" xr:uid="{00000000-0005-0000-0000-0000C6DF0000}"/>
    <cellStyle name="Percent 2 2 4 3 10" xfId="57397" xr:uid="{00000000-0005-0000-0000-0000C7DF0000}"/>
    <cellStyle name="Percent 2 2 4 3 2" xfId="57398" xr:uid="{00000000-0005-0000-0000-0000C8DF0000}"/>
    <cellStyle name="Percent 2 2 4 3 2 2" xfId="57399" xr:uid="{00000000-0005-0000-0000-0000C9DF0000}"/>
    <cellStyle name="Percent 2 2 4 3 2 2 2" xfId="57400" xr:uid="{00000000-0005-0000-0000-0000CADF0000}"/>
    <cellStyle name="Percent 2 2 4 3 2 2 2 2" xfId="57401" xr:uid="{00000000-0005-0000-0000-0000CBDF0000}"/>
    <cellStyle name="Percent 2 2 4 3 2 2 2 3" xfId="57402" xr:uid="{00000000-0005-0000-0000-0000CCDF0000}"/>
    <cellStyle name="Percent 2 2 4 3 2 2 3" xfId="57403" xr:uid="{00000000-0005-0000-0000-0000CDDF0000}"/>
    <cellStyle name="Percent 2 2 4 3 2 2 4" xfId="57404" xr:uid="{00000000-0005-0000-0000-0000CEDF0000}"/>
    <cellStyle name="Percent 2 2 4 3 2 2 5" xfId="57405" xr:uid="{00000000-0005-0000-0000-0000CFDF0000}"/>
    <cellStyle name="Percent 2 2 4 3 2 2 6" xfId="57406" xr:uid="{00000000-0005-0000-0000-0000D0DF0000}"/>
    <cellStyle name="Percent 2 2 4 3 2 3" xfId="57407" xr:uid="{00000000-0005-0000-0000-0000D1DF0000}"/>
    <cellStyle name="Percent 2 2 4 3 2 3 2" xfId="57408" xr:uid="{00000000-0005-0000-0000-0000D2DF0000}"/>
    <cellStyle name="Percent 2 2 4 3 2 3 2 2" xfId="57409" xr:uid="{00000000-0005-0000-0000-0000D3DF0000}"/>
    <cellStyle name="Percent 2 2 4 3 2 3 2 3" xfId="57410" xr:uid="{00000000-0005-0000-0000-0000D4DF0000}"/>
    <cellStyle name="Percent 2 2 4 3 2 3 3" xfId="57411" xr:uid="{00000000-0005-0000-0000-0000D5DF0000}"/>
    <cellStyle name="Percent 2 2 4 3 2 3 4" xfId="57412" xr:uid="{00000000-0005-0000-0000-0000D6DF0000}"/>
    <cellStyle name="Percent 2 2 4 3 2 3 5" xfId="57413" xr:uid="{00000000-0005-0000-0000-0000D7DF0000}"/>
    <cellStyle name="Percent 2 2 4 3 2 3 6" xfId="57414" xr:uid="{00000000-0005-0000-0000-0000D8DF0000}"/>
    <cellStyle name="Percent 2 2 4 3 2 4" xfId="57415" xr:uid="{00000000-0005-0000-0000-0000D9DF0000}"/>
    <cellStyle name="Percent 2 2 4 3 2 4 2" xfId="57416" xr:uid="{00000000-0005-0000-0000-0000DADF0000}"/>
    <cellStyle name="Percent 2 2 4 3 2 4 3" xfId="57417" xr:uid="{00000000-0005-0000-0000-0000DBDF0000}"/>
    <cellStyle name="Percent 2 2 4 3 2 5" xfId="57418" xr:uid="{00000000-0005-0000-0000-0000DCDF0000}"/>
    <cellStyle name="Percent 2 2 4 3 2 6" xfId="57419" xr:uid="{00000000-0005-0000-0000-0000DDDF0000}"/>
    <cellStyle name="Percent 2 2 4 3 2 7" xfId="57420" xr:uid="{00000000-0005-0000-0000-0000DEDF0000}"/>
    <cellStyle name="Percent 2 2 4 3 2 8" xfId="57421" xr:uid="{00000000-0005-0000-0000-0000DFDF0000}"/>
    <cellStyle name="Percent 2 2 4 3 3" xfId="57422" xr:uid="{00000000-0005-0000-0000-0000E0DF0000}"/>
    <cellStyle name="Percent 2 2 4 3 3 2" xfId="57423" xr:uid="{00000000-0005-0000-0000-0000E1DF0000}"/>
    <cellStyle name="Percent 2 2 4 3 3 2 2" xfId="57424" xr:uid="{00000000-0005-0000-0000-0000E2DF0000}"/>
    <cellStyle name="Percent 2 2 4 3 3 2 2 2" xfId="57425" xr:uid="{00000000-0005-0000-0000-0000E3DF0000}"/>
    <cellStyle name="Percent 2 2 4 3 3 2 2 3" xfId="57426" xr:uid="{00000000-0005-0000-0000-0000E4DF0000}"/>
    <cellStyle name="Percent 2 2 4 3 3 2 3" xfId="57427" xr:uid="{00000000-0005-0000-0000-0000E5DF0000}"/>
    <cellStyle name="Percent 2 2 4 3 3 2 4" xfId="57428" xr:uid="{00000000-0005-0000-0000-0000E6DF0000}"/>
    <cellStyle name="Percent 2 2 4 3 3 2 5" xfId="57429" xr:uid="{00000000-0005-0000-0000-0000E7DF0000}"/>
    <cellStyle name="Percent 2 2 4 3 3 2 6" xfId="57430" xr:uid="{00000000-0005-0000-0000-0000E8DF0000}"/>
    <cellStyle name="Percent 2 2 4 3 3 3" xfId="57431" xr:uid="{00000000-0005-0000-0000-0000E9DF0000}"/>
    <cellStyle name="Percent 2 2 4 3 3 3 2" xfId="57432" xr:uid="{00000000-0005-0000-0000-0000EADF0000}"/>
    <cellStyle name="Percent 2 2 4 3 3 3 3" xfId="57433" xr:uid="{00000000-0005-0000-0000-0000EBDF0000}"/>
    <cellStyle name="Percent 2 2 4 3 3 4" xfId="57434" xr:uid="{00000000-0005-0000-0000-0000ECDF0000}"/>
    <cellStyle name="Percent 2 2 4 3 3 5" xfId="57435" xr:uid="{00000000-0005-0000-0000-0000EDDF0000}"/>
    <cellStyle name="Percent 2 2 4 3 3 6" xfId="57436" xr:uid="{00000000-0005-0000-0000-0000EEDF0000}"/>
    <cellStyle name="Percent 2 2 4 3 3 7" xfId="57437" xr:uid="{00000000-0005-0000-0000-0000EFDF0000}"/>
    <cellStyle name="Percent 2 2 4 3 4" xfId="57438" xr:uid="{00000000-0005-0000-0000-0000F0DF0000}"/>
    <cellStyle name="Percent 2 2 4 3 4 2" xfId="57439" xr:uid="{00000000-0005-0000-0000-0000F1DF0000}"/>
    <cellStyle name="Percent 2 2 4 3 4 2 2" xfId="57440" xr:uid="{00000000-0005-0000-0000-0000F2DF0000}"/>
    <cellStyle name="Percent 2 2 4 3 4 2 3" xfId="57441" xr:uid="{00000000-0005-0000-0000-0000F3DF0000}"/>
    <cellStyle name="Percent 2 2 4 3 4 3" xfId="57442" xr:uid="{00000000-0005-0000-0000-0000F4DF0000}"/>
    <cellStyle name="Percent 2 2 4 3 4 4" xfId="57443" xr:uid="{00000000-0005-0000-0000-0000F5DF0000}"/>
    <cellStyle name="Percent 2 2 4 3 4 5" xfId="57444" xr:uid="{00000000-0005-0000-0000-0000F6DF0000}"/>
    <cellStyle name="Percent 2 2 4 3 4 6" xfId="57445" xr:uid="{00000000-0005-0000-0000-0000F7DF0000}"/>
    <cellStyle name="Percent 2 2 4 3 5" xfId="57446" xr:uid="{00000000-0005-0000-0000-0000F8DF0000}"/>
    <cellStyle name="Percent 2 2 4 3 5 2" xfId="57447" xr:uid="{00000000-0005-0000-0000-0000F9DF0000}"/>
    <cellStyle name="Percent 2 2 4 3 5 2 2" xfId="57448" xr:uid="{00000000-0005-0000-0000-0000FADF0000}"/>
    <cellStyle name="Percent 2 2 4 3 5 2 3" xfId="57449" xr:uid="{00000000-0005-0000-0000-0000FBDF0000}"/>
    <cellStyle name="Percent 2 2 4 3 5 3" xfId="57450" xr:uid="{00000000-0005-0000-0000-0000FCDF0000}"/>
    <cellStyle name="Percent 2 2 4 3 5 4" xfId="57451" xr:uid="{00000000-0005-0000-0000-0000FDDF0000}"/>
    <cellStyle name="Percent 2 2 4 3 5 5" xfId="57452" xr:uid="{00000000-0005-0000-0000-0000FEDF0000}"/>
    <cellStyle name="Percent 2 2 4 3 5 6" xfId="57453" xr:uid="{00000000-0005-0000-0000-0000FFDF0000}"/>
    <cellStyle name="Percent 2 2 4 3 6" xfId="57454" xr:uid="{00000000-0005-0000-0000-000000E00000}"/>
    <cellStyle name="Percent 2 2 4 3 6 2" xfId="57455" xr:uid="{00000000-0005-0000-0000-000001E00000}"/>
    <cellStyle name="Percent 2 2 4 3 6 3" xfId="57456" xr:uid="{00000000-0005-0000-0000-000002E00000}"/>
    <cellStyle name="Percent 2 2 4 3 7" xfId="57457" xr:uid="{00000000-0005-0000-0000-000003E00000}"/>
    <cellStyle name="Percent 2 2 4 3 8" xfId="57458" xr:uid="{00000000-0005-0000-0000-000004E00000}"/>
    <cellStyle name="Percent 2 2 4 3 9" xfId="57459" xr:uid="{00000000-0005-0000-0000-000005E00000}"/>
    <cellStyle name="Percent 2 2 4 4" xfId="57460" xr:uid="{00000000-0005-0000-0000-000006E00000}"/>
    <cellStyle name="Percent 2 2 4 4 2" xfId="57461" xr:uid="{00000000-0005-0000-0000-000007E00000}"/>
    <cellStyle name="Percent 2 2 4 4 2 2" xfId="57462" xr:uid="{00000000-0005-0000-0000-000008E00000}"/>
    <cellStyle name="Percent 2 2 4 4 2 2 2" xfId="57463" xr:uid="{00000000-0005-0000-0000-000009E00000}"/>
    <cellStyle name="Percent 2 2 4 4 2 2 2 2" xfId="57464" xr:uid="{00000000-0005-0000-0000-00000AE00000}"/>
    <cellStyle name="Percent 2 2 4 4 2 2 2 3" xfId="57465" xr:uid="{00000000-0005-0000-0000-00000BE00000}"/>
    <cellStyle name="Percent 2 2 4 4 2 2 3" xfId="57466" xr:uid="{00000000-0005-0000-0000-00000CE00000}"/>
    <cellStyle name="Percent 2 2 4 4 2 2 4" xfId="57467" xr:uid="{00000000-0005-0000-0000-00000DE00000}"/>
    <cellStyle name="Percent 2 2 4 4 2 2 5" xfId="57468" xr:uid="{00000000-0005-0000-0000-00000EE00000}"/>
    <cellStyle name="Percent 2 2 4 4 2 2 6" xfId="57469" xr:uid="{00000000-0005-0000-0000-00000FE00000}"/>
    <cellStyle name="Percent 2 2 4 4 2 3" xfId="57470" xr:uid="{00000000-0005-0000-0000-000010E00000}"/>
    <cellStyle name="Percent 2 2 4 4 2 3 2" xfId="57471" xr:uid="{00000000-0005-0000-0000-000011E00000}"/>
    <cellStyle name="Percent 2 2 4 4 2 3 3" xfId="57472" xr:uid="{00000000-0005-0000-0000-000012E00000}"/>
    <cellStyle name="Percent 2 2 4 4 2 4" xfId="57473" xr:uid="{00000000-0005-0000-0000-000013E00000}"/>
    <cellStyle name="Percent 2 2 4 4 2 5" xfId="57474" xr:uid="{00000000-0005-0000-0000-000014E00000}"/>
    <cellStyle name="Percent 2 2 4 4 2 6" xfId="57475" xr:uid="{00000000-0005-0000-0000-000015E00000}"/>
    <cellStyle name="Percent 2 2 4 4 2 7" xfId="57476" xr:uid="{00000000-0005-0000-0000-000016E00000}"/>
    <cellStyle name="Percent 2 2 4 4 3" xfId="57477" xr:uid="{00000000-0005-0000-0000-000017E00000}"/>
    <cellStyle name="Percent 2 2 4 4 3 2" xfId="57478" xr:uid="{00000000-0005-0000-0000-000018E00000}"/>
    <cellStyle name="Percent 2 2 4 4 3 2 2" xfId="57479" xr:uid="{00000000-0005-0000-0000-000019E00000}"/>
    <cellStyle name="Percent 2 2 4 4 3 2 3" xfId="57480" xr:uid="{00000000-0005-0000-0000-00001AE00000}"/>
    <cellStyle name="Percent 2 2 4 4 3 3" xfId="57481" xr:uid="{00000000-0005-0000-0000-00001BE00000}"/>
    <cellStyle name="Percent 2 2 4 4 3 4" xfId="57482" xr:uid="{00000000-0005-0000-0000-00001CE00000}"/>
    <cellStyle name="Percent 2 2 4 4 3 5" xfId="57483" xr:uid="{00000000-0005-0000-0000-00001DE00000}"/>
    <cellStyle name="Percent 2 2 4 4 3 6" xfId="57484" xr:uid="{00000000-0005-0000-0000-00001EE00000}"/>
    <cellStyle name="Percent 2 2 4 4 4" xfId="57485" xr:uid="{00000000-0005-0000-0000-00001FE00000}"/>
    <cellStyle name="Percent 2 2 4 4 4 2" xfId="57486" xr:uid="{00000000-0005-0000-0000-000020E00000}"/>
    <cellStyle name="Percent 2 2 4 4 4 2 2" xfId="57487" xr:uid="{00000000-0005-0000-0000-000021E00000}"/>
    <cellStyle name="Percent 2 2 4 4 4 2 3" xfId="57488" xr:uid="{00000000-0005-0000-0000-000022E00000}"/>
    <cellStyle name="Percent 2 2 4 4 4 3" xfId="57489" xr:uid="{00000000-0005-0000-0000-000023E00000}"/>
    <cellStyle name="Percent 2 2 4 4 4 4" xfId="57490" xr:uid="{00000000-0005-0000-0000-000024E00000}"/>
    <cellStyle name="Percent 2 2 4 4 4 5" xfId="57491" xr:uid="{00000000-0005-0000-0000-000025E00000}"/>
    <cellStyle name="Percent 2 2 4 4 4 6" xfId="57492" xr:uid="{00000000-0005-0000-0000-000026E00000}"/>
    <cellStyle name="Percent 2 2 4 4 5" xfId="57493" xr:uid="{00000000-0005-0000-0000-000027E00000}"/>
    <cellStyle name="Percent 2 2 4 4 5 2" xfId="57494" xr:uid="{00000000-0005-0000-0000-000028E00000}"/>
    <cellStyle name="Percent 2 2 4 4 5 3" xfId="57495" xr:uid="{00000000-0005-0000-0000-000029E00000}"/>
    <cellStyle name="Percent 2 2 4 4 6" xfId="57496" xr:uid="{00000000-0005-0000-0000-00002AE00000}"/>
    <cellStyle name="Percent 2 2 4 4 7" xfId="57497" xr:uid="{00000000-0005-0000-0000-00002BE00000}"/>
    <cellStyle name="Percent 2 2 4 4 8" xfId="57498" xr:uid="{00000000-0005-0000-0000-00002CE00000}"/>
    <cellStyle name="Percent 2 2 4 4 9" xfId="57499" xr:uid="{00000000-0005-0000-0000-00002DE00000}"/>
    <cellStyle name="Percent 2 2 4 5" xfId="57500" xr:uid="{00000000-0005-0000-0000-00002EE00000}"/>
    <cellStyle name="Percent 2 2 4 5 2" xfId="57501" xr:uid="{00000000-0005-0000-0000-00002FE00000}"/>
    <cellStyle name="Percent 2 2 4 5 2 2" xfId="57502" xr:uid="{00000000-0005-0000-0000-000030E00000}"/>
    <cellStyle name="Percent 2 2 4 5 2 2 2" xfId="57503" xr:uid="{00000000-0005-0000-0000-000031E00000}"/>
    <cellStyle name="Percent 2 2 4 5 2 2 3" xfId="57504" xr:uid="{00000000-0005-0000-0000-000032E00000}"/>
    <cellStyle name="Percent 2 2 4 5 2 3" xfId="57505" xr:uid="{00000000-0005-0000-0000-000033E00000}"/>
    <cellStyle name="Percent 2 2 4 5 2 4" xfId="57506" xr:uid="{00000000-0005-0000-0000-000034E00000}"/>
    <cellStyle name="Percent 2 2 4 5 2 5" xfId="57507" xr:uid="{00000000-0005-0000-0000-000035E00000}"/>
    <cellStyle name="Percent 2 2 4 5 2 6" xfId="57508" xr:uid="{00000000-0005-0000-0000-000036E00000}"/>
    <cellStyle name="Percent 2 2 4 5 3" xfId="57509" xr:uid="{00000000-0005-0000-0000-000037E00000}"/>
    <cellStyle name="Percent 2 2 4 5 3 2" xfId="57510" xr:uid="{00000000-0005-0000-0000-000038E00000}"/>
    <cellStyle name="Percent 2 2 4 5 3 3" xfId="57511" xr:uid="{00000000-0005-0000-0000-000039E00000}"/>
    <cellStyle name="Percent 2 2 4 5 4" xfId="57512" xr:uid="{00000000-0005-0000-0000-00003AE00000}"/>
    <cellStyle name="Percent 2 2 4 5 5" xfId="57513" xr:uid="{00000000-0005-0000-0000-00003BE00000}"/>
    <cellStyle name="Percent 2 2 4 5 6" xfId="57514" xr:uid="{00000000-0005-0000-0000-00003CE00000}"/>
    <cellStyle name="Percent 2 2 4 5 7" xfId="57515" xr:uid="{00000000-0005-0000-0000-00003DE00000}"/>
    <cellStyle name="Percent 2 2 4 6" xfId="57516" xr:uid="{00000000-0005-0000-0000-00003EE00000}"/>
    <cellStyle name="Percent 2 2 4 6 2" xfId="57517" xr:uid="{00000000-0005-0000-0000-00003FE00000}"/>
    <cellStyle name="Percent 2 2 4 6 2 2" xfId="57518" xr:uid="{00000000-0005-0000-0000-000040E00000}"/>
    <cellStyle name="Percent 2 2 4 6 2 3" xfId="57519" xr:uid="{00000000-0005-0000-0000-000041E00000}"/>
    <cellStyle name="Percent 2 2 4 6 3" xfId="57520" xr:uid="{00000000-0005-0000-0000-000042E00000}"/>
    <cellStyle name="Percent 2 2 4 6 4" xfId="57521" xr:uid="{00000000-0005-0000-0000-000043E00000}"/>
    <cellStyle name="Percent 2 2 4 6 5" xfId="57522" xr:uid="{00000000-0005-0000-0000-000044E00000}"/>
    <cellStyle name="Percent 2 2 4 6 6" xfId="57523" xr:uid="{00000000-0005-0000-0000-000045E00000}"/>
    <cellStyle name="Percent 2 2 4 7" xfId="57524" xr:uid="{00000000-0005-0000-0000-000046E00000}"/>
    <cellStyle name="Percent 2 2 4 7 2" xfId="57525" xr:uid="{00000000-0005-0000-0000-000047E00000}"/>
    <cellStyle name="Percent 2 2 4 7 2 2" xfId="57526" xr:uid="{00000000-0005-0000-0000-000048E00000}"/>
    <cellStyle name="Percent 2 2 4 7 2 3" xfId="57527" xr:uid="{00000000-0005-0000-0000-000049E00000}"/>
    <cellStyle name="Percent 2 2 4 7 3" xfId="57528" xr:uid="{00000000-0005-0000-0000-00004AE00000}"/>
    <cellStyle name="Percent 2 2 4 7 4" xfId="57529" xr:uid="{00000000-0005-0000-0000-00004BE00000}"/>
    <cellStyle name="Percent 2 2 4 7 5" xfId="57530" xr:uid="{00000000-0005-0000-0000-00004CE00000}"/>
    <cellStyle name="Percent 2 2 4 7 6" xfId="57531" xr:uid="{00000000-0005-0000-0000-00004DE00000}"/>
    <cellStyle name="Percent 2 2 4 8" xfId="57532" xr:uid="{00000000-0005-0000-0000-00004EE00000}"/>
    <cellStyle name="Percent 2 2 4 8 2" xfId="57533" xr:uid="{00000000-0005-0000-0000-00004FE00000}"/>
    <cellStyle name="Percent 2 2 4 8 2 2" xfId="57534" xr:uid="{00000000-0005-0000-0000-000050E00000}"/>
    <cellStyle name="Percent 2 2 4 8 2 3" xfId="57535" xr:uid="{00000000-0005-0000-0000-000051E00000}"/>
    <cellStyle name="Percent 2 2 4 8 3" xfId="57536" xr:uid="{00000000-0005-0000-0000-000052E00000}"/>
    <cellStyle name="Percent 2 2 4 8 4" xfId="57537" xr:uid="{00000000-0005-0000-0000-000053E00000}"/>
    <cellStyle name="Percent 2 2 4 8 5" xfId="57538" xr:uid="{00000000-0005-0000-0000-000054E00000}"/>
    <cellStyle name="Percent 2 2 4 8 6" xfId="57539" xr:uid="{00000000-0005-0000-0000-000055E00000}"/>
    <cellStyle name="Percent 2 2 4 9" xfId="57540" xr:uid="{00000000-0005-0000-0000-000056E00000}"/>
    <cellStyle name="Percent 2 2 4 9 2" xfId="57541" xr:uid="{00000000-0005-0000-0000-000057E00000}"/>
    <cellStyle name="Percent 2 2 4 9 2 2" xfId="57542" xr:uid="{00000000-0005-0000-0000-000058E00000}"/>
    <cellStyle name="Percent 2 2 4 9 2 3" xfId="57543" xr:uid="{00000000-0005-0000-0000-000059E00000}"/>
    <cellStyle name="Percent 2 2 4 9 3" xfId="57544" xr:uid="{00000000-0005-0000-0000-00005AE00000}"/>
    <cellStyle name="Percent 2 2 4 9 4" xfId="57545" xr:uid="{00000000-0005-0000-0000-00005BE00000}"/>
    <cellStyle name="Percent 2 2 4 9 5" xfId="57546" xr:uid="{00000000-0005-0000-0000-00005CE00000}"/>
    <cellStyle name="Percent 2 2 4 9 6" xfId="57547" xr:uid="{00000000-0005-0000-0000-00005DE00000}"/>
    <cellStyle name="Percent 2 2 5" xfId="57548" xr:uid="{00000000-0005-0000-0000-00005EE00000}"/>
    <cellStyle name="Percent 2 2 5 10" xfId="57549" xr:uid="{00000000-0005-0000-0000-00005FE00000}"/>
    <cellStyle name="Percent 2 2 5 10 2" xfId="57550" xr:uid="{00000000-0005-0000-0000-000060E00000}"/>
    <cellStyle name="Percent 2 2 5 10 3" xfId="57551" xr:uid="{00000000-0005-0000-0000-000061E00000}"/>
    <cellStyle name="Percent 2 2 5 11" xfId="57552" xr:uid="{00000000-0005-0000-0000-000062E00000}"/>
    <cellStyle name="Percent 2 2 5 12" xfId="57553" xr:uid="{00000000-0005-0000-0000-000063E00000}"/>
    <cellStyle name="Percent 2 2 5 13" xfId="57554" xr:uid="{00000000-0005-0000-0000-000064E00000}"/>
    <cellStyle name="Percent 2 2 5 14" xfId="57555" xr:uid="{00000000-0005-0000-0000-000065E00000}"/>
    <cellStyle name="Percent 2 2 5 2" xfId="57556" xr:uid="{00000000-0005-0000-0000-000066E00000}"/>
    <cellStyle name="Percent 2 2 5 2 10" xfId="57557" xr:uid="{00000000-0005-0000-0000-000067E00000}"/>
    <cellStyle name="Percent 2 2 5 2 11" xfId="57558" xr:uid="{00000000-0005-0000-0000-000068E00000}"/>
    <cellStyle name="Percent 2 2 5 2 12" xfId="57559" xr:uid="{00000000-0005-0000-0000-000069E00000}"/>
    <cellStyle name="Percent 2 2 5 2 13" xfId="57560" xr:uid="{00000000-0005-0000-0000-00006AE00000}"/>
    <cellStyle name="Percent 2 2 5 2 2" xfId="57561" xr:uid="{00000000-0005-0000-0000-00006BE00000}"/>
    <cellStyle name="Percent 2 2 5 2 2 10" xfId="57562" xr:uid="{00000000-0005-0000-0000-00006CE00000}"/>
    <cellStyle name="Percent 2 2 5 2 2 2" xfId="57563" xr:uid="{00000000-0005-0000-0000-00006DE00000}"/>
    <cellStyle name="Percent 2 2 5 2 2 2 2" xfId="57564" xr:uid="{00000000-0005-0000-0000-00006EE00000}"/>
    <cellStyle name="Percent 2 2 5 2 2 2 2 2" xfId="57565" xr:uid="{00000000-0005-0000-0000-00006FE00000}"/>
    <cellStyle name="Percent 2 2 5 2 2 2 2 2 2" xfId="57566" xr:uid="{00000000-0005-0000-0000-000070E00000}"/>
    <cellStyle name="Percent 2 2 5 2 2 2 2 2 3" xfId="57567" xr:uid="{00000000-0005-0000-0000-000071E00000}"/>
    <cellStyle name="Percent 2 2 5 2 2 2 2 3" xfId="57568" xr:uid="{00000000-0005-0000-0000-000072E00000}"/>
    <cellStyle name="Percent 2 2 5 2 2 2 2 4" xfId="57569" xr:uid="{00000000-0005-0000-0000-000073E00000}"/>
    <cellStyle name="Percent 2 2 5 2 2 2 2 5" xfId="57570" xr:uid="{00000000-0005-0000-0000-000074E00000}"/>
    <cellStyle name="Percent 2 2 5 2 2 2 2 6" xfId="57571" xr:uid="{00000000-0005-0000-0000-000075E00000}"/>
    <cellStyle name="Percent 2 2 5 2 2 2 3" xfId="57572" xr:uid="{00000000-0005-0000-0000-000076E00000}"/>
    <cellStyle name="Percent 2 2 5 2 2 2 3 2" xfId="57573" xr:uid="{00000000-0005-0000-0000-000077E00000}"/>
    <cellStyle name="Percent 2 2 5 2 2 2 3 2 2" xfId="57574" xr:uid="{00000000-0005-0000-0000-000078E00000}"/>
    <cellStyle name="Percent 2 2 5 2 2 2 3 2 3" xfId="57575" xr:uid="{00000000-0005-0000-0000-000079E00000}"/>
    <cellStyle name="Percent 2 2 5 2 2 2 3 3" xfId="57576" xr:uid="{00000000-0005-0000-0000-00007AE00000}"/>
    <cellStyle name="Percent 2 2 5 2 2 2 3 4" xfId="57577" xr:uid="{00000000-0005-0000-0000-00007BE00000}"/>
    <cellStyle name="Percent 2 2 5 2 2 2 3 5" xfId="57578" xr:uid="{00000000-0005-0000-0000-00007CE00000}"/>
    <cellStyle name="Percent 2 2 5 2 2 2 3 6" xfId="57579" xr:uid="{00000000-0005-0000-0000-00007DE00000}"/>
    <cellStyle name="Percent 2 2 5 2 2 2 4" xfId="57580" xr:uid="{00000000-0005-0000-0000-00007EE00000}"/>
    <cellStyle name="Percent 2 2 5 2 2 2 4 2" xfId="57581" xr:uid="{00000000-0005-0000-0000-00007FE00000}"/>
    <cellStyle name="Percent 2 2 5 2 2 2 4 3" xfId="57582" xr:uid="{00000000-0005-0000-0000-000080E00000}"/>
    <cellStyle name="Percent 2 2 5 2 2 2 5" xfId="57583" xr:uid="{00000000-0005-0000-0000-000081E00000}"/>
    <cellStyle name="Percent 2 2 5 2 2 2 6" xfId="57584" xr:uid="{00000000-0005-0000-0000-000082E00000}"/>
    <cellStyle name="Percent 2 2 5 2 2 2 7" xfId="57585" xr:uid="{00000000-0005-0000-0000-000083E00000}"/>
    <cellStyle name="Percent 2 2 5 2 2 2 8" xfId="57586" xr:uid="{00000000-0005-0000-0000-000084E00000}"/>
    <cellStyle name="Percent 2 2 5 2 2 3" xfId="57587" xr:uid="{00000000-0005-0000-0000-000085E00000}"/>
    <cellStyle name="Percent 2 2 5 2 2 3 2" xfId="57588" xr:uid="{00000000-0005-0000-0000-000086E00000}"/>
    <cellStyle name="Percent 2 2 5 2 2 3 2 2" xfId="57589" xr:uid="{00000000-0005-0000-0000-000087E00000}"/>
    <cellStyle name="Percent 2 2 5 2 2 3 2 2 2" xfId="57590" xr:uid="{00000000-0005-0000-0000-000088E00000}"/>
    <cellStyle name="Percent 2 2 5 2 2 3 2 2 3" xfId="57591" xr:uid="{00000000-0005-0000-0000-000089E00000}"/>
    <cellStyle name="Percent 2 2 5 2 2 3 2 3" xfId="57592" xr:uid="{00000000-0005-0000-0000-00008AE00000}"/>
    <cellStyle name="Percent 2 2 5 2 2 3 2 4" xfId="57593" xr:uid="{00000000-0005-0000-0000-00008BE00000}"/>
    <cellStyle name="Percent 2 2 5 2 2 3 2 5" xfId="57594" xr:uid="{00000000-0005-0000-0000-00008CE00000}"/>
    <cellStyle name="Percent 2 2 5 2 2 3 2 6" xfId="57595" xr:uid="{00000000-0005-0000-0000-00008DE00000}"/>
    <cellStyle name="Percent 2 2 5 2 2 3 3" xfId="57596" xr:uid="{00000000-0005-0000-0000-00008EE00000}"/>
    <cellStyle name="Percent 2 2 5 2 2 3 3 2" xfId="57597" xr:uid="{00000000-0005-0000-0000-00008FE00000}"/>
    <cellStyle name="Percent 2 2 5 2 2 3 3 3" xfId="57598" xr:uid="{00000000-0005-0000-0000-000090E00000}"/>
    <cellStyle name="Percent 2 2 5 2 2 3 4" xfId="57599" xr:uid="{00000000-0005-0000-0000-000091E00000}"/>
    <cellStyle name="Percent 2 2 5 2 2 3 5" xfId="57600" xr:uid="{00000000-0005-0000-0000-000092E00000}"/>
    <cellStyle name="Percent 2 2 5 2 2 3 6" xfId="57601" xr:uid="{00000000-0005-0000-0000-000093E00000}"/>
    <cellStyle name="Percent 2 2 5 2 2 3 7" xfId="57602" xr:uid="{00000000-0005-0000-0000-000094E00000}"/>
    <cellStyle name="Percent 2 2 5 2 2 4" xfId="57603" xr:uid="{00000000-0005-0000-0000-000095E00000}"/>
    <cellStyle name="Percent 2 2 5 2 2 4 2" xfId="57604" xr:uid="{00000000-0005-0000-0000-000096E00000}"/>
    <cellStyle name="Percent 2 2 5 2 2 4 2 2" xfId="57605" xr:uid="{00000000-0005-0000-0000-000097E00000}"/>
    <cellStyle name="Percent 2 2 5 2 2 4 2 3" xfId="57606" xr:uid="{00000000-0005-0000-0000-000098E00000}"/>
    <cellStyle name="Percent 2 2 5 2 2 4 3" xfId="57607" xr:uid="{00000000-0005-0000-0000-000099E00000}"/>
    <cellStyle name="Percent 2 2 5 2 2 4 4" xfId="57608" xr:uid="{00000000-0005-0000-0000-00009AE00000}"/>
    <cellStyle name="Percent 2 2 5 2 2 4 5" xfId="57609" xr:uid="{00000000-0005-0000-0000-00009BE00000}"/>
    <cellStyle name="Percent 2 2 5 2 2 4 6" xfId="57610" xr:uid="{00000000-0005-0000-0000-00009CE00000}"/>
    <cellStyle name="Percent 2 2 5 2 2 5" xfId="57611" xr:uid="{00000000-0005-0000-0000-00009DE00000}"/>
    <cellStyle name="Percent 2 2 5 2 2 5 2" xfId="57612" xr:uid="{00000000-0005-0000-0000-00009EE00000}"/>
    <cellStyle name="Percent 2 2 5 2 2 5 2 2" xfId="57613" xr:uid="{00000000-0005-0000-0000-00009FE00000}"/>
    <cellStyle name="Percent 2 2 5 2 2 5 2 3" xfId="57614" xr:uid="{00000000-0005-0000-0000-0000A0E00000}"/>
    <cellStyle name="Percent 2 2 5 2 2 5 3" xfId="57615" xr:uid="{00000000-0005-0000-0000-0000A1E00000}"/>
    <cellStyle name="Percent 2 2 5 2 2 5 4" xfId="57616" xr:uid="{00000000-0005-0000-0000-0000A2E00000}"/>
    <cellStyle name="Percent 2 2 5 2 2 5 5" xfId="57617" xr:uid="{00000000-0005-0000-0000-0000A3E00000}"/>
    <cellStyle name="Percent 2 2 5 2 2 5 6" xfId="57618" xr:uid="{00000000-0005-0000-0000-0000A4E00000}"/>
    <cellStyle name="Percent 2 2 5 2 2 6" xfId="57619" xr:uid="{00000000-0005-0000-0000-0000A5E00000}"/>
    <cellStyle name="Percent 2 2 5 2 2 6 2" xfId="57620" xr:uid="{00000000-0005-0000-0000-0000A6E00000}"/>
    <cellStyle name="Percent 2 2 5 2 2 6 3" xfId="57621" xr:uid="{00000000-0005-0000-0000-0000A7E00000}"/>
    <cellStyle name="Percent 2 2 5 2 2 7" xfId="57622" xr:uid="{00000000-0005-0000-0000-0000A8E00000}"/>
    <cellStyle name="Percent 2 2 5 2 2 8" xfId="57623" xr:uid="{00000000-0005-0000-0000-0000A9E00000}"/>
    <cellStyle name="Percent 2 2 5 2 2 9" xfId="57624" xr:uid="{00000000-0005-0000-0000-0000AAE00000}"/>
    <cellStyle name="Percent 2 2 5 2 3" xfId="57625" xr:uid="{00000000-0005-0000-0000-0000ABE00000}"/>
    <cellStyle name="Percent 2 2 5 2 3 2" xfId="57626" xr:uid="{00000000-0005-0000-0000-0000ACE00000}"/>
    <cellStyle name="Percent 2 2 5 2 3 2 2" xfId="57627" xr:uid="{00000000-0005-0000-0000-0000ADE00000}"/>
    <cellStyle name="Percent 2 2 5 2 3 2 2 2" xfId="57628" xr:uid="{00000000-0005-0000-0000-0000AEE00000}"/>
    <cellStyle name="Percent 2 2 5 2 3 2 2 2 2" xfId="57629" xr:uid="{00000000-0005-0000-0000-0000AFE00000}"/>
    <cellStyle name="Percent 2 2 5 2 3 2 2 2 3" xfId="57630" xr:uid="{00000000-0005-0000-0000-0000B0E00000}"/>
    <cellStyle name="Percent 2 2 5 2 3 2 2 3" xfId="57631" xr:uid="{00000000-0005-0000-0000-0000B1E00000}"/>
    <cellStyle name="Percent 2 2 5 2 3 2 2 4" xfId="57632" xr:uid="{00000000-0005-0000-0000-0000B2E00000}"/>
    <cellStyle name="Percent 2 2 5 2 3 2 2 5" xfId="57633" xr:uid="{00000000-0005-0000-0000-0000B3E00000}"/>
    <cellStyle name="Percent 2 2 5 2 3 2 2 6" xfId="57634" xr:uid="{00000000-0005-0000-0000-0000B4E00000}"/>
    <cellStyle name="Percent 2 2 5 2 3 2 3" xfId="57635" xr:uid="{00000000-0005-0000-0000-0000B5E00000}"/>
    <cellStyle name="Percent 2 2 5 2 3 2 3 2" xfId="57636" xr:uid="{00000000-0005-0000-0000-0000B6E00000}"/>
    <cellStyle name="Percent 2 2 5 2 3 2 3 3" xfId="57637" xr:uid="{00000000-0005-0000-0000-0000B7E00000}"/>
    <cellStyle name="Percent 2 2 5 2 3 2 4" xfId="57638" xr:uid="{00000000-0005-0000-0000-0000B8E00000}"/>
    <cellStyle name="Percent 2 2 5 2 3 2 5" xfId="57639" xr:uid="{00000000-0005-0000-0000-0000B9E00000}"/>
    <cellStyle name="Percent 2 2 5 2 3 2 6" xfId="57640" xr:uid="{00000000-0005-0000-0000-0000BAE00000}"/>
    <cellStyle name="Percent 2 2 5 2 3 2 7" xfId="57641" xr:uid="{00000000-0005-0000-0000-0000BBE00000}"/>
    <cellStyle name="Percent 2 2 5 2 3 3" xfId="57642" xr:uid="{00000000-0005-0000-0000-0000BCE00000}"/>
    <cellStyle name="Percent 2 2 5 2 3 3 2" xfId="57643" xr:uid="{00000000-0005-0000-0000-0000BDE00000}"/>
    <cellStyle name="Percent 2 2 5 2 3 3 2 2" xfId="57644" xr:uid="{00000000-0005-0000-0000-0000BEE00000}"/>
    <cellStyle name="Percent 2 2 5 2 3 3 2 3" xfId="57645" xr:uid="{00000000-0005-0000-0000-0000BFE00000}"/>
    <cellStyle name="Percent 2 2 5 2 3 3 3" xfId="57646" xr:uid="{00000000-0005-0000-0000-0000C0E00000}"/>
    <cellStyle name="Percent 2 2 5 2 3 3 4" xfId="57647" xr:uid="{00000000-0005-0000-0000-0000C1E00000}"/>
    <cellStyle name="Percent 2 2 5 2 3 3 5" xfId="57648" xr:uid="{00000000-0005-0000-0000-0000C2E00000}"/>
    <cellStyle name="Percent 2 2 5 2 3 3 6" xfId="57649" xr:uid="{00000000-0005-0000-0000-0000C3E00000}"/>
    <cellStyle name="Percent 2 2 5 2 3 4" xfId="57650" xr:uid="{00000000-0005-0000-0000-0000C4E00000}"/>
    <cellStyle name="Percent 2 2 5 2 3 4 2" xfId="57651" xr:uid="{00000000-0005-0000-0000-0000C5E00000}"/>
    <cellStyle name="Percent 2 2 5 2 3 4 2 2" xfId="57652" xr:uid="{00000000-0005-0000-0000-0000C6E00000}"/>
    <cellStyle name="Percent 2 2 5 2 3 4 2 3" xfId="57653" xr:uid="{00000000-0005-0000-0000-0000C7E00000}"/>
    <cellStyle name="Percent 2 2 5 2 3 4 3" xfId="57654" xr:uid="{00000000-0005-0000-0000-0000C8E00000}"/>
    <cellStyle name="Percent 2 2 5 2 3 4 4" xfId="57655" xr:uid="{00000000-0005-0000-0000-0000C9E00000}"/>
    <cellStyle name="Percent 2 2 5 2 3 4 5" xfId="57656" xr:uid="{00000000-0005-0000-0000-0000CAE00000}"/>
    <cellStyle name="Percent 2 2 5 2 3 4 6" xfId="57657" xr:uid="{00000000-0005-0000-0000-0000CBE00000}"/>
    <cellStyle name="Percent 2 2 5 2 3 5" xfId="57658" xr:uid="{00000000-0005-0000-0000-0000CCE00000}"/>
    <cellStyle name="Percent 2 2 5 2 3 5 2" xfId="57659" xr:uid="{00000000-0005-0000-0000-0000CDE00000}"/>
    <cellStyle name="Percent 2 2 5 2 3 5 3" xfId="57660" xr:uid="{00000000-0005-0000-0000-0000CEE00000}"/>
    <cellStyle name="Percent 2 2 5 2 3 6" xfId="57661" xr:uid="{00000000-0005-0000-0000-0000CFE00000}"/>
    <cellStyle name="Percent 2 2 5 2 3 7" xfId="57662" xr:uid="{00000000-0005-0000-0000-0000D0E00000}"/>
    <cellStyle name="Percent 2 2 5 2 3 8" xfId="57663" xr:uid="{00000000-0005-0000-0000-0000D1E00000}"/>
    <cellStyle name="Percent 2 2 5 2 3 9" xfId="57664" xr:uid="{00000000-0005-0000-0000-0000D2E00000}"/>
    <cellStyle name="Percent 2 2 5 2 4" xfId="57665" xr:uid="{00000000-0005-0000-0000-0000D3E00000}"/>
    <cellStyle name="Percent 2 2 5 2 4 2" xfId="57666" xr:uid="{00000000-0005-0000-0000-0000D4E00000}"/>
    <cellStyle name="Percent 2 2 5 2 4 2 2" xfId="57667" xr:uid="{00000000-0005-0000-0000-0000D5E00000}"/>
    <cellStyle name="Percent 2 2 5 2 4 2 2 2" xfId="57668" xr:uid="{00000000-0005-0000-0000-0000D6E00000}"/>
    <cellStyle name="Percent 2 2 5 2 4 2 2 3" xfId="57669" xr:uid="{00000000-0005-0000-0000-0000D7E00000}"/>
    <cellStyle name="Percent 2 2 5 2 4 2 3" xfId="57670" xr:uid="{00000000-0005-0000-0000-0000D8E00000}"/>
    <cellStyle name="Percent 2 2 5 2 4 2 4" xfId="57671" xr:uid="{00000000-0005-0000-0000-0000D9E00000}"/>
    <cellStyle name="Percent 2 2 5 2 4 2 5" xfId="57672" xr:uid="{00000000-0005-0000-0000-0000DAE00000}"/>
    <cellStyle name="Percent 2 2 5 2 4 2 6" xfId="57673" xr:uid="{00000000-0005-0000-0000-0000DBE00000}"/>
    <cellStyle name="Percent 2 2 5 2 4 3" xfId="57674" xr:uid="{00000000-0005-0000-0000-0000DCE00000}"/>
    <cellStyle name="Percent 2 2 5 2 4 3 2" xfId="57675" xr:uid="{00000000-0005-0000-0000-0000DDE00000}"/>
    <cellStyle name="Percent 2 2 5 2 4 3 3" xfId="57676" xr:uid="{00000000-0005-0000-0000-0000DEE00000}"/>
    <cellStyle name="Percent 2 2 5 2 4 4" xfId="57677" xr:uid="{00000000-0005-0000-0000-0000DFE00000}"/>
    <cellStyle name="Percent 2 2 5 2 4 5" xfId="57678" xr:uid="{00000000-0005-0000-0000-0000E0E00000}"/>
    <cellStyle name="Percent 2 2 5 2 4 6" xfId="57679" xr:uid="{00000000-0005-0000-0000-0000E1E00000}"/>
    <cellStyle name="Percent 2 2 5 2 4 7" xfId="57680" xr:uid="{00000000-0005-0000-0000-0000E2E00000}"/>
    <cellStyle name="Percent 2 2 5 2 5" xfId="57681" xr:uid="{00000000-0005-0000-0000-0000E3E00000}"/>
    <cellStyle name="Percent 2 2 5 2 5 2" xfId="57682" xr:uid="{00000000-0005-0000-0000-0000E4E00000}"/>
    <cellStyle name="Percent 2 2 5 2 5 2 2" xfId="57683" xr:uid="{00000000-0005-0000-0000-0000E5E00000}"/>
    <cellStyle name="Percent 2 2 5 2 5 2 3" xfId="57684" xr:uid="{00000000-0005-0000-0000-0000E6E00000}"/>
    <cellStyle name="Percent 2 2 5 2 5 3" xfId="57685" xr:uid="{00000000-0005-0000-0000-0000E7E00000}"/>
    <cellStyle name="Percent 2 2 5 2 5 4" xfId="57686" xr:uid="{00000000-0005-0000-0000-0000E8E00000}"/>
    <cellStyle name="Percent 2 2 5 2 5 5" xfId="57687" xr:uid="{00000000-0005-0000-0000-0000E9E00000}"/>
    <cellStyle name="Percent 2 2 5 2 5 6" xfId="57688" xr:uid="{00000000-0005-0000-0000-0000EAE00000}"/>
    <cellStyle name="Percent 2 2 5 2 6" xfId="57689" xr:uid="{00000000-0005-0000-0000-0000EBE00000}"/>
    <cellStyle name="Percent 2 2 5 2 6 2" xfId="57690" xr:uid="{00000000-0005-0000-0000-0000ECE00000}"/>
    <cellStyle name="Percent 2 2 5 2 6 2 2" xfId="57691" xr:uid="{00000000-0005-0000-0000-0000EDE00000}"/>
    <cellStyle name="Percent 2 2 5 2 6 2 3" xfId="57692" xr:uid="{00000000-0005-0000-0000-0000EEE00000}"/>
    <cellStyle name="Percent 2 2 5 2 6 3" xfId="57693" xr:uid="{00000000-0005-0000-0000-0000EFE00000}"/>
    <cellStyle name="Percent 2 2 5 2 6 4" xfId="57694" xr:uid="{00000000-0005-0000-0000-0000F0E00000}"/>
    <cellStyle name="Percent 2 2 5 2 6 5" xfId="57695" xr:uid="{00000000-0005-0000-0000-0000F1E00000}"/>
    <cellStyle name="Percent 2 2 5 2 6 6" xfId="57696" xr:uid="{00000000-0005-0000-0000-0000F2E00000}"/>
    <cellStyle name="Percent 2 2 5 2 7" xfId="57697" xr:uid="{00000000-0005-0000-0000-0000F3E00000}"/>
    <cellStyle name="Percent 2 2 5 2 7 2" xfId="57698" xr:uid="{00000000-0005-0000-0000-0000F4E00000}"/>
    <cellStyle name="Percent 2 2 5 2 7 2 2" xfId="57699" xr:uid="{00000000-0005-0000-0000-0000F5E00000}"/>
    <cellStyle name="Percent 2 2 5 2 7 2 3" xfId="57700" xr:uid="{00000000-0005-0000-0000-0000F6E00000}"/>
    <cellStyle name="Percent 2 2 5 2 7 3" xfId="57701" xr:uid="{00000000-0005-0000-0000-0000F7E00000}"/>
    <cellStyle name="Percent 2 2 5 2 7 4" xfId="57702" xr:uid="{00000000-0005-0000-0000-0000F8E00000}"/>
    <cellStyle name="Percent 2 2 5 2 7 5" xfId="57703" xr:uid="{00000000-0005-0000-0000-0000F9E00000}"/>
    <cellStyle name="Percent 2 2 5 2 7 6" xfId="57704" xr:uid="{00000000-0005-0000-0000-0000FAE00000}"/>
    <cellStyle name="Percent 2 2 5 2 8" xfId="57705" xr:uid="{00000000-0005-0000-0000-0000FBE00000}"/>
    <cellStyle name="Percent 2 2 5 2 8 2" xfId="57706" xr:uid="{00000000-0005-0000-0000-0000FCE00000}"/>
    <cellStyle name="Percent 2 2 5 2 8 2 2" xfId="57707" xr:uid="{00000000-0005-0000-0000-0000FDE00000}"/>
    <cellStyle name="Percent 2 2 5 2 8 2 3" xfId="57708" xr:uid="{00000000-0005-0000-0000-0000FEE00000}"/>
    <cellStyle name="Percent 2 2 5 2 8 3" xfId="57709" xr:uid="{00000000-0005-0000-0000-0000FFE00000}"/>
    <cellStyle name="Percent 2 2 5 2 8 4" xfId="57710" xr:uid="{00000000-0005-0000-0000-000000E10000}"/>
    <cellStyle name="Percent 2 2 5 2 8 5" xfId="57711" xr:uid="{00000000-0005-0000-0000-000001E10000}"/>
    <cellStyle name="Percent 2 2 5 2 8 6" xfId="57712" xr:uid="{00000000-0005-0000-0000-000002E10000}"/>
    <cellStyle name="Percent 2 2 5 2 9" xfId="57713" xr:uid="{00000000-0005-0000-0000-000003E10000}"/>
    <cellStyle name="Percent 2 2 5 2 9 2" xfId="57714" xr:uid="{00000000-0005-0000-0000-000004E10000}"/>
    <cellStyle name="Percent 2 2 5 2 9 3" xfId="57715" xr:uid="{00000000-0005-0000-0000-000005E10000}"/>
    <cellStyle name="Percent 2 2 5 3" xfId="57716" xr:uid="{00000000-0005-0000-0000-000006E10000}"/>
    <cellStyle name="Percent 2 2 5 3 10" xfId="57717" xr:uid="{00000000-0005-0000-0000-000007E10000}"/>
    <cellStyle name="Percent 2 2 5 3 2" xfId="57718" xr:uid="{00000000-0005-0000-0000-000008E10000}"/>
    <cellStyle name="Percent 2 2 5 3 2 2" xfId="57719" xr:uid="{00000000-0005-0000-0000-000009E10000}"/>
    <cellStyle name="Percent 2 2 5 3 2 2 2" xfId="57720" xr:uid="{00000000-0005-0000-0000-00000AE10000}"/>
    <cellStyle name="Percent 2 2 5 3 2 2 2 2" xfId="57721" xr:uid="{00000000-0005-0000-0000-00000BE10000}"/>
    <cellStyle name="Percent 2 2 5 3 2 2 2 3" xfId="57722" xr:uid="{00000000-0005-0000-0000-00000CE10000}"/>
    <cellStyle name="Percent 2 2 5 3 2 2 3" xfId="57723" xr:uid="{00000000-0005-0000-0000-00000DE10000}"/>
    <cellStyle name="Percent 2 2 5 3 2 2 4" xfId="57724" xr:uid="{00000000-0005-0000-0000-00000EE10000}"/>
    <cellStyle name="Percent 2 2 5 3 2 2 5" xfId="57725" xr:uid="{00000000-0005-0000-0000-00000FE10000}"/>
    <cellStyle name="Percent 2 2 5 3 2 2 6" xfId="57726" xr:uid="{00000000-0005-0000-0000-000010E10000}"/>
    <cellStyle name="Percent 2 2 5 3 2 3" xfId="57727" xr:uid="{00000000-0005-0000-0000-000011E10000}"/>
    <cellStyle name="Percent 2 2 5 3 2 3 2" xfId="57728" xr:uid="{00000000-0005-0000-0000-000012E10000}"/>
    <cellStyle name="Percent 2 2 5 3 2 3 2 2" xfId="57729" xr:uid="{00000000-0005-0000-0000-000013E10000}"/>
    <cellStyle name="Percent 2 2 5 3 2 3 2 3" xfId="57730" xr:uid="{00000000-0005-0000-0000-000014E10000}"/>
    <cellStyle name="Percent 2 2 5 3 2 3 3" xfId="57731" xr:uid="{00000000-0005-0000-0000-000015E10000}"/>
    <cellStyle name="Percent 2 2 5 3 2 3 4" xfId="57732" xr:uid="{00000000-0005-0000-0000-000016E10000}"/>
    <cellStyle name="Percent 2 2 5 3 2 3 5" xfId="57733" xr:uid="{00000000-0005-0000-0000-000017E10000}"/>
    <cellStyle name="Percent 2 2 5 3 2 3 6" xfId="57734" xr:uid="{00000000-0005-0000-0000-000018E10000}"/>
    <cellStyle name="Percent 2 2 5 3 2 4" xfId="57735" xr:uid="{00000000-0005-0000-0000-000019E10000}"/>
    <cellStyle name="Percent 2 2 5 3 2 4 2" xfId="57736" xr:uid="{00000000-0005-0000-0000-00001AE10000}"/>
    <cellStyle name="Percent 2 2 5 3 2 4 3" xfId="57737" xr:uid="{00000000-0005-0000-0000-00001BE10000}"/>
    <cellStyle name="Percent 2 2 5 3 2 5" xfId="57738" xr:uid="{00000000-0005-0000-0000-00001CE10000}"/>
    <cellStyle name="Percent 2 2 5 3 2 6" xfId="57739" xr:uid="{00000000-0005-0000-0000-00001DE10000}"/>
    <cellStyle name="Percent 2 2 5 3 2 7" xfId="57740" xr:uid="{00000000-0005-0000-0000-00001EE10000}"/>
    <cellStyle name="Percent 2 2 5 3 2 8" xfId="57741" xr:uid="{00000000-0005-0000-0000-00001FE10000}"/>
    <cellStyle name="Percent 2 2 5 3 3" xfId="57742" xr:uid="{00000000-0005-0000-0000-000020E10000}"/>
    <cellStyle name="Percent 2 2 5 3 3 2" xfId="57743" xr:uid="{00000000-0005-0000-0000-000021E10000}"/>
    <cellStyle name="Percent 2 2 5 3 3 2 2" xfId="57744" xr:uid="{00000000-0005-0000-0000-000022E10000}"/>
    <cellStyle name="Percent 2 2 5 3 3 2 2 2" xfId="57745" xr:uid="{00000000-0005-0000-0000-000023E10000}"/>
    <cellStyle name="Percent 2 2 5 3 3 2 2 3" xfId="57746" xr:uid="{00000000-0005-0000-0000-000024E10000}"/>
    <cellStyle name="Percent 2 2 5 3 3 2 3" xfId="57747" xr:uid="{00000000-0005-0000-0000-000025E10000}"/>
    <cellStyle name="Percent 2 2 5 3 3 2 4" xfId="57748" xr:uid="{00000000-0005-0000-0000-000026E10000}"/>
    <cellStyle name="Percent 2 2 5 3 3 2 5" xfId="57749" xr:uid="{00000000-0005-0000-0000-000027E10000}"/>
    <cellStyle name="Percent 2 2 5 3 3 2 6" xfId="57750" xr:uid="{00000000-0005-0000-0000-000028E10000}"/>
    <cellStyle name="Percent 2 2 5 3 3 3" xfId="57751" xr:uid="{00000000-0005-0000-0000-000029E10000}"/>
    <cellStyle name="Percent 2 2 5 3 3 3 2" xfId="57752" xr:uid="{00000000-0005-0000-0000-00002AE10000}"/>
    <cellStyle name="Percent 2 2 5 3 3 3 3" xfId="57753" xr:uid="{00000000-0005-0000-0000-00002BE10000}"/>
    <cellStyle name="Percent 2 2 5 3 3 4" xfId="57754" xr:uid="{00000000-0005-0000-0000-00002CE10000}"/>
    <cellStyle name="Percent 2 2 5 3 3 5" xfId="57755" xr:uid="{00000000-0005-0000-0000-00002DE10000}"/>
    <cellStyle name="Percent 2 2 5 3 3 6" xfId="57756" xr:uid="{00000000-0005-0000-0000-00002EE10000}"/>
    <cellStyle name="Percent 2 2 5 3 3 7" xfId="57757" xr:uid="{00000000-0005-0000-0000-00002FE10000}"/>
    <cellStyle name="Percent 2 2 5 3 4" xfId="57758" xr:uid="{00000000-0005-0000-0000-000030E10000}"/>
    <cellStyle name="Percent 2 2 5 3 4 2" xfId="57759" xr:uid="{00000000-0005-0000-0000-000031E10000}"/>
    <cellStyle name="Percent 2 2 5 3 4 2 2" xfId="57760" xr:uid="{00000000-0005-0000-0000-000032E10000}"/>
    <cellStyle name="Percent 2 2 5 3 4 2 3" xfId="57761" xr:uid="{00000000-0005-0000-0000-000033E10000}"/>
    <cellStyle name="Percent 2 2 5 3 4 3" xfId="57762" xr:uid="{00000000-0005-0000-0000-000034E10000}"/>
    <cellStyle name="Percent 2 2 5 3 4 4" xfId="57763" xr:uid="{00000000-0005-0000-0000-000035E10000}"/>
    <cellStyle name="Percent 2 2 5 3 4 5" xfId="57764" xr:uid="{00000000-0005-0000-0000-000036E10000}"/>
    <cellStyle name="Percent 2 2 5 3 4 6" xfId="57765" xr:uid="{00000000-0005-0000-0000-000037E10000}"/>
    <cellStyle name="Percent 2 2 5 3 5" xfId="57766" xr:uid="{00000000-0005-0000-0000-000038E10000}"/>
    <cellStyle name="Percent 2 2 5 3 5 2" xfId="57767" xr:uid="{00000000-0005-0000-0000-000039E10000}"/>
    <cellStyle name="Percent 2 2 5 3 5 2 2" xfId="57768" xr:uid="{00000000-0005-0000-0000-00003AE10000}"/>
    <cellStyle name="Percent 2 2 5 3 5 2 3" xfId="57769" xr:uid="{00000000-0005-0000-0000-00003BE10000}"/>
    <cellStyle name="Percent 2 2 5 3 5 3" xfId="57770" xr:uid="{00000000-0005-0000-0000-00003CE10000}"/>
    <cellStyle name="Percent 2 2 5 3 5 4" xfId="57771" xr:uid="{00000000-0005-0000-0000-00003DE10000}"/>
    <cellStyle name="Percent 2 2 5 3 5 5" xfId="57772" xr:uid="{00000000-0005-0000-0000-00003EE10000}"/>
    <cellStyle name="Percent 2 2 5 3 5 6" xfId="57773" xr:uid="{00000000-0005-0000-0000-00003FE10000}"/>
    <cellStyle name="Percent 2 2 5 3 6" xfId="57774" xr:uid="{00000000-0005-0000-0000-000040E10000}"/>
    <cellStyle name="Percent 2 2 5 3 6 2" xfId="57775" xr:uid="{00000000-0005-0000-0000-000041E10000}"/>
    <cellStyle name="Percent 2 2 5 3 6 3" xfId="57776" xr:uid="{00000000-0005-0000-0000-000042E10000}"/>
    <cellStyle name="Percent 2 2 5 3 7" xfId="57777" xr:uid="{00000000-0005-0000-0000-000043E10000}"/>
    <cellStyle name="Percent 2 2 5 3 8" xfId="57778" xr:uid="{00000000-0005-0000-0000-000044E10000}"/>
    <cellStyle name="Percent 2 2 5 3 9" xfId="57779" xr:uid="{00000000-0005-0000-0000-000045E10000}"/>
    <cellStyle name="Percent 2 2 5 4" xfId="57780" xr:uid="{00000000-0005-0000-0000-000046E10000}"/>
    <cellStyle name="Percent 2 2 5 4 2" xfId="57781" xr:uid="{00000000-0005-0000-0000-000047E10000}"/>
    <cellStyle name="Percent 2 2 5 4 2 2" xfId="57782" xr:uid="{00000000-0005-0000-0000-000048E10000}"/>
    <cellStyle name="Percent 2 2 5 4 2 2 2" xfId="57783" xr:uid="{00000000-0005-0000-0000-000049E10000}"/>
    <cellStyle name="Percent 2 2 5 4 2 2 2 2" xfId="57784" xr:uid="{00000000-0005-0000-0000-00004AE10000}"/>
    <cellStyle name="Percent 2 2 5 4 2 2 2 3" xfId="57785" xr:uid="{00000000-0005-0000-0000-00004BE10000}"/>
    <cellStyle name="Percent 2 2 5 4 2 2 3" xfId="57786" xr:uid="{00000000-0005-0000-0000-00004CE10000}"/>
    <cellStyle name="Percent 2 2 5 4 2 2 4" xfId="57787" xr:uid="{00000000-0005-0000-0000-00004DE10000}"/>
    <cellStyle name="Percent 2 2 5 4 2 2 5" xfId="57788" xr:uid="{00000000-0005-0000-0000-00004EE10000}"/>
    <cellStyle name="Percent 2 2 5 4 2 2 6" xfId="57789" xr:uid="{00000000-0005-0000-0000-00004FE10000}"/>
    <cellStyle name="Percent 2 2 5 4 2 3" xfId="57790" xr:uid="{00000000-0005-0000-0000-000050E10000}"/>
    <cellStyle name="Percent 2 2 5 4 2 3 2" xfId="57791" xr:uid="{00000000-0005-0000-0000-000051E10000}"/>
    <cellStyle name="Percent 2 2 5 4 2 3 3" xfId="57792" xr:uid="{00000000-0005-0000-0000-000052E10000}"/>
    <cellStyle name="Percent 2 2 5 4 2 4" xfId="57793" xr:uid="{00000000-0005-0000-0000-000053E10000}"/>
    <cellStyle name="Percent 2 2 5 4 2 5" xfId="57794" xr:uid="{00000000-0005-0000-0000-000054E10000}"/>
    <cellStyle name="Percent 2 2 5 4 2 6" xfId="57795" xr:uid="{00000000-0005-0000-0000-000055E10000}"/>
    <cellStyle name="Percent 2 2 5 4 2 7" xfId="57796" xr:uid="{00000000-0005-0000-0000-000056E10000}"/>
    <cellStyle name="Percent 2 2 5 4 3" xfId="57797" xr:uid="{00000000-0005-0000-0000-000057E10000}"/>
    <cellStyle name="Percent 2 2 5 4 3 2" xfId="57798" xr:uid="{00000000-0005-0000-0000-000058E10000}"/>
    <cellStyle name="Percent 2 2 5 4 3 2 2" xfId="57799" xr:uid="{00000000-0005-0000-0000-000059E10000}"/>
    <cellStyle name="Percent 2 2 5 4 3 2 3" xfId="57800" xr:uid="{00000000-0005-0000-0000-00005AE10000}"/>
    <cellStyle name="Percent 2 2 5 4 3 3" xfId="57801" xr:uid="{00000000-0005-0000-0000-00005BE10000}"/>
    <cellStyle name="Percent 2 2 5 4 3 4" xfId="57802" xr:uid="{00000000-0005-0000-0000-00005CE10000}"/>
    <cellStyle name="Percent 2 2 5 4 3 5" xfId="57803" xr:uid="{00000000-0005-0000-0000-00005DE10000}"/>
    <cellStyle name="Percent 2 2 5 4 3 6" xfId="57804" xr:uid="{00000000-0005-0000-0000-00005EE10000}"/>
    <cellStyle name="Percent 2 2 5 4 4" xfId="57805" xr:uid="{00000000-0005-0000-0000-00005FE10000}"/>
    <cellStyle name="Percent 2 2 5 4 4 2" xfId="57806" xr:uid="{00000000-0005-0000-0000-000060E10000}"/>
    <cellStyle name="Percent 2 2 5 4 4 2 2" xfId="57807" xr:uid="{00000000-0005-0000-0000-000061E10000}"/>
    <cellStyle name="Percent 2 2 5 4 4 2 3" xfId="57808" xr:uid="{00000000-0005-0000-0000-000062E10000}"/>
    <cellStyle name="Percent 2 2 5 4 4 3" xfId="57809" xr:uid="{00000000-0005-0000-0000-000063E10000}"/>
    <cellStyle name="Percent 2 2 5 4 4 4" xfId="57810" xr:uid="{00000000-0005-0000-0000-000064E10000}"/>
    <cellStyle name="Percent 2 2 5 4 4 5" xfId="57811" xr:uid="{00000000-0005-0000-0000-000065E10000}"/>
    <cellStyle name="Percent 2 2 5 4 4 6" xfId="57812" xr:uid="{00000000-0005-0000-0000-000066E10000}"/>
    <cellStyle name="Percent 2 2 5 4 5" xfId="57813" xr:uid="{00000000-0005-0000-0000-000067E10000}"/>
    <cellStyle name="Percent 2 2 5 4 5 2" xfId="57814" xr:uid="{00000000-0005-0000-0000-000068E10000}"/>
    <cellStyle name="Percent 2 2 5 4 5 3" xfId="57815" xr:uid="{00000000-0005-0000-0000-000069E10000}"/>
    <cellStyle name="Percent 2 2 5 4 6" xfId="57816" xr:uid="{00000000-0005-0000-0000-00006AE10000}"/>
    <cellStyle name="Percent 2 2 5 4 7" xfId="57817" xr:uid="{00000000-0005-0000-0000-00006BE10000}"/>
    <cellStyle name="Percent 2 2 5 4 8" xfId="57818" xr:uid="{00000000-0005-0000-0000-00006CE10000}"/>
    <cellStyle name="Percent 2 2 5 4 9" xfId="57819" xr:uid="{00000000-0005-0000-0000-00006DE10000}"/>
    <cellStyle name="Percent 2 2 5 5" xfId="57820" xr:uid="{00000000-0005-0000-0000-00006EE10000}"/>
    <cellStyle name="Percent 2 2 5 5 2" xfId="57821" xr:uid="{00000000-0005-0000-0000-00006FE10000}"/>
    <cellStyle name="Percent 2 2 5 5 2 2" xfId="57822" xr:uid="{00000000-0005-0000-0000-000070E10000}"/>
    <cellStyle name="Percent 2 2 5 5 2 2 2" xfId="57823" xr:uid="{00000000-0005-0000-0000-000071E10000}"/>
    <cellStyle name="Percent 2 2 5 5 2 2 3" xfId="57824" xr:uid="{00000000-0005-0000-0000-000072E10000}"/>
    <cellStyle name="Percent 2 2 5 5 2 3" xfId="57825" xr:uid="{00000000-0005-0000-0000-000073E10000}"/>
    <cellStyle name="Percent 2 2 5 5 2 4" xfId="57826" xr:uid="{00000000-0005-0000-0000-000074E10000}"/>
    <cellStyle name="Percent 2 2 5 5 2 5" xfId="57827" xr:uid="{00000000-0005-0000-0000-000075E10000}"/>
    <cellStyle name="Percent 2 2 5 5 2 6" xfId="57828" xr:uid="{00000000-0005-0000-0000-000076E10000}"/>
    <cellStyle name="Percent 2 2 5 5 3" xfId="57829" xr:uid="{00000000-0005-0000-0000-000077E10000}"/>
    <cellStyle name="Percent 2 2 5 5 3 2" xfId="57830" xr:uid="{00000000-0005-0000-0000-000078E10000}"/>
    <cellStyle name="Percent 2 2 5 5 3 3" xfId="57831" xr:uid="{00000000-0005-0000-0000-000079E10000}"/>
    <cellStyle name="Percent 2 2 5 5 4" xfId="57832" xr:uid="{00000000-0005-0000-0000-00007AE10000}"/>
    <cellStyle name="Percent 2 2 5 5 5" xfId="57833" xr:uid="{00000000-0005-0000-0000-00007BE10000}"/>
    <cellStyle name="Percent 2 2 5 5 6" xfId="57834" xr:uid="{00000000-0005-0000-0000-00007CE10000}"/>
    <cellStyle name="Percent 2 2 5 5 7" xfId="57835" xr:uid="{00000000-0005-0000-0000-00007DE10000}"/>
    <cellStyle name="Percent 2 2 5 6" xfId="57836" xr:uid="{00000000-0005-0000-0000-00007EE10000}"/>
    <cellStyle name="Percent 2 2 5 6 2" xfId="57837" xr:uid="{00000000-0005-0000-0000-00007FE10000}"/>
    <cellStyle name="Percent 2 2 5 6 2 2" xfId="57838" xr:uid="{00000000-0005-0000-0000-000080E10000}"/>
    <cellStyle name="Percent 2 2 5 6 2 3" xfId="57839" xr:uid="{00000000-0005-0000-0000-000081E10000}"/>
    <cellStyle name="Percent 2 2 5 6 3" xfId="57840" xr:uid="{00000000-0005-0000-0000-000082E10000}"/>
    <cellStyle name="Percent 2 2 5 6 4" xfId="57841" xr:uid="{00000000-0005-0000-0000-000083E10000}"/>
    <cellStyle name="Percent 2 2 5 6 5" xfId="57842" xr:uid="{00000000-0005-0000-0000-000084E10000}"/>
    <cellStyle name="Percent 2 2 5 6 6" xfId="57843" xr:uid="{00000000-0005-0000-0000-000085E10000}"/>
    <cellStyle name="Percent 2 2 5 7" xfId="57844" xr:uid="{00000000-0005-0000-0000-000086E10000}"/>
    <cellStyle name="Percent 2 2 5 7 2" xfId="57845" xr:uid="{00000000-0005-0000-0000-000087E10000}"/>
    <cellStyle name="Percent 2 2 5 7 2 2" xfId="57846" xr:uid="{00000000-0005-0000-0000-000088E10000}"/>
    <cellStyle name="Percent 2 2 5 7 2 3" xfId="57847" xr:uid="{00000000-0005-0000-0000-000089E10000}"/>
    <cellStyle name="Percent 2 2 5 7 3" xfId="57848" xr:uid="{00000000-0005-0000-0000-00008AE10000}"/>
    <cellStyle name="Percent 2 2 5 7 4" xfId="57849" xr:uid="{00000000-0005-0000-0000-00008BE10000}"/>
    <cellStyle name="Percent 2 2 5 7 5" xfId="57850" xr:uid="{00000000-0005-0000-0000-00008CE10000}"/>
    <cellStyle name="Percent 2 2 5 7 6" xfId="57851" xr:uid="{00000000-0005-0000-0000-00008DE10000}"/>
    <cellStyle name="Percent 2 2 5 8" xfId="57852" xr:uid="{00000000-0005-0000-0000-00008EE10000}"/>
    <cellStyle name="Percent 2 2 5 8 2" xfId="57853" xr:uid="{00000000-0005-0000-0000-00008FE10000}"/>
    <cellStyle name="Percent 2 2 5 8 2 2" xfId="57854" xr:uid="{00000000-0005-0000-0000-000090E10000}"/>
    <cellStyle name="Percent 2 2 5 8 2 3" xfId="57855" xr:uid="{00000000-0005-0000-0000-000091E10000}"/>
    <cellStyle name="Percent 2 2 5 8 3" xfId="57856" xr:uid="{00000000-0005-0000-0000-000092E10000}"/>
    <cellStyle name="Percent 2 2 5 8 4" xfId="57857" xr:uid="{00000000-0005-0000-0000-000093E10000}"/>
    <cellStyle name="Percent 2 2 5 8 5" xfId="57858" xr:uid="{00000000-0005-0000-0000-000094E10000}"/>
    <cellStyle name="Percent 2 2 5 8 6" xfId="57859" xr:uid="{00000000-0005-0000-0000-000095E10000}"/>
    <cellStyle name="Percent 2 2 5 9" xfId="57860" xr:uid="{00000000-0005-0000-0000-000096E10000}"/>
    <cellStyle name="Percent 2 2 5 9 2" xfId="57861" xr:uid="{00000000-0005-0000-0000-000097E10000}"/>
    <cellStyle name="Percent 2 2 5 9 2 2" xfId="57862" xr:uid="{00000000-0005-0000-0000-000098E10000}"/>
    <cellStyle name="Percent 2 2 5 9 2 3" xfId="57863" xr:uid="{00000000-0005-0000-0000-000099E10000}"/>
    <cellStyle name="Percent 2 2 5 9 3" xfId="57864" xr:uid="{00000000-0005-0000-0000-00009AE10000}"/>
    <cellStyle name="Percent 2 2 5 9 4" xfId="57865" xr:uid="{00000000-0005-0000-0000-00009BE10000}"/>
    <cellStyle name="Percent 2 2 5 9 5" xfId="57866" xr:uid="{00000000-0005-0000-0000-00009CE10000}"/>
    <cellStyle name="Percent 2 2 5 9 6" xfId="57867" xr:uid="{00000000-0005-0000-0000-00009DE10000}"/>
    <cellStyle name="Percent 2 2 6" xfId="57868" xr:uid="{00000000-0005-0000-0000-00009EE10000}"/>
    <cellStyle name="Percent 2 2 6 10" xfId="57869" xr:uid="{00000000-0005-0000-0000-00009FE10000}"/>
    <cellStyle name="Percent 2 2 6 11" xfId="57870" xr:uid="{00000000-0005-0000-0000-0000A0E10000}"/>
    <cellStyle name="Percent 2 2 6 12" xfId="57871" xr:uid="{00000000-0005-0000-0000-0000A1E10000}"/>
    <cellStyle name="Percent 2 2 6 13" xfId="57872" xr:uid="{00000000-0005-0000-0000-0000A2E10000}"/>
    <cellStyle name="Percent 2 2 6 2" xfId="57873" xr:uid="{00000000-0005-0000-0000-0000A3E10000}"/>
    <cellStyle name="Percent 2 2 6 2 10" xfId="57874" xr:uid="{00000000-0005-0000-0000-0000A4E10000}"/>
    <cellStyle name="Percent 2 2 6 2 2" xfId="57875" xr:uid="{00000000-0005-0000-0000-0000A5E10000}"/>
    <cellStyle name="Percent 2 2 6 2 2 2" xfId="57876" xr:uid="{00000000-0005-0000-0000-0000A6E10000}"/>
    <cellStyle name="Percent 2 2 6 2 2 2 2" xfId="57877" xr:uid="{00000000-0005-0000-0000-0000A7E10000}"/>
    <cellStyle name="Percent 2 2 6 2 2 2 2 2" xfId="57878" xr:uid="{00000000-0005-0000-0000-0000A8E10000}"/>
    <cellStyle name="Percent 2 2 6 2 2 2 2 3" xfId="57879" xr:uid="{00000000-0005-0000-0000-0000A9E10000}"/>
    <cellStyle name="Percent 2 2 6 2 2 2 3" xfId="57880" xr:uid="{00000000-0005-0000-0000-0000AAE10000}"/>
    <cellStyle name="Percent 2 2 6 2 2 2 4" xfId="57881" xr:uid="{00000000-0005-0000-0000-0000ABE10000}"/>
    <cellStyle name="Percent 2 2 6 2 2 2 5" xfId="57882" xr:uid="{00000000-0005-0000-0000-0000ACE10000}"/>
    <cellStyle name="Percent 2 2 6 2 2 2 6" xfId="57883" xr:uid="{00000000-0005-0000-0000-0000ADE10000}"/>
    <cellStyle name="Percent 2 2 6 2 2 3" xfId="57884" xr:uid="{00000000-0005-0000-0000-0000AEE10000}"/>
    <cellStyle name="Percent 2 2 6 2 2 3 2" xfId="57885" xr:uid="{00000000-0005-0000-0000-0000AFE10000}"/>
    <cellStyle name="Percent 2 2 6 2 2 3 2 2" xfId="57886" xr:uid="{00000000-0005-0000-0000-0000B0E10000}"/>
    <cellStyle name="Percent 2 2 6 2 2 3 2 3" xfId="57887" xr:uid="{00000000-0005-0000-0000-0000B1E10000}"/>
    <cellStyle name="Percent 2 2 6 2 2 3 3" xfId="57888" xr:uid="{00000000-0005-0000-0000-0000B2E10000}"/>
    <cellStyle name="Percent 2 2 6 2 2 3 4" xfId="57889" xr:uid="{00000000-0005-0000-0000-0000B3E10000}"/>
    <cellStyle name="Percent 2 2 6 2 2 3 5" xfId="57890" xr:uid="{00000000-0005-0000-0000-0000B4E10000}"/>
    <cellStyle name="Percent 2 2 6 2 2 3 6" xfId="57891" xr:uid="{00000000-0005-0000-0000-0000B5E10000}"/>
    <cellStyle name="Percent 2 2 6 2 2 4" xfId="57892" xr:uid="{00000000-0005-0000-0000-0000B6E10000}"/>
    <cellStyle name="Percent 2 2 6 2 2 4 2" xfId="57893" xr:uid="{00000000-0005-0000-0000-0000B7E10000}"/>
    <cellStyle name="Percent 2 2 6 2 2 4 3" xfId="57894" xr:uid="{00000000-0005-0000-0000-0000B8E10000}"/>
    <cellStyle name="Percent 2 2 6 2 2 5" xfId="57895" xr:uid="{00000000-0005-0000-0000-0000B9E10000}"/>
    <cellStyle name="Percent 2 2 6 2 2 6" xfId="57896" xr:uid="{00000000-0005-0000-0000-0000BAE10000}"/>
    <cellStyle name="Percent 2 2 6 2 2 7" xfId="57897" xr:uid="{00000000-0005-0000-0000-0000BBE10000}"/>
    <cellStyle name="Percent 2 2 6 2 2 8" xfId="57898" xr:uid="{00000000-0005-0000-0000-0000BCE10000}"/>
    <cellStyle name="Percent 2 2 6 2 3" xfId="57899" xr:uid="{00000000-0005-0000-0000-0000BDE10000}"/>
    <cellStyle name="Percent 2 2 6 2 3 2" xfId="57900" xr:uid="{00000000-0005-0000-0000-0000BEE10000}"/>
    <cellStyle name="Percent 2 2 6 2 3 2 2" xfId="57901" xr:uid="{00000000-0005-0000-0000-0000BFE10000}"/>
    <cellStyle name="Percent 2 2 6 2 3 2 2 2" xfId="57902" xr:uid="{00000000-0005-0000-0000-0000C0E10000}"/>
    <cellStyle name="Percent 2 2 6 2 3 2 2 3" xfId="57903" xr:uid="{00000000-0005-0000-0000-0000C1E10000}"/>
    <cellStyle name="Percent 2 2 6 2 3 2 3" xfId="57904" xr:uid="{00000000-0005-0000-0000-0000C2E10000}"/>
    <cellStyle name="Percent 2 2 6 2 3 2 4" xfId="57905" xr:uid="{00000000-0005-0000-0000-0000C3E10000}"/>
    <cellStyle name="Percent 2 2 6 2 3 2 5" xfId="57906" xr:uid="{00000000-0005-0000-0000-0000C4E10000}"/>
    <cellStyle name="Percent 2 2 6 2 3 2 6" xfId="57907" xr:uid="{00000000-0005-0000-0000-0000C5E10000}"/>
    <cellStyle name="Percent 2 2 6 2 3 3" xfId="57908" xr:uid="{00000000-0005-0000-0000-0000C6E10000}"/>
    <cellStyle name="Percent 2 2 6 2 3 3 2" xfId="57909" xr:uid="{00000000-0005-0000-0000-0000C7E10000}"/>
    <cellStyle name="Percent 2 2 6 2 3 3 3" xfId="57910" xr:uid="{00000000-0005-0000-0000-0000C8E10000}"/>
    <cellStyle name="Percent 2 2 6 2 3 4" xfId="57911" xr:uid="{00000000-0005-0000-0000-0000C9E10000}"/>
    <cellStyle name="Percent 2 2 6 2 3 5" xfId="57912" xr:uid="{00000000-0005-0000-0000-0000CAE10000}"/>
    <cellStyle name="Percent 2 2 6 2 3 6" xfId="57913" xr:uid="{00000000-0005-0000-0000-0000CBE10000}"/>
    <cellStyle name="Percent 2 2 6 2 3 7" xfId="57914" xr:uid="{00000000-0005-0000-0000-0000CCE10000}"/>
    <cellStyle name="Percent 2 2 6 2 4" xfId="57915" xr:uid="{00000000-0005-0000-0000-0000CDE10000}"/>
    <cellStyle name="Percent 2 2 6 2 4 2" xfId="57916" xr:uid="{00000000-0005-0000-0000-0000CEE10000}"/>
    <cellStyle name="Percent 2 2 6 2 4 2 2" xfId="57917" xr:uid="{00000000-0005-0000-0000-0000CFE10000}"/>
    <cellStyle name="Percent 2 2 6 2 4 2 3" xfId="57918" xr:uid="{00000000-0005-0000-0000-0000D0E10000}"/>
    <cellStyle name="Percent 2 2 6 2 4 3" xfId="57919" xr:uid="{00000000-0005-0000-0000-0000D1E10000}"/>
    <cellStyle name="Percent 2 2 6 2 4 4" xfId="57920" xr:uid="{00000000-0005-0000-0000-0000D2E10000}"/>
    <cellStyle name="Percent 2 2 6 2 4 5" xfId="57921" xr:uid="{00000000-0005-0000-0000-0000D3E10000}"/>
    <cellStyle name="Percent 2 2 6 2 4 6" xfId="57922" xr:uid="{00000000-0005-0000-0000-0000D4E10000}"/>
    <cellStyle name="Percent 2 2 6 2 5" xfId="57923" xr:uid="{00000000-0005-0000-0000-0000D5E10000}"/>
    <cellStyle name="Percent 2 2 6 2 5 2" xfId="57924" xr:uid="{00000000-0005-0000-0000-0000D6E10000}"/>
    <cellStyle name="Percent 2 2 6 2 5 2 2" xfId="57925" xr:uid="{00000000-0005-0000-0000-0000D7E10000}"/>
    <cellStyle name="Percent 2 2 6 2 5 2 3" xfId="57926" xr:uid="{00000000-0005-0000-0000-0000D8E10000}"/>
    <cellStyle name="Percent 2 2 6 2 5 3" xfId="57927" xr:uid="{00000000-0005-0000-0000-0000D9E10000}"/>
    <cellStyle name="Percent 2 2 6 2 5 4" xfId="57928" xr:uid="{00000000-0005-0000-0000-0000DAE10000}"/>
    <cellStyle name="Percent 2 2 6 2 5 5" xfId="57929" xr:uid="{00000000-0005-0000-0000-0000DBE10000}"/>
    <cellStyle name="Percent 2 2 6 2 5 6" xfId="57930" xr:uid="{00000000-0005-0000-0000-0000DCE10000}"/>
    <cellStyle name="Percent 2 2 6 2 6" xfId="57931" xr:uid="{00000000-0005-0000-0000-0000DDE10000}"/>
    <cellStyle name="Percent 2 2 6 2 6 2" xfId="57932" xr:uid="{00000000-0005-0000-0000-0000DEE10000}"/>
    <cellStyle name="Percent 2 2 6 2 6 3" xfId="57933" xr:uid="{00000000-0005-0000-0000-0000DFE10000}"/>
    <cellStyle name="Percent 2 2 6 2 7" xfId="57934" xr:uid="{00000000-0005-0000-0000-0000E0E10000}"/>
    <cellStyle name="Percent 2 2 6 2 8" xfId="57935" xr:uid="{00000000-0005-0000-0000-0000E1E10000}"/>
    <cellStyle name="Percent 2 2 6 2 9" xfId="57936" xr:uid="{00000000-0005-0000-0000-0000E2E10000}"/>
    <cellStyle name="Percent 2 2 6 3" xfId="57937" xr:uid="{00000000-0005-0000-0000-0000E3E10000}"/>
    <cellStyle name="Percent 2 2 6 3 2" xfId="57938" xr:uid="{00000000-0005-0000-0000-0000E4E10000}"/>
    <cellStyle name="Percent 2 2 6 3 2 2" xfId="57939" xr:uid="{00000000-0005-0000-0000-0000E5E10000}"/>
    <cellStyle name="Percent 2 2 6 3 2 2 2" xfId="57940" xr:uid="{00000000-0005-0000-0000-0000E6E10000}"/>
    <cellStyle name="Percent 2 2 6 3 2 2 2 2" xfId="57941" xr:uid="{00000000-0005-0000-0000-0000E7E10000}"/>
    <cellStyle name="Percent 2 2 6 3 2 2 2 3" xfId="57942" xr:uid="{00000000-0005-0000-0000-0000E8E10000}"/>
    <cellStyle name="Percent 2 2 6 3 2 2 3" xfId="57943" xr:uid="{00000000-0005-0000-0000-0000E9E10000}"/>
    <cellStyle name="Percent 2 2 6 3 2 2 4" xfId="57944" xr:uid="{00000000-0005-0000-0000-0000EAE10000}"/>
    <cellStyle name="Percent 2 2 6 3 2 2 5" xfId="57945" xr:uid="{00000000-0005-0000-0000-0000EBE10000}"/>
    <cellStyle name="Percent 2 2 6 3 2 2 6" xfId="57946" xr:uid="{00000000-0005-0000-0000-0000ECE10000}"/>
    <cellStyle name="Percent 2 2 6 3 2 3" xfId="57947" xr:uid="{00000000-0005-0000-0000-0000EDE10000}"/>
    <cellStyle name="Percent 2 2 6 3 2 3 2" xfId="57948" xr:uid="{00000000-0005-0000-0000-0000EEE10000}"/>
    <cellStyle name="Percent 2 2 6 3 2 3 3" xfId="57949" xr:uid="{00000000-0005-0000-0000-0000EFE10000}"/>
    <cellStyle name="Percent 2 2 6 3 2 4" xfId="57950" xr:uid="{00000000-0005-0000-0000-0000F0E10000}"/>
    <cellStyle name="Percent 2 2 6 3 2 5" xfId="57951" xr:uid="{00000000-0005-0000-0000-0000F1E10000}"/>
    <cellStyle name="Percent 2 2 6 3 2 6" xfId="57952" xr:uid="{00000000-0005-0000-0000-0000F2E10000}"/>
    <cellStyle name="Percent 2 2 6 3 2 7" xfId="57953" xr:uid="{00000000-0005-0000-0000-0000F3E10000}"/>
    <cellStyle name="Percent 2 2 6 3 3" xfId="57954" xr:uid="{00000000-0005-0000-0000-0000F4E10000}"/>
    <cellStyle name="Percent 2 2 6 3 3 2" xfId="57955" xr:uid="{00000000-0005-0000-0000-0000F5E10000}"/>
    <cellStyle name="Percent 2 2 6 3 3 2 2" xfId="57956" xr:uid="{00000000-0005-0000-0000-0000F6E10000}"/>
    <cellStyle name="Percent 2 2 6 3 3 2 3" xfId="57957" xr:uid="{00000000-0005-0000-0000-0000F7E10000}"/>
    <cellStyle name="Percent 2 2 6 3 3 3" xfId="57958" xr:uid="{00000000-0005-0000-0000-0000F8E10000}"/>
    <cellStyle name="Percent 2 2 6 3 3 4" xfId="57959" xr:uid="{00000000-0005-0000-0000-0000F9E10000}"/>
    <cellStyle name="Percent 2 2 6 3 3 5" xfId="57960" xr:uid="{00000000-0005-0000-0000-0000FAE10000}"/>
    <cellStyle name="Percent 2 2 6 3 3 6" xfId="57961" xr:uid="{00000000-0005-0000-0000-0000FBE10000}"/>
    <cellStyle name="Percent 2 2 6 3 4" xfId="57962" xr:uid="{00000000-0005-0000-0000-0000FCE10000}"/>
    <cellStyle name="Percent 2 2 6 3 4 2" xfId="57963" xr:uid="{00000000-0005-0000-0000-0000FDE10000}"/>
    <cellStyle name="Percent 2 2 6 3 4 2 2" xfId="57964" xr:uid="{00000000-0005-0000-0000-0000FEE10000}"/>
    <cellStyle name="Percent 2 2 6 3 4 2 3" xfId="57965" xr:uid="{00000000-0005-0000-0000-0000FFE10000}"/>
    <cellStyle name="Percent 2 2 6 3 4 3" xfId="57966" xr:uid="{00000000-0005-0000-0000-000000E20000}"/>
    <cellStyle name="Percent 2 2 6 3 4 4" xfId="57967" xr:uid="{00000000-0005-0000-0000-000001E20000}"/>
    <cellStyle name="Percent 2 2 6 3 4 5" xfId="57968" xr:uid="{00000000-0005-0000-0000-000002E20000}"/>
    <cellStyle name="Percent 2 2 6 3 4 6" xfId="57969" xr:uid="{00000000-0005-0000-0000-000003E20000}"/>
    <cellStyle name="Percent 2 2 6 3 5" xfId="57970" xr:uid="{00000000-0005-0000-0000-000004E20000}"/>
    <cellStyle name="Percent 2 2 6 3 5 2" xfId="57971" xr:uid="{00000000-0005-0000-0000-000005E20000}"/>
    <cellStyle name="Percent 2 2 6 3 5 3" xfId="57972" xr:uid="{00000000-0005-0000-0000-000006E20000}"/>
    <cellStyle name="Percent 2 2 6 3 6" xfId="57973" xr:uid="{00000000-0005-0000-0000-000007E20000}"/>
    <cellStyle name="Percent 2 2 6 3 7" xfId="57974" xr:uid="{00000000-0005-0000-0000-000008E20000}"/>
    <cellStyle name="Percent 2 2 6 3 8" xfId="57975" xr:uid="{00000000-0005-0000-0000-000009E20000}"/>
    <cellStyle name="Percent 2 2 6 3 9" xfId="57976" xr:uid="{00000000-0005-0000-0000-00000AE20000}"/>
    <cellStyle name="Percent 2 2 6 4" xfId="57977" xr:uid="{00000000-0005-0000-0000-00000BE20000}"/>
    <cellStyle name="Percent 2 2 6 4 2" xfId="57978" xr:uid="{00000000-0005-0000-0000-00000CE20000}"/>
    <cellStyle name="Percent 2 2 6 4 2 2" xfId="57979" xr:uid="{00000000-0005-0000-0000-00000DE20000}"/>
    <cellStyle name="Percent 2 2 6 4 2 2 2" xfId="57980" xr:uid="{00000000-0005-0000-0000-00000EE20000}"/>
    <cellStyle name="Percent 2 2 6 4 2 2 3" xfId="57981" xr:uid="{00000000-0005-0000-0000-00000FE20000}"/>
    <cellStyle name="Percent 2 2 6 4 2 3" xfId="57982" xr:uid="{00000000-0005-0000-0000-000010E20000}"/>
    <cellStyle name="Percent 2 2 6 4 2 4" xfId="57983" xr:uid="{00000000-0005-0000-0000-000011E20000}"/>
    <cellStyle name="Percent 2 2 6 4 2 5" xfId="57984" xr:uid="{00000000-0005-0000-0000-000012E20000}"/>
    <cellStyle name="Percent 2 2 6 4 2 6" xfId="57985" xr:uid="{00000000-0005-0000-0000-000013E20000}"/>
    <cellStyle name="Percent 2 2 6 4 3" xfId="57986" xr:uid="{00000000-0005-0000-0000-000014E20000}"/>
    <cellStyle name="Percent 2 2 6 4 3 2" xfId="57987" xr:uid="{00000000-0005-0000-0000-000015E20000}"/>
    <cellStyle name="Percent 2 2 6 4 3 3" xfId="57988" xr:uid="{00000000-0005-0000-0000-000016E20000}"/>
    <cellStyle name="Percent 2 2 6 4 4" xfId="57989" xr:uid="{00000000-0005-0000-0000-000017E20000}"/>
    <cellStyle name="Percent 2 2 6 4 5" xfId="57990" xr:uid="{00000000-0005-0000-0000-000018E20000}"/>
    <cellStyle name="Percent 2 2 6 4 6" xfId="57991" xr:uid="{00000000-0005-0000-0000-000019E20000}"/>
    <cellStyle name="Percent 2 2 6 4 7" xfId="57992" xr:uid="{00000000-0005-0000-0000-00001AE20000}"/>
    <cellStyle name="Percent 2 2 6 5" xfId="57993" xr:uid="{00000000-0005-0000-0000-00001BE20000}"/>
    <cellStyle name="Percent 2 2 6 5 2" xfId="57994" xr:uid="{00000000-0005-0000-0000-00001CE20000}"/>
    <cellStyle name="Percent 2 2 6 5 2 2" xfId="57995" xr:uid="{00000000-0005-0000-0000-00001DE20000}"/>
    <cellStyle name="Percent 2 2 6 5 2 3" xfId="57996" xr:uid="{00000000-0005-0000-0000-00001EE20000}"/>
    <cellStyle name="Percent 2 2 6 5 3" xfId="57997" xr:uid="{00000000-0005-0000-0000-00001FE20000}"/>
    <cellStyle name="Percent 2 2 6 5 4" xfId="57998" xr:uid="{00000000-0005-0000-0000-000020E20000}"/>
    <cellStyle name="Percent 2 2 6 5 5" xfId="57999" xr:uid="{00000000-0005-0000-0000-000021E20000}"/>
    <cellStyle name="Percent 2 2 6 5 6" xfId="58000" xr:uid="{00000000-0005-0000-0000-000022E20000}"/>
    <cellStyle name="Percent 2 2 6 6" xfId="58001" xr:uid="{00000000-0005-0000-0000-000023E20000}"/>
    <cellStyle name="Percent 2 2 6 6 2" xfId="58002" xr:uid="{00000000-0005-0000-0000-000024E20000}"/>
    <cellStyle name="Percent 2 2 6 6 2 2" xfId="58003" xr:uid="{00000000-0005-0000-0000-000025E20000}"/>
    <cellStyle name="Percent 2 2 6 6 2 3" xfId="58004" xr:uid="{00000000-0005-0000-0000-000026E20000}"/>
    <cellStyle name="Percent 2 2 6 6 3" xfId="58005" xr:uid="{00000000-0005-0000-0000-000027E20000}"/>
    <cellStyle name="Percent 2 2 6 6 4" xfId="58006" xr:uid="{00000000-0005-0000-0000-000028E20000}"/>
    <cellStyle name="Percent 2 2 6 6 5" xfId="58007" xr:uid="{00000000-0005-0000-0000-000029E20000}"/>
    <cellStyle name="Percent 2 2 6 6 6" xfId="58008" xr:uid="{00000000-0005-0000-0000-00002AE20000}"/>
    <cellStyle name="Percent 2 2 6 7" xfId="58009" xr:uid="{00000000-0005-0000-0000-00002BE20000}"/>
    <cellStyle name="Percent 2 2 6 7 2" xfId="58010" xr:uid="{00000000-0005-0000-0000-00002CE20000}"/>
    <cellStyle name="Percent 2 2 6 7 2 2" xfId="58011" xr:uid="{00000000-0005-0000-0000-00002DE20000}"/>
    <cellStyle name="Percent 2 2 6 7 2 3" xfId="58012" xr:uid="{00000000-0005-0000-0000-00002EE20000}"/>
    <cellStyle name="Percent 2 2 6 7 3" xfId="58013" xr:uid="{00000000-0005-0000-0000-00002FE20000}"/>
    <cellStyle name="Percent 2 2 6 7 4" xfId="58014" xr:uid="{00000000-0005-0000-0000-000030E20000}"/>
    <cellStyle name="Percent 2 2 6 7 5" xfId="58015" xr:uid="{00000000-0005-0000-0000-000031E20000}"/>
    <cellStyle name="Percent 2 2 6 7 6" xfId="58016" xr:uid="{00000000-0005-0000-0000-000032E20000}"/>
    <cellStyle name="Percent 2 2 6 8" xfId="58017" xr:uid="{00000000-0005-0000-0000-000033E20000}"/>
    <cellStyle name="Percent 2 2 6 8 2" xfId="58018" xr:uid="{00000000-0005-0000-0000-000034E20000}"/>
    <cellStyle name="Percent 2 2 6 8 2 2" xfId="58019" xr:uid="{00000000-0005-0000-0000-000035E20000}"/>
    <cellStyle name="Percent 2 2 6 8 2 3" xfId="58020" xr:uid="{00000000-0005-0000-0000-000036E20000}"/>
    <cellStyle name="Percent 2 2 6 8 3" xfId="58021" xr:uid="{00000000-0005-0000-0000-000037E20000}"/>
    <cellStyle name="Percent 2 2 6 8 4" xfId="58022" xr:uid="{00000000-0005-0000-0000-000038E20000}"/>
    <cellStyle name="Percent 2 2 6 8 5" xfId="58023" xr:uid="{00000000-0005-0000-0000-000039E20000}"/>
    <cellStyle name="Percent 2 2 6 8 6" xfId="58024" xr:uid="{00000000-0005-0000-0000-00003AE20000}"/>
    <cellStyle name="Percent 2 2 6 9" xfId="58025" xr:uid="{00000000-0005-0000-0000-00003BE20000}"/>
    <cellStyle name="Percent 2 2 6 9 2" xfId="58026" xr:uid="{00000000-0005-0000-0000-00003CE20000}"/>
    <cellStyle name="Percent 2 2 6 9 3" xfId="58027" xr:uid="{00000000-0005-0000-0000-00003DE20000}"/>
    <cellStyle name="Percent 2 2 7" xfId="58028" xr:uid="{00000000-0005-0000-0000-00003EE20000}"/>
    <cellStyle name="Percent 2 2 7 10" xfId="58029" xr:uid="{00000000-0005-0000-0000-00003FE20000}"/>
    <cellStyle name="Percent 2 2 7 2" xfId="58030" xr:uid="{00000000-0005-0000-0000-000040E20000}"/>
    <cellStyle name="Percent 2 2 7 2 2" xfId="58031" xr:uid="{00000000-0005-0000-0000-000041E20000}"/>
    <cellStyle name="Percent 2 2 7 2 2 2" xfId="58032" xr:uid="{00000000-0005-0000-0000-000042E20000}"/>
    <cellStyle name="Percent 2 2 7 2 2 2 2" xfId="58033" xr:uid="{00000000-0005-0000-0000-000043E20000}"/>
    <cellStyle name="Percent 2 2 7 2 2 2 3" xfId="58034" xr:uid="{00000000-0005-0000-0000-000044E20000}"/>
    <cellStyle name="Percent 2 2 7 2 2 3" xfId="58035" xr:uid="{00000000-0005-0000-0000-000045E20000}"/>
    <cellStyle name="Percent 2 2 7 2 2 4" xfId="58036" xr:uid="{00000000-0005-0000-0000-000046E20000}"/>
    <cellStyle name="Percent 2 2 7 2 2 5" xfId="58037" xr:uid="{00000000-0005-0000-0000-000047E20000}"/>
    <cellStyle name="Percent 2 2 7 2 2 6" xfId="58038" xr:uid="{00000000-0005-0000-0000-000048E20000}"/>
    <cellStyle name="Percent 2 2 7 2 3" xfId="58039" xr:uid="{00000000-0005-0000-0000-000049E20000}"/>
    <cellStyle name="Percent 2 2 7 2 3 2" xfId="58040" xr:uid="{00000000-0005-0000-0000-00004AE20000}"/>
    <cellStyle name="Percent 2 2 7 2 3 2 2" xfId="58041" xr:uid="{00000000-0005-0000-0000-00004BE20000}"/>
    <cellStyle name="Percent 2 2 7 2 3 2 3" xfId="58042" xr:uid="{00000000-0005-0000-0000-00004CE20000}"/>
    <cellStyle name="Percent 2 2 7 2 3 3" xfId="58043" xr:uid="{00000000-0005-0000-0000-00004DE20000}"/>
    <cellStyle name="Percent 2 2 7 2 3 4" xfId="58044" xr:uid="{00000000-0005-0000-0000-00004EE20000}"/>
    <cellStyle name="Percent 2 2 7 2 3 5" xfId="58045" xr:uid="{00000000-0005-0000-0000-00004FE20000}"/>
    <cellStyle name="Percent 2 2 7 2 3 6" xfId="58046" xr:uid="{00000000-0005-0000-0000-000050E20000}"/>
    <cellStyle name="Percent 2 2 7 2 4" xfId="58047" xr:uid="{00000000-0005-0000-0000-000051E20000}"/>
    <cellStyle name="Percent 2 2 7 2 4 2" xfId="58048" xr:uid="{00000000-0005-0000-0000-000052E20000}"/>
    <cellStyle name="Percent 2 2 7 2 4 3" xfId="58049" xr:uid="{00000000-0005-0000-0000-000053E20000}"/>
    <cellStyle name="Percent 2 2 7 2 5" xfId="58050" xr:uid="{00000000-0005-0000-0000-000054E20000}"/>
    <cellStyle name="Percent 2 2 7 2 6" xfId="58051" xr:uid="{00000000-0005-0000-0000-000055E20000}"/>
    <cellStyle name="Percent 2 2 7 2 7" xfId="58052" xr:uid="{00000000-0005-0000-0000-000056E20000}"/>
    <cellStyle name="Percent 2 2 7 2 8" xfId="58053" xr:uid="{00000000-0005-0000-0000-000057E20000}"/>
    <cellStyle name="Percent 2 2 7 3" xfId="58054" xr:uid="{00000000-0005-0000-0000-000058E20000}"/>
    <cellStyle name="Percent 2 2 7 3 2" xfId="58055" xr:uid="{00000000-0005-0000-0000-000059E20000}"/>
    <cellStyle name="Percent 2 2 7 3 2 2" xfId="58056" xr:uid="{00000000-0005-0000-0000-00005AE20000}"/>
    <cellStyle name="Percent 2 2 7 3 2 2 2" xfId="58057" xr:uid="{00000000-0005-0000-0000-00005BE20000}"/>
    <cellStyle name="Percent 2 2 7 3 2 2 3" xfId="58058" xr:uid="{00000000-0005-0000-0000-00005CE20000}"/>
    <cellStyle name="Percent 2 2 7 3 2 3" xfId="58059" xr:uid="{00000000-0005-0000-0000-00005DE20000}"/>
    <cellStyle name="Percent 2 2 7 3 2 4" xfId="58060" xr:uid="{00000000-0005-0000-0000-00005EE20000}"/>
    <cellStyle name="Percent 2 2 7 3 2 5" xfId="58061" xr:uid="{00000000-0005-0000-0000-00005FE20000}"/>
    <cellStyle name="Percent 2 2 7 3 2 6" xfId="58062" xr:uid="{00000000-0005-0000-0000-000060E20000}"/>
    <cellStyle name="Percent 2 2 7 3 3" xfId="58063" xr:uid="{00000000-0005-0000-0000-000061E20000}"/>
    <cellStyle name="Percent 2 2 7 3 3 2" xfId="58064" xr:uid="{00000000-0005-0000-0000-000062E20000}"/>
    <cellStyle name="Percent 2 2 7 3 3 3" xfId="58065" xr:uid="{00000000-0005-0000-0000-000063E20000}"/>
    <cellStyle name="Percent 2 2 7 3 4" xfId="58066" xr:uid="{00000000-0005-0000-0000-000064E20000}"/>
    <cellStyle name="Percent 2 2 7 3 5" xfId="58067" xr:uid="{00000000-0005-0000-0000-000065E20000}"/>
    <cellStyle name="Percent 2 2 7 3 6" xfId="58068" xr:uid="{00000000-0005-0000-0000-000066E20000}"/>
    <cellStyle name="Percent 2 2 7 3 7" xfId="58069" xr:uid="{00000000-0005-0000-0000-000067E20000}"/>
    <cellStyle name="Percent 2 2 7 4" xfId="58070" xr:uid="{00000000-0005-0000-0000-000068E20000}"/>
    <cellStyle name="Percent 2 2 7 4 2" xfId="58071" xr:uid="{00000000-0005-0000-0000-000069E20000}"/>
    <cellStyle name="Percent 2 2 7 4 2 2" xfId="58072" xr:uid="{00000000-0005-0000-0000-00006AE20000}"/>
    <cellStyle name="Percent 2 2 7 4 2 3" xfId="58073" xr:uid="{00000000-0005-0000-0000-00006BE20000}"/>
    <cellStyle name="Percent 2 2 7 4 3" xfId="58074" xr:uid="{00000000-0005-0000-0000-00006CE20000}"/>
    <cellStyle name="Percent 2 2 7 4 4" xfId="58075" xr:uid="{00000000-0005-0000-0000-00006DE20000}"/>
    <cellStyle name="Percent 2 2 7 4 5" xfId="58076" xr:uid="{00000000-0005-0000-0000-00006EE20000}"/>
    <cellStyle name="Percent 2 2 7 4 6" xfId="58077" xr:uid="{00000000-0005-0000-0000-00006FE20000}"/>
    <cellStyle name="Percent 2 2 7 5" xfId="58078" xr:uid="{00000000-0005-0000-0000-000070E20000}"/>
    <cellStyle name="Percent 2 2 7 5 2" xfId="58079" xr:uid="{00000000-0005-0000-0000-000071E20000}"/>
    <cellStyle name="Percent 2 2 7 5 2 2" xfId="58080" xr:uid="{00000000-0005-0000-0000-000072E20000}"/>
    <cellStyle name="Percent 2 2 7 5 2 3" xfId="58081" xr:uid="{00000000-0005-0000-0000-000073E20000}"/>
    <cellStyle name="Percent 2 2 7 5 3" xfId="58082" xr:uid="{00000000-0005-0000-0000-000074E20000}"/>
    <cellStyle name="Percent 2 2 7 5 4" xfId="58083" xr:uid="{00000000-0005-0000-0000-000075E20000}"/>
    <cellStyle name="Percent 2 2 7 5 5" xfId="58084" xr:uid="{00000000-0005-0000-0000-000076E20000}"/>
    <cellStyle name="Percent 2 2 7 5 6" xfId="58085" xr:uid="{00000000-0005-0000-0000-000077E20000}"/>
    <cellStyle name="Percent 2 2 7 6" xfId="58086" xr:uid="{00000000-0005-0000-0000-000078E20000}"/>
    <cellStyle name="Percent 2 2 7 6 2" xfId="58087" xr:uid="{00000000-0005-0000-0000-000079E20000}"/>
    <cellStyle name="Percent 2 2 7 6 3" xfId="58088" xr:uid="{00000000-0005-0000-0000-00007AE20000}"/>
    <cellStyle name="Percent 2 2 7 7" xfId="58089" xr:uid="{00000000-0005-0000-0000-00007BE20000}"/>
    <cellStyle name="Percent 2 2 7 8" xfId="58090" xr:uid="{00000000-0005-0000-0000-00007CE20000}"/>
    <cellStyle name="Percent 2 2 7 9" xfId="58091" xr:uid="{00000000-0005-0000-0000-00007DE20000}"/>
    <cellStyle name="Percent 2 2 8" xfId="58092" xr:uid="{00000000-0005-0000-0000-00007EE20000}"/>
    <cellStyle name="Percent 2 2 8 2" xfId="58093" xr:uid="{00000000-0005-0000-0000-00007FE20000}"/>
    <cellStyle name="Percent 2 2 8 2 2" xfId="58094" xr:uid="{00000000-0005-0000-0000-000080E20000}"/>
    <cellStyle name="Percent 2 2 8 2 2 2" xfId="58095" xr:uid="{00000000-0005-0000-0000-000081E20000}"/>
    <cellStyle name="Percent 2 2 8 2 2 2 2" xfId="58096" xr:uid="{00000000-0005-0000-0000-000082E20000}"/>
    <cellStyle name="Percent 2 2 8 2 2 2 3" xfId="58097" xr:uid="{00000000-0005-0000-0000-000083E20000}"/>
    <cellStyle name="Percent 2 2 8 2 2 3" xfId="58098" xr:uid="{00000000-0005-0000-0000-000084E20000}"/>
    <cellStyle name="Percent 2 2 8 2 2 4" xfId="58099" xr:uid="{00000000-0005-0000-0000-000085E20000}"/>
    <cellStyle name="Percent 2 2 8 2 2 5" xfId="58100" xr:uid="{00000000-0005-0000-0000-000086E20000}"/>
    <cellStyle name="Percent 2 2 8 2 2 6" xfId="58101" xr:uid="{00000000-0005-0000-0000-000087E20000}"/>
    <cellStyle name="Percent 2 2 8 2 3" xfId="58102" xr:uid="{00000000-0005-0000-0000-000088E20000}"/>
    <cellStyle name="Percent 2 2 8 2 3 2" xfId="58103" xr:uid="{00000000-0005-0000-0000-000089E20000}"/>
    <cellStyle name="Percent 2 2 8 2 3 3" xfId="58104" xr:uid="{00000000-0005-0000-0000-00008AE20000}"/>
    <cellStyle name="Percent 2 2 8 2 4" xfId="58105" xr:uid="{00000000-0005-0000-0000-00008BE20000}"/>
    <cellStyle name="Percent 2 2 8 2 5" xfId="58106" xr:uid="{00000000-0005-0000-0000-00008CE20000}"/>
    <cellStyle name="Percent 2 2 8 2 6" xfId="58107" xr:uid="{00000000-0005-0000-0000-00008DE20000}"/>
    <cellStyle name="Percent 2 2 8 2 7" xfId="58108" xr:uid="{00000000-0005-0000-0000-00008EE20000}"/>
    <cellStyle name="Percent 2 2 8 3" xfId="58109" xr:uid="{00000000-0005-0000-0000-00008FE20000}"/>
    <cellStyle name="Percent 2 2 8 3 2" xfId="58110" xr:uid="{00000000-0005-0000-0000-000090E20000}"/>
    <cellStyle name="Percent 2 2 8 3 2 2" xfId="58111" xr:uid="{00000000-0005-0000-0000-000091E20000}"/>
    <cellStyle name="Percent 2 2 8 3 2 3" xfId="58112" xr:uid="{00000000-0005-0000-0000-000092E20000}"/>
    <cellStyle name="Percent 2 2 8 3 3" xfId="58113" xr:uid="{00000000-0005-0000-0000-000093E20000}"/>
    <cellStyle name="Percent 2 2 8 3 4" xfId="58114" xr:uid="{00000000-0005-0000-0000-000094E20000}"/>
    <cellStyle name="Percent 2 2 8 3 5" xfId="58115" xr:uid="{00000000-0005-0000-0000-000095E20000}"/>
    <cellStyle name="Percent 2 2 8 3 6" xfId="58116" xr:uid="{00000000-0005-0000-0000-000096E20000}"/>
    <cellStyle name="Percent 2 2 8 4" xfId="58117" xr:uid="{00000000-0005-0000-0000-000097E20000}"/>
    <cellStyle name="Percent 2 2 8 4 2" xfId="58118" xr:uid="{00000000-0005-0000-0000-000098E20000}"/>
    <cellStyle name="Percent 2 2 8 4 2 2" xfId="58119" xr:uid="{00000000-0005-0000-0000-000099E20000}"/>
    <cellStyle name="Percent 2 2 8 4 2 3" xfId="58120" xr:uid="{00000000-0005-0000-0000-00009AE20000}"/>
    <cellStyle name="Percent 2 2 8 4 3" xfId="58121" xr:uid="{00000000-0005-0000-0000-00009BE20000}"/>
    <cellStyle name="Percent 2 2 8 4 4" xfId="58122" xr:uid="{00000000-0005-0000-0000-00009CE20000}"/>
    <cellStyle name="Percent 2 2 8 4 5" xfId="58123" xr:uid="{00000000-0005-0000-0000-00009DE20000}"/>
    <cellStyle name="Percent 2 2 8 4 6" xfId="58124" xr:uid="{00000000-0005-0000-0000-00009EE20000}"/>
    <cellStyle name="Percent 2 2 8 5" xfId="58125" xr:uid="{00000000-0005-0000-0000-00009FE20000}"/>
    <cellStyle name="Percent 2 2 8 5 2" xfId="58126" xr:uid="{00000000-0005-0000-0000-0000A0E20000}"/>
    <cellStyle name="Percent 2 2 8 5 3" xfId="58127" xr:uid="{00000000-0005-0000-0000-0000A1E20000}"/>
    <cellStyle name="Percent 2 2 8 6" xfId="58128" xr:uid="{00000000-0005-0000-0000-0000A2E20000}"/>
    <cellStyle name="Percent 2 2 8 7" xfId="58129" xr:uid="{00000000-0005-0000-0000-0000A3E20000}"/>
    <cellStyle name="Percent 2 2 8 8" xfId="58130" xr:uid="{00000000-0005-0000-0000-0000A4E20000}"/>
    <cellStyle name="Percent 2 2 8 9" xfId="58131" xr:uid="{00000000-0005-0000-0000-0000A5E20000}"/>
    <cellStyle name="Percent 2 2 9" xfId="58132" xr:uid="{00000000-0005-0000-0000-0000A6E20000}"/>
    <cellStyle name="Percent 2 2 9 2" xfId="58133" xr:uid="{00000000-0005-0000-0000-0000A7E20000}"/>
    <cellStyle name="Percent 2 2 9 2 2" xfId="58134" xr:uid="{00000000-0005-0000-0000-0000A8E20000}"/>
    <cellStyle name="Percent 2 2 9 2 2 2" xfId="58135" xr:uid="{00000000-0005-0000-0000-0000A9E20000}"/>
    <cellStyle name="Percent 2 2 9 2 2 3" xfId="58136" xr:uid="{00000000-0005-0000-0000-0000AAE20000}"/>
    <cellStyle name="Percent 2 2 9 2 3" xfId="58137" xr:uid="{00000000-0005-0000-0000-0000ABE20000}"/>
    <cellStyle name="Percent 2 2 9 2 4" xfId="58138" xr:uid="{00000000-0005-0000-0000-0000ACE20000}"/>
    <cellStyle name="Percent 2 2 9 2 5" xfId="58139" xr:uid="{00000000-0005-0000-0000-0000ADE20000}"/>
    <cellStyle name="Percent 2 2 9 2 6" xfId="58140" xr:uid="{00000000-0005-0000-0000-0000AEE20000}"/>
    <cellStyle name="Percent 2 2 9 3" xfId="58141" xr:uid="{00000000-0005-0000-0000-0000AFE20000}"/>
    <cellStyle name="Percent 2 2 9 3 2" xfId="58142" xr:uid="{00000000-0005-0000-0000-0000B0E20000}"/>
    <cellStyle name="Percent 2 2 9 3 3" xfId="58143" xr:uid="{00000000-0005-0000-0000-0000B1E20000}"/>
    <cellStyle name="Percent 2 2 9 4" xfId="58144" xr:uid="{00000000-0005-0000-0000-0000B2E20000}"/>
    <cellStyle name="Percent 2 2 9 5" xfId="58145" xr:uid="{00000000-0005-0000-0000-0000B3E20000}"/>
    <cellStyle name="Percent 2 2 9 6" xfId="58146" xr:uid="{00000000-0005-0000-0000-0000B4E20000}"/>
    <cellStyle name="Percent 2 2 9 7" xfId="58147" xr:uid="{00000000-0005-0000-0000-0000B5E20000}"/>
    <cellStyle name="Percent 2 3" xfId="166" xr:uid="{00000000-0005-0000-0000-0000B6E20000}"/>
    <cellStyle name="Percent 2 3 10" xfId="58148" xr:uid="{00000000-0005-0000-0000-0000B7E20000}"/>
    <cellStyle name="Percent 2 3 10 2" xfId="58149" xr:uid="{00000000-0005-0000-0000-0000B8E20000}"/>
    <cellStyle name="Percent 2 3 10 2 2" xfId="58150" xr:uid="{00000000-0005-0000-0000-0000B9E20000}"/>
    <cellStyle name="Percent 2 3 10 2 3" xfId="58151" xr:uid="{00000000-0005-0000-0000-0000BAE20000}"/>
    <cellStyle name="Percent 2 3 10 3" xfId="58152" xr:uid="{00000000-0005-0000-0000-0000BBE20000}"/>
    <cellStyle name="Percent 2 3 10 4" xfId="58153" xr:uid="{00000000-0005-0000-0000-0000BCE20000}"/>
    <cellStyle name="Percent 2 3 10 5" xfId="58154" xr:uid="{00000000-0005-0000-0000-0000BDE20000}"/>
    <cellStyle name="Percent 2 3 10 6" xfId="58155" xr:uid="{00000000-0005-0000-0000-0000BEE20000}"/>
    <cellStyle name="Percent 2 3 11" xfId="58156" xr:uid="{00000000-0005-0000-0000-0000BFE20000}"/>
    <cellStyle name="Percent 2 3 11 2" xfId="58157" xr:uid="{00000000-0005-0000-0000-0000C0E20000}"/>
    <cellStyle name="Percent 2 3 11 2 2" xfId="58158" xr:uid="{00000000-0005-0000-0000-0000C1E20000}"/>
    <cellStyle name="Percent 2 3 11 2 3" xfId="58159" xr:uid="{00000000-0005-0000-0000-0000C2E20000}"/>
    <cellStyle name="Percent 2 3 11 3" xfId="58160" xr:uid="{00000000-0005-0000-0000-0000C3E20000}"/>
    <cellStyle name="Percent 2 3 11 4" xfId="58161" xr:uid="{00000000-0005-0000-0000-0000C4E20000}"/>
    <cellStyle name="Percent 2 3 11 5" xfId="58162" xr:uid="{00000000-0005-0000-0000-0000C5E20000}"/>
    <cellStyle name="Percent 2 3 11 6" xfId="58163" xr:uid="{00000000-0005-0000-0000-0000C6E20000}"/>
    <cellStyle name="Percent 2 3 12" xfId="58164" xr:uid="{00000000-0005-0000-0000-0000C7E20000}"/>
    <cellStyle name="Percent 2 3 12 2" xfId="58165" xr:uid="{00000000-0005-0000-0000-0000C8E20000}"/>
    <cellStyle name="Percent 2 3 12 3" xfId="58166" xr:uid="{00000000-0005-0000-0000-0000C9E20000}"/>
    <cellStyle name="Percent 2 3 13" xfId="58167" xr:uid="{00000000-0005-0000-0000-0000CAE20000}"/>
    <cellStyle name="Percent 2 3 14" xfId="58168" xr:uid="{00000000-0005-0000-0000-0000CBE20000}"/>
    <cellStyle name="Percent 2 3 15" xfId="58169" xr:uid="{00000000-0005-0000-0000-0000CCE20000}"/>
    <cellStyle name="Percent 2 3 16" xfId="58170" xr:uid="{00000000-0005-0000-0000-0000CDE20000}"/>
    <cellStyle name="Percent 2 3 2" xfId="167" xr:uid="{00000000-0005-0000-0000-0000CEE20000}"/>
    <cellStyle name="Percent 2 3 2 10" xfId="58171" xr:uid="{00000000-0005-0000-0000-0000CFE20000}"/>
    <cellStyle name="Percent 2 3 2 10 2" xfId="58172" xr:uid="{00000000-0005-0000-0000-0000D0E20000}"/>
    <cellStyle name="Percent 2 3 2 10 3" xfId="58173" xr:uid="{00000000-0005-0000-0000-0000D1E20000}"/>
    <cellStyle name="Percent 2 3 2 11" xfId="58174" xr:uid="{00000000-0005-0000-0000-0000D2E20000}"/>
    <cellStyle name="Percent 2 3 2 12" xfId="58175" xr:uid="{00000000-0005-0000-0000-0000D3E20000}"/>
    <cellStyle name="Percent 2 3 2 13" xfId="58176" xr:uid="{00000000-0005-0000-0000-0000D4E20000}"/>
    <cellStyle name="Percent 2 3 2 14" xfId="58177" xr:uid="{00000000-0005-0000-0000-0000D5E20000}"/>
    <cellStyle name="Percent 2 3 2 2" xfId="554" xr:uid="{00000000-0005-0000-0000-0000D6E20000}"/>
    <cellStyle name="Percent 2 3 2 2 10" xfId="58178" xr:uid="{00000000-0005-0000-0000-0000D7E20000}"/>
    <cellStyle name="Percent 2 3 2 2 11" xfId="58179" xr:uid="{00000000-0005-0000-0000-0000D8E20000}"/>
    <cellStyle name="Percent 2 3 2 2 12" xfId="58180" xr:uid="{00000000-0005-0000-0000-0000D9E20000}"/>
    <cellStyle name="Percent 2 3 2 2 13" xfId="58181" xr:uid="{00000000-0005-0000-0000-0000DAE20000}"/>
    <cellStyle name="Percent 2 3 2 2 2" xfId="58182" xr:uid="{00000000-0005-0000-0000-0000DBE20000}"/>
    <cellStyle name="Percent 2 3 2 2 2 10" xfId="58183" xr:uid="{00000000-0005-0000-0000-0000DCE20000}"/>
    <cellStyle name="Percent 2 3 2 2 2 2" xfId="58184" xr:uid="{00000000-0005-0000-0000-0000DDE20000}"/>
    <cellStyle name="Percent 2 3 2 2 2 2 2" xfId="58185" xr:uid="{00000000-0005-0000-0000-0000DEE20000}"/>
    <cellStyle name="Percent 2 3 2 2 2 2 2 2" xfId="58186" xr:uid="{00000000-0005-0000-0000-0000DFE20000}"/>
    <cellStyle name="Percent 2 3 2 2 2 2 2 2 2" xfId="58187" xr:uid="{00000000-0005-0000-0000-0000E0E20000}"/>
    <cellStyle name="Percent 2 3 2 2 2 2 2 2 3" xfId="58188" xr:uid="{00000000-0005-0000-0000-0000E1E20000}"/>
    <cellStyle name="Percent 2 3 2 2 2 2 2 3" xfId="58189" xr:uid="{00000000-0005-0000-0000-0000E2E20000}"/>
    <cellStyle name="Percent 2 3 2 2 2 2 2 4" xfId="58190" xr:uid="{00000000-0005-0000-0000-0000E3E20000}"/>
    <cellStyle name="Percent 2 3 2 2 2 2 2 5" xfId="58191" xr:uid="{00000000-0005-0000-0000-0000E4E20000}"/>
    <cellStyle name="Percent 2 3 2 2 2 2 2 6" xfId="58192" xr:uid="{00000000-0005-0000-0000-0000E5E20000}"/>
    <cellStyle name="Percent 2 3 2 2 2 2 3" xfId="58193" xr:uid="{00000000-0005-0000-0000-0000E6E20000}"/>
    <cellStyle name="Percent 2 3 2 2 2 2 3 2" xfId="58194" xr:uid="{00000000-0005-0000-0000-0000E7E20000}"/>
    <cellStyle name="Percent 2 3 2 2 2 2 3 2 2" xfId="58195" xr:uid="{00000000-0005-0000-0000-0000E8E20000}"/>
    <cellStyle name="Percent 2 3 2 2 2 2 3 2 3" xfId="58196" xr:uid="{00000000-0005-0000-0000-0000E9E20000}"/>
    <cellStyle name="Percent 2 3 2 2 2 2 3 3" xfId="58197" xr:uid="{00000000-0005-0000-0000-0000EAE20000}"/>
    <cellStyle name="Percent 2 3 2 2 2 2 3 4" xfId="58198" xr:uid="{00000000-0005-0000-0000-0000EBE20000}"/>
    <cellStyle name="Percent 2 3 2 2 2 2 3 5" xfId="58199" xr:uid="{00000000-0005-0000-0000-0000ECE20000}"/>
    <cellStyle name="Percent 2 3 2 2 2 2 3 6" xfId="58200" xr:uid="{00000000-0005-0000-0000-0000EDE20000}"/>
    <cellStyle name="Percent 2 3 2 2 2 2 4" xfId="58201" xr:uid="{00000000-0005-0000-0000-0000EEE20000}"/>
    <cellStyle name="Percent 2 3 2 2 2 2 4 2" xfId="58202" xr:uid="{00000000-0005-0000-0000-0000EFE20000}"/>
    <cellStyle name="Percent 2 3 2 2 2 2 4 3" xfId="58203" xr:uid="{00000000-0005-0000-0000-0000F0E20000}"/>
    <cellStyle name="Percent 2 3 2 2 2 2 5" xfId="58204" xr:uid="{00000000-0005-0000-0000-0000F1E20000}"/>
    <cellStyle name="Percent 2 3 2 2 2 2 6" xfId="58205" xr:uid="{00000000-0005-0000-0000-0000F2E20000}"/>
    <cellStyle name="Percent 2 3 2 2 2 2 7" xfId="58206" xr:uid="{00000000-0005-0000-0000-0000F3E20000}"/>
    <cellStyle name="Percent 2 3 2 2 2 2 8" xfId="58207" xr:uid="{00000000-0005-0000-0000-0000F4E20000}"/>
    <cellStyle name="Percent 2 3 2 2 2 3" xfId="58208" xr:uid="{00000000-0005-0000-0000-0000F5E20000}"/>
    <cellStyle name="Percent 2 3 2 2 2 3 2" xfId="58209" xr:uid="{00000000-0005-0000-0000-0000F6E20000}"/>
    <cellStyle name="Percent 2 3 2 2 2 3 2 2" xfId="58210" xr:uid="{00000000-0005-0000-0000-0000F7E20000}"/>
    <cellStyle name="Percent 2 3 2 2 2 3 2 2 2" xfId="58211" xr:uid="{00000000-0005-0000-0000-0000F8E20000}"/>
    <cellStyle name="Percent 2 3 2 2 2 3 2 2 3" xfId="58212" xr:uid="{00000000-0005-0000-0000-0000F9E20000}"/>
    <cellStyle name="Percent 2 3 2 2 2 3 2 3" xfId="58213" xr:uid="{00000000-0005-0000-0000-0000FAE20000}"/>
    <cellStyle name="Percent 2 3 2 2 2 3 2 4" xfId="58214" xr:uid="{00000000-0005-0000-0000-0000FBE20000}"/>
    <cellStyle name="Percent 2 3 2 2 2 3 2 5" xfId="58215" xr:uid="{00000000-0005-0000-0000-0000FCE20000}"/>
    <cellStyle name="Percent 2 3 2 2 2 3 2 6" xfId="58216" xr:uid="{00000000-0005-0000-0000-0000FDE20000}"/>
    <cellStyle name="Percent 2 3 2 2 2 3 3" xfId="58217" xr:uid="{00000000-0005-0000-0000-0000FEE20000}"/>
    <cellStyle name="Percent 2 3 2 2 2 3 3 2" xfId="58218" xr:uid="{00000000-0005-0000-0000-0000FFE20000}"/>
    <cellStyle name="Percent 2 3 2 2 2 3 3 3" xfId="58219" xr:uid="{00000000-0005-0000-0000-000000E30000}"/>
    <cellStyle name="Percent 2 3 2 2 2 3 4" xfId="58220" xr:uid="{00000000-0005-0000-0000-000001E30000}"/>
    <cellStyle name="Percent 2 3 2 2 2 3 5" xfId="58221" xr:uid="{00000000-0005-0000-0000-000002E30000}"/>
    <cellStyle name="Percent 2 3 2 2 2 3 6" xfId="58222" xr:uid="{00000000-0005-0000-0000-000003E30000}"/>
    <cellStyle name="Percent 2 3 2 2 2 3 7" xfId="58223" xr:uid="{00000000-0005-0000-0000-000004E30000}"/>
    <cellStyle name="Percent 2 3 2 2 2 4" xfId="58224" xr:uid="{00000000-0005-0000-0000-000005E30000}"/>
    <cellStyle name="Percent 2 3 2 2 2 4 2" xfId="58225" xr:uid="{00000000-0005-0000-0000-000006E30000}"/>
    <cellStyle name="Percent 2 3 2 2 2 4 2 2" xfId="58226" xr:uid="{00000000-0005-0000-0000-000007E30000}"/>
    <cellStyle name="Percent 2 3 2 2 2 4 2 3" xfId="58227" xr:uid="{00000000-0005-0000-0000-000008E30000}"/>
    <cellStyle name="Percent 2 3 2 2 2 4 3" xfId="58228" xr:uid="{00000000-0005-0000-0000-000009E30000}"/>
    <cellStyle name="Percent 2 3 2 2 2 4 4" xfId="58229" xr:uid="{00000000-0005-0000-0000-00000AE30000}"/>
    <cellStyle name="Percent 2 3 2 2 2 4 5" xfId="58230" xr:uid="{00000000-0005-0000-0000-00000BE30000}"/>
    <cellStyle name="Percent 2 3 2 2 2 4 6" xfId="58231" xr:uid="{00000000-0005-0000-0000-00000CE30000}"/>
    <cellStyle name="Percent 2 3 2 2 2 5" xfId="58232" xr:uid="{00000000-0005-0000-0000-00000DE30000}"/>
    <cellStyle name="Percent 2 3 2 2 2 5 2" xfId="58233" xr:uid="{00000000-0005-0000-0000-00000EE30000}"/>
    <cellStyle name="Percent 2 3 2 2 2 5 2 2" xfId="58234" xr:uid="{00000000-0005-0000-0000-00000FE30000}"/>
    <cellStyle name="Percent 2 3 2 2 2 5 2 3" xfId="58235" xr:uid="{00000000-0005-0000-0000-000010E30000}"/>
    <cellStyle name="Percent 2 3 2 2 2 5 3" xfId="58236" xr:uid="{00000000-0005-0000-0000-000011E30000}"/>
    <cellStyle name="Percent 2 3 2 2 2 5 4" xfId="58237" xr:uid="{00000000-0005-0000-0000-000012E30000}"/>
    <cellStyle name="Percent 2 3 2 2 2 5 5" xfId="58238" xr:uid="{00000000-0005-0000-0000-000013E30000}"/>
    <cellStyle name="Percent 2 3 2 2 2 5 6" xfId="58239" xr:uid="{00000000-0005-0000-0000-000014E30000}"/>
    <cellStyle name="Percent 2 3 2 2 2 6" xfId="58240" xr:uid="{00000000-0005-0000-0000-000015E30000}"/>
    <cellStyle name="Percent 2 3 2 2 2 6 2" xfId="58241" xr:uid="{00000000-0005-0000-0000-000016E30000}"/>
    <cellStyle name="Percent 2 3 2 2 2 6 3" xfId="58242" xr:uid="{00000000-0005-0000-0000-000017E30000}"/>
    <cellStyle name="Percent 2 3 2 2 2 7" xfId="58243" xr:uid="{00000000-0005-0000-0000-000018E30000}"/>
    <cellStyle name="Percent 2 3 2 2 2 8" xfId="58244" xr:uid="{00000000-0005-0000-0000-000019E30000}"/>
    <cellStyle name="Percent 2 3 2 2 2 9" xfId="58245" xr:uid="{00000000-0005-0000-0000-00001AE30000}"/>
    <cellStyle name="Percent 2 3 2 2 3" xfId="58246" xr:uid="{00000000-0005-0000-0000-00001BE30000}"/>
    <cellStyle name="Percent 2 3 2 2 3 2" xfId="58247" xr:uid="{00000000-0005-0000-0000-00001CE30000}"/>
    <cellStyle name="Percent 2 3 2 2 3 2 2" xfId="58248" xr:uid="{00000000-0005-0000-0000-00001DE30000}"/>
    <cellStyle name="Percent 2 3 2 2 3 2 2 2" xfId="58249" xr:uid="{00000000-0005-0000-0000-00001EE30000}"/>
    <cellStyle name="Percent 2 3 2 2 3 2 2 2 2" xfId="58250" xr:uid="{00000000-0005-0000-0000-00001FE30000}"/>
    <cellStyle name="Percent 2 3 2 2 3 2 2 2 3" xfId="58251" xr:uid="{00000000-0005-0000-0000-000020E30000}"/>
    <cellStyle name="Percent 2 3 2 2 3 2 2 3" xfId="58252" xr:uid="{00000000-0005-0000-0000-000021E30000}"/>
    <cellStyle name="Percent 2 3 2 2 3 2 2 4" xfId="58253" xr:uid="{00000000-0005-0000-0000-000022E30000}"/>
    <cellStyle name="Percent 2 3 2 2 3 2 2 5" xfId="58254" xr:uid="{00000000-0005-0000-0000-000023E30000}"/>
    <cellStyle name="Percent 2 3 2 2 3 2 2 6" xfId="58255" xr:uid="{00000000-0005-0000-0000-000024E30000}"/>
    <cellStyle name="Percent 2 3 2 2 3 2 3" xfId="58256" xr:uid="{00000000-0005-0000-0000-000025E30000}"/>
    <cellStyle name="Percent 2 3 2 2 3 2 3 2" xfId="58257" xr:uid="{00000000-0005-0000-0000-000026E30000}"/>
    <cellStyle name="Percent 2 3 2 2 3 2 3 3" xfId="58258" xr:uid="{00000000-0005-0000-0000-000027E30000}"/>
    <cellStyle name="Percent 2 3 2 2 3 2 4" xfId="58259" xr:uid="{00000000-0005-0000-0000-000028E30000}"/>
    <cellStyle name="Percent 2 3 2 2 3 2 5" xfId="58260" xr:uid="{00000000-0005-0000-0000-000029E30000}"/>
    <cellStyle name="Percent 2 3 2 2 3 2 6" xfId="58261" xr:uid="{00000000-0005-0000-0000-00002AE30000}"/>
    <cellStyle name="Percent 2 3 2 2 3 2 7" xfId="58262" xr:uid="{00000000-0005-0000-0000-00002BE30000}"/>
    <cellStyle name="Percent 2 3 2 2 3 3" xfId="58263" xr:uid="{00000000-0005-0000-0000-00002CE30000}"/>
    <cellStyle name="Percent 2 3 2 2 3 3 2" xfId="58264" xr:uid="{00000000-0005-0000-0000-00002DE30000}"/>
    <cellStyle name="Percent 2 3 2 2 3 3 2 2" xfId="58265" xr:uid="{00000000-0005-0000-0000-00002EE30000}"/>
    <cellStyle name="Percent 2 3 2 2 3 3 2 3" xfId="58266" xr:uid="{00000000-0005-0000-0000-00002FE30000}"/>
    <cellStyle name="Percent 2 3 2 2 3 3 3" xfId="58267" xr:uid="{00000000-0005-0000-0000-000030E30000}"/>
    <cellStyle name="Percent 2 3 2 2 3 3 4" xfId="58268" xr:uid="{00000000-0005-0000-0000-000031E30000}"/>
    <cellStyle name="Percent 2 3 2 2 3 3 5" xfId="58269" xr:uid="{00000000-0005-0000-0000-000032E30000}"/>
    <cellStyle name="Percent 2 3 2 2 3 3 6" xfId="58270" xr:uid="{00000000-0005-0000-0000-000033E30000}"/>
    <cellStyle name="Percent 2 3 2 2 3 4" xfId="58271" xr:uid="{00000000-0005-0000-0000-000034E30000}"/>
    <cellStyle name="Percent 2 3 2 2 3 4 2" xfId="58272" xr:uid="{00000000-0005-0000-0000-000035E30000}"/>
    <cellStyle name="Percent 2 3 2 2 3 4 2 2" xfId="58273" xr:uid="{00000000-0005-0000-0000-000036E30000}"/>
    <cellStyle name="Percent 2 3 2 2 3 4 2 3" xfId="58274" xr:uid="{00000000-0005-0000-0000-000037E30000}"/>
    <cellStyle name="Percent 2 3 2 2 3 4 3" xfId="58275" xr:uid="{00000000-0005-0000-0000-000038E30000}"/>
    <cellStyle name="Percent 2 3 2 2 3 4 4" xfId="58276" xr:uid="{00000000-0005-0000-0000-000039E30000}"/>
    <cellStyle name="Percent 2 3 2 2 3 4 5" xfId="58277" xr:uid="{00000000-0005-0000-0000-00003AE30000}"/>
    <cellStyle name="Percent 2 3 2 2 3 4 6" xfId="58278" xr:uid="{00000000-0005-0000-0000-00003BE30000}"/>
    <cellStyle name="Percent 2 3 2 2 3 5" xfId="58279" xr:uid="{00000000-0005-0000-0000-00003CE30000}"/>
    <cellStyle name="Percent 2 3 2 2 3 5 2" xfId="58280" xr:uid="{00000000-0005-0000-0000-00003DE30000}"/>
    <cellStyle name="Percent 2 3 2 2 3 5 3" xfId="58281" xr:uid="{00000000-0005-0000-0000-00003EE30000}"/>
    <cellStyle name="Percent 2 3 2 2 3 6" xfId="58282" xr:uid="{00000000-0005-0000-0000-00003FE30000}"/>
    <cellStyle name="Percent 2 3 2 2 3 7" xfId="58283" xr:uid="{00000000-0005-0000-0000-000040E30000}"/>
    <cellStyle name="Percent 2 3 2 2 3 8" xfId="58284" xr:uid="{00000000-0005-0000-0000-000041E30000}"/>
    <cellStyle name="Percent 2 3 2 2 3 9" xfId="58285" xr:uid="{00000000-0005-0000-0000-000042E30000}"/>
    <cellStyle name="Percent 2 3 2 2 4" xfId="58286" xr:uid="{00000000-0005-0000-0000-000043E30000}"/>
    <cellStyle name="Percent 2 3 2 2 4 2" xfId="58287" xr:uid="{00000000-0005-0000-0000-000044E30000}"/>
    <cellStyle name="Percent 2 3 2 2 4 2 2" xfId="58288" xr:uid="{00000000-0005-0000-0000-000045E30000}"/>
    <cellStyle name="Percent 2 3 2 2 4 2 2 2" xfId="58289" xr:uid="{00000000-0005-0000-0000-000046E30000}"/>
    <cellStyle name="Percent 2 3 2 2 4 2 2 3" xfId="58290" xr:uid="{00000000-0005-0000-0000-000047E30000}"/>
    <cellStyle name="Percent 2 3 2 2 4 2 3" xfId="58291" xr:uid="{00000000-0005-0000-0000-000048E30000}"/>
    <cellStyle name="Percent 2 3 2 2 4 2 4" xfId="58292" xr:uid="{00000000-0005-0000-0000-000049E30000}"/>
    <cellStyle name="Percent 2 3 2 2 4 2 5" xfId="58293" xr:uid="{00000000-0005-0000-0000-00004AE30000}"/>
    <cellStyle name="Percent 2 3 2 2 4 2 6" xfId="58294" xr:uid="{00000000-0005-0000-0000-00004BE30000}"/>
    <cellStyle name="Percent 2 3 2 2 4 3" xfId="58295" xr:uid="{00000000-0005-0000-0000-00004CE30000}"/>
    <cellStyle name="Percent 2 3 2 2 4 3 2" xfId="58296" xr:uid="{00000000-0005-0000-0000-00004DE30000}"/>
    <cellStyle name="Percent 2 3 2 2 4 3 3" xfId="58297" xr:uid="{00000000-0005-0000-0000-00004EE30000}"/>
    <cellStyle name="Percent 2 3 2 2 4 4" xfId="58298" xr:uid="{00000000-0005-0000-0000-00004FE30000}"/>
    <cellStyle name="Percent 2 3 2 2 4 5" xfId="58299" xr:uid="{00000000-0005-0000-0000-000050E30000}"/>
    <cellStyle name="Percent 2 3 2 2 4 6" xfId="58300" xr:uid="{00000000-0005-0000-0000-000051E30000}"/>
    <cellStyle name="Percent 2 3 2 2 4 7" xfId="58301" xr:uid="{00000000-0005-0000-0000-000052E30000}"/>
    <cellStyle name="Percent 2 3 2 2 5" xfId="58302" xr:uid="{00000000-0005-0000-0000-000053E30000}"/>
    <cellStyle name="Percent 2 3 2 2 5 2" xfId="58303" xr:uid="{00000000-0005-0000-0000-000054E30000}"/>
    <cellStyle name="Percent 2 3 2 2 5 2 2" xfId="58304" xr:uid="{00000000-0005-0000-0000-000055E30000}"/>
    <cellStyle name="Percent 2 3 2 2 5 2 3" xfId="58305" xr:uid="{00000000-0005-0000-0000-000056E30000}"/>
    <cellStyle name="Percent 2 3 2 2 5 3" xfId="58306" xr:uid="{00000000-0005-0000-0000-000057E30000}"/>
    <cellStyle name="Percent 2 3 2 2 5 4" xfId="58307" xr:uid="{00000000-0005-0000-0000-000058E30000}"/>
    <cellStyle name="Percent 2 3 2 2 5 5" xfId="58308" xr:uid="{00000000-0005-0000-0000-000059E30000}"/>
    <cellStyle name="Percent 2 3 2 2 5 6" xfId="58309" xr:uid="{00000000-0005-0000-0000-00005AE30000}"/>
    <cellStyle name="Percent 2 3 2 2 6" xfId="58310" xr:uid="{00000000-0005-0000-0000-00005BE30000}"/>
    <cellStyle name="Percent 2 3 2 2 6 2" xfId="58311" xr:uid="{00000000-0005-0000-0000-00005CE30000}"/>
    <cellStyle name="Percent 2 3 2 2 6 2 2" xfId="58312" xr:uid="{00000000-0005-0000-0000-00005DE30000}"/>
    <cellStyle name="Percent 2 3 2 2 6 2 3" xfId="58313" xr:uid="{00000000-0005-0000-0000-00005EE30000}"/>
    <cellStyle name="Percent 2 3 2 2 6 3" xfId="58314" xr:uid="{00000000-0005-0000-0000-00005FE30000}"/>
    <cellStyle name="Percent 2 3 2 2 6 4" xfId="58315" xr:uid="{00000000-0005-0000-0000-000060E30000}"/>
    <cellStyle name="Percent 2 3 2 2 6 5" xfId="58316" xr:uid="{00000000-0005-0000-0000-000061E30000}"/>
    <cellStyle name="Percent 2 3 2 2 6 6" xfId="58317" xr:uid="{00000000-0005-0000-0000-000062E30000}"/>
    <cellStyle name="Percent 2 3 2 2 7" xfId="58318" xr:uid="{00000000-0005-0000-0000-000063E30000}"/>
    <cellStyle name="Percent 2 3 2 2 7 2" xfId="58319" xr:uid="{00000000-0005-0000-0000-000064E30000}"/>
    <cellStyle name="Percent 2 3 2 2 7 2 2" xfId="58320" xr:uid="{00000000-0005-0000-0000-000065E30000}"/>
    <cellStyle name="Percent 2 3 2 2 7 2 3" xfId="58321" xr:uid="{00000000-0005-0000-0000-000066E30000}"/>
    <cellStyle name="Percent 2 3 2 2 7 3" xfId="58322" xr:uid="{00000000-0005-0000-0000-000067E30000}"/>
    <cellStyle name="Percent 2 3 2 2 7 4" xfId="58323" xr:uid="{00000000-0005-0000-0000-000068E30000}"/>
    <cellStyle name="Percent 2 3 2 2 7 5" xfId="58324" xr:uid="{00000000-0005-0000-0000-000069E30000}"/>
    <cellStyle name="Percent 2 3 2 2 7 6" xfId="58325" xr:uid="{00000000-0005-0000-0000-00006AE30000}"/>
    <cellStyle name="Percent 2 3 2 2 8" xfId="58326" xr:uid="{00000000-0005-0000-0000-00006BE30000}"/>
    <cellStyle name="Percent 2 3 2 2 8 2" xfId="58327" xr:uid="{00000000-0005-0000-0000-00006CE30000}"/>
    <cellStyle name="Percent 2 3 2 2 8 2 2" xfId="58328" xr:uid="{00000000-0005-0000-0000-00006DE30000}"/>
    <cellStyle name="Percent 2 3 2 2 8 2 3" xfId="58329" xr:uid="{00000000-0005-0000-0000-00006EE30000}"/>
    <cellStyle name="Percent 2 3 2 2 8 3" xfId="58330" xr:uid="{00000000-0005-0000-0000-00006FE30000}"/>
    <cellStyle name="Percent 2 3 2 2 8 4" xfId="58331" xr:uid="{00000000-0005-0000-0000-000070E30000}"/>
    <cellStyle name="Percent 2 3 2 2 8 5" xfId="58332" xr:uid="{00000000-0005-0000-0000-000071E30000}"/>
    <cellStyle name="Percent 2 3 2 2 8 6" xfId="58333" xr:uid="{00000000-0005-0000-0000-000072E30000}"/>
    <cellStyle name="Percent 2 3 2 2 9" xfId="58334" xr:uid="{00000000-0005-0000-0000-000073E30000}"/>
    <cellStyle name="Percent 2 3 2 2 9 2" xfId="58335" xr:uid="{00000000-0005-0000-0000-000074E30000}"/>
    <cellStyle name="Percent 2 3 2 2 9 3" xfId="58336" xr:uid="{00000000-0005-0000-0000-000075E30000}"/>
    <cellStyle name="Percent 2 3 2 3" xfId="58337" xr:uid="{00000000-0005-0000-0000-000076E30000}"/>
    <cellStyle name="Percent 2 3 2 3 10" xfId="58338" xr:uid="{00000000-0005-0000-0000-000077E30000}"/>
    <cellStyle name="Percent 2 3 2 3 2" xfId="58339" xr:uid="{00000000-0005-0000-0000-000078E30000}"/>
    <cellStyle name="Percent 2 3 2 3 2 2" xfId="58340" xr:uid="{00000000-0005-0000-0000-000079E30000}"/>
    <cellStyle name="Percent 2 3 2 3 2 2 2" xfId="58341" xr:uid="{00000000-0005-0000-0000-00007AE30000}"/>
    <cellStyle name="Percent 2 3 2 3 2 2 2 2" xfId="58342" xr:uid="{00000000-0005-0000-0000-00007BE30000}"/>
    <cellStyle name="Percent 2 3 2 3 2 2 2 3" xfId="58343" xr:uid="{00000000-0005-0000-0000-00007CE30000}"/>
    <cellStyle name="Percent 2 3 2 3 2 2 3" xfId="58344" xr:uid="{00000000-0005-0000-0000-00007DE30000}"/>
    <cellStyle name="Percent 2 3 2 3 2 2 4" xfId="58345" xr:uid="{00000000-0005-0000-0000-00007EE30000}"/>
    <cellStyle name="Percent 2 3 2 3 2 2 5" xfId="58346" xr:uid="{00000000-0005-0000-0000-00007FE30000}"/>
    <cellStyle name="Percent 2 3 2 3 2 2 6" xfId="58347" xr:uid="{00000000-0005-0000-0000-000080E30000}"/>
    <cellStyle name="Percent 2 3 2 3 2 3" xfId="58348" xr:uid="{00000000-0005-0000-0000-000081E30000}"/>
    <cellStyle name="Percent 2 3 2 3 2 3 2" xfId="58349" xr:uid="{00000000-0005-0000-0000-000082E30000}"/>
    <cellStyle name="Percent 2 3 2 3 2 3 2 2" xfId="58350" xr:uid="{00000000-0005-0000-0000-000083E30000}"/>
    <cellStyle name="Percent 2 3 2 3 2 3 2 3" xfId="58351" xr:uid="{00000000-0005-0000-0000-000084E30000}"/>
    <cellStyle name="Percent 2 3 2 3 2 3 3" xfId="58352" xr:uid="{00000000-0005-0000-0000-000085E30000}"/>
    <cellStyle name="Percent 2 3 2 3 2 3 4" xfId="58353" xr:uid="{00000000-0005-0000-0000-000086E30000}"/>
    <cellStyle name="Percent 2 3 2 3 2 3 5" xfId="58354" xr:uid="{00000000-0005-0000-0000-000087E30000}"/>
    <cellStyle name="Percent 2 3 2 3 2 3 6" xfId="58355" xr:uid="{00000000-0005-0000-0000-000088E30000}"/>
    <cellStyle name="Percent 2 3 2 3 2 4" xfId="58356" xr:uid="{00000000-0005-0000-0000-000089E30000}"/>
    <cellStyle name="Percent 2 3 2 3 2 4 2" xfId="58357" xr:uid="{00000000-0005-0000-0000-00008AE30000}"/>
    <cellStyle name="Percent 2 3 2 3 2 4 3" xfId="58358" xr:uid="{00000000-0005-0000-0000-00008BE30000}"/>
    <cellStyle name="Percent 2 3 2 3 2 5" xfId="58359" xr:uid="{00000000-0005-0000-0000-00008CE30000}"/>
    <cellStyle name="Percent 2 3 2 3 2 6" xfId="58360" xr:uid="{00000000-0005-0000-0000-00008DE30000}"/>
    <cellStyle name="Percent 2 3 2 3 2 7" xfId="58361" xr:uid="{00000000-0005-0000-0000-00008EE30000}"/>
    <cellStyle name="Percent 2 3 2 3 2 8" xfId="58362" xr:uid="{00000000-0005-0000-0000-00008FE30000}"/>
    <cellStyle name="Percent 2 3 2 3 3" xfId="58363" xr:uid="{00000000-0005-0000-0000-000090E30000}"/>
    <cellStyle name="Percent 2 3 2 3 3 2" xfId="58364" xr:uid="{00000000-0005-0000-0000-000091E30000}"/>
    <cellStyle name="Percent 2 3 2 3 3 2 2" xfId="58365" xr:uid="{00000000-0005-0000-0000-000092E30000}"/>
    <cellStyle name="Percent 2 3 2 3 3 2 2 2" xfId="58366" xr:uid="{00000000-0005-0000-0000-000093E30000}"/>
    <cellStyle name="Percent 2 3 2 3 3 2 2 3" xfId="58367" xr:uid="{00000000-0005-0000-0000-000094E30000}"/>
    <cellStyle name="Percent 2 3 2 3 3 2 3" xfId="58368" xr:uid="{00000000-0005-0000-0000-000095E30000}"/>
    <cellStyle name="Percent 2 3 2 3 3 2 4" xfId="58369" xr:uid="{00000000-0005-0000-0000-000096E30000}"/>
    <cellStyle name="Percent 2 3 2 3 3 2 5" xfId="58370" xr:uid="{00000000-0005-0000-0000-000097E30000}"/>
    <cellStyle name="Percent 2 3 2 3 3 2 6" xfId="58371" xr:uid="{00000000-0005-0000-0000-000098E30000}"/>
    <cellStyle name="Percent 2 3 2 3 3 3" xfId="58372" xr:uid="{00000000-0005-0000-0000-000099E30000}"/>
    <cellStyle name="Percent 2 3 2 3 3 3 2" xfId="58373" xr:uid="{00000000-0005-0000-0000-00009AE30000}"/>
    <cellStyle name="Percent 2 3 2 3 3 3 3" xfId="58374" xr:uid="{00000000-0005-0000-0000-00009BE30000}"/>
    <cellStyle name="Percent 2 3 2 3 3 4" xfId="58375" xr:uid="{00000000-0005-0000-0000-00009CE30000}"/>
    <cellStyle name="Percent 2 3 2 3 3 5" xfId="58376" xr:uid="{00000000-0005-0000-0000-00009DE30000}"/>
    <cellStyle name="Percent 2 3 2 3 3 6" xfId="58377" xr:uid="{00000000-0005-0000-0000-00009EE30000}"/>
    <cellStyle name="Percent 2 3 2 3 3 7" xfId="58378" xr:uid="{00000000-0005-0000-0000-00009FE30000}"/>
    <cellStyle name="Percent 2 3 2 3 4" xfId="58379" xr:uid="{00000000-0005-0000-0000-0000A0E30000}"/>
    <cellStyle name="Percent 2 3 2 3 4 2" xfId="58380" xr:uid="{00000000-0005-0000-0000-0000A1E30000}"/>
    <cellStyle name="Percent 2 3 2 3 4 2 2" xfId="58381" xr:uid="{00000000-0005-0000-0000-0000A2E30000}"/>
    <cellStyle name="Percent 2 3 2 3 4 2 3" xfId="58382" xr:uid="{00000000-0005-0000-0000-0000A3E30000}"/>
    <cellStyle name="Percent 2 3 2 3 4 3" xfId="58383" xr:uid="{00000000-0005-0000-0000-0000A4E30000}"/>
    <cellStyle name="Percent 2 3 2 3 4 4" xfId="58384" xr:uid="{00000000-0005-0000-0000-0000A5E30000}"/>
    <cellStyle name="Percent 2 3 2 3 4 5" xfId="58385" xr:uid="{00000000-0005-0000-0000-0000A6E30000}"/>
    <cellStyle name="Percent 2 3 2 3 4 6" xfId="58386" xr:uid="{00000000-0005-0000-0000-0000A7E30000}"/>
    <cellStyle name="Percent 2 3 2 3 5" xfId="58387" xr:uid="{00000000-0005-0000-0000-0000A8E30000}"/>
    <cellStyle name="Percent 2 3 2 3 5 2" xfId="58388" xr:uid="{00000000-0005-0000-0000-0000A9E30000}"/>
    <cellStyle name="Percent 2 3 2 3 5 2 2" xfId="58389" xr:uid="{00000000-0005-0000-0000-0000AAE30000}"/>
    <cellStyle name="Percent 2 3 2 3 5 2 3" xfId="58390" xr:uid="{00000000-0005-0000-0000-0000ABE30000}"/>
    <cellStyle name="Percent 2 3 2 3 5 3" xfId="58391" xr:uid="{00000000-0005-0000-0000-0000ACE30000}"/>
    <cellStyle name="Percent 2 3 2 3 5 4" xfId="58392" xr:uid="{00000000-0005-0000-0000-0000ADE30000}"/>
    <cellStyle name="Percent 2 3 2 3 5 5" xfId="58393" xr:uid="{00000000-0005-0000-0000-0000AEE30000}"/>
    <cellStyle name="Percent 2 3 2 3 5 6" xfId="58394" xr:uid="{00000000-0005-0000-0000-0000AFE30000}"/>
    <cellStyle name="Percent 2 3 2 3 6" xfId="58395" xr:uid="{00000000-0005-0000-0000-0000B0E30000}"/>
    <cellStyle name="Percent 2 3 2 3 6 2" xfId="58396" xr:uid="{00000000-0005-0000-0000-0000B1E30000}"/>
    <cellStyle name="Percent 2 3 2 3 6 3" xfId="58397" xr:uid="{00000000-0005-0000-0000-0000B2E30000}"/>
    <cellStyle name="Percent 2 3 2 3 7" xfId="58398" xr:uid="{00000000-0005-0000-0000-0000B3E30000}"/>
    <cellStyle name="Percent 2 3 2 3 8" xfId="58399" xr:uid="{00000000-0005-0000-0000-0000B4E30000}"/>
    <cellStyle name="Percent 2 3 2 3 9" xfId="58400" xr:uid="{00000000-0005-0000-0000-0000B5E30000}"/>
    <cellStyle name="Percent 2 3 2 4" xfId="58401" xr:uid="{00000000-0005-0000-0000-0000B6E30000}"/>
    <cellStyle name="Percent 2 3 2 4 2" xfId="58402" xr:uid="{00000000-0005-0000-0000-0000B7E30000}"/>
    <cellStyle name="Percent 2 3 2 4 2 2" xfId="58403" xr:uid="{00000000-0005-0000-0000-0000B8E30000}"/>
    <cellStyle name="Percent 2 3 2 4 2 2 2" xfId="58404" xr:uid="{00000000-0005-0000-0000-0000B9E30000}"/>
    <cellStyle name="Percent 2 3 2 4 2 2 2 2" xfId="58405" xr:uid="{00000000-0005-0000-0000-0000BAE30000}"/>
    <cellStyle name="Percent 2 3 2 4 2 2 2 3" xfId="58406" xr:uid="{00000000-0005-0000-0000-0000BBE30000}"/>
    <cellStyle name="Percent 2 3 2 4 2 2 3" xfId="58407" xr:uid="{00000000-0005-0000-0000-0000BCE30000}"/>
    <cellStyle name="Percent 2 3 2 4 2 2 4" xfId="58408" xr:uid="{00000000-0005-0000-0000-0000BDE30000}"/>
    <cellStyle name="Percent 2 3 2 4 2 2 5" xfId="58409" xr:uid="{00000000-0005-0000-0000-0000BEE30000}"/>
    <cellStyle name="Percent 2 3 2 4 2 2 6" xfId="58410" xr:uid="{00000000-0005-0000-0000-0000BFE30000}"/>
    <cellStyle name="Percent 2 3 2 4 2 3" xfId="58411" xr:uid="{00000000-0005-0000-0000-0000C0E30000}"/>
    <cellStyle name="Percent 2 3 2 4 2 3 2" xfId="58412" xr:uid="{00000000-0005-0000-0000-0000C1E30000}"/>
    <cellStyle name="Percent 2 3 2 4 2 3 3" xfId="58413" xr:uid="{00000000-0005-0000-0000-0000C2E30000}"/>
    <cellStyle name="Percent 2 3 2 4 2 4" xfId="58414" xr:uid="{00000000-0005-0000-0000-0000C3E30000}"/>
    <cellStyle name="Percent 2 3 2 4 2 5" xfId="58415" xr:uid="{00000000-0005-0000-0000-0000C4E30000}"/>
    <cellStyle name="Percent 2 3 2 4 2 6" xfId="58416" xr:uid="{00000000-0005-0000-0000-0000C5E30000}"/>
    <cellStyle name="Percent 2 3 2 4 2 7" xfId="58417" xr:uid="{00000000-0005-0000-0000-0000C6E30000}"/>
    <cellStyle name="Percent 2 3 2 4 3" xfId="58418" xr:uid="{00000000-0005-0000-0000-0000C7E30000}"/>
    <cellStyle name="Percent 2 3 2 4 3 2" xfId="58419" xr:uid="{00000000-0005-0000-0000-0000C8E30000}"/>
    <cellStyle name="Percent 2 3 2 4 3 2 2" xfId="58420" xr:uid="{00000000-0005-0000-0000-0000C9E30000}"/>
    <cellStyle name="Percent 2 3 2 4 3 2 3" xfId="58421" xr:uid="{00000000-0005-0000-0000-0000CAE30000}"/>
    <cellStyle name="Percent 2 3 2 4 3 3" xfId="58422" xr:uid="{00000000-0005-0000-0000-0000CBE30000}"/>
    <cellStyle name="Percent 2 3 2 4 3 4" xfId="58423" xr:uid="{00000000-0005-0000-0000-0000CCE30000}"/>
    <cellStyle name="Percent 2 3 2 4 3 5" xfId="58424" xr:uid="{00000000-0005-0000-0000-0000CDE30000}"/>
    <cellStyle name="Percent 2 3 2 4 3 6" xfId="58425" xr:uid="{00000000-0005-0000-0000-0000CEE30000}"/>
    <cellStyle name="Percent 2 3 2 4 4" xfId="58426" xr:uid="{00000000-0005-0000-0000-0000CFE30000}"/>
    <cellStyle name="Percent 2 3 2 4 4 2" xfId="58427" xr:uid="{00000000-0005-0000-0000-0000D0E30000}"/>
    <cellStyle name="Percent 2 3 2 4 4 2 2" xfId="58428" xr:uid="{00000000-0005-0000-0000-0000D1E30000}"/>
    <cellStyle name="Percent 2 3 2 4 4 2 3" xfId="58429" xr:uid="{00000000-0005-0000-0000-0000D2E30000}"/>
    <cellStyle name="Percent 2 3 2 4 4 3" xfId="58430" xr:uid="{00000000-0005-0000-0000-0000D3E30000}"/>
    <cellStyle name="Percent 2 3 2 4 4 4" xfId="58431" xr:uid="{00000000-0005-0000-0000-0000D4E30000}"/>
    <cellStyle name="Percent 2 3 2 4 4 5" xfId="58432" xr:uid="{00000000-0005-0000-0000-0000D5E30000}"/>
    <cellStyle name="Percent 2 3 2 4 4 6" xfId="58433" xr:uid="{00000000-0005-0000-0000-0000D6E30000}"/>
    <cellStyle name="Percent 2 3 2 4 5" xfId="58434" xr:uid="{00000000-0005-0000-0000-0000D7E30000}"/>
    <cellStyle name="Percent 2 3 2 4 5 2" xfId="58435" xr:uid="{00000000-0005-0000-0000-0000D8E30000}"/>
    <cellStyle name="Percent 2 3 2 4 5 3" xfId="58436" xr:uid="{00000000-0005-0000-0000-0000D9E30000}"/>
    <cellStyle name="Percent 2 3 2 4 6" xfId="58437" xr:uid="{00000000-0005-0000-0000-0000DAE30000}"/>
    <cellStyle name="Percent 2 3 2 4 7" xfId="58438" xr:uid="{00000000-0005-0000-0000-0000DBE30000}"/>
    <cellStyle name="Percent 2 3 2 4 8" xfId="58439" xr:uid="{00000000-0005-0000-0000-0000DCE30000}"/>
    <cellStyle name="Percent 2 3 2 4 9" xfId="58440" xr:uid="{00000000-0005-0000-0000-0000DDE30000}"/>
    <cellStyle name="Percent 2 3 2 5" xfId="58441" xr:uid="{00000000-0005-0000-0000-0000DEE30000}"/>
    <cellStyle name="Percent 2 3 2 5 2" xfId="58442" xr:uid="{00000000-0005-0000-0000-0000DFE30000}"/>
    <cellStyle name="Percent 2 3 2 5 2 2" xfId="58443" xr:uid="{00000000-0005-0000-0000-0000E0E30000}"/>
    <cellStyle name="Percent 2 3 2 5 2 2 2" xfId="58444" xr:uid="{00000000-0005-0000-0000-0000E1E30000}"/>
    <cellStyle name="Percent 2 3 2 5 2 2 3" xfId="58445" xr:uid="{00000000-0005-0000-0000-0000E2E30000}"/>
    <cellStyle name="Percent 2 3 2 5 2 3" xfId="58446" xr:uid="{00000000-0005-0000-0000-0000E3E30000}"/>
    <cellStyle name="Percent 2 3 2 5 2 4" xfId="58447" xr:uid="{00000000-0005-0000-0000-0000E4E30000}"/>
    <cellStyle name="Percent 2 3 2 5 2 5" xfId="58448" xr:uid="{00000000-0005-0000-0000-0000E5E30000}"/>
    <cellStyle name="Percent 2 3 2 5 2 6" xfId="58449" xr:uid="{00000000-0005-0000-0000-0000E6E30000}"/>
    <cellStyle name="Percent 2 3 2 5 3" xfId="58450" xr:uid="{00000000-0005-0000-0000-0000E7E30000}"/>
    <cellStyle name="Percent 2 3 2 5 3 2" xfId="58451" xr:uid="{00000000-0005-0000-0000-0000E8E30000}"/>
    <cellStyle name="Percent 2 3 2 5 3 3" xfId="58452" xr:uid="{00000000-0005-0000-0000-0000E9E30000}"/>
    <cellStyle name="Percent 2 3 2 5 4" xfId="58453" xr:uid="{00000000-0005-0000-0000-0000EAE30000}"/>
    <cellStyle name="Percent 2 3 2 5 5" xfId="58454" xr:uid="{00000000-0005-0000-0000-0000EBE30000}"/>
    <cellStyle name="Percent 2 3 2 5 6" xfId="58455" xr:uid="{00000000-0005-0000-0000-0000ECE30000}"/>
    <cellStyle name="Percent 2 3 2 5 7" xfId="58456" xr:uid="{00000000-0005-0000-0000-0000EDE30000}"/>
    <cellStyle name="Percent 2 3 2 6" xfId="58457" xr:uid="{00000000-0005-0000-0000-0000EEE30000}"/>
    <cellStyle name="Percent 2 3 2 6 2" xfId="58458" xr:uid="{00000000-0005-0000-0000-0000EFE30000}"/>
    <cellStyle name="Percent 2 3 2 6 2 2" xfId="58459" xr:uid="{00000000-0005-0000-0000-0000F0E30000}"/>
    <cellStyle name="Percent 2 3 2 6 2 3" xfId="58460" xr:uid="{00000000-0005-0000-0000-0000F1E30000}"/>
    <cellStyle name="Percent 2 3 2 6 3" xfId="58461" xr:uid="{00000000-0005-0000-0000-0000F2E30000}"/>
    <cellStyle name="Percent 2 3 2 6 4" xfId="58462" xr:uid="{00000000-0005-0000-0000-0000F3E30000}"/>
    <cellStyle name="Percent 2 3 2 6 5" xfId="58463" xr:uid="{00000000-0005-0000-0000-0000F4E30000}"/>
    <cellStyle name="Percent 2 3 2 6 6" xfId="58464" xr:uid="{00000000-0005-0000-0000-0000F5E30000}"/>
    <cellStyle name="Percent 2 3 2 7" xfId="58465" xr:uid="{00000000-0005-0000-0000-0000F6E30000}"/>
    <cellStyle name="Percent 2 3 2 7 2" xfId="58466" xr:uid="{00000000-0005-0000-0000-0000F7E30000}"/>
    <cellStyle name="Percent 2 3 2 7 2 2" xfId="58467" xr:uid="{00000000-0005-0000-0000-0000F8E30000}"/>
    <cellStyle name="Percent 2 3 2 7 2 3" xfId="58468" xr:uid="{00000000-0005-0000-0000-0000F9E30000}"/>
    <cellStyle name="Percent 2 3 2 7 3" xfId="58469" xr:uid="{00000000-0005-0000-0000-0000FAE30000}"/>
    <cellStyle name="Percent 2 3 2 7 4" xfId="58470" xr:uid="{00000000-0005-0000-0000-0000FBE30000}"/>
    <cellStyle name="Percent 2 3 2 7 5" xfId="58471" xr:uid="{00000000-0005-0000-0000-0000FCE30000}"/>
    <cellStyle name="Percent 2 3 2 7 6" xfId="58472" xr:uid="{00000000-0005-0000-0000-0000FDE30000}"/>
    <cellStyle name="Percent 2 3 2 8" xfId="58473" xr:uid="{00000000-0005-0000-0000-0000FEE30000}"/>
    <cellStyle name="Percent 2 3 2 8 2" xfId="58474" xr:uid="{00000000-0005-0000-0000-0000FFE30000}"/>
    <cellStyle name="Percent 2 3 2 8 2 2" xfId="58475" xr:uid="{00000000-0005-0000-0000-000000E40000}"/>
    <cellStyle name="Percent 2 3 2 8 2 3" xfId="58476" xr:uid="{00000000-0005-0000-0000-000001E40000}"/>
    <cellStyle name="Percent 2 3 2 8 3" xfId="58477" xr:uid="{00000000-0005-0000-0000-000002E40000}"/>
    <cellStyle name="Percent 2 3 2 8 4" xfId="58478" xr:uid="{00000000-0005-0000-0000-000003E40000}"/>
    <cellStyle name="Percent 2 3 2 8 5" xfId="58479" xr:uid="{00000000-0005-0000-0000-000004E40000}"/>
    <cellStyle name="Percent 2 3 2 8 6" xfId="58480" xr:uid="{00000000-0005-0000-0000-000005E40000}"/>
    <cellStyle name="Percent 2 3 2 9" xfId="58481" xr:uid="{00000000-0005-0000-0000-000006E40000}"/>
    <cellStyle name="Percent 2 3 2 9 2" xfId="58482" xr:uid="{00000000-0005-0000-0000-000007E40000}"/>
    <cellStyle name="Percent 2 3 2 9 2 2" xfId="58483" xr:uid="{00000000-0005-0000-0000-000008E40000}"/>
    <cellStyle name="Percent 2 3 2 9 2 3" xfId="58484" xr:uid="{00000000-0005-0000-0000-000009E40000}"/>
    <cellStyle name="Percent 2 3 2 9 3" xfId="58485" xr:uid="{00000000-0005-0000-0000-00000AE40000}"/>
    <cellStyle name="Percent 2 3 2 9 4" xfId="58486" xr:uid="{00000000-0005-0000-0000-00000BE40000}"/>
    <cellStyle name="Percent 2 3 2 9 5" xfId="58487" xr:uid="{00000000-0005-0000-0000-00000CE40000}"/>
    <cellStyle name="Percent 2 3 2 9 6" xfId="58488" xr:uid="{00000000-0005-0000-0000-00000DE40000}"/>
    <cellStyle name="Percent 2 3 3" xfId="555" xr:uid="{00000000-0005-0000-0000-00000EE40000}"/>
    <cellStyle name="Percent 2 3 3 10" xfId="58489" xr:uid="{00000000-0005-0000-0000-00000FE40000}"/>
    <cellStyle name="Percent 2 3 3 10 2" xfId="58490" xr:uid="{00000000-0005-0000-0000-000010E40000}"/>
    <cellStyle name="Percent 2 3 3 10 3" xfId="58491" xr:uid="{00000000-0005-0000-0000-000011E40000}"/>
    <cellStyle name="Percent 2 3 3 11" xfId="58492" xr:uid="{00000000-0005-0000-0000-000012E40000}"/>
    <cellStyle name="Percent 2 3 3 12" xfId="58493" xr:uid="{00000000-0005-0000-0000-000013E40000}"/>
    <cellStyle name="Percent 2 3 3 13" xfId="58494" xr:uid="{00000000-0005-0000-0000-000014E40000}"/>
    <cellStyle name="Percent 2 3 3 14" xfId="58495" xr:uid="{00000000-0005-0000-0000-000015E40000}"/>
    <cellStyle name="Percent 2 3 3 2" xfId="58496" xr:uid="{00000000-0005-0000-0000-000016E40000}"/>
    <cellStyle name="Percent 2 3 3 2 10" xfId="58497" xr:uid="{00000000-0005-0000-0000-000017E40000}"/>
    <cellStyle name="Percent 2 3 3 2 11" xfId="58498" xr:uid="{00000000-0005-0000-0000-000018E40000}"/>
    <cellStyle name="Percent 2 3 3 2 12" xfId="58499" xr:uid="{00000000-0005-0000-0000-000019E40000}"/>
    <cellStyle name="Percent 2 3 3 2 13" xfId="58500" xr:uid="{00000000-0005-0000-0000-00001AE40000}"/>
    <cellStyle name="Percent 2 3 3 2 2" xfId="58501" xr:uid="{00000000-0005-0000-0000-00001BE40000}"/>
    <cellStyle name="Percent 2 3 3 2 2 10" xfId="58502" xr:uid="{00000000-0005-0000-0000-00001CE40000}"/>
    <cellStyle name="Percent 2 3 3 2 2 2" xfId="58503" xr:uid="{00000000-0005-0000-0000-00001DE40000}"/>
    <cellStyle name="Percent 2 3 3 2 2 2 2" xfId="58504" xr:uid="{00000000-0005-0000-0000-00001EE40000}"/>
    <cellStyle name="Percent 2 3 3 2 2 2 2 2" xfId="58505" xr:uid="{00000000-0005-0000-0000-00001FE40000}"/>
    <cellStyle name="Percent 2 3 3 2 2 2 2 2 2" xfId="58506" xr:uid="{00000000-0005-0000-0000-000020E40000}"/>
    <cellStyle name="Percent 2 3 3 2 2 2 2 2 3" xfId="58507" xr:uid="{00000000-0005-0000-0000-000021E40000}"/>
    <cellStyle name="Percent 2 3 3 2 2 2 2 3" xfId="58508" xr:uid="{00000000-0005-0000-0000-000022E40000}"/>
    <cellStyle name="Percent 2 3 3 2 2 2 2 4" xfId="58509" xr:uid="{00000000-0005-0000-0000-000023E40000}"/>
    <cellStyle name="Percent 2 3 3 2 2 2 2 5" xfId="58510" xr:uid="{00000000-0005-0000-0000-000024E40000}"/>
    <cellStyle name="Percent 2 3 3 2 2 2 2 6" xfId="58511" xr:uid="{00000000-0005-0000-0000-000025E40000}"/>
    <cellStyle name="Percent 2 3 3 2 2 2 3" xfId="58512" xr:uid="{00000000-0005-0000-0000-000026E40000}"/>
    <cellStyle name="Percent 2 3 3 2 2 2 3 2" xfId="58513" xr:uid="{00000000-0005-0000-0000-000027E40000}"/>
    <cellStyle name="Percent 2 3 3 2 2 2 3 2 2" xfId="58514" xr:uid="{00000000-0005-0000-0000-000028E40000}"/>
    <cellStyle name="Percent 2 3 3 2 2 2 3 2 3" xfId="58515" xr:uid="{00000000-0005-0000-0000-000029E40000}"/>
    <cellStyle name="Percent 2 3 3 2 2 2 3 3" xfId="58516" xr:uid="{00000000-0005-0000-0000-00002AE40000}"/>
    <cellStyle name="Percent 2 3 3 2 2 2 3 4" xfId="58517" xr:uid="{00000000-0005-0000-0000-00002BE40000}"/>
    <cellStyle name="Percent 2 3 3 2 2 2 3 5" xfId="58518" xr:uid="{00000000-0005-0000-0000-00002CE40000}"/>
    <cellStyle name="Percent 2 3 3 2 2 2 3 6" xfId="58519" xr:uid="{00000000-0005-0000-0000-00002DE40000}"/>
    <cellStyle name="Percent 2 3 3 2 2 2 4" xfId="58520" xr:uid="{00000000-0005-0000-0000-00002EE40000}"/>
    <cellStyle name="Percent 2 3 3 2 2 2 4 2" xfId="58521" xr:uid="{00000000-0005-0000-0000-00002FE40000}"/>
    <cellStyle name="Percent 2 3 3 2 2 2 4 3" xfId="58522" xr:uid="{00000000-0005-0000-0000-000030E40000}"/>
    <cellStyle name="Percent 2 3 3 2 2 2 5" xfId="58523" xr:uid="{00000000-0005-0000-0000-000031E40000}"/>
    <cellStyle name="Percent 2 3 3 2 2 2 6" xfId="58524" xr:uid="{00000000-0005-0000-0000-000032E40000}"/>
    <cellStyle name="Percent 2 3 3 2 2 2 7" xfId="58525" xr:uid="{00000000-0005-0000-0000-000033E40000}"/>
    <cellStyle name="Percent 2 3 3 2 2 2 8" xfId="58526" xr:uid="{00000000-0005-0000-0000-000034E40000}"/>
    <cellStyle name="Percent 2 3 3 2 2 3" xfId="58527" xr:uid="{00000000-0005-0000-0000-000035E40000}"/>
    <cellStyle name="Percent 2 3 3 2 2 3 2" xfId="58528" xr:uid="{00000000-0005-0000-0000-000036E40000}"/>
    <cellStyle name="Percent 2 3 3 2 2 3 2 2" xfId="58529" xr:uid="{00000000-0005-0000-0000-000037E40000}"/>
    <cellStyle name="Percent 2 3 3 2 2 3 2 2 2" xfId="58530" xr:uid="{00000000-0005-0000-0000-000038E40000}"/>
    <cellStyle name="Percent 2 3 3 2 2 3 2 2 3" xfId="58531" xr:uid="{00000000-0005-0000-0000-000039E40000}"/>
    <cellStyle name="Percent 2 3 3 2 2 3 2 3" xfId="58532" xr:uid="{00000000-0005-0000-0000-00003AE40000}"/>
    <cellStyle name="Percent 2 3 3 2 2 3 2 4" xfId="58533" xr:uid="{00000000-0005-0000-0000-00003BE40000}"/>
    <cellStyle name="Percent 2 3 3 2 2 3 2 5" xfId="58534" xr:uid="{00000000-0005-0000-0000-00003CE40000}"/>
    <cellStyle name="Percent 2 3 3 2 2 3 2 6" xfId="58535" xr:uid="{00000000-0005-0000-0000-00003DE40000}"/>
    <cellStyle name="Percent 2 3 3 2 2 3 3" xfId="58536" xr:uid="{00000000-0005-0000-0000-00003EE40000}"/>
    <cellStyle name="Percent 2 3 3 2 2 3 3 2" xfId="58537" xr:uid="{00000000-0005-0000-0000-00003FE40000}"/>
    <cellStyle name="Percent 2 3 3 2 2 3 3 3" xfId="58538" xr:uid="{00000000-0005-0000-0000-000040E40000}"/>
    <cellStyle name="Percent 2 3 3 2 2 3 4" xfId="58539" xr:uid="{00000000-0005-0000-0000-000041E40000}"/>
    <cellStyle name="Percent 2 3 3 2 2 3 5" xfId="58540" xr:uid="{00000000-0005-0000-0000-000042E40000}"/>
    <cellStyle name="Percent 2 3 3 2 2 3 6" xfId="58541" xr:uid="{00000000-0005-0000-0000-000043E40000}"/>
    <cellStyle name="Percent 2 3 3 2 2 3 7" xfId="58542" xr:uid="{00000000-0005-0000-0000-000044E40000}"/>
    <cellStyle name="Percent 2 3 3 2 2 4" xfId="58543" xr:uid="{00000000-0005-0000-0000-000045E40000}"/>
    <cellStyle name="Percent 2 3 3 2 2 4 2" xfId="58544" xr:uid="{00000000-0005-0000-0000-000046E40000}"/>
    <cellStyle name="Percent 2 3 3 2 2 4 2 2" xfId="58545" xr:uid="{00000000-0005-0000-0000-000047E40000}"/>
    <cellStyle name="Percent 2 3 3 2 2 4 2 3" xfId="58546" xr:uid="{00000000-0005-0000-0000-000048E40000}"/>
    <cellStyle name="Percent 2 3 3 2 2 4 3" xfId="58547" xr:uid="{00000000-0005-0000-0000-000049E40000}"/>
    <cellStyle name="Percent 2 3 3 2 2 4 4" xfId="58548" xr:uid="{00000000-0005-0000-0000-00004AE40000}"/>
    <cellStyle name="Percent 2 3 3 2 2 4 5" xfId="58549" xr:uid="{00000000-0005-0000-0000-00004BE40000}"/>
    <cellStyle name="Percent 2 3 3 2 2 4 6" xfId="58550" xr:uid="{00000000-0005-0000-0000-00004CE40000}"/>
    <cellStyle name="Percent 2 3 3 2 2 5" xfId="58551" xr:uid="{00000000-0005-0000-0000-00004DE40000}"/>
    <cellStyle name="Percent 2 3 3 2 2 5 2" xfId="58552" xr:uid="{00000000-0005-0000-0000-00004EE40000}"/>
    <cellStyle name="Percent 2 3 3 2 2 5 2 2" xfId="58553" xr:uid="{00000000-0005-0000-0000-00004FE40000}"/>
    <cellStyle name="Percent 2 3 3 2 2 5 2 3" xfId="58554" xr:uid="{00000000-0005-0000-0000-000050E40000}"/>
    <cellStyle name="Percent 2 3 3 2 2 5 3" xfId="58555" xr:uid="{00000000-0005-0000-0000-000051E40000}"/>
    <cellStyle name="Percent 2 3 3 2 2 5 4" xfId="58556" xr:uid="{00000000-0005-0000-0000-000052E40000}"/>
    <cellStyle name="Percent 2 3 3 2 2 5 5" xfId="58557" xr:uid="{00000000-0005-0000-0000-000053E40000}"/>
    <cellStyle name="Percent 2 3 3 2 2 5 6" xfId="58558" xr:uid="{00000000-0005-0000-0000-000054E40000}"/>
    <cellStyle name="Percent 2 3 3 2 2 6" xfId="58559" xr:uid="{00000000-0005-0000-0000-000055E40000}"/>
    <cellStyle name="Percent 2 3 3 2 2 6 2" xfId="58560" xr:uid="{00000000-0005-0000-0000-000056E40000}"/>
    <cellStyle name="Percent 2 3 3 2 2 6 3" xfId="58561" xr:uid="{00000000-0005-0000-0000-000057E40000}"/>
    <cellStyle name="Percent 2 3 3 2 2 7" xfId="58562" xr:uid="{00000000-0005-0000-0000-000058E40000}"/>
    <cellStyle name="Percent 2 3 3 2 2 8" xfId="58563" xr:uid="{00000000-0005-0000-0000-000059E40000}"/>
    <cellStyle name="Percent 2 3 3 2 2 9" xfId="58564" xr:uid="{00000000-0005-0000-0000-00005AE40000}"/>
    <cellStyle name="Percent 2 3 3 2 3" xfId="58565" xr:uid="{00000000-0005-0000-0000-00005BE40000}"/>
    <cellStyle name="Percent 2 3 3 2 3 2" xfId="58566" xr:uid="{00000000-0005-0000-0000-00005CE40000}"/>
    <cellStyle name="Percent 2 3 3 2 3 2 2" xfId="58567" xr:uid="{00000000-0005-0000-0000-00005DE40000}"/>
    <cellStyle name="Percent 2 3 3 2 3 2 2 2" xfId="58568" xr:uid="{00000000-0005-0000-0000-00005EE40000}"/>
    <cellStyle name="Percent 2 3 3 2 3 2 2 2 2" xfId="58569" xr:uid="{00000000-0005-0000-0000-00005FE40000}"/>
    <cellStyle name="Percent 2 3 3 2 3 2 2 2 3" xfId="58570" xr:uid="{00000000-0005-0000-0000-000060E40000}"/>
    <cellStyle name="Percent 2 3 3 2 3 2 2 3" xfId="58571" xr:uid="{00000000-0005-0000-0000-000061E40000}"/>
    <cellStyle name="Percent 2 3 3 2 3 2 2 4" xfId="58572" xr:uid="{00000000-0005-0000-0000-000062E40000}"/>
    <cellStyle name="Percent 2 3 3 2 3 2 2 5" xfId="58573" xr:uid="{00000000-0005-0000-0000-000063E40000}"/>
    <cellStyle name="Percent 2 3 3 2 3 2 2 6" xfId="58574" xr:uid="{00000000-0005-0000-0000-000064E40000}"/>
    <cellStyle name="Percent 2 3 3 2 3 2 3" xfId="58575" xr:uid="{00000000-0005-0000-0000-000065E40000}"/>
    <cellStyle name="Percent 2 3 3 2 3 2 3 2" xfId="58576" xr:uid="{00000000-0005-0000-0000-000066E40000}"/>
    <cellStyle name="Percent 2 3 3 2 3 2 3 3" xfId="58577" xr:uid="{00000000-0005-0000-0000-000067E40000}"/>
    <cellStyle name="Percent 2 3 3 2 3 2 4" xfId="58578" xr:uid="{00000000-0005-0000-0000-000068E40000}"/>
    <cellStyle name="Percent 2 3 3 2 3 2 5" xfId="58579" xr:uid="{00000000-0005-0000-0000-000069E40000}"/>
    <cellStyle name="Percent 2 3 3 2 3 2 6" xfId="58580" xr:uid="{00000000-0005-0000-0000-00006AE40000}"/>
    <cellStyle name="Percent 2 3 3 2 3 2 7" xfId="58581" xr:uid="{00000000-0005-0000-0000-00006BE40000}"/>
    <cellStyle name="Percent 2 3 3 2 3 3" xfId="58582" xr:uid="{00000000-0005-0000-0000-00006CE40000}"/>
    <cellStyle name="Percent 2 3 3 2 3 3 2" xfId="58583" xr:uid="{00000000-0005-0000-0000-00006DE40000}"/>
    <cellStyle name="Percent 2 3 3 2 3 3 2 2" xfId="58584" xr:uid="{00000000-0005-0000-0000-00006EE40000}"/>
    <cellStyle name="Percent 2 3 3 2 3 3 2 3" xfId="58585" xr:uid="{00000000-0005-0000-0000-00006FE40000}"/>
    <cellStyle name="Percent 2 3 3 2 3 3 3" xfId="58586" xr:uid="{00000000-0005-0000-0000-000070E40000}"/>
    <cellStyle name="Percent 2 3 3 2 3 3 4" xfId="58587" xr:uid="{00000000-0005-0000-0000-000071E40000}"/>
    <cellStyle name="Percent 2 3 3 2 3 3 5" xfId="58588" xr:uid="{00000000-0005-0000-0000-000072E40000}"/>
    <cellStyle name="Percent 2 3 3 2 3 3 6" xfId="58589" xr:uid="{00000000-0005-0000-0000-000073E40000}"/>
    <cellStyle name="Percent 2 3 3 2 3 4" xfId="58590" xr:uid="{00000000-0005-0000-0000-000074E40000}"/>
    <cellStyle name="Percent 2 3 3 2 3 4 2" xfId="58591" xr:uid="{00000000-0005-0000-0000-000075E40000}"/>
    <cellStyle name="Percent 2 3 3 2 3 4 2 2" xfId="58592" xr:uid="{00000000-0005-0000-0000-000076E40000}"/>
    <cellStyle name="Percent 2 3 3 2 3 4 2 3" xfId="58593" xr:uid="{00000000-0005-0000-0000-000077E40000}"/>
    <cellStyle name="Percent 2 3 3 2 3 4 3" xfId="58594" xr:uid="{00000000-0005-0000-0000-000078E40000}"/>
    <cellStyle name="Percent 2 3 3 2 3 4 4" xfId="58595" xr:uid="{00000000-0005-0000-0000-000079E40000}"/>
    <cellStyle name="Percent 2 3 3 2 3 4 5" xfId="58596" xr:uid="{00000000-0005-0000-0000-00007AE40000}"/>
    <cellStyle name="Percent 2 3 3 2 3 4 6" xfId="58597" xr:uid="{00000000-0005-0000-0000-00007BE40000}"/>
    <cellStyle name="Percent 2 3 3 2 3 5" xfId="58598" xr:uid="{00000000-0005-0000-0000-00007CE40000}"/>
    <cellStyle name="Percent 2 3 3 2 3 5 2" xfId="58599" xr:uid="{00000000-0005-0000-0000-00007DE40000}"/>
    <cellStyle name="Percent 2 3 3 2 3 5 3" xfId="58600" xr:uid="{00000000-0005-0000-0000-00007EE40000}"/>
    <cellStyle name="Percent 2 3 3 2 3 6" xfId="58601" xr:uid="{00000000-0005-0000-0000-00007FE40000}"/>
    <cellStyle name="Percent 2 3 3 2 3 7" xfId="58602" xr:uid="{00000000-0005-0000-0000-000080E40000}"/>
    <cellStyle name="Percent 2 3 3 2 3 8" xfId="58603" xr:uid="{00000000-0005-0000-0000-000081E40000}"/>
    <cellStyle name="Percent 2 3 3 2 3 9" xfId="58604" xr:uid="{00000000-0005-0000-0000-000082E40000}"/>
    <cellStyle name="Percent 2 3 3 2 4" xfId="58605" xr:uid="{00000000-0005-0000-0000-000083E40000}"/>
    <cellStyle name="Percent 2 3 3 2 4 2" xfId="58606" xr:uid="{00000000-0005-0000-0000-000084E40000}"/>
    <cellStyle name="Percent 2 3 3 2 4 2 2" xfId="58607" xr:uid="{00000000-0005-0000-0000-000085E40000}"/>
    <cellStyle name="Percent 2 3 3 2 4 2 2 2" xfId="58608" xr:uid="{00000000-0005-0000-0000-000086E40000}"/>
    <cellStyle name="Percent 2 3 3 2 4 2 2 3" xfId="58609" xr:uid="{00000000-0005-0000-0000-000087E40000}"/>
    <cellStyle name="Percent 2 3 3 2 4 2 3" xfId="58610" xr:uid="{00000000-0005-0000-0000-000088E40000}"/>
    <cellStyle name="Percent 2 3 3 2 4 2 4" xfId="58611" xr:uid="{00000000-0005-0000-0000-000089E40000}"/>
    <cellStyle name="Percent 2 3 3 2 4 2 5" xfId="58612" xr:uid="{00000000-0005-0000-0000-00008AE40000}"/>
    <cellStyle name="Percent 2 3 3 2 4 2 6" xfId="58613" xr:uid="{00000000-0005-0000-0000-00008BE40000}"/>
    <cellStyle name="Percent 2 3 3 2 4 3" xfId="58614" xr:uid="{00000000-0005-0000-0000-00008CE40000}"/>
    <cellStyle name="Percent 2 3 3 2 4 3 2" xfId="58615" xr:uid="{00000000-0005-0000-0000-00008DE40000}"/>
    <cellStyle name="Percent 2 3 3 2 4 3 3" xfId="58616" xr:uid="{00000000-0005-0000-0000-00008EE40000}"/>
    <cellStyle name="Percent 2 3 3 2 4 4" xfId="58617" xr:uid="{00000000-0005-0000-0000-00008FE40000}"/>
    <cellStyle name="Percent 2 3 3 2 4 5" xfId="58618" xr:uid="{00000000-0005-0000-0000-000090E40000}"/>
    <cellStyle name="Percent 2 3 3 2 4 6" xfId="58619" xr:uid="{00000000-0005-0000-0000-000091E40000}"/>
    <cellStyle name="Percent 2 3 3 2 4 7" xfId="58620" xr:uid="{00000000-0005-0000-0000-000092E40000}"/>
    <cellStyle name="Percent 2 3 3 2 5" xfId="58621" xr:uid="{00000000-0005-0000-0000-000093E40000}"/>
    <cellStyle name="Percent 2 3 3 2 5 2" xfId="58622" xr:uid="{00000000-0005-0000-0000-000094E40000}"/>
    <cellStyle name="Percent 2 3 3 2 5 2 2" xfId="58623" xr:uid="{00000000-0005-0000-0000-000095E40000}"/>
    <cellStyle name="Percent 2 3 3 2 5 2 3" xfId="58624" xr:uid="{00000000-0005-0000-0000-000096E40000}"/>
    <cellStyle name="Percent 2 3 3 2 5 3" xfId="58625" xr:uid="{00000000-0005-0000-0000-000097E40000}"/>
    <cellStyle name="Percent 2 3 3 2 5 4" xfId="58626" xr:uid="{00000000-0005-0000-0000-000098E40000}"/>
    <cellStyle name="Percent 2 3 3 2 5 5" xfId="58627" xr:uid="{00000000-0005-0000-0000-000099E40000}"/>
    <cellStyle name="Percent 2 3 3 2 5 6" xfId="58628" xr:uid="{00000000-0005-0000-0000-00009AE40000}"/>
    <cellStyle name="Percent 2 3 3 2 6" xfId="58629" xr:uid="{00000000-0005-0000-0000-00009BE40000}"/>
    <cellStyle name="Percent 2 3 3 2 6 2" xfId="58630" xr:uid="{00000000-0005-0000-0000-00009CE40000}"/>
    <cellStyle name="Percent 2 3 3 2 6 2 2" xfId="58631" xr:uid="{00000000-0005-0000-0000-00009DE40000}"/>
    <cellStyle name="Percent 2 3 3 2 6 2 3" xfId="58632" xr:uid="{00000000-0005-0000-0000-00009EE40000}"/>
    <cellStyle name="Percent 2 3 3 2 6 3" xfId="58633" xr:uid="{00000000-0005-0000-0000-00009FE40000}"/>
    <cellStyle name="Percent 2 3 3 2 6 4" xfId="58634" xr:uid="{00000000-0005-0000-0000-0000A0E40000}"/>
    <cellStyle name="Percent 2 3 3 2 6 5" xfId="58635" xr:uid="{00000000-0005-0000-0000-0000A1E40000}"/>
    <cellStyle name="Percent 2 3 3 2 6 6" xfId="58636" xr:uid="{00000000-0005-0000-0000-0000A2E40000}"/>
    <cellStyle name="Percent 2 3 3 2 7" xfId="58637" xr:uid="{00000000-0005-0000-0000-0000A3E40000}"/>
    <cellStyle name="Percent 2 3 3 2 7 2" xfId="58638" xr:uid="{00000000-0005-0000-0000-0000A4E40000}"/>
    <cellStyle name="Percent 2 3 3 2 7 2 2" xfId="58639" xr:uid="{00000000-0005-0000-0000-0000A5E40000}"/>
    <cellStyle name="Percent 2 3 3 2 7 2 3" xfId="58640" xr:uid="{00000000-0005-0000-0000-0000A6E40000}"/>
    <cellStyle name="Percent 2 3 3 2 7 3" xfId="58641" xr:uid="{00000000-0005-0000-0000-0000A7E40000}"/>
    <cellStyle name="Percent 2 3 3 2 7 4" xfId="58642" xr:uid="{00000000-0005-0000-0000-0000A8E40000}"/>
    <cellStyle name="Percent 2 3 3 2 7 5" xfId="58643" xr:uid="{00000000-0005-0000-0000-0000A9E40000}"/>
    <cellStyle name="Percent 2 3 3 2 7 6" xfId="58644" xr:uid="{00000000-0005-0000-0000-0000AAE40000}"/>
    <cellStyle name="Percent 2 3 3 2 8" xfId="58645" xr:uid="{00000000-0005-0000-0000-0000ABE40000}"/>
    <cellStyle name="Percent 2 3 3 2 8 2" xfId="58646" xr:uid="{00000000-0005-0000-0000-0000ACE40000}"/>
    <cellStyle name="Percent 2 3 3 2 8 2 2" xfId="58647" xr:uid="{00000000-0005-0000-0000-0000ADE40000}"/>
    <cellStyle name="Percent 2 3 3 2 8 2 3" xfId="58648" xr:uid="{00000000-0005-0000-0000-0000AEE40000}"/>
    <cellStyle name="Percent 2 3 3 2 8 3" xfId="58649" xr:uid="{00000000-0005-0000-0000-0000AFE40000}"/>
    <cellStyle name="Percent 2 3 3 2 8 4" xfId="58650" xr:uid="{00000000-0005-0000-0000-0000B0E40000}"/>
    <cellStyle name="Percent 2 3 3 2 8 5" xfId="58651" xr:uid="{00000000-0005-0000-0000-0000B1E40000}"/>
    <cellStyle name="Percent 2 3 3 2 8 6" xfId="58652" xr:uid="{00000000-0005-0000-0000-0000B2E40000}"/>
    <cellStyle name="Percent 2 3 3 2 9" xfId="58653" xr:uid="{00000000-0005-0000-0000-0000B3E40000}"/>
    <cellStyle name="Percent 2 3 3 2 9 2" xfId="58654" xr:uid="{00000000-0005-0000-0000-0000B4E40000}"/>
    <cellStyle name="Percent 2 3 3 2 9 3" xfId="58655" xr:uid="{00000000-0005-0000-0000-0000B5E40000}"/>
    <cellStyle name="Percent 2 3 3 3" xfId="58656" xr:uid="{00000000-0005-0000-0000-0000B6E40000}"/>
    <cellStyle name="Percent 2 3 3 3 10" xfId="58657" xr:uid="{00000000-0005-0000-0000-0000B7E40000}"/>
    <cellStyle name="Percent 2 3 3 3 2" xfId="58658" xr:uid="{00000000-0005-0000-0000-0000B8E40000}"/>
    <cellStyle name="Percent 2 3 3 3 2 2" xfId="58659" xr:uid="{00000000-0005-0000-0000-0000B9E40000}"/>
    <cellStyle name="Percent 2 3 3 3 2 2 2" xfId="58660" xr:uid="{00000000-0005-0000-0000-0000BAE40000}"/>
    <cellStyle name="Percent 2 3 3 3 2 2 2 2" xfId="58661" xr:uid="{00000000-0005-0000-0000-0000BBE40000}"/>
    <cellStyle name="Percent 2 3 3 3 2 2 2 3" xfId="58662" xr:uid="{00000000-0005-0000-0000-0000BCE40000}"/>
    <cellStyle name="Percent 2 3 3 3 2 2 3" xfId="58663" xr:uid="{00000000-0005-0000-0000-0000BDE40000}"/>
    <cellStyle name="Percent 2 3 3 3 2 2 4" xfId="58664" xr:uid="{00000000-0005-0000-0000-0000BEE40000}"/>
    <cellStyle name="Percent 2 3 3 3 2 2 5" xfId="58665" xr:uid="{00000000-0005-0000-0000-0000BFE40000}"/>
    <cellStyle name="Percent 2 3 3 3 2 2 6" xfId="58666" xr:uid="{00000000-0005-0000-0000-0000C0E40000}"/>
    <cellStyle name="Percent 2 3 3 3 2 3" xfId="58667" xr:uid="{00000000-0005-0000-0000-0000C1E40000}"/>
    <cellStyle name="Percent 2 3 3 3 2 3 2" xfId="58668" xr:uid="{00000000-0005-0000-0000-0000C2E40000}"/>
    <cellStyle name="Percent 2 3 3 3 2 3 2 2" xfId="58669" xr:uid="{00000000-0005-0000-0000-0000C3E40000}"/>
    <cellStyle name="Percent 2 3 3 3 2 3 2 3" xfId="58670" xr:uid="{00000000-0005-0000-0000-0000C4E40000}"/>
    <cellStyle name="Percent 2 3 3 3 2 3 3" xfId="58671" xr:uid="{00000000-0005-0000-0000-0000C5E40000}"/>
    <cellStyle name="Percent 2 3 3 3 2 3 4" xfId="58672" xr:uid="{00000000-0005-0000-0000-0000C6E40000}"/>
    <cellStyle name="Percent 2 3 3 3 2 3 5" xfId="58673" xr:uid="{00000000-0005-0000-0000-0000C7E40000}"/>
    <cellStyle name="Percent 2 3 3 3 2 3 6" xfId="58674" xr:uid="{00000000-0005-0000-0000-0000C8E40000}"/>
    <cellStyle name="Percent 2 3 3 3 2 4" xfId="58675" xr:uid="{00000000-0005-0000-0000-0000C9E40000}"/>
    <cellStyle name="Percent 2 3 3 3 2 4 2" xfId="58676" xr:uid="{00000000-0005-0000-0000-0000CAE40000}"/>
    <cellStyle name="Percent 2 3 3 3 2 4 3" xfId="58677" xr:uid="{00000000-0005-0000-0000-0000CBE40000}"/>
    <cellStyle name="Percent 2 3 3 3 2 5" xfId="58678" xr:uid="{00000000-0005-0000-0000-0000CCE40000}"/>
    <cellStyle name="Percent 2 3 3 3 2 6" xfId="58679" xr:uid="{00000000-0005-0000-0000-0000CDE40000}"/>
    <cellStyle name="Percent 2 3 3 3 2 7" xfId="58680" xr:uid="{00000000-0005-0000-0000-0000CEE40000}"/>
    <cellStyle name="Percent 2 3 3 3 2 8" xfId="58681" xr:uid="{00000000-0005-0000-0000-0000CFE40000}"/>
    <cellStyle name="Percent 2 3 3 3 3" xfId="58682" xr:uid="{00000000-0005-0000-0000-0000D0E40000}"/>
    <cellStyle name="Percent 2 3 3 3 3 2" xfId="58683" xr:uid="{00000000-0005-0000-0000-0000D1E40000}"/>
    <cellStyle name="Percent 2 3 3 3 3 2 2" xfId="58684" xr:uid="{00000000-0005-0000-0000-0000D2E40000}"/>
    <cellStyle name="Percent 2 3 3 3 3 2 2 2" xfId="58685" xr:uid="{00000000-0005-0000-0000-0000D3E40000}"/>
    <cellStyle name="Percent 2 3 3 3 3 2 2 3" xfId="58686" xr:uid="{00000000-0005-0000-0000-0000D4E40000}"/>
    <cellStyle name="Percent 2 3 3 3 3 2 3" xfId="58687" xr:uid="{00000000-0005-0000-0000-0000D5E40000}"/>
    <cellStyle name="Percent 2 3 3 3 3 2 4" xfId="58688" xr:uid="{00000000-0005-0000-0000-0000D6E40000}"/>
    <cellStyle name="Percent 2 3 3 3 3 2 5" xfId="58689" xr:uid="{00000000-0005-0000-0000-0000D7E40000}"/>
    <cellStyle name="Percent 2 3 3 3 3 2 6" xfId="58690" xr:uid="{00000000-0005-0000-0000-0000D8E40000}"/>
    <cellStyle name="Percent 2 3 3 3 3 3" xfId="58691" xr:uid="{00000000-0005-0000-0000-0000D9E40000}"/>
    <cellStyle name="Percent 2 3 3 3 3 3 2" xfId="58692" xr:uid="{00000000-0005-0000-0000-0000DAE40000}"/>
    <cellStyle name="Percent 2 3 3 3 3 3 3" xfId="58693" xr:uid="{00000000-0005-0000-0000-0000DBE40000}"/>
    <cellStyle name="Percent 2 3 3 3 3 4" xfId="58694" xr:uid="{00000000-0005-0000-0000-0000DCE40000}"/>
    <cellStyle name="Percent 2 3 3 3 3 5" xfId="58695" xr:uid="{00000000-0005-0000-0000-0000DDE40000}"/>
    <cellStyle name="Percent 2 3 3 3 3 6" xfId="58696" xr:uid="{00000000-0005-0000-0000-0000DEE40000}"/>
    <cellStyle name="Percent 2 3 3 3 3 7" xfId="58697" xr:uid="{00000000-0005-0000-0000-0000DFE40000}"/>
    <cellStyle name="Percent 2 3 3 3 4" xfId="58698" xr:uid="{00000000-0005-0000-0000-0000E0E40000}"/>
    <cellStyle name="Percent 2 3 3 3 4 2" xfId="58699" xr:uid="{00000000-0005-0000-0000-0000E1E40000}"/>
    <cellStyle name="Percent 2 3 3 3 4 2 2" xfId="58700" xr:uid="{00000000-0005-0000-0000-0000E2E40000}"/>
    <cellStyle name="Percent 2 3 3 3 4 2 3" xfId="58701" xr:uid="{00000000-0005-0000-0000-0000E3E40000}"/>
    <cellStyle name="Percent 2 3 3 3 4 3" xfId="58702" xr:uid="{00000000-0005-0000-0000-0000E4E40000}"/>
    <cellStyle name="Percent 2 3 3 3 4 4" xfId="58703" xr:uid="{00000000-0005-0000-0000-0000E5E40000}"/>
    <cellStyle name="Percent 2 3 3 3 4 5" xfId="58704" xr:uid="{00000000-0005-0000-0000-0000E6E40000}"/>
    <cellStyle name="Percent 2 3 3 3 4 6" xfId="58705" xr:uid="{00000000-0005-0000-0000-0000E7E40000}"/>
    <cellStyle name="Percent 2 3 3 3 5" xfId="58706" xr:uid="{00000000-0005-0000-0000-0000E8E40000}"/>
    <cellStyle name="Percent 2 3 3 3 5 2" xfId="58707" xr:uid="{00000000-0005-0000-0000-0000E9E40000}"/>
    <cellStyle name="Percent 2 3 3 3 5 2 2" xfId="58708" xr:uid="{00000000-0005-0000-0000-0000EAE40000}"/>
    <cellStyle name="Percent 2 3 3 3 5 2 3" xfId="58709" xr:uid="{00000000-0005-0000-0000-0000EBE40000}"/>
    <cellStyle name="Percent 2 3 3 3 5 3" xfId="58710" xr:uid="{00000000-0005-0000-0000-0000ECE40000}"/>
    <cellStyle name="Percent 2 3 3 3 5 4" xfId="58711" xr:uid="{00000000-0005-0000-0000-0000EDE40000}"/>
    <cellStyle name="Percent 2 3 3 3 5 5" xfId="58712" xr:uid="{00000000-0005-0000-0000-0000EEE40000}"/>
    <cellStyle name="Percent 2 3 3 3 5 6" xfId="58713" xr:uid="{00000000-0005-0000-0000-0000EFE40000}"/>
    <cellStyle name="Percent 2 3 3 3 6" xfId="58714" xr:uid="{00000000-0005-0000-0000-0000F0E40000}"/>
    <cellStyle name="Percent 2 3 3 3 6 2" xfId="58715" xr:uid="{00000000-0005-0000-0000-0000F1E40000}"/>
    <cellStyle name="Percent 2 3 3 3 6 3" xfId="58716" xr:uid="{00000000-0005-0000-0000-0000F2E40000}"/>
    <cellStyle name="Percent 2 3 3 3 7" xfId="58717" xr:uid="{00000000-0005-0000-0000-0000F3E40000}"/>
    <cellStyle name="Percent 2 3 3 3 8" xfId="58718" xr:uid="{00000000-0005-0000-0000-0000F4E40000}"/>
    <cellStyle name="Percent 2 3 3 3 9" xfId="58719" xr:uid="{00000000-0005-0000-0000-0000F5E40000}"/>
    <cellStyle name="Percent 2 3 3 4" xfId="58720" xr:uid="{00000000-0005-0000-0000-0000F6E40000}"/>
    <cellStyle name="Percent 2 3 3 4 2" xfId="58721" xr:uid="{00000000-0005-0000-0000-0000F7E40000}"/>
    <cellStyle name="Percent 2 3 3 4 2 2" xfId="58722" xr:uid="{00000000-0005-0000-0000-0000F8E40000}"/>
    <cellStyle name="Percent 2 3 3 4 2 2 2" xfId="58723" xr:uid="{00000000-0005-0000-0000-0000F9E40000}"/>
    <cellStyle name="Percent 2 3 3 4 2 2 2 2" xfId="58724" xr:uid="{00000000-0005-0000-0000-0000FAE40000}"/>
    <cellStyle name="Percent 2 3 3 4 2 2 2 3" xfId="58725" xr:uid="{00000000-0005-0000-0000-0000FBE40000}"/>
    <cellStyle name="Percent 2 3 3 4 2 2 3" xfId="58726" xr:uid="{00000000-0005-0000-0000-0000FCE40000}"/>
    <cellStyle name="Percent 2 3 3 4 2 2 4" xfId="58727" xr:uid="{00000000-0005-0000-0000-0000FDE40000}"/>
    <cellStyle name="Percent 2 3 3 4 2 2 5" xfId="58728" xr:uid="{00000000-0005-0000-0000-0000FEE40000}"/>
    <cellStyle name="Percent 2 3 3 4 2 2 6" xfId="58729" xr:uid="{00000000-0005-0000-0000-0000FFE40000}"/>
    <cellStyle name="Percent 2 3 3 4 2 3" xfId="58730" xr:uid="{00000000-0005-0000-0000-000000E50000}"/>
    <cellStyle name="Percent 2 3 3 4 2 3 2" xfId="58731" xr:uid="{00000000-0005-0000-0000-000001E50000}"/>
    <cellStyle name="Percent 2 3 3 4 2 3 3" xfId="58732" xr:uid="{00000000-0005-0000-0000-000002E50000}"/>
    <cellStyle name="Percent 2 3 3 4 2 4" xfId="58733" xr:uid="{00000000-0005-0000-0000-000003E50000}"/>
    <cellStyle name="Percent 2 3 3 4 2 5" xfId="58734" xr:uid="{00000000-0005-0000-0000-000004E50000}"/>
    <cellStyle name="Percent 2 3 3 4 2 6" xfId="58735" xr:uid="{00000000-0005-0000-0000-000005E50000}"/>
    <cellStyle name="Percent 2 3 3 4 2 7" xfId="58736" xr:uid="{00000000-0005-0000-0000-000006E50000}"/>
    <cellStyle name="Percent 2 3 3 4 3" xfId="58737" xr:uid="{00000000-0005-0000-0000-000007E50000}"/>
    <cellStyle name="Percent 2 3 3 4 3 2" xfId="58738" xr:uid="{00000000-0005-0000-0000-000008E50000}"/>
    <cellStyle name="Percent 2 3 3 4 3 2 2" xfId="58739" xr:uid="{00000000-0005-0000-0000-000009E50000}"/>
    <cellStyle name="Percent 2 3 3 4 3 2 3" xfId="58740" xr:uid="{00000000-0005-0000-0000-00000AE50000}"/>
    <cellStyle name="Percent 2 3 3 4 3 3" xfId="58741" xr:uid="{00000000-0005-0000-0000-00000BE50000}"/>
    <cellStyle name="Percent 2 3 3 4 3 4" xfId="58742" xr:uid="{00000000-0005-0000-0000-00000CE50000}"/>
    <cellStyle name="Percent 2 3 3 4 3 5" xfId="58743" xr:uid="{00000000-0005-0000-0000-00000DE50000}"/>
    <cellStyle name="Percent 2 3 3 4 3 6" xfId="58744" xr:uid="{00000000-0005-0000-0000-00000EE50000}"/>
    <cellStyle name="Percent 2 3 3 4 4" xfId="58745" xr:uid="{00000000-0005-0000-0000-00000FE50000}"/>
    <cellStyle name="Percent 2 3 3 4 4 2" xfId="58746" xr:uid="{00000000-0005-0000-0000-000010E50000}"/>
    <cellStyle name="Percent 2 3 3 4 4 2 2" xfId="58747" xr:uid="{00000000-0005-0000-0000-000011E50000}"/>
    <cellStyle name="Percent 2 3 3 4 4 2 3" xfId="58748" xr:uid="{00000000-0005-0000-0000-000012E50000}"/>
    <cellStyle name="Percent 2 3 3 4 4 3" xfId="58749" xr:uid="{00000000-0005-0000-0000-000013E50000}"/>
    <cellStyle name="Percent 2 3 3 4 4 4" xfId="58750" xr:uid="{00000000-0005-0000-0000-000014E50000}"/>
    <cellStyle name="Percent 2 3 3 4 4 5" xfId="58751" xr:uid="{00000000-0005-0000-0000-000015E50000}"/>
    <cellStyle name="Percent 2 3 3 4 4 6" xfId="58752" xr:uid="{00000000-0005-0000-0000-000016E50000}"/>
    <cellStyle name="Percent 2 3 3 4 5" xfId="58753" xr:uid="{00000000-0005-0000-0000-000017E50000}"/>
    <cellStyle name="Percent 2 3 3 4 5 2" xfId="58754" xr:uid="{00000000-0005-0000-0000-000018E50000}"/>
    <cellStyle name="Percent 2 3 3 4 5 3" xfId="58755" xr:uid="{00000000-0005-0000-0000-000019E50000}"/>
    <cellStyle name="Percent 2 3 3 4 6" xfId="58756" xr:uid="{00000000-0005-0000-0000-00001AE50000}"/>
    <cellStyle name="Percent 2 3 3 4 7" xfId="58757" xr:uid="{00000000-0005-0000-0000-00001BE50000}"/>
    <cellStyle name="Percent 2 3 3 4 8" xfId="58758" xr:uid="{00000000-0005-0000-0000-00001CE50000}"/>
    <cellStyle name="Percent 2 3 3 4 9" xfId="58759" xr:uid="{00000000-0005-0000-0000-00001DE50000}"/>
    <cellStyle name="Percent 2 3 3 5" xfId="58760" xr:uid="{00000000-0005-0000-0000-00001EE50000}"/>
    <cellStyle name="Percent 2 3 3 5 2" xfId="58761" xr:uid="{00000000-0005-0000-0000-00001FE50000}"/>
    <cellStyle name="Percent 2 3 3 5 2 2" xfId="58762" xr:uid="{00000000-0005-0000-0000-000020E50000}"/>
    <cellStyle name="Percent 2 3 3 5 2 2 2" xfId="58763" xr:uid="{00000000-0005-0000-0000-000021E50000}"/>
    <cellStyle name="Percent 2 3 3 5 2 2 3" xfId="58764" xr:uid="{00000000-0005-0000-0000-000022E50000}"/>
    <cellStyle name="Percent 2 3 3 5 2 3" xfId="58765" xr:uid="{00000000-0005-0000-0000-000023E50000}"/>
    <cellStyle name="Percent 2 3 3 5 2 4" xfId="58766" xr:uid="{00000000-0005-0000-0000-000024E50000}"/>
    <cellStyle name="Percent 2 3 3 5 2 5" xfId="58767" xr:uid="{00000000-0005-0000-0000-000025E50000}"/>
    <cellStyle name="Percent 2 3 3 5 2 6" xfId="58768" xr:uid="{00000000-0005-0000-0000-000026E50000}"/>
    <cellStyle name="Percent 2 3 3 5 3" xfId="58769" xr:uid="{00000000-0005-0000-0000-000027E50000}"/>
    <cellStyle name="Percent 2 3 3 5 3 2" xfId="58770" xr:uid="{00000000-0005-0000-0000-000028E50000}"/>
    <cellStyle name="Percent 2 3 3 5 3 3" xfId="58771" xr:uid="{00000000-0005-0000-0000-000029E50000}"/>
    <cellStyle name="Percent 2 3 3 5 4" xfId="58772" xr:uid="{00000000-0005-0000-0000-00002AE50000}"/>
    <cellStyle name="Percent 2 3 3 5 5" xfId="58773" xr:uid="{00000000-0005-0000-0000-00002BE50000}"/>
    <cellStyle name="Percent 2 3 3 5 6" xfId="58774" xr:uid="{00000000-0005-0000-0000-00002CE50000}"/>
    <cellStyle name="Percent 2 3 3 5 7" xfId="58775" xr:uid="{00000000-0005-0000-0000-00002DE50000}"/>
    <cellStyle name="Percent 2 3 3 6" xfId="58776" xr:uid="{00000000-0005-0000-0000-00002EE50000}"/>
    <cellStyle name="Percent 2 3 3 6 2" xfId="58777" xr:uid="{00000000-0005-0000-0000-00002FE50000}"/>
    <cellStyle name="Percent 2 3 3 6 2 2" xfId="58778" xr:uid="{00000000-0005-0000-0000-000030E50000}"/>
    <cellStyle name="Percent 2 3 3 6 2 3" xfId="58779" xr:uid="{00000000-0005-0000-0000-000031E50000}"/>
    <cellStyle name="Percent 2 3 3 6 3" xfId="58780" xr:uid="{00000000-0005-0000-0000-000032E50000}"/>
    <cellStyle name="Percent 2 3 3 6 4" xfId="58781" xr:uid="{00000000-0005-0000-0000-000033E50000}"/>
    <cellStyle name="Percent 2 3 3 6 5" xfId="58782" xr:uid="{00000000-0005-0000-0000-000034E50000}"/>
    <cellStyle name="Percent 2 3 3 6 6" xfId="58783" xr:uid="{00000000-0005-0000-0000-000035E50000}"/>
    <cellStyle name="Percent 2 3 3 7" xfId="58784" xr:uid="{00000000-0005-0000-0000-000036E50000}"/>
    <cellStyle name="Percent 2 3 3 7 2" xfId="58785" xr:uid="{00000000-0005-0000-0000-000037E50000}"/>
    <cellStyle name="Percent 2 3 3 7 2 2" xfId="58786" xr:uid="{00000000-0005-0000-0000-000038E50000}"/>
    <cellStyle name="Percent 2 3 3 7 2 3" xfId="58787" xr:uid="{00000000-0005-0000-0000-000039E50000}"/>
    <cellStyle name="Percent 2 3 3 7 3" xfId="58788" xr:uid="{00000000-0005-0000-0000-00003AE50000}"/>
    <cellStyle name="Percent 2 3 3 7 4" xfId="58789" xr:uid="{00000000-0005-0000-0000-00003BE50000}"/>
    <cellStyle name="Percent 2 3 3 7 5" xfId="58790" xr:uid="{00000000-0005-0000-0000-00003CE50000}"/>
    <cellStyle name="Percent 2 3 3 7 6" xfId="58791" xr:uid="{00000000-0005-0000-0000-00003DE50000}"/>
    <cellStyle name="Percent 2 3 3 8" xfId="58792" xr:uid="{00000000-0005-0000-0000-00003EE50000}"/>
    <cellStyle name="Percent 2 3 3 8 2" xfId="58793" xr:uid="{00000000-0005-0000-0000-00003FE50000}"/>
    <cellStyle name="Percent 2 3 3 8 2 2" xfId="58794" xr:uid="{00000000-0005-0000-0000-000040E50000}"/>
    <cellStyle name="Percent 2 3 3 8 2 3" xfId="58795" xr:uid="{00000000-0005-0000-0000-000041E50000}"/>
    <cellStyle name="Percent 2 3 3 8 3" xfId="58796" xr:uid="{00000000-0005-0000-0000-000042E50000}"/>
    <cellStyle name="Percent 2 3 3 8 4" xfId="58797" xr:uid="{00000000-0005-0000-0000-000043E50000}"/>
    <cellStyle name="Percent 2 3 3 8 5" xfId="58798" xr:uid="{00000000-0005-0000-0000-000044E50000}"/>
    <cellStyle name="Percent 2 3 3 8 6" xfId="58799" xr:uid="{00000000-0005-0000-0000-000045E50000}"/>
    <cellStyle name="Percent 2 3 3 9" xfId="58800" xr:uid="{00000000-0005-0000-0000-000046E50000}"/>
    <cellStyle name="Percent 2 3 3 9 2" xfId="58801" xr:uid="{00000000-0005-0000-0000-000047E50000}"/>
    <cellStyle name="Percent 2 3 3 9 2 2" xfId="58802" xr:uid="{00000000-0005-0000-0000-000048E50000}"/>
    <cellStyle name="Percent 2 3 3 9 2 3" xfId="58803" xr:uid="{00000000-0005-0000-0000-000049E50000}"/>
    <cellStyle name="Percent 2 3 3 9 3" xfId="58804" xr:uid="{00000000-0005-0000-0000-00004AE50000}"/>
    <cellStyle name="Percent 2 3 3 9 4" xfId="58805" xr:uid="{00000000-0005-0000-0000-00004BE50000}"/>
    <cellStyle name="Percent 2 3 3 9 5" xfId="58806" xr:uid="{00000000-0005-0000-0000-00004CE50000}"/>
    <cellStyle name="Percent 2 3 3 9 6" xfId="58807" xr:uid="{00000000-0005-0000-0000-00004DE50000}"/>
    <cellStyle name="Percent 2 3 4" xfId="58808" xr:uid="{00000000-0005-0000-0000-00004EE50000}"/>
    <cellStyle name="Percent 2 3 4 10" xfId="58809" xr:uid="{00000000-0005-0000-0000-00004FE50000}"/>
    <cellStyle name="Percent 2 3 4 11" xfId="58810" xr:uid="{00000000-0005-0000-0000-000050E50000}"/>
    <cellStyle name="Percent 2 3 4 12" xfId="58811" xr:uid="{00000000-0005-0000-0000-000051E50000}"/>
    <cellStyle name="Percent 2 3 4 13" xfId="58812" xr:uid="{00000000-0005-0000-0000-000052E50000}"/>
    <cellStyle name="Percent 2 3 4 2" xfId="58813" xr:uid="{00000000-0005-0000-0000-000053E50000}"/>
    <cellStyle name="Percent 2 3 4 2 10" xfId="58814" xr:uid="{00000000-0005-0000-0000-000054E50000}"/>
    <cellStyle name="Percent 2 3 4 2 2" xfId="58815" xr:uid="{00000000-0005-0000-0000-000055E50000}"/>
    <cellStyle name="Percent 2 3 4 2 2 2" xfId="58816" xr:uid="{00000000-0005-0000-0000-000056E50000}"/>
    <cellStyle name="Percent 2 3 4 2 2 2 2" xfId="58817" xr:uid="{00000000-0005-0000-0000-000057E50000}"/>
    <cellStyle name="Percent 2 3 4 2 2 2 2 2" xfId="58818" xr:uid="{00000000-0005-0000-0000-000058E50000}"/>
    <cellStyle name="Percent 2 3 4 2 2 2 2 3" xfId="58819" xr:uid="{00000000-0005-0000-0000-000059E50000}"/>
    <cellStyle name="Percent 2 3 4 2 2 2 3" xfId="58820" xr:uid="{00000000-0005-0000-0000-00005AE50000}"/>
    <cellStyle name="Percent 2 3 4 2 2 2 4" xfId="58821" xr:uid="{00000000-0005-0000-0000-00005BE50000}"/>
    <cellStyle name="Percent 2 3 4 2 2 2 5" xfId="58822" xr:uid="{00000000-0005-0000-0000-00005CE50000}"/>
    <cellStyle name="Percent 2 3 4 2 2 2 6" xfId="58823" xr:uid="{00000000-0005-0000-0000-00005DE50000}"/>
    <cellStyle name="Percent 2 3 4 2 2 3" xfId="58824" xr:uid="{00000000-0005-0000-0000-00005EE50000}"/>
    <cellStyle name="Percent 2 3 4 2 2 3 2" xfId="58825" xr:uid="{00000000-0005-0000-0000-00005FE50000}"/>
    <cellStyle name="Percent 2 3 4 2 2 3 2 2" xfId="58826" xr:uid="{00000000-0005-0000-0000-000060E50000}"/>
    <cellStyle name="Percent 2 3 4 2 2 3 2 3" xfId="58827" xr:uid="{00000000-0005-0000-0000-000061E50000}"/>
    <cellStyle name="Percent 2 3 4 2 2 3 3" xfId="58828" xr:uid="{00000000-0005-0000-0000-000062E50000}"/>
    <cellStyle name="Percent 2 3 4 2 2 3 4" xfId="58829" xr:uid="{00000000-0005-0000-0000-000063E50000}"/>
    <cellStyle name="Percent 2 3 4 2 2 3 5" xfId="58830" xr:uid="{00000000-0005-0000-0000-000064E50000}"/>
    <cellStyle name="Percent 2 3 4 2 2 3 6" xfId="58831" xr:uid="{00000000-0005-0000-0000-000065E50000}"/>
    <cellStyle name="Percent 2 3 4 2 2 4" xfId="58832" xr:uid="{00000000-0005-0000-0000-000066E50000}"/>
    <cellStyle name="Percent 2 3 4 2 2 4 2" xfId="58833" xr:uid="{00000000-0005-0000-0000-000067E50000}"/>
    <cellStyle name="Percent 2 3 4 2 2 4 3" xfId="58834" xr:uid="{00000000-0005-0000-0000-000068E50000}"/>
    <cellStyle name="Percent 2 3 4 2 2 5" xfId="58835" xr:uid="{00000000-0005-0000-0000-000069E50000}"/>
    <cellStyle name="Percent 2 3 4 2 2 6" xfId="58836" xr:uid="{00000000-0005-0000-0000-00006AE50000}"/>
    <cellStyle name="Percent 2 3 4 2 2 7" xfId="58837" xr:uid="{00000000-0005-0000-0000-00006BE50000}"/>
    <cellStyle name="Percent 2 3 4 2 2 8" xfId="58838" xr:uid="{00000000-0005-0000-0000-00006CE50000}"/>
    <cellStyle name="Percent 2 3 4 2 3" xfId="58839" xr:uid="{00000000-0005-0000-0000-00006DE50000}"/>
    <cellStyle name="Percent 2 3 4 2 3 2" xfId="58840" xr:uid="{00000000-0005-0000-0000-00006EE50000}"/>
    <cellStyle name="Percent 2 3 4 2 3 2 2" xfId="58841" xr:uid="{00000000-0005-0000-0000-00006FE50000}"/>
    <cellStyle name="Percent 2 3 4 2 3 2 2 2" xfId="58842" xr:uid="{00000000-0005-0000-0000-000070E50000}"/>
    <cellStyle name="Percent 2 3 4 2 3 2 2 3" xfId="58843" xr:uid="{00000000-0005-0000-0000-000071E50000}"/>
    <cellStyle name="Percent 2 3 4 2 3 2 3" xfId="58844" xr:uid="{00000000-0005-0000-0000-000072E50000}"/>
    <cellStyle name="Percent 2 3 4 2 3 2 4" xfId="58845" xr:uid="{00000000-0005-0000-0000-000073E50000}"/>
    <cellStyle name="Percent 2 3 4 2 3 2 5" xfId="58846" xr:uid="{00000000-0005-0000-0000-000074E50000}"/>
    <cellStyle name="Percent 2 3 4 2 3 2 6" xfId="58847" xr:uid="{00000000-0005-0000-0000-000075E50000}"/>
    <cellStyle name="Percent 2 3 4 2 3 3" xfId="58848" xr:uid="{00000000-0005-0000-0000-000076E50000}"/>
    <cellStyle name="Percent 2 3 4 2 3 3 2" xfId="58849" xr:uid="{00000000-0005-0000-0000-000077E50000}"/>
    <cellStyle name="Percent 2 3 4 2 3 3 3" xfId="58850" xr:uid="{00000000-0005-0000-0000-000078E50000}"/>
    <cellStyle name="Percent 2 3 4 2 3 4" xfId="58851" xr:uid="{00000000-0005-0000-0000-000079E50000}"/>
    <cellStyle name="Percent 2 3 4 2 3 5" xfId="58852" xr:uid="{00000000-0005-0000-0000-00007AE50000}"/>
    <cellStyle name="Percent 2 3 4 2 3 6" xfId="58853" xr:uid="{00000000-0005-0000-0000-00007BE50000}"/>
    <cellStyle name="Percent 2 3 4 2 3 7" xfId="58854" xr:uid="{00000000-0005-0000-0000-00007CE50000}"/>
    <cellStyle name="Percent 2 3 4 2 4" xfId="58855" xr:uid="{00000000-0005-0000-0000-00007DE50000}"/>
    <cellStyle name="Percent 2 3 4 2 4 2" xfId="58856" xr:uid="{00000000-0005-0000-0000-00007EE50000}"/>
    <cellStyle name="Percent 2 3 4 2 4 2 2" xfId="58857" xr:uid="{00000000-0005-0000-0000-00007FE50000}"/>
    <cellStyle name="Percent 2 3 4 2 4 2 3" xfId="58858" xr:uid="{00000000-0005-0000-0000-000080E50000}"/>
    <cellStyle name="Percent 2 3 4 2 4 3" xfId="58859" xr:uid="{00000000-0005-0000-0000-000081E50000}"/>
    <cellStyle name="Percent 2 3 4 2 4 4" xfId="58860" xr:uid="{00000000-0005-0000-0000-000082E50000}"/>
    <cellStyle name="Percent 2 3 4 2 4 5" xfId="58861" xr:uid="{00000000-0005-0000-0000-000083E50000}"/>
    <cellStyle name="Percent 2 3 4 2 4 6" xfId="58862" xr:uid="{00000000-0005-0000-0000-000084E50000}"/>
    <cellStyle name="Percent 2 3 4 2 5" xfId="58863" xr:uid="{00000000-0005-0000-0000-000085E50000}"/>
    <cellStyle name="Percent 2 3 4 2 5 2" xfId="58864" xr:uid="{00000000-0005-0000-0000-000086E50000}"/>
    <cellStyle name="Percent 2 3 4 2 5 2 2" xfId="58865" xr:uid="{00000000-0005-0000-0000-000087E50000}"/>
    <cellStyle name="Percent 2 3 4 2 5 2 3" xfId="58866" xr:uid="{00000000-0005-0000-0000-000088E50000}"/>
    <cellStyle name="Percent 2 3 4 2 5 3" xfId="58867" xr:uid="{00000000-0005-0000-0000-000089E50000}"/>
    <cellStyle name="Percent 2 3 4 2 5 4" xfId="58868" xr:uid="{00000000-0005-0000-0000-00008AE50000}"/>
    <cellStyle name="Percent 2 3 4 2 5 5" xfId="58869" xr:uid="{00000000-0005-0000-0000-00008BE50000}"/>
    <cellStyle name="Percent 2 3 4 2 5 6" xfId="58870" xr:uid="{00000000-0005-0000-0000-00008CE50000}"/>
    <cellStyle name="Percent 2 3 4 2 6" xfId="58871" xr:uid="{00000000-0005-0000-0000-00008DE50000}"/>
    <cellStyle name="Percent 2 3 4 2 6 2" xfId="58872" xr:uid="{00000000-0005-0000-0000-00008EE50000}"/>
    <cellStyle name="Percent 2 3 4 2 6 3" xfId="58873" xr:uid="{00000000-0005-0000-0000-00008FE50000}"/>
    <cellStyle name="Percent 2 3 4 2 7" xfId="58874" xr:uid="{00000000-0005-0000-0000-000090E50000}"/>
    <cellStyle name="Percent 2 3 4 2 8" xfId="58875" xr:uid="{00000000-0005-0000-0000-000091E50000}"/>
    <cellStyle name="Percent 2 3 4 2 9" xfId="58876" xr:uid="{00000000-0005-0000-0000-000092E50000}"/>
    <cellStyle name="Percent 2 3 4 3" xfId="58877" xr:uid="{00000000-0005-0000-0000-000093E50000}"/>
    <cellStyle name="Percent 2 3 4 3 2" xfId="58878" xr:uid="{00000000-0005-0000-0000-000094E50000}"/>
    <cellStyle name="Percent 2 3 4 3 2 2" xfId="58879" xr:uid="{00000000-0005-0000-0000-000095E50000}"/>
    <cellStyle name="Percent 2 3 4 3 2 2 2" xfId="58880" xr:uid="{00000000-0005-0000-0000-000096E50000}"/>
    <cellStyle name="Percent 2 3 4 3 2 2 2 2" xfId="58881" xr:uid="{00000000-0005-0000-0000-000097E50000}"/>
    <cellStyle name="Percent 2 3 4 3 2 2 2 3" xfId="58882" xr:uid="{00000000-0005-0000-0000-000098E50000}"/>
    <cellStyle name="Percent 2 3 4 3 2 2 3" xfId="58883" xr:uid="{00000000-0005-0000-0000-000099E50000}"/>
    <cellStyle name="Percent 2 3 4 3 2 2 4" xfId="58884" xr:uid="{00000000-0005-0000-0000-00009AE50000}"/>
    <cellStyle name="Percent 2 3 4 3 2 2 5" xfId="58885" xr:uid="{00000000-0005-0000-0000-00009BE50000}"/>
    <cellStyle name="Percent 2 3 4 3 2 2 6" xfId="58886" xr:uid="{00000000-0005-0000-0000-00009CE50000}"/>
    <cellStyle name="Percent 2 3 4 3 2 3" xfId="58887" xr:uid="{00000000-0005-0000-0000-00009DE50000}"/>
    <cellStyle name="Percent 2 3 4 3 2 3 2" xfId="58888" xr:uid="{00000000-0005-0000-0000-00009EE50000}"/>
    <cellStyle name="Percent 2 3 4 3 2 3 3" xfId="58889" xr:uid="{00000000-0005-0000-0000-00009FE50000}"/>
    <cellStyle name="Percent 2 3 4 3 2 4" xfId="58890" xr:uid="{00000000-0005-0000-0000-0000A0E50000}"/>
    <cellStyle name="Percent 2 3 4 3 2 5" xfId="58891" xr:uid="{00000000-0005-0000-0000-0000A1E50000}"/>
    <cellStyle name="Percent 2 3 4 3 2 6" xfId="58892" xr:uid="{00000000-0005-0000-0000-0000A2E50000}"/>
    <cellStyle name="Percent 2 3 4 3 2 7" xfId="58893" xr:uid="{00000000-0005-0000-0000-0000A3E50000}"/>
    <cellStyle name="Percent 2 3 4 3 3" xfId="58894" xr:uid="{00000000-0005-0000-0000-0000A4E50000}"/>
    <cellStyle name="Percent 2 3 4 3 3 2" xfId="58895" xr:uid="{00000000-0005-0000-0000-0000A5E50000}"/>
    <cellStyle name="Percent 2 3 4 3 3 2 2" xfId="58896" xr:uid="{00000000-0005-0000-0000-0000A6E50000}"/>
    <cellStyle name="Percent 2 3 4 3 3 2 3" xfId="58897" xr:uid="{00000000-0005-0000-0000-0000A7E50000}"/>
    <cellStyle name="Percent 2 3 4 3 3 3" xfId="58898" xr:uid="{00000000-0005-0000-0000-0000A8E50000}"/>
    <cellStyle name="Percent 2 3 4 3 3 4" xfId="58899" xr:uid="{00000000-0005-0000-0000-0000A9E50000}"/>
    <cellStyle name="Percent 2 3 4 3 3 5" xfId="58900" xr:uid="{00000000-0005-0000-0000-0000AAE50000}"/>
    <cellStyle name="Percent 2 3 4 3 3 6" xfId="58901" xr:uid="{00000000-0005-0000-0000-0000ABE50000}"/>
    <cellStyle name="Percent 2 3 4 3 4" xfId="58902" xr:uid="{00000000-0005-0000-0000-0000ACE50000}"/>
    <cellStyle name="Percent 2 3 4 3 4 2" xfId="58903" xr:uid="{00000000-0005-0000-0000-0000ADE50000}"/>
    <cellStyle name="Percent 2 3 4 3 4 2 2" xfId="58904" xr:uid="{00000000-0005-0000-0000-0000AEE50000}"/>
    <cellStyle name="Percent 2 3 4 3 4 2 3" xfId="58905" xr:uid="{00000000-0005-0000-0000-0000AFE50000}"/>
    <cellStyle name="Percent 2 3 4 3 4 3" xfId="58906" xr:uid="{00000000-0005-0000-0000-0000B0E50000}"/>
    <cellStyle name="Percent 2 3 4 3 4 4" xfId="58907" xr:uid="{00000000-0005-0000-0000-0000B1E50000}"/>
    <cellStyle name="Percent 2 3 4 3 4 5" xfId="58908" xr:uid="{00000000-0005-0000-0000-0000B2E50000}"/>
    <cellStyle name="Percent 2 3 4 3 4 6" xfId="58909" xr:uid="{00000000-0005-0000-0000-0000B3E50000}"/>
    <cellStyle name="Percent 2 3 4 3 5" xfId="58910" xr:uid="{00000000-0005-0000-0000-0000B4E50000}"/>
    <cellStyle name="Percent 2 3 4 3 5 2" xfId="58911" xr:uid="{00000000-0005-0000-0000-0000B5E50000}"/>
    <cellStyle name="Percent 2 3 4 3 5 3" xfId="58912" xr:uid="{00000000-0005-0000-0000-0000B6E50000}"/>
    <cellStyle name="Percent 2 3 4 3 6" xfId="58913" xr:uid="{00000000-0005-0000-0000-0000B7E50000}"/>
    <cellStyle name="Percent 2 3 4 3 7" xfId="58914" xr:uid="{00000000-0005-0000-0000-0000B8E50000}"/>
    <cellStyle name="Percent 2 3 4 3 8" xfId="58915" xr:uid="{00000000-0005-0000-0000-0000B9E50000}"/>
    <cellStyle name="Percent 2 3 4 3 9" xfId="58916" xr:uid="{00000000-0005-0000-0000-0000BAE50000}"/>
    <cellStyle name="Percent 2 3 4 4" xfId="58917" xr:uid="{00000000-0005-0000-0000-0000BBE50000}"/>
    <cellStyle name="Percent 2 3 4 4 2" xfId="58918" xr:uid="{00000000-0005-0000-0000-0000BCE50000}"/>
    <cellStyle name="Percent 2 3 4 4 2 2" xfId="58919" xr:uid="{00000000-0005-0000-0000-0000BDE50000}"/>
    <cellStyle name="Percent 2 3 4 4 2 2 2" xfId="58920" xr:uid="{00000000-0005-0000-0000-0000BEE50000}"/>
    <cellStyle name="Percent 2 3 4 4 2 2 3" xfId="58921" xr:uid="{00000000-0005-0000-0000-0000BFE50000}"/>
    <cellStyle name="Percent 2 3 4 4 2 3" xfId="58922" xr:uid="{00000000-0005-0000-0000-0000C0E50000}"/>
    <cellStyle name="Percent 2 3 4 4 2 4" xfId="58923" xr:uid="{00000000-0005-0000-0000-0000C1E50000}"/>
    <cellStyle name="Percent 2 3 4 4 2 5" xfId="58924" xr:uid="{00000000-0005-0000-0000-0000C2E50000}"/>
    <cellStyle name="Percent 2 3 4 4 2 6" xfId="58925" xr:uid="{00000000-0005-0000-0000-0000C3E50000}"/>
    <cellStyle name="Percent 2 3 4 4 3" xfId="58926" xr:uid="{00000000-0005-0000-0000-0000C4E50000}"/>
    <cellStyle name="Percent 2 3 4 4 3 2" xfId="58927" xr:uid="{00000000-0005-0000-0000-0000C5E50000}"/>
    <cellStyle name="Percent 2 3 4 4 3 3" xfId="58928" xr:uid="{00000000-0005-0000-0000-0000C6E50000}"/>
    <cellStyle name="Percent 2 3 4 4 4" xfId="58929" xr:uid="{00000000-0005-0000-0000-0000C7E50000}"/>
    <cellStyle name="Percent 2 3 4 4 5" xfId="58930" xr:uid="{00000000-0005-0000-0000-0000C8E50000}"/>
    <cellStyle name="Percent 2 3 4 4 6" xfId="58931" xr:uid="{00000000-0005-0000-0000-0000C9E50000}"/>
    <cellStyle name="Percent 2 3 4 4 7" xfId="58932" xr:uid="{00000000-0005-0000-0000-0000CAE50000}"/>
    <cellStyle name="Percent 2 3 4 5" xfId="58933" xr:uid="{00000000-0005-0000-0000-0000CBE50000}"/>
    <cellStyle name="Percent 2 3 4 5 2" xfId="58934" xr:uid="{00000000-0005-0000-0000-0000CCE50000}"/>
    <cellStyle name="Percent 2 3 4 5 2 2" xfId="58935" xr:uid="{00000000-0005-0000-0000-0000CDE50000}"/>
    <cellStyle name="Percent 2 3 4 5 2 3" xfId="58936" xr:uid="{00000000-0005-0000-0000-0000CEE50000}"/>
    <cellStyle name="Percent 2 3 4 5 3" xfId="58937" xr:uid="{00000000-0005-0000-0000-0000CFE50000}"/>
    <cellStyle name="Percent 2 3 4 5 4" xfId="58938" xr:uid="{00000000-0005-0000-0000-0000D0E50000}"/>
    <cellStyle name="Percent 2 3 4 5 5" xfId="58939" xr:uid="{00000000-0005-0000-0000-0000D1E50000}"/>
    <cellStyle name="Percent 2 3 4 5 6" xfId="58940" xr:uid="{00000000-0005-0000-0000-0000D2E50000}"/>
    <cellStyle name="Percent 2 3 4 6" xfId="58941" xr:uid="{00000000-0005-0000-0000-0000D3E50000}"/>
    <cellStyle name="Percent 2 3 4 6 2" xfId="58942" xr:uid="{00000000-0005-0000-0000-0000D4E50000}"/>
    <cellStyle name="Percent 2 3 4 6 2 2" xfId="58943" xr:uid="{00000000-0005-0000-0000-0000D5E50000}"/>
    <cellStyle name="Percent 2 3 4 6 2 3" xfId="58944" xr:uid="{00000000-0005-0000-0000-0000D6E50000}"/>
    <cellStyle name="Percent 2 3 4 6 3" xfId="58945" xr:uid="{00000000-0005-0000-0000-0000D7E50000}"/>
    <cellStyle name="Percent 2 3 4 6 4" xfId="58946" xr:uid="{00000000-0005-0000-0000-0000D8E50000}"/>
    <cellStyle name="Percent 2 3 4 6 5" xfId="58947" xr:uid="{00000000-0005-0000-0000-0000D9E50000}"/>
    <cellStyle name="Percent 2 3 4 6 6" xfId="58948" xr:uid="{00000000-0005-0000-0000-0000DAE50000}"/>
    <cellStyle name="Percent 2 3 4 7" xfId="58949" xr:uid="{00000000-0005-0000-0000-0000DBE50000}"/>
    <cellStyle name="Percent 2 3 4 7 2" xfId="58950" xr:uid="{00000000-0005-0000-0000-0000DCE50000}"/>
    <cellStyle name="Percent 2 3 4 7 2 2" xfId="58951" xr:uid="{00000000-0005-0000-0000-0000DDE50000}"/>
    <cellStyle name="Percent 2 3 4 7 2 3" xfId="58952" xr:uid="{00000000-0005-0000-0000-0000DEE50000}"/>
    <cellStyle name="Percent 2 3 4 7 3" xfId="58953" xr:uid="{00000000-0005-0000-0000-0000DFE50000}"/>
    <cellStyle name="Percent 2 3 4 7 4" xfId="58954" xr:uid="{00000000-0005-0000-0000-0000E0E50000}"/>
    <cellStyle name="Percent 2 3 4 7 5" xfId="58955" xr:uid="{00000000-0005-0000-0000-0000E1E50000}"/>
    <cellStyle name="Percent 2 3 4 7 6" xfId="58956" xr:uid="{00000000-0005-0000-0000-0000E2E50000}"/>
    <cellStyle name="Percent 2 3 4 8" xfId="58957" xr:uid="{00000000-0005-0000-0000-0000E3E50000}"/>
    <cellStyle name="Percent 2 3 4 8 2" xfId="58958" xr:uid="{00000000-0005-0000-0000-0000E4E50000}"/>
    <cellStyle name="Percent 2 3 4 8 2 2" xfId="58959" xr:uid="{00000000-0005-0000-0000-0000E5E50000}"/>
    <cellStyle name="Percent 2 3 4 8 2 3" xfId="58960" xr:uid="{00000000-0005-0000-0000-0000E6E50000}"/>
    <cellStyle name="Percent 2 3 4 8 3" xfId="58961" xr:uid="{00000000-0005-0000-0000-0000E7E50000}"/>
    <cellStyle name="Percent 2 3 4 8 4" xfId="58962" xr:uid="{00000000-0005-0000-0000-0000E8E50000}"/>
    <cellStyle name="Percent 2 3 4 8 5" xfId="58963" xr:uid="{00000000-0005-0000-0000-0000E9E50000}"/>
    <cellStyle name="Percent 2 3 4 8 6" xfId="58964" xr:uid="{00000000-0005-0000-0000-0000EAE50000}"/>
    <cellStyle name="Percent 2 3 4 9" xfId="58965" xr:uid="{00000000-0005-0000-0000-0000EBE50000}"/>
    <cellStyle name="Percent 2 3 4 9 2" xfId="58966" xr:uid="{00000000-0005-0000-0000-0000ECE50000}"/>
    <cellStyle name="Percent 2 3 4 9 3" xfId="58967" xr:uid="{00000000-0005-0000-0000-0000EDE50000}"/>
    <cellStyle name="Percent 2 3 5" xfId="58968" xr:uid="{00000000-0005-0000-0000-0000EEE50000}"/>
    <cellStyle name="Percent 2 3 5 10" xfId="58969" xr:uid="{00000000-0005-0000-0000-0000EFE50000}"/>
    <cellStyle name="Percent 2 3 5 2" xfId="58970" xr:uid="{00000000-0005-0000-0000-0000F0E50000}"/>
    <cellStyle name="Percent 2 3 5 2 2" xfId="58971" xr:uid="{00000000-0005-0000-0000-0000F1E50000}"/>
    <cellStyle name="Percent 2 3 5 2 2 2" xfId="58972" xr:uid="{00000000-0005-0000-0000-0000F2E50000}"/>
    <cellStyle name="Percent 2 3 5 2 2 2 2" xfId="58973" xr:uid="{00000000-0005-0000-0000-0000F3E50000}"/>
    <cellStyle name="Percent 2 3 5 2 2 2 3" xfId="58974" xr:uid="{00000000-0005-0000-0000-0000F4E50000}"/>
    <cellStyle name="Percent 2 3 5 2 2 3" xfId="58975" xr:uid="{00000000-0005-0000-0000-0000F5E50000}"/>
    <cellStyle name="Percent 2 3 5 2 2 4" xfId="58976" xr:uid="{00000000-0005-0000-0000-0000F6E50000}"/>
    <cellStyle name="Percent 2 3 5 2 2 5" xfId="58977" xr:uid="{00000000-0005-0000-0000-0000F7E50000}"/>
    <cellStyle name="Percent 2 3 5 2 2 6" xfId="58978" xr:uid="{00000000-0005-0000-0000-0000F8E50000}"/>
    <cellStyle name="Percent 2 3 5 2 3" xfId="58979" xr:uid="{00000000-0005-0000-0000-0000F9E50000}"/>
    <cellStyle name="Percent 2 3 5 2 3 2" xfId="58980" xr:uid="{00000000-0005-0000-0000-0000FAE50000}"/>
    <cellStyle name="Percent 2 3 5 2 3 2 2" xfId="58981" xr:uid="{00000000-0005-0000-0000-0000FBE50000}"/>
    <cellStyle name="Percent 2 3 5 2 3 2 3" xfId="58982" xr:uid="{00000000-0005-0000-0000-0000FCE50000}"/>
    <cellStyle name="Percent 2 3 5 2 3 3" xfId="58983" xr:uid="{00000000-0005-0000-0000-0000FDE50000}"/>
    <cellStyle name="Percent 2 3 5 2 3 4" xfId="58984" xr:uid="{00000000-0005-0000-0000-0000FEE50000}"/>
    <cellStyle name="Percent 2 3 5 2 3 5" xfId="58985" xr:uid="{00000000-0005-0000-0000-0000FFE50000}"/>
    <cellStyle name="Percent 2 3 5 2 3 6" xfId="58986" xr:uid="{00000000-0005-0000-0000-000000E60000}"/>
    <cellStyle name="Percent 2 3 5 2 4" xfId="58987" xr:uid="{00000000-0005-0000-0000-000001E60000}"/>
    <cellStyle name="Percent 2 3 5 2 4 2" xfId="58988" xr:uid="{00000000-0005-0000-0000-000002E60000}"/>
    <cellStyle name="Percent 2 3 5 2 4 3" xfId="58989" xr:uid="{00000000-0005-0000-0000-000003E60000}"/>
    <cellStyle name="Percent 2 3 5 2 5" xfId="58990" xr:uid="{00000000-0005-0000-0000-000004E60000}"/>
    <cellStyle name="Percent 2 3 5 2 6" xfId="58991" xr:uid="{00000000-0005-0000-0000-000005E60000}"/>
    <cellStyle name="Percent 2 3 5 2 7" xfId="58992" xr:uid="{00000000-0005-0000-0000-000006E60000}"/>
    <cellStyle name="Percent 2 3 5 2 8" xfId="58993" xr:uid="{00000000-0005-0000-0000-000007E60000}"/>
    <cellStyle name="Percent 2 3 5 3" xfId="58994" xr:uid="{00000000-0005-0000-0000-000008E60000}"/>
    <cellStyle name="Percent 2 3 5 3 2" xfId="58995" xr:uid="{00000000-0005-0000-0000-000009E60000}"/>
    <cellStyle name="Percent 2 3 5 3 2 2" xfId="58996" xr:uid="{00000000-0005-0000-0000-00000AE60000}"/>
    <cellStyle name="Percent 2 3 5 3 2 2 2" xfId="58997" xr:uid="{00000000-0005-0000-0000-00000BE60000}"/>
    <cellStyle name="Percent 2 3 5 3 2 2 3" xfId="58998" xr:uid="{00000000-0005-0000-0000-00000CE60000}"/>
    <cellStyle name="Percent 2 3 5 3 2 3" xfId="58999" xr:uid="{00000000-0005-0000-0000-00000DE60000}"/>
    <cellStyle name="Percent 2 3 5 3 2 4" xfId="59000" xr:uid="{00000000-0005-0000-0000-00000EE60000}"/>
    <cellStyle name="Percent 2 3 5 3 2 5" xfId="59001" xr:uid="{00000000-0005-0000-0000-00000FE60000}"/>
    <cellStyle name="Percent 2 3 5 3 2 6" xfId="59002" xr:uid="{00000000-0005-0000-0000-000010E60000}"/>
    <cellStyle name="Percent 2 3 5 3 3" xfId="59003" xr:uid="{00000000-0005-0000-0000-000011E60000}"/>
    <cellStyle name="Percent 2 3 5 3 3 2" xfId="59004" xr:uid="{00000000-0005-0000-0000-000012E60000}"/>
    <cellStyle name="Percent 2 3 5 3 3 3" xfId="59005" xr:uid="{00000000-0005-0000-0000-000013E60000}"/>
    <cellStyle name="Percent 2 3 5 3 4" xfId="59006" xr:uid="{00000000-0005-0000-0000-000014E60000}"/>
    <cellStyle name="Percent 2 3 5 3 5" xfId="59007" xr:uid="{00000000-0005-0000-0000-000015E60000}"/>
    <cellStyle name="Percent 2 3 5 3 6" xfId="59008" xr:uid="{00000000-0005-0000-0000-000016E60000}"/>
    <cellStyle name="Percent 2 3 5 3 7" xfId="59009" xr:uid="{00000000-0005-0000-0000-000017E60000}"/>
    <cellStyle name="Percent 2 3 5 4" xfId="59010" xr:uid="{00000000-0005-0000-0000-000018E60000}"/>
    <cellStyle name="Percent 2 3 5 4 2" xfId="59011" xr:uid="{00000000-0005-0000-0000-000019E60000}"/>
    <cellStyle name="Percent 2 3 5 4 2 2" xfId="59012" xr:uid="{00000000-0005-0000-0000-00001AE60000}"/>
    <cellStyle name="Percent 2 3 5 4 2 3" xfId="59013" xr:uid="{00000000-0005-0000-0000-00001BE60000}"/>
    <cellStyle name="Percent 2 3 5 4 3" xfId="59014" xr:uid="{00000000-0005-0000-0000-00001CE60000}"/>
    <cellStyle name="Percent 2 3 5 4 4" xfId="59015" xr:uid="{00000000-0005-0000-0000-00001DE60000}"/>
    <cellStyle name="Percent 2 3 5 4 5" xfId="59016" xr:uid="{00000000-0005-0000-0000-00001EE60000}"/>
    <cellStyle name="Percent 2 3 5 4 6" xfId="59017" xr:uid="{00000000-0005-0000-0000-00001FE60000}"/>
    <cellStyle name="Percent 2 3 5 5" xfId="59018" xr:uid="{00000000-0005-0000-0000-000020E60000}"/>
    <cellStyle name="Percent 2 3 5 5 2" xfId="59019" xr:uid="{00000000-0005-0000-0000-000021E60000}"/>
    <cellStyle name="Percent 2 3 5 5 2 2" xfId="59020" xr:uid="{00000000-0005-0000-0000-000022E60000}"/>
    <cellStyle name="Percent 2 3 5 5 2 3" xfId="59021" xr:uid="{00000000-0005-0000-0000-000023E60000}"/>
    <cellStyle name="Percent 2 3 5 5 3" xfId="59022" xr:uid="{00000000-0005-0000-0000-000024E60000}"/>
    <cellStyle name="Percent 2 3 5 5 4" xfId="59023" xr:uid="{00000000-0005-0000-0000-000025E60000}"/>
    <cellStyle name="Percent 2 3 5 5 5" xfId="59024" xr:uid="{00000000-0005-0000-0000-000026E60000}"/>
    <cellStyle name="Percent 2 3 5 5 6" xfId="59025" xr:uid="{00000000-0005-0000-0000-000027E60000}"/>
    <cellStyle name="Percent 2 3 5 6" xfId="59026" xr:uid="{00000000-0005-0000-0000-000028E60000}"/>
    <cellStyle name="Percent 2 3 5 6 2" xfId="59027" xr:uid="{00000000-0005-0000-0000-000029E60000}"/>
    <cellStyle name="Percent 2 3 5 6 3" xfId="59028" xr:uid="{00000000-0005-0000-0000-00002AE60000}"/>
    <cellStyle name="Percent 2 3 5 7" xfId="59029" xr:uid="{00000000-0005-0000-0000-00002BE60000}"/>
    <cellStyle name="Percent 2 3 5 8" xfId="59030" xr:uid="{00000000-0005-0000-0000-00002CE60000}"/>
    <cellStyle name="Percent 2 3 5 9" xfId="59031" xr:uid="{00000000-0005-0000-0000-00002DE60000}"/>
    <cellStyle name="Percent 2 3 6" xfId="59032" xr:uid="{00000000-0005-0000-0000-00002EE60000}"/>
    <cellStyle name="Percent 2 3 6 2" xfId="59033" xr:uid="{00000000-0005-0000-0000-00002FE60000}"/>
    <cellStyle name="Percent 2 3 6 2 2" xfId="59034" xr:uid="{00000000-0005-0000-0000-000030E60000}"/>
    <cellStyle name="Percent 2 3 6 2 2 2" xfId="59035" xr:uid="{00000000-0005-0000-0000-000031E60000}"/>
    <cellStyle name="Percent 2 3 6 2 2 2 2" xfId="59036" xr:uid="{00000000-0005-0000-0000-000032E60000}"/>
    <cellStyle name="Percent 2 3 6 2 2 2 3" xfId="59037" xr:uid="{00000000-0005-0000-0000-000033E60000}"/>
    <cellStyle name="Percent 2 3 6 2 2 3" xfId="59038" xr:uid="{00000000-0005-0000-0000-000034E60000}"/>
    <cellStyle name="Percent 2 3 6 2 2 4" xfId="59039" xr:uid="{00000000-0005-0000-0000-000035E60000}"/>
    <cellStyle name="Percent 2 3 6 2 2 5" xfId="59040" xr:uid="{00000000-0005-0000-0000-000036E60000}"/>
    <cellStyle name="Percent 2 3 6 2 2 6" xfId="59041" xr:uid="{00000000-0005-0000-0000-000037E60000}"/>
    <cellStyle name="Percent 2 3 6 2 3" xfId="59042" xr:uid="{00000000-0005-0000-0000-000038E60000}"/>
    <cellStyle name="Percent 2 3 6 2 3 2" xfId="59043" xr:uid="{00000000-0005-0000-0000-000039E60000}"/>
    <cellStyle name="Percent 2 3 6 2 3 3" xfId="59044" xr:uid="{00000000-0005-0000-0000-00003AE60000}"/>
    <cellStyle name="Percent 2 3 6 2 4" xfId="59045" xr:uid="{00000000-0005-0000-0000-00003BE60000}"/>
    <cellStyle name="Percent 2 3 6 2 5" xfId="59046" xr:uid="{00000000-0005-0000-0000-00003CE60000}"/>
    <cellStyle name="Percent 2 3 6 2 6" xfId="59047" xr:uid="{00000000-0005-0000-0000-00003DE60000}"/>
    <cellStyle name="Percent 2 3 6 2 7" xfId="59048" xr:uid="{00000000-0005-0000-0000-00003EE60000}"/>
    <cellStyle name="Percent 2 3 6 3" xfId="59049" xr:uid="{00000000-0005-0000-0000-00003FE60000}"/>
    <cellStyle name="Percent 2 3 6 3 2" xfId="59050" xr:uid="{00000000-0005-0000-0000-000040E60000}"/>
    <cellStyle name="Percent 2 3 6 3 2 2" xfId="59051" xr:uid="{00000000-0005-0000-0000-000041E60000}"/>
    <cellStyle name="Percent 2 3 6 3 2 3" xfId="59052" xr:uid="{00000000-0005-0000-0000-000042E60000}"/>
    <cellStyle name="Percent 2 3 6 3 3" xfId="59053" xr:uid="{00000000-0005-0000-0000-000043E60000}"/>
    <cellStyle name="Percent 2 3 6 3 4" xfId="59054" xr:uid="{00000000-0005-0000-0000-000044E60000}"/>
    <cellStyle name="Percent 2 3 6 3 5" xfId="59055" xr:uid="{00000000-0005-0000-0000-000045E60000}"/>
    <cellStyle name="Percent 2 3 6 3 6" xfId="59056" xr:uid="{00000000-0005-0000-0000-000046E60000}"/>
    <cellStyle name="Percent 2 3 6 4" xfId="59057" xr:uid="{00000000-0005-0000-0000-000047E60000}"/>
    <cellStyle name="Percent 2 3 6 4 2" xfId="59058" xr:uid="{00000000-0005-0000-0000-000048E60000}"/>
    <cellStyle name="Percent 2 3 6 4 2 2" xfId="59059" xr:uid="{00000000-0005-0000-0000-000049E60000}"/>
    <cellStyle name="Percent 2 3 6 4 2 3" xfId="59060" xr:uid="{00000000-0005-0000-0000-00004AE60000}"/>
    <cellStyle name="Percent 2 3 6 4 3" xfId="59061" xr:uid="{00000000-0005-0000-0000-00004BE60000}"/>
    <cellStyle name="Percent 2 3 6 4 4" xfId="59062" xr:uid="{00000000-0005-0000-0000-00004CE60000}"/>
    <cellStyle name="Percent 2 3 6 4 5" xfId="59063" xr:uid="{00000000-0005-0000-0000-00004DE60000}"/>
    <cellStyle name="Percent 2 3 6 4 6" xfId="59064" xr:uid="{00000000-0005-0000-0000-00004EE60000}"/>
    <cellStyle name="Percent 2 3 6 5" xfId="59065" xr:uid="{00000000-0005-0000-0000-00004FE60000}"/>
    <cellStyle name="Percent 2 3 6 5 2" xfId="59066" xr:uid="{00000000-0005-0000-0000-000050E60000}"/>
    <cellStyle name="Percent 2 3 6 5 3" xfId="59067" xr:uid="{00000000-0005-0000-0000-000051E60000}"/>
    <cellStyle name="Percent 2 3 6 6" xfId="59068" xr:uid="{00000000-0005-0000-0000-000052E60000}"/>
    <cellStyle name="Percent 2 3 6 7" xfId="59069" xr:uid="{00000000-0005-0000-0000-000053E60000}"/>
    <cellStyle name="Percent 2 3 6 8" xfId="59070" xr:uid="{00000000-0005-0000-0000-000054E60000}"/>
    <cellStyle name="Percent 2 3 6 9" xfId="59071" xr:uid="{00000000-0005-0000-0000-000055E60000}"/>
    <cellStyle name="Percent 2 3 7" xfId="59072" xr:uid="{00000000-0005-0000-0000-000056E60000}"/>
    <cellStyle name="Percent 2 3 7 2" xfId="59073" xr:uid="{00000000-0005-0000-0000-000057E60000}"/>
    <cellStyle name="Percent 2 3 7 2 2" xfId="59074" xr:uid="{00000000-0005-0000-0000-000058E60000}"/>
    <cellStyle name="Percent 2 3 7 2 2 2" xfId="59075" xr:uid="{00000000-0005-0000-0000-000059E60000}"/>
    <cellStyle name="Percent 2 3 7 2 2 3" xfId="59076" xr:uid="{00000000-0005-0000-0000-00005AE60000}"/>
    <cellStyle name="Percent 2 3 7 2 3" xfId="59077" xr:uid="{00000000-0005-0000-0000-00005BE60000}"/>
    <cellStyle name="Percent 2 3 7 2 4" xfId="59078" xr:uid="{00000000-0005-0000-0000-00005CE60000}"/>
    <cellStyle name="Percent 2 3 7 2 5" xfId="59079" xr:uid="{00000000-0005-0000-0000-00005DE60000}"/>
    <cellStyle name="Percent 2 3 7 2 6" xfId="59080" xr:uid="{00000000-0005-0000-0000-00005EE60000}"/>
    <cellStyle name="Percent 2 3 7 3" xfId="59081" xr:uid="{00000000-0005-0000-0000-00005FE60000}"/>
    <cellStyle name="Percent 2 3 7 3 2" xfId="59082" xr:uid="{00000000-0005-0000-0000-000060E60000}"/>
    <cellStyle name="Percent 2 3 7 3 3" xfId="59083" xr:uid="{00000000-0005-0000-0000-000061E60000}"/>
    <cellStyle name="Percent 2 3 7 4" xfId="59084" xr:uid="{00000000-0005-0000-0000-000062E60000}"/>
    <cellStyle name="Percent 2 3 7 5" xfId="59085" xr:uid="{00000000-0005-0000-0000-000063E60000}"/>
    <cellStyle name="Percent 2 3 7 6" xfId="59086" xr:uid="{00000000-0005-0000-0000-000064E60000}"/>
    <cellStyle name="Percent 2 3 7 7" xfId="59087" xr:uid="{00000000-0005-0000-0000-000065E60000}"/>
    <cellStyle name="Percent 2 3 8" xfId="59088" xr:uid="{00000000-0005-0000-0000-000066E60000}"/>
    <cellStyle name="Percent 2 3 8 2" xfId="59089" xr:uid="{00000000-0005-0000-0000-000067E60000}"/>
    <cellStyle name="Percent 2 3 8 2 2" xfId="59090" xr:uid="{00000000-0005-0000-0000-000068E60000}"/>
    <cellStyle name="Percent 2 3 8 2 3" xfId="59091" xr:uid="{00000000-0005-0000-0000-000069E60000}"/>
    <cellStyle name="Percent 2 3 8 3" xfId="59092" xr:uid="{00000000-0005-0000-0000-00006AE60000}"/>
    <cellStyle name="Percent 2 3 8 4" xfId="59093" xr:uid="{00000000-0005-0000-0000-00006BE60000}"/>
    <cellStyle name="Percent 2 3 8 5" xfId="59094" xr:uid="{00000000-0005-0000-0000-00006CE60000}"/>
    <cellStyle name="Percent 2 3 8 6" xfId="59095" xr:uid="{00000000-0005-0000-0000-00006DE60000}"/>
    <cellStyle name="Percent 2 3 9" xfId="59096" xr:uid="{00000000-0005-0000-0000-00006EE60000}"/>
    <cellStyle name="Percent 2 3 9 2" xfId="59097" xr:uid="{00000000-0005-0000-0000-00006FE60000}"/>
    <cellStyle name="Percent 2 3 9 2 2" xfId="59098" xr:uid="{00000000-0005-0000-0000-000070E60000}"/>
    <cellStyle name="Percent 2 3 9 2 3" xfId="59099" xr:uid="{00000000-0005-0000-0000-000071E60000}"/>
    <cellStyle name="Percent 2 3 9 3" xfId="59100" xr:uid="{00000000-0005-0000-0000-000072E60000}"/>
    <cellStyle name="Percent 2 3 9 4" xfId="59101" xr:uid="{00000000-0005-0000-0000-000073E60000}"/>
    <cellStyle name="Percent 2 3 9 5" xfId="59102" xr:uid="{00000000-0005-0000-0000-000074E60000}"/>
    <cellStyle name="Percent 2 3 9 6" xfId="59103" xr:uid="{00000000-0005-0000-0000-000075E60000}"/>
    <cellStyle name="Percent 2 4" xfId="556" xr:uid="{00000000-0005-0000-0000-000076E60000}"/>
    <cellStyle name="Percent 2 4 2" xfId="557" xr:uid="{00000000-0005-0000-0000-000077E60000}"/>
    <cellStyle name="Percent 2 5" xfId="558" xr:uid="{00000000-0005-0000-0000-000078E60000}"/>
    <cellStyle name="Percent 2 6" xfId="559" xr:uid="{00000000-0005-0000-0000-000079E60000}"/>
    <cellStyle name="Percent 2 6 2" xfId="59104" xr:uid="{00000000-0005-0000-0000-00007AE60000}"/>
    <cellStyle name="Percent 2 7" xfId="59105" xr:uid="{00000000-0005-0000-0000-00007BE60000}"/>
    <cellStyle name="Percent 2 7 2" xfId="59106" xr:uid="{00000000-0005-0000-0000-00007CE60000}"/>
    <cellStyle name="Percent 2 7 3" xfId="59107" xr:uid="{00000000-0005-0000-0000-00007DE60000}"/>
    <cellStyle name="Percent 2 7 3 2" xfId="59108" xr:uid="{00000000-0005-0000-0000-00007EE60000}"/>
    <cellStyle name="Percent 2 7 4" xfId="59109" xr:uid="{00000000-0005-0000-0000-00007FE60000}"/>
    <cellStyle name="Percent 2 7 4 2" xfId="59110" xr:uid="{00000000-0005-0000-0000-000080E60000}"/>
    <cellStyle name="Percent 2 7 4 2 2" xfId="59111" xr:uid="{00000000-0005-0000-0000-000081E60000}"/>
    <cellStyle name="Percent 2 7 4 3" xfId="59112" xr:uid="{00000000-0005-0000-0000-000082E60000}"/>
    <cellStyle name="Percent 2 7 5" xfId="59113" xr:uid="{00000000-0005-0000-0000-000083E60000}"/>
    <cellStyle name="Percent 2 7 6" xfId="59114" xr:uid="{00000000-0005-0000-0000-000084E60000}"/>
    <cellStyle name="Percent 2 7 6 2" xfId="59115" xr:uid="{00000000-0005-0000-0000-000085E60000}"/>
    <cellStyle name="Percent 2 8" xfId="59116" xr:uid="{00000000-0005-0000-0000-000086E60000}"/>
    <cellStyle name="Percent 2 9" xfId="59117" xr:uid="{00000000-0005-0000-0000-000087E60000}"/>
    <cellStyle name="Percent 2 9 10" xfId="59118" xr:uid="{00000000-0005-0000-0000-000088E60000}"/>
    <cellStyle name="Percent 2 9 11" xfId="59119" xr:uid="{00000000-0005-0000-0000-000089E60000}"/>
    <cellStyle name="Percent 2 9 12" xfId="59120" xr:uid="{00000000-0005-0000-0000-00008AE60000}"/>
    <cellStyle name="Percent 2 9 13" xfId="59121" xr:uid="{00000000-0005-0000-0000-00008BE60000}"/>
    <cellStyle name="Percent 2 9 2" xfId="59122" xr:uid="{00000000-0005-0000-0000-00008CE60000}"/>
    <cellStyle name="Percent 2 9 2 10" xfId="59123" xr:uid="{00000000-0005-0000-0000-00008DE60000}"/>
    <cellStyle name="Percent 2 9 2 2" xfId="59124" xr:uid="{00000000-0005-0000-0000-00008EE60000}"/>
    <cellStyle name="Percent 2 9 2 2 2" xfId="59125" xr:uid="{00000000-0005-0000-0000-00008FE60000}"/>
    <cellStyle name="Percent 2 9 2 2 2 2" xfId="59126" xr:uid="{00000000-0005-0000-0000-000090E60000}"/>
    <cellStyle name="Percent 2 9 2 2 2 2 2" xfId="59127" xr:uid="{00000000-0005-0000-0000-000091E60000}"/>
    <cellStyle name="Percent 2 9 2 2 2 2 3" xfId="59128" xr:uid="{00000000-0005-0000-0000-000092E60000}"/>
    <cellStyle name="Percent 2 9 2 2 2 3" xfId="59129" xr:uid="{00000000-0005-0000-0000-000093E60000}"/>
    <cellStyle name="Percent 2 9 2 2 2 4" xfId="59130" xr:uid="{00000000-0005-0000-0000-000094E60000}"/>
    <cellStyle name="Percent 2 9 2 2 2 5" xfId="59131" xr:uid="{00000000-0005-0000-0000-000095E60000}"/>
    <cellStyle name="Percent 2 9 2 2 2 6" xfId="59132" xr:uid="{00000000-0005-0000-0000-000096E60000}"/>
    <cellStyle name="Percent 2 9 2 2 3" xfId="59133" xr:uid="{00000000-0005-0000-0000-000097E60000}"/>
    <cellStyle name="Percent 2 9 2 2 3 2" xfId="59134" xr:uid="{00000000-0005-0000-0000-000098E60000}"/>
    <cellStyle name="Percent 2 9 2 2 3 2 2" xfId="59135" xr:uid="{00000000-0005-0000-0000-000099E60000}"/>
    <cellStyle name="Percent 2 9 2 2 3 2 3" xfId="59136" xr:uid="{00000000-0005-0000-0000-00009AE60000}"/>
    <cellStyle name="Percent 2 9 2 2 3 3" xfId="59137" xr:uid="{00000000-0005-0000-0000-00009BE60000}"/>
    <cellStyle name="Percent 2 9 2 2 3 4" xfId="59138" xr:uid="{00000000-0005-0000-0000-00009CE60000}"/>
    <cellStyle name="Percent 2 9 2 2 3 5" xfId="59139" xr:uid="{00000000-0005-0000-0000-00009DE60000}"/>
    <cellStyle name="Percent 2 9 2 2 3 6" xfId="59140" xr:uid="{00000000-0005-0000-0000-00009EE60000}"/>
    <cellStyle name="Percent 2 9 2 2 4" xfId="59141" xr:uid="{00000000-0005-0000-0000-00009FE60000}"/>
    <cellStyle name="Percent 2 9 2 2 4 2" xfId="59142" xr:uid="{00000000-0005-0000-0000-0000A0E60000}"/>
    <cellStyle name="Percent 2 9 2 2 4 3" xfId="59143" xr:uid="{00000000-0005-0000-0000-0000A1E60000}"/>
    <cellStyle name="Percent 2 9 2 2 5" xfId="59144" xr:uid="{00000000-0005-0000-0000-0000A2E60000}"/>
    <cellStyle name="Percent 2 9 2 2 6" xfId="59145" xr:uid="{00000000-0005-0000-0000-0000A3E60000}"/>
    <cellStyle name="Percent 2 9 2 2 7" xfId="59146" xr:uid="{00000000-0005-0000-0000-0000A4E60000}"/>
    <cellStyle name="Percent 2 9 2 2 8" xfId="59147" xr:uid="{00000000-0005-0000-0000-0000A5E60000}"/>
    <cellStyle name="Percent 2 9 2 3" xfId="59148" xr:uid="{00000000-0005-0000-0000-0000A6E60000}"/>
    <cellStyle name="Percent 2 9 2 3 2" xfId="59149" xr:uid="{00000000-0005-0000-0000-0000A7E60000}"/>
    <cellStyle name="Percent 2 9 2 3 2 2" xfId="59150" xr:uid="{00000000-0005-0000-0000-0000A8E60000}"/>
    <cellStyle name="Percent 2 9 2 3 2 2 2" xfId="59151" xr:uid="{00000000-0005-0000-0000-0000A9E60000}"/>
    <cellStyle name="Percent 2 9 2 3 2 2 3" xfId="59152" xr:uid="{00000000-0005-0000-0000-0000AAE60000}"/>
    <cellStyle name="Percent 2 9 2 3 2 3" xfId="59153" xr:uid="{00000000-0005-0000-0000-0000ABE60000}"/>
    <cellStyle name="Percent 2 9 2 3 2 4" xfId="59154" xr:uid="{00000000-0005-0000-0000-0000ACE60000}"/>
    <cellStyle name="Percent 2 9 2 3 2 5" xfId="59155" xr:uid="{00000000-0005-0000-0000-0000ADE60000}"/>
    <cellStyle name="Percent 2 9 2 3 2 6" xfId="59156" xr:uid="{00000000-0005-0000-0000-0000AEE60000}"/>
    <cellStyle name="Percent 2 9 2 3 3" xfId="59157" xr:uid="{00000000-0005-0000-0000-0000AFE60000}"/>
    <cellStyle name="Percent 2 9 2 3 3 2" xfId="59158" xr:uid="{00000000-0005-0000-0000-0000B0E60000}"/>
    <cellStyle name="Percent 2 9 2 3 3 3" xfId="59159" xr:uid="{00000000-0005-0000-0000-0000B1E60000}"/>
    <cellStyle name="Percent 2 9 2 3 4" xfId="59160" xr:uid="{00000000-0005-0000-0000-0000B2E60000}"/>
    <cellStyle name="Percent 2 9 2 3 5" xfId="59161" xr:uid="{00000000-0005-0000-0000-0000B3E60000}"/>
    <cellStyle name="Percent 2 9 2 3 6" xfId="59162" xr:uid="{00000000-0005-0000-0000-0000B4E60000}"/>
    <cellStyle name="Percent 2 9 2 3 7" xfId="59163" xr:uid="{00000000-0005-0000-0000-0000B5E60000}"/>
    <cellStyle name="Percent 2 9 2 4" xfId="59164" xr:uid="{00000000-0005-0000-0000-0000B6E60000}"/>
    <cellStyle name="Percent 2 9 2 4 2" xfId="59165" xr:uid="{00000000-0005-0000-0000-0000B7E60000}"/>
    <cellStyle name="Percent 2 9 2 4 2 2" xfId="59166" xr:uid="{00000000-0005-0000-0000-0000B8E60000}"/>
    <cellStyle name="Percent 2 9 2 4 2 3" xfId="59167" xr:uid="{00000000-0005-0000-0000-0000B9E60000}"/>
    <cellStyle name="Percent 2 9 2 4 3" xfId="59168" xr:uid="{00000000-0005-0000-0000-0000BAE60000}"/>
    <cellStyle name="Percent 2 9 2 4 4" xfId="59169" xr:uid="{00000000-0005-0000-0000-0000BBE60000}"/>
    <cellStyle name="Percent 2 9 2 4 5" xfId="59170" xr:uid="{00000000-0005-0000-0000-0000BCE60000}"/>
    <cellStyle name="Percent 2 9 2 4 6" xfId="59171" xr:uid="{00000000-0005-0000-0000-0000BDE60000}"/>
    <cellStyle name="Percent 2 9 2 5" xfId="59172" xr:uid="{00000000-0005-0000-0000-0000BEE60000}"/>
    <cellStyle name="Percent 2 9 2 5 2" xfId="59173" xr:uid="{00000000-0005-0000-0000-0000BFE60000}"/>
    <cellStyle name="Percent 2 9 2 5 2 2" xfId="59174" xr:uid="{00000000-0005-0000-0000-0000C0E60000}"/>
    <cellStyle name="Percent 2 9 2 5 2 3" xfId="59175" xr:uid="{00000000-0005-0000-0000-0000C1E60000}"/>
    <cellStyle name="Percent 2 9 2 5 3" xfId="59176" xr:uid="{00000000-0005-0000-0000-0000C2E60000}"/>
    <cellStyle name="Percent 2 9 2 5 4" xfId="59177" xr:uid="{00000000-0005-0000-0000-0000C3E60000}"/>
    <cellStyle name="Percent 2 9 2 5 5" xfId="59178" xr:uid="{00000000-0005-0000-0000-0000C4E60000}"/>
    <cellStyle name="Percent 2 9 2 5 6" xfId="59179" xr:uid="{00000000-0005-0000-0000-0000C5E60000}"/>
    <cellStyle name="Percent 2 9 2 6" xfId="59180" xr:uid="{00000000-0005-0000-0000-0000C6E60000}"/>
    <cellStyle name="Percent 2 9 2 6 2" xfId="59181" xr:uid="{00000000-0005-0000-0000-0000C7E60000}"/>
    <cellStyle name="Percent 2 9 2 6 3" xfId="59182" xr:uid="{00000000-0005-0000-0000-0000C8E60000}"/>
    <cellStyle name="Percent 2 9 2 7" xfId="59183" xr:uid="{00000000-0005-0000-0000-0000C9E60000}"/>
    <cellStyle name="Percent 2 9 2 8" xfId="59184" xr:uid="{00000000-0005-0000-0000-0000CAE60000}"/>
    <cellStyle name="Percent 2 9 2 9" xfId="59185" xr:uid="{00000000-0005-0000-0000-0000CBE60000}"/>
    <cellStyle name="Percent 2 9 3" xfId="59186" xr:uid="{00000000-0005-0000-0000-0000CCE60000}"/>
    <cellStyle name="Percent 2 9 3 2" xfId="59187" xr:uid="{00000000-0005-0000-0000-0000CDE60000}"/>
    <cellStyle name="Percent 2 9 3 2 2" xfId="59188" xr:uid="{00000000-0005-0000-0000-0000CEE60000}"/>
    <cellStyle name="Percent 2 9 3 2 2 2" xfId="59189" xr:uid="{00000000-0005-0000-0000-0000CFE60000}"/>
    <cellStyle name="Percent 2 9 3 2 2 2 2" xfId="59190" xr:uid="{00000000-0005-0000-0000-0000D0E60000}"/>
    <cellStyle name="Percent 2 9 3 2 2 2 3" xfId="59191" xr:uid="{00000000-0005-0000-0000-0000D1E60000}"/>
    <cellStyle name="Percent 2 9 3 2 2 3" xfId="59192" xr:uid="{00000000-0005-0000-0000-0000D2E60000}"/>
    <cellStyle name="Percent 2 9 3 2 2 4" xfId="59193" xr:uid="{00000000-0005-0000-0000-0000D3E60000}"/>
    <cellStyle name="Percent 2 9 3 2 2 5" xfId="59194" xr:uid="{00000000-0005-0000-0000-0000D4E60000}"/>
    <cellStyle name="Percent 2 9 3 2 2 6" xfId="59195" xr:uid="{00000000-0005-0000-0000-0000D5E60000}"/>
    <cellStyle name="Percent 2 9 3 2 3" xfId="59196" xr:uid="{00000000-0005-0000-0000-0000D6E60000}"/>
    <cellStyle name="Percent 2 9 3 2 3 2" xfId="59197" xr:uid="{00000000-0005-0000-0000-0000D7E60000}"/>
    <cellStyle name="Percent 2 9 3 2 3 3" xfId="59198" xr:uid="{00000000-0005-0000-0000-0000D8E60000}"/>
    <cellStyle name="Percent 2 9 3 2 4" xfId="59199" xr:uid="{00000000-0005-0000-0000-0000D9E60000}"/>
    <cellStyle name="Percent 2 9 3 2 5" xfId="59200" xr:uid="{00000000-0005-0000-0000-0000DAE60000}"/>
    <cellStyle name="Percent 2 9 3 2 6" xfId="59201" xr:uid="{00000000-0005-0000-0000-0000DBE60000}"/>
    <cellStyle name="Percent 2 9 3 2 7" xfId="59202" xr:uid="{00000000-0005-0000-0000-0000DCE60000}"/>
    <cellStyle name="Percent 2 9 3 3" xfId="59203" xr:uid="{00000000-0005-0000-0000-0000DDE60000}"/>
    <cellStyle name="Percent 2 9 3 3 2" xfId="59204" xr:uid="{00000000-0005-0000-0000-0000DEE60000}"/>
    <cellStyle name="Percent 2 9 3 3 2 2" xfId="59205" xr:uid="{00000000-0005-0000-0000-0000DFE60000}"/>
    <cellStyle name="Percent 2 9 3 3 2 3" xfId="59206" xr:uid="{00000000-0005-0000-0000-0000E0E60000}"/>
    <cellStyle name="Percent 2 9 3 3 3" xfId="59207" xr:uid="{00000000-0005-0000-0000-0000E1E60000}"/>
    <cellStyle name="Percent 2 9 3 3 4" xfId="59208" xr:uid="{00000000-0005-0000-0000-0000E2E60000}"/>
    <cellStyle name="Percent 2 9 3 3 5" xfId="59209" xr:uid="{00000000-0005-0000-0000-0000E3E60000}"/>
    <cellStyle name="Percent 2 9 3 3 6" xfId="59210" xr:uid="{00000000-0005-0000-0000-0000E4E60000}"/>
    <cellStyle name="Percent 2 9 3 4" xfId="59211" xr:uid="{00000000-0005-0000-0000-0000E5E60000}"/>
    <cellStyle name="Percent 2 9 3 4 2" xfId="59212" xr:uid="{00000000-0005-0000-0000-0000E6E60000}"/>
    <cellStyle name="Percent 2 9 3 4 2 2" xfId="59213" xr:uid="{00000000-0005-0000-0000-0000E7E60000}"/>
    <cellStyle name="Percent 2 9 3 4 2 3" xfId="59214" xr:uid="{00000000-0005-0000-0000-0000E8E60000}"/>
    <cellStyle name="Percent 2 9 3 4 3" xfId="59215" xr:uid="{00000000-0005-0000-0000-0000E9E60000}"/>
    <cellStyle name="Percent 2 9 3 4 4" xfId="59216" xr:uid="{00000000-0005-0000-0000-0000EAE60000}"/>
    <cellStyle name="Percent 2 9 3 4 5" xfId="59217" xr:uid="{00000000-0005-0000-0000-0000EBE60000}"/>
    <cellStyle name="Percent 2 9 3 4 6" xfId="59218" xr:uid="{00000000-0005-0000-0000-0000ECE60000}"/>
    <cellStyle name="Percent 2 9 3 5" xfId="59219" xr:uid="{00000000-0005-0000-0000-0000EDE60000}"/>
    <cellStyle name="Percent 2 9 3 5 2" xfId="59220" xr:uid="{00000000-0005-0000-0000-0000EEE60000}"/>
    <cellStyle name="Percent 2 9 3 5 3" xfId="59221" xr:uid="{00000000-0005-0000-0000-0000EFE60000}"/>
    <cellStyle name="Percent 2 9 3 6" xfId="59222" xr:uid="{00000000-0005-0000-0000-0000F0E60000}"/>
    <cellStyle name="Percent 2 9 3 7" xfId="59223" xr:uid="{00000000-0005-0000-0000-0000F1E60000}"/>
    <cellStyle name="Percent 2 9 3 8" xfId="59224" xr:uid="{00000000-0005-0000-0000-0000F2E60000}"/>
    <cellStyle name="Percent 2 9 3 9" xfId="59225" xr:uid="{00000000-0005-0000-0000-0000F3E60000}"/>
    <cellStyle name="Percent 2 9 4" xfId="59226" xr:uid="{00000000-0005-0000-0000-0000F4E60000}"/>
    <cellStyle name="Percent 2 9 4 2" xfId="59227" xr:uid="{00000000-0005-0000-0000-0000F5E60000}"/>
    <cellStyle name="Percent 2 9 4 2 2" xfId="59228" xr:uid="{00000000-0005-0000-0000-0000F6E60000}"/>
    <cellStyle name="Percent 2 9 4 2 2 2" xfId="59229" xr:uid="{00000000-0005-0000-0000-0000F7E60000}"/>
    <cellStyle name="Percent 2 9 4 2 2 3" xfId="59230" xr:uid="{00000000-0005-0000-0000-0000F8E60000}"/>
    <cellStyle name="Percent 2 9 4 2 3" xfId="59231" xr:uid="{00000000-0005-0000-0000-0000F9E60000}"/>
    <cellStyle name="Percent 2 9 4 2 4" xfId="59232" xr:uid="{00000000-0005-0000-0000-0000FAE60000}"/>
    <cellStyle name="Percent 2 9 4 2 5" xfId="59233" xr:uid="{00000000-0005-0000-0000-0000FBE60000}"/>
    <cellStyle name="Percent 2 9 4 2 6" xfId="59234" xr:uid="{00000000-0005-0000-0000-0000FCE60000}"/>
    <cellStyle name="Percent 2 9 4 3" xfId="59235" xr:uid="{00000000-0005-0000-0000-0000FDE60000}"/>
    <cellStyle name="Percent 2 9 4 3 2" xfId="59236" xr:uid="{00000000-0005-0000-0000-0000FEE60000}"/>
    <cellStyle name="Percent 2 9 4 3 3" xfId="59237" xr:uid="{00000000-0005-0000-0000-0000FFE60000}"/>
    <cellStyle name="Percent 2 9 4 4" xfId="59238" xr:uid="{00000000-0005-0000-0000-000000E70000}"/>
    <cellStyle name="Percent 2 9 4 5" xfId="59239" xr:uid="{00000000-0005-0000-0000-000001E70000}"/>
    <cellStyle name="Percent 2 9 4 6" xfId="59240" xr:uid="{00000000-0005-0000-0000-000002E70000}"/>
    <cellStyle name="Percent 2 9 4 7" xfId="59241" xr:uid="{00000000-0005-0000-0000-000003E70000}"/>
    <cellStyle name="Percent 2 9 5" xfId="59242" xr:uid="{00000000-0005-0000-0000-000004E70000}"/>
    <cellStyle name="Percent 2 9 5 2" xfId="59243" xr:uid="{00000000-0005-0000-0000-000005E70000}"/>
    <cellStyle name="Percent 2 9 5 2 2" xfId="59244" xr:uid="{00000000-0005-0000-0000-000006E70000}"/>
    <cellStyle name="Percent 2 9 5 2 3" xfId="59245" xr:uid="{00000000-0005-0000-0000-000007E70000}"/>
    <cellStyle name="Percent 2 9 5 3" xfId="59246" xr:uid="{00000000-0005-0000-0000-000008E70000}"/>
    <cellStyle name="Percent 2 9 5 4" xfId="59247" xr:uid="{00000000-0005-0000-0000-000009E70000}"/>
    <cellStyle name="Percent 2 9 5 5" xfId="59248" xr:uid="{00000000-0005-0000-0000-00000AE70000}"/>
    <cellStyle name="Percent 2 9 5 6" xfId="59249" xr:uid="{00000000-0005-0000-0000-00000BE70000}"/>
    <cellStyle name="Percent 2 9 6" xfId="59250" xr:uid="{00000000-0005-0000-0000-00000CE70000}"/>
    <cellStyle name="Percent 2 9 6 2" xfId="59251" xr:uid="{00000000-0005-0000-0000-00000DE70000}"/>
    <cellStyle name="Percent 2 9 6 2 2" xfId="59252" xr:uid="{00000000-0005-0000-0000-00000EE70000}"/>
    <cellStyle name="Percent 2 9 6 2 3" xfId="59253" xr:uid="{00000000-0005-0000-0000-00000FE70000}"/>
    <cellStyle name="Percent 2 9 6 3" xfId="59254" xr:uid="{00000000-0005-0000-0000-000010E70000}"/>
    <cellStyle name="Percent 2 9 6 4" xfId="59255" xr:uid="{00000000-0005-0000-0000-000011E70000}"/>
    <cellStyle name="Percent 2 9 6 5" xfId="59256" xr:uid="{00000000-0005-0000-0000-000012E70000}"/>
    <cellStyle name="Percent 2 9 6 6" xfId="59257" xr:uid="{00000000-0005-0000-0000-000013E70000}"/>
    <cellStyle name="Percent 2 9 7" xfId="59258" xr:uid="{00000000-0005-0000-0000-000014E70000}"/>
    <cellStyle name="Percent 2 9 7 2" xfId="59259" xr:uid="{00000000-0005-0000-0000-000015E70000}"/>
    <cellStyle name="Percent 2 9 7 2 2" xfId="59260" xr:uid="{00000000-0005-0000-0000-000016E70000}"/>
    <cellStyle name="Percent 2 9 7 2 3" xfId="59261" xr:uid="{00000000-0005-0000-0000-000017E70000}"/>
    <cellStyle name="Percent 2 9 7 3" xfId="59262" xr:uid="{00000000-0005-0000-0000-000018E70000}"/>
    <cellStyle name="Percent 2 9 7 4" xfId="59263" xr:uid="{00000000-0005-0000-0000-000019E70000}"/>
    <cellStyle name="Percent 2 9 7 5" xfId="59264" xr:uid="{00000000-0005-0000-0000-00001AE70000}"/>
    <cellStyle name="Percent 2 9 7 6" xfId="59265" xr:uid="{00000000-0005-0000-0000-00001BE70000}"/>
    <cellStyle name="Percent 2 9 8" xfId="59266" xr:uid="{00000000-0005-0000-0000-00001CE70000}"/>
    <cellStyle name="Percent 2 9 8 2" xfId="59267" xr:uid="{00000000-0005-0000-0000-00001DE70000}"/>
    <cellStyle name="Percent 2 9 8 2 2" xfId="59268" xr:uid="{00000000-0005-0000-0000-00001EE70000}"/>
    <cellStyle name="Percent 2 9 8 2 3" xfId="59269" xr:uid="{00000000-0005-0000-0000-00001FE70000}"/>
    <cellStyle name="Percent 2 9 8 3" xfId="59270" xr:uid="{00000000-0005-0000-0000-000020E70000}"/>
    <cellStyle name="Percent 2 9 8 4" xfId="59271" xr:uid="{00000000-0005-0000-0000-000021E70000}"/>
    <cellStyle name="Percent 2 9 8 5" xfId="59272" xr:uid="{00000000-0005-0000-0000-000022E70000}"/>
    <cellStyle name="Percent 2 9 8 6" xfId="59273" xr:uid="{00000000-0005-0000-0000-000023E70000}"/>
    <cellStyle name="Percent 2 9 9" xfId="59274" xr:uid="{00000000-0005-0000-0000-000024E70000}"/>
    <cellStyle name="Percent 2 9 9 2" xfId="59275" xr:uid="{00000000-0005-0000-0000-000025E70000}"/>
    <cellStyle name="Percent 2 9 9 3" xfId="59276" xr:uid="{00000000-0005-0000-0000-000026E70000}"/>
    <cellStyle name="Percent 3" xfId="168" xr:uid="{00000000-0005-0000-0000-000027E70000}"/>
    <cellStyle name="Percent 3 10" xfId="59277" xr:uid="{00000000-0005-0000-0000-000028E70000}"/>
    <cellStyle name="Percent 3 10 2" xfId="59278" xr:uid="{00000000-0005-0000-0000-000029E70000}"/>
    <cellStyle name="Percent 3 10 2 2" xfId="59279" xr:uid="{00000000-0005-0000-0000-00002AE70000}"/>
    <cellStyle name="Percent 3 10 2 3" xfId="59280" xr:uid="{00000000-0005-0000-0000-00002BE70000}"/>
    <cellStyle name="Percent 3 10 3" xfId="59281" xr:uid="{00000000-0005-0000-0000-00002CE70000}"/>
    <cellStyle name="Percent 3 10 4" xfId="59282" xr:uid="{00000000-0005-0000-0000-00002DE70000}"/>
    <cellStyle name="Percent 3 10 5" xfId="59283" xr:uid="{00000000-0005-0000-0000-00002EE70000}"/>
    <cellStyle name="Percent 3 10 6" xfId="59284" xr:uid="{00000000-0005-0000-0000-00002FE70000}"/>
    <cellStyle name="Percent 3 11" xfId="59285" xr:uid="{00000000-0005-0000-0000-000030E70000}"/>
    <cellStyle name="Percent 3 11 2" xfId="59286" xr:uid="{00000000-0005-0000-0000-000031E70000}"/>
    <cellStyle name="Percent 3 11 2 2" xfId="59287" xr:uid="{00000000-0005-0000-0000-000032E70000}"/>
    <cellStyle name="Percent 3 11 2 3" xfId="59288" xr:uid="{00000000-0005-0000-0000-000033E70000}"/>
    <cellStyle name="Percent 3 11 3" xfId="59289" xr:uid="{00000000-0005-0000-0000-000034E70000}"/>
    <cellStyle name="Percent 3 11 4" xfId="59290" xr:uid="{00000000-0005-0000-0000-000035E70000}"/>
    <cellStyle name="Percent 3 11 5" xfId="59291" xr:uid="{00000000-0005-0000-0000-000036E70000}"/>
    <cellStyle name="Percent 3 11 6" xfId="59292" xr:uid="{00000000-0005-0000-0000-000037E70000}"/>
    <cellStyle name="Percent 3 2" xfId="560" xr:uid="{00000000-0005-0000-0000-000038E70000}"/>
    <cellStyle name="Percent 3 2 2" xfId="561" xr:uid="{00000000-0005-0000-0000-000039E70000}"/>
    <cellStyle name="Percent 3 2 2 2" xfId="562" xr:uid="{00000000-0005-0000-0000-00003AE70000}"/>
    <cellStyle name="Percent 3 2 3" xfId="563" xr:uid="{00000000-0005-0000-0000-00003BE70000}"/>
    <cellStyle name="Percent 3 3" xfId="564" xr:uid="{00000000-0005-0000-0000-00003CE70000}"/>
    <cellStyle name="Percent 3 3 10" xfId="59293" xr:uid="{00000000-0005-0000-0000-00003DE70000}"/>
    <cellStyle name="Percent 3 3 10 2" xfId="59294" xr:uid="{00000000-0005-0000-0000-00003EE70000}"/>
    <cellStyle name="Percent 3 3 10 2 2" xfId="59295" xr:uid="{00000000-0005-0000-0000-00003FE70000}"/>
    <cellStyle name="Percent 3 3 10 2 3" xfId="59296" xr:uid="{00000000-0005-0000-0000-000040E70000}"/>
    <cellStyle name="Percent 3 3 10 3" xfId="59297" xr:uid="{00000000-0005-0000-0000-000041E70000}"/>
    <cellStyle name="Percent 3 3 10 4" xfId="59298" xr:uid="{00000000-0005-0000-0000-000042E70000}"/>
    <cellStyle name="Percent 3 3 10 5" xfId="59299" xr:uid="{00000000-0005-0000-0000-000043E70000}"/>
    <cellStyle name="Percent 3 3 10 6" xfId="59300" xr:uid="{00000000-0005-0000-0000-000044E70000}"/>
    <cellStyle name="Percent 3 3 11" xfId="59301" xr:uid="{00000000-0005-0000-0000-000045E70000}"/>
    <cellStyle name="Percent 3 3 11 2" xfId="59302" xr:uid="{00000000-0005-0000-0000-000046E70000}"/>
    <cellStyle name="Percent 3 3 11 2 2" xfId="59303" xr:uid="{00000000-0005-0000-0000-000047E70000}"/>
    <cellStyle name="Percent 3 3 11 2 3" xfId="59304" xr:uid="{00000000-0005-0000-0000-000048E70000}"/>
    <cellStyle name="Percent 3 3 11 3" xfId="59305" xr:uid="{00000000-0005-0000-0000-000049E70000}"/>
    <cellStyle name="Percent 3 3 11 4" xfId="59306" xr:uid="{00000000-0005-0000-0000-00004AE70000}"/>
    <cellStyle name="Percent 3 3 11 5" xfId="59307" xr:uid="{00000000-0005-0000-0000-00004BE70000}"/>
    <cellStyle name="Percent 3 3 11 6" xfId="59308" xr:uid="{00000000-0005-0000-0000-00004CE70000}"/>
    <cellStyle name="Percent 3 3 12" xfId="59309" xr:uid="{00000000-0005-0000-0000-00004DE70000}"/>
    <cellStyle name="Percent 3 3 12 2" xfId="59310" xr:uid="{00000000-0005-0000-0000-00004EE70000}"/>
    <cellStyle name="Percent 3 3 12 3" xfId="59311" xr:uid="{00000000-0005-0000-0000-00004FE70000}"/>
    <cellStyle name="Percent 3 3 13" xfId="59312" xr:uid="{00000000-0005-0000-0000-000050E70000}"/>
    <cellStyle name="Percent 3 3 14" xfId="59313" xr:uid="{00000000-0005-0000-0000-000051E70000}"/>
    <cellStyle name="Percent 3 3 15" xfId="59314" xr:uid="{00000000-0005-0000-0000-000052E70000}"/>
    <cellStyle name="Percent 3 3 16" xfId="59315" xr:uid="{00000000-0005-0000-0000-000053E70000}"/>
    <cellStyle name="Percent 3 3 2" xfId="565" xr:uid="{00000000-0005-0000-0000-000054E70000}"/>
    <cellStyle name="Percent 3 3 2 10" xfId="59316" xr:uid="{00000000-0005-0000-0000-000055E70000}"/>
    <cellStyle name="Percent 3 3 2 10 2" xfId="59317" xr:uid="{00000000-0005-0000-0000-000056E70000}"/>
    <cellStyle name="Percent 3 3 2 10 3" xfId="59318" xr:uid="{00000000-0005-0000-0000-000057E70000}"/>
    <cellStyle name="Percent 3 3 2 11" xfId="59319" xr:uid="{00000000-0005-0000-0000-000058E70000}"/>
    <cellStyle name="Percent 3 3 2 12" xfId="59320" xr:uid="{00000000-0005-0000-0000-000059E70000}"/>
    <cellStyle name="Percent 3 3 2 13" xfId="59321" xr:uid="{00000000-0005-0000-0000-00005AE70000}"/>
    <cellStyle name="Percent 3 3 2 14" xfId="59322" xr:uid="{00000000-0005-0000-0000-00005BE70000}"/>
    <cellStyle name="Percent 3 3 2 2" xfId="566" xr:uid="{00000000-0005-0000-0000-00005CE70000}"/>
    <cellStyle name="Percent 3 3 2 2 10" xfId="59323" xr:uid="{00000000-0005-0000-0000-00005DE70000}"/>
    <cellStyle name="Percent 3 3 2 2 11" xfId="59324" xr:uid="{00000000-0005-0000-0000-00005EE70000}"/>
    <cellStyle name="Percent 3 3 2 2 12" xfId="59325" xr:uid="{00000000-0005-0000-0000-00005FE70000}"/>
    <cellStyle name="Percent 3 3 2 2 13" xfId="59326" xr:uid="{00000000-0005-0000-0000-000060E70000}"/>
    <cellStyle name="Percent 3 3 2 2 2" xfId="59327" xr:uid="{00000000-0005-0000-0000-000061E70000}"/>
    <cellStyle name="Percent 3 3 2 2 2 10" xfId="59328" xr:uid="{00000000-0005-0000-0000-000062E70000}"/>
    <cellStyle name="Percent 3 3 2 2 2 2" xfId="59329" xr:uid="{00000000-0005-0000-0000-000063E70000}"/>
    <cellStyle name="Percent 3 3 2 2 2 2 2" xfId="59330" xr:uid="{00000000-0005-0000-0000-000064E70000}"/>
    <cellStyle name="Percent 3 3 2 2 2 2 2 2" xfId="59331" xr:uid="{00000000-0005-0000-0000-000065E70000}"/>
    <cellStyle name="Percent 3 3 2 2 2 2 2 2 2" xfId="59332" xr:uid="{00000000-0005-0000-0000-000066E70000}"/>
    <cellStyle name="Percent 3 3 2 2 2 2 2 2 3" xfId="59333" xr:uid="{00000000-0005-0000-0000-000067E70000}"/>
    <cellStyle name="Percent 3 3 2 2 2 2 2 3" xfId="59334" xr:uid="{00000000-0005-0000-0000-000068E70000}"/>
    <cellStyle name="Percent 3 3 2 2 2 2 2 4" xfId="59335" xr:uid="{00000000-0005-0000-0000-000069E70000}"/>
    <cellStyle name="Percent 3 3 2 2 2 2 2 5" xfId="59336" xr:uid="{00000000-0005-0000-0000-00006AE70000}"/>
    <cellStyle name="Percent 3 3 2 2 2 2 2 6" xfId="59337" xr:uid="{00000000-0005-0000-0000-00006BE70000}"/>
    <cellStyle name="Percent 3 3 2 2 2 2 3" xfId="59338" xr:uid="{00000000-0005-0000-0000-00006CE70000}"/>
    <cellStyle name="Percent 3 3 2 2 2 2 3 2" xfId="59339" xr:uid="{00000000-0005-0000-0000-00006DE70000}"/>
    <cellStyle name="Percent 3 3 2 2 2 2 3 2 2" xfId="59340" xr:uid="{00000000-0005-0000-0000-00006EE70000}"/>
    <cellStyle name="Percent 3 3 2 2 2 2 3 2 3" xfId="59341" xr:uid="{00000000-0005-0000-0000-00006FE70000}"/>
    <cellStyle name="Percent 3 3 2 2 2 2 3 3" xfId="59342" xr:uid="{00000000-0005-0000-0000-000070E70000}"/>
    <cellStyle name="Percent 3 3 2 2 2 2 3 4" xfId="59343" xr:uid="{00000000-0005-0000-0000-000071E70000}"/>
    <cellStyle name="Percent 3 3 2 2 2 2 3 5" xfId="59344" xr:uid="{00000000-0005-0000-0000-000072E70000}"/>
    <cellStyle name="Percent 3 3 2 2 2 2 3 6" xfId="59345" xr:uid="{00000000-0005-0000-0000-000073E70000}"/>
    <cellStyle name="Percent 3 3 2 2 2 2 4" xfId="59346" xr:uid="{00000000-0005-0000-0000-000074E70000}"/>
    <cellStyle name="Percent 3 3 2 2 2 2 4 2" xfId="59347" xr:uid="{00000000-0005-0000-0000-000075E70000}"/>
    <cellStyle name="Percent 3 3 2 2 2 2 4 3" xfId="59348" xr:uid="{00000000-0005-0000-0000-000076E70000}"/>
    <cellStyle name="Percent 3 3 2 2 2 2 5" xfId="59349" xr:uid="{00000000-0005-0000-0000-000077E70000}"/>
    <cellStyle name="Percent 3 3 2 2 2 2 6" xfId="59350" xr:uid="{00000000-0005-0000-0000-000078E70000}"/>
    <cellStyle name="Percent 3 3 2 2 2 2 7" xfId="59351" xr:uid="{00000000-0005-0000-0000-000079E70000}"/>
    <cellStyle name="Percent 3 3 2 2 2 2 8" xfId="59352" xr:uid="{00000000-0005-0000-0000-00007AE70000}"/>
    <cellStyle name="Percent 3 3 2 2 2 3" xfId="59353" xr:uid="{00000000-0005-0000-0000-00007BE70000}"/>
    <cellStyle name="Percent 3 3 2 2 2 3 2" xfId="59354" xr:uid="{00000000-0005-0000-0000-00007CE70000}"/>
    <cellStyle name="Percent 3 3 2 2 2 3 2 2" xfId="59355" xr:uid="{00000000-0005-0000-0000-00007DE70000}"/>
    <cellStyle name="Percent 3 3 2 2 2 3 2 2 2" xfId="59356" xr:uid="{00000000-0005-0000-0000-00007EE70000}"/>
    <cellStyle name="Percent 3 3 2 2 2 3 2 2 3" xfId="59357" xr:uid="{00000000-0005-0000-0000-00007FE70000}"/>
    <cellStyle name="Percent 3 3 2 2 2 3 2 3" xfId="59358" xr:uid="{00000000-0005-0000-0000-000080E70000}"/>
    <cellStyle name="Percent 3 3 2 2 2 3 2 4" xfId="59359" xr:uid="{00000000-0005-0000-0000-000081E70000}"/>
    <cellStyle name="Percent 3 3 2 2 2 3 2 5" xfId="59360" xr:uid="{00000000-0005-0000-0000-000082E70000}"/>
    <cellStyle name="Percent 3 3 2 2 2 3 2 6" xfId="59361" xr:uid="{00000000-0005-0000-0000-000083E70000}"/>
    <cellStyle name="Percent 3 3 2 2 2 3 3" xfId="59362" xr:uid="{00000000-0005-0000-0000-000084E70000}"/>
    <cellStyle name="Percent 3 3 2 2 2 3 3 2" xfId="59363" xr:uid="{00000000-0005-0000-0000-000085E70000}"/>
    <cellStyle name="Percent 3 3 2 2 2 3 3 3" xfId="59364" xr:uid="{00000000-0005-0000-0000-000086E70000}"/>
    <cellStyle name="Percent 3 3 2 2 2 3 4" xfId="59365" xr:uid="{00000000-0005-0000-0000-000087E70000}"/>
    <cellStyle name="Percent 3 3 2 2 2 3 5" xfId="59366" xr:uid="{00000000-0005-0000-0000-000088E70000}"/>
    <cellStyle name="Percent 3 3 2 2 2 3 6" xfId="59367" xr:uid="{00000000-0005-0000-0000-000089E70000}"/>
    <cellStyle name="Percent 3 3 2 2 2 3 7" xfId="59368" xr:uid="{00000000-0005-0000-0000-00008AE70000}"/>
    <cellStyle name="Percent 3 3 2 2 2 4" xfId="59369" xr:uid="{00000000-0005-0000-0000-00008BE70000}"/>
    <cellStyle name="Percent 3 3 2 2 2 4 2" xfId="59370" xr:uid="{00000000-0005-0000-0000-00008CE70000}"/>
    <cellStyle name="Percent 3 3 2 2 2 4 2 2" xfId="59371" xr:uid="{00000000-0005-0000-0000-00008DE70000}"/>
    <cellStyle name="Percent 3 3 2 2 2 4 2 3" xfId="59372" xr:uid="{00000000-0005-0000-0000-00008EE70000}"/>
    <cellStyle name="Percent 3 3 2 2 2 4 3" xfId="59373" xr:uid="{00000000-0005-0000-0000-00008FE70000}"/>
    <cellStyle name="Percent 3 3 2 2 2 4 4" xfId="59374" xr:uid="{00000000-0005-0000-0000-000090E70000}"/>
    <cellStyle name="Percent 3 3 2 2 2 4 5" xfId="59375" xr:uid="{00000000-0005-0000-0000-000091E70000}"/>
    <cellStyle name="Percent 3 3 2 2 2 4 6" xfId="59376" xr:uid="{00000000-0005-0000-0000-000092E70000}"/>
    <cellStyle name="Percent 3 3 2 2 2 5" xfId="59377" xr:uid="{00000000-0005-0000-0000-000093E70000}"/>
    <cellStyle name="Percent 3 3 2 2 2 5 2" xfId="59378" xr:uid="{00000000-0005-0000-0000-000094E70000}"/>
    <cellStyle name="Percent 3 3 2 2 2 5 2 2" xfId="59379" xr:uid="{00000000-0005-0000-0000-000095E70000}"/>
    <cellStyle name="Percent 3 3 2 2 2 5 2 3" xfId="59380" xr:uid="{00000000-0005-0000-0000-000096E70000}"/>
    <cellStyle name="Percent 3 3 2 2 2 5 3" xfId="59381" xr:uid="{00000000-0005-0000-0000-000097E70000}"/>
    <cellStyle name="Percent 3 3 2 2 2 5 4" xfId="59382" xr:uid="{00000000-0005-0000-0000-000098E70000}"/>
    <cellStyle name="Percent 3 3 2 2 2 5 5" xfId="59383" xr:uid="{00000000-0005-0000-0000-000099E70000}"/>
    <cellStyle name="Percent 3 3 2 2 2 5 6" xfId="59384" xr:uid="{00000000-0005-0000-0000-00009AE70000}"/>
    <cellStyle name="Percent 3 3 2 2 2 6" xfId="59385" xr:uid="{00000000-0005-0000-0000-00009BE70000}"/>
    <cellStyle name="Percent 3 3 2 2 2 6 2" xfId="59386" xr:uid="{00000000-0005-0000-0000-00009CE70000}"/>
    <cellStyle name="Percent 3 3 2 2 2 6 3" xfId="59387" xr:uid="{00000000-0005-0000-0000-00009DE70000}"/>
    <cellStyle name="Percent 3 3 2 2 2 7" xfId="59388" xr:uid="{00000000-0005-0000-0000-00009EE70000}"/>
    <cellStyle name="Percent 3 3 2 2 2 8" xfId="59389" xr:uid="{00000000-0005-0000-0000-00009FE70000}"/>
    <cellStyle name="Percent 3 3 2 2 2 9" xfId="59390" xr:uid="{00000000-0005-0000-0000-0000A0E70000}"/>
    <cellStyle name="Percent 3 3 2 2 3" xfId="59391" xr:uid="{00000000-0005-0000-0000-0000A1E70000}"/>
    <cellStyle name="Percent 3 3 2 2 3 2" xfId="59392" xr:uid="{00000000-0005-0000-0000-0000A2E70000}"/>
    <cellStyle name="Percent 3 3 2 2 3 2 2" xfId="59393" xr:uid="{00000000-0005-0000-0000-0000A3E70000}"/>
    <cellStyle name="Percent 3 3 2 2 3 2 2 2" xfId="59394" xr:uid="{00000000-0005-0000-0000-0000A4E70000}"/>
    <cellStyle name="Percent 3 3 2 2 3 2 2 2 2" xfId="59395" xr:uid="{00000000-0005-0000-0000-0000A5E70000}"/>
    <cellStyle name="Percent 3 3 2 2 3 2 2 2 3" xfId="59396" xr:uid="{00000000-0005-0000-0000-0000A6E70000}"/>
    <cellStyle name="Percent 3 3 2 2 3 2 2 3" xfId="59397" xr:uid="{00000000-0005-0000-0000-0000A7E70000}"/>
    <cellStyle name="Percent 3 3 2 2 3 2 2 4" xfId="59398" xr:uid="{00000000-0005-0000-0000-0000A8E70000}"/>
    <cellStyle name="Percent 3 3 2 2 3 2 2 5" xfId="59399" xr:uid="{00000000-0005-0000-0000-0000A9E70000}"/>
    <cellStyle name="Percent 3 3 2 2 3 2 2 6" xfId="59400" xr:uid="{00000000-0005-0000-0000-0000AAE70000}"/>
    <cellStyle name="Percent 3 3 2 2 3 2 3" xfId="59401" xr:uid="{00000000-0005-0000-0000-0000ABE70000}"/>
    <cellStyle name="Percent 3 3 2 2 3 2 3 2" xfId="59402" xr:uid="{00000000-0005-0000-0000-0000ACE70000}"/>
    <cellStyle name="Percent 3 3 2 2 3 2 3 3" xfId="59403" xr:uid="{00000000-0005-0000-0000-0000ADE70000}"/>
    <cellStyle name="Percent 3 3 2 2 3 2 4" xfId="59404" xr:uid="{00000000-0005-0000-0000-0000AEE70000}"/>
    <cellStyle name="Percent 3 3 2 2 3 2 5" xfId="59405" xr:uid="{00000000-0005-0000-0000-0000AFE70000}"/>
    <cellStyle name="Percent 3 3 2 2 3 2 6" xfId="59406" xr:uid="{00000000-0005-0000-0000-0000B0E70000}"/>
    <cellStyle name="Percent 3 3 2 2 3 2 7" xfId="59407" xr:uid="{00000000-0005-0000-0000-0000B1E70000}"/>
    <cellStyle name="Percent 3 3 2 2 3 3" xfId="59408" xr:uid="{00000000-0005-0000-0000-0000B2E70000}"/>
    <cellStyle name="Percent 3 3 2 2 3 3 2" xfId="59409" xr:uid="{00000000-0005-0000-0000-0000B3E70000}"/>
    <cellStyle name="Percent 3 3 2 2 3 3 2 2" xfId="59410" xr:uid="{00000000-0005-0000-0000-0000B4E70000}"/>
    <cellStyle name="Percent 3 3 2 2 3 3 2 3" xfId="59411" xr:uid="{00000000-0005-0000-0000-0000B5E70000}"/>
    <cellStyle name="Percent 3 3 2 2 3 3 3" xfId="59412" xr:uid="{00000000-0005-0000-0000-0000B6E70000}"/>
    <cellStyle name="Percent 3 3 2 2 3 3 4" xfId="59413" xr:uid="{00000000-0005-0000-0000-0000B7E70000}"/>
    <cellStyle name="Percent 3 3 2 2 3 3 5" xfId="59414" xr:uid="{00000000-0005-0000-0000-0000B8E70000}"/>
    <cellStyle name="Percent 3 3 2 2 3 3 6" xfId="59415" xr:uid="{00000000-0005-0000-0000-0000B9E70000}"/>
    <cellStyle name="Percent 3 3 2 2 3 4" xfId="59416" xr:uid="{00000000-0005-0000-0000-0000BAE70000}"/>
    <cellStyle name="Percent 3 3 2 2 3 4 2" xfId="59417" xr:uid="{00000000-0005-0000-0000-0000BBE70000}"/>
    <cellStyle name="Percent 3 3 2 2 3 4 2 2" xfId="59418" xr:uid="{00000000-0005-0000-0000-0000BCE70000}"/>
    <cellStyle name="Percent 3 3 2 2 3 4 2 3" xfId="59419" xr:uid="{00000000-0005-0000-0000-0000BDE70000}"/>
    <cellStyle name="Percent 3 3 2 2 3 4 3" xfId="59420" xr:uid="{00000000-0005-0000-0000-0000BEE70000}"/>
    <cellStyle name="Percent 3 3 2 2 3 4 4" xfId="59421" xr:uid="{00000000-0005-0000-0000-0000BFE70000}"/>
    <cellStyle name="Percent 3 3 2 2 3 4 5" xfId="59422" xr:uid="{00000000-0005-0000-0000-0000C0E70000}"/>
    <cellStyle name="Percent 3 3 2 2 3 4 6" xfId="59423" xr:uid="{00000000-0005-0000-0000-0000C1E70000}"/>
    <cellStyle name="Percent 3 3 2 2 3 5" xfId="59424" xr:uid="{00000000-0005-0000-0000-0000C2E70000}"/>
    <cellStyle name="Percent 3 3 2 2 3 5 2" xfId="59425" xr:uid="{00000000-0005-0000-0000-0000C3E70000}"/>
    <cellStyle name="Percent 3 3 2 2 3 5 3" xfId="59426" xr:uid="{00000000-0005-0000-0000-0000C4E70000}"/>
    <cellStyle name="Percent 3 3 2 2 3 6" xfId="59427" xr:uid="{00000000-0005-0000-0000-0000C5E70000}"/>
    <cellStyle name="Percent 3 3 2 2 3 7" xfId="59428" xr:uid="{00000000-0005-0000-0000-0000C6E70000}"/>
    <cellStyle name="Percent 3 3 2 2 3 8" xfId="59429" xr:uid="{00000000-0005-0000-0000-0000C7E70000}"/>
    <cellStyle name="Percent 3 3 2 2 3 9" xfId="59430" xr:uid="{00000000-0005-0000-0000-0000C8E70000}"/>
    <cellStyle name="Percent 3 3 2 2 4" xfId="59431" xr:uid="{00000000-0005-0000-0000-0000C9E70000}"/>
    <cellStyle name="Percent 3 3 2 2 4 2" xfId="59432" xr:uid="{00000000-0005-0000-0000-0000CAE70000}"/>
    <cellStyle name="Percent 3 3 2 2 4 2 2" xfId="59433" xr:uid="{00000000-0005-0000-0000-0000CBE70000}"/>
    <cellStyle name="Percent 3 3 2 2 4 2 2 2" xfId="59434" xr:uid="{00000000-0005-0000-0000-0000CCE70000}"/>
    <cellStyle name="Percent 3 3 2 2 4 2 2 3" xfId="59435" xr:uid="{00000000-0005-0000-0000-0000CDE70000}"/>
    <cellStyle name="Percent 3 3 2 2 4 2 3" xfId="59436" xr:uid="{00000000-0005-0000-0000-0000CEE70000}"/>
    <cellStyle name="Percent 3 3 2 2 4 2 4" xfId="59437" xr:uid="{00000000-0005-0000-0000-0000CFE70000}"/>
    <cellStyle name="Percent 3 3 2 2 4 2 5" xfId="59438" xr:uid="{00000000-0005-0000-0000-0000D0E70000}"/>
    <cellStyle name="Percent 3 3 2 2 4 2 6" xfId="59439" xr:uid="{00000000-0005-0000-0000-0000D1E70000}"/>
    <cellStyle name="Percent 3 3 2 2 4 3" xfId="59440" xr:uid="{00000000-0005-0000-0000-0000D2E70000}"/>
    <cellStyle name="Percent 3 3 2 2 4 3 2" xfId="59441" xr:uid="{00000000-0005-0000-0000-0000D3E70000}"/>
    <cellStyle name="Percent 3 3 2 2 4 3 3" xfId="59442" xr:uid="{00000000-0005-0000-0000-0000D4E70000}"/>
    <cellStyle name="Percent 3 3 2 2 4 4" xfId="59443" xr:uid="{00000000-0005-0000-0000-0000D5E70000}"/>
    <cellStyle name="Percent 3 3 2 2 4 5" xfId="59444" xr:uid="{00000000-0005-0000-0000-0000D6E70000}"/>
    <cellStyle name="Percent 3 3 2 2 4 6" xfId="59445" xr:uid="{00000000-0005-0000-0000-0000D7E70000}"/>
    <cellStyle name="Percent 3 3 2 2 4 7" xfId="59446" xr:uid="{00000000-0005-0000-0000-0000D8E70000}"/>
    <cellStyle name="Percent 3 3 2 2 5" xfId="59447" xr:uid="{00000000-0005-0000-0000-0000D9E70000}"/>
    <cellStyle name="Percent 3 3 2 2 5 2" xfId="59448" xr:uid="{00000000-0005-0000-0000-0000DAE70000}"/>
    <cellStyle name="Percent 3 3 2 2 5 2 2" xfId="59449" xr:uid="{00000000-0005-0000-0000-0000DBE70000}"/>
    <cellStyle name="Percent 3 3 2 2 5 2 3" xfId="59450" xr:uid="{00000000-0005-0000-0000-0000DCE70000}"/>
    <cellStyle name="Percent 3 3 2 2 5 3" xfId="59451" xr:uid="{00000000-0005-0000-0000-0000DDE70000}"/>
    <cellStyle name="Percent 3 3 2 2 5 4" xfId="59452" xr:uid="{00000000-0005-0000-0000-0000DEE70000}"/>
    <cellStyle name="Percent 3 3 2 2 5 5" xfId="59453" xr:uid="{00000000-0005-0000-0000-0000DFE70000}"/>
    <cellStyle name="Percent 3 3 2 2 5 6" xfId="59454" xr:uid="{00000000-0005-0000-0000-0000E0E70000}"/>
    <cellStyle name="Percent 3 3 2 2 6" xfId="59455" xr:uid="{00000000-0005-0000-0000-0000E1E70000}"/>
    <cellStyle name="Percent 3 3 2 2 6 2" xfId="59456" xr:uid="{00000000-0005-0000-0000-0000E2E70000}"/>
    <cellStyle name="Percent 3 3 2 2 6 2 2" xfId="59457" xr:uid="{00000000-0005-0000-0000-0000E3E70000}"/>
    <cellStyle name="Percent 3 3 2 2 6 2 3" xfId="59458" xr:uid="{00000000-0005-0000-0000-0000E4E70000}"/>
    <cellStyle name="Percent 3 3 2 2 6 3" xfId="59459" xr:uid="{00000000-0005-0000-0000-0000E5E70000}"/>
    <cellStyle name="Percent 3 3 2 2 6 4" xfId="59460" xr:uid="{00000000-0005-0000-0000-0000E6E70000}"/>
    <cellStyle name="Percent 3 3 2 2 6 5" xfId="59461" xr:uid="{00000000-0005-0000-0000-0000E7E70000}"/>
    <cellStyle name="Percent 3 3 2 2 6 6" xfId="59462" xr:uid="{00000000-0005-0000-0000-0000E8E70000}"/>
    <cellStyle name="Percent 3 3 2 2 7" xfId="59463" xr:uid="{00000000-0005-0000-0000-0000E9E70000}"/>
    <cellStyle name="Percent 3 3 2 2 7 2" xfId="59464" xr:uid="{00000000-0005-0000-0000-0000EAE70000}"/>
    <cellStyle name="Percent 3 3 2 2 7 2 2" xfId="59465" xr:uid="{00000000-0005-0000-0000-0000EBE70000}"/>
    <cellStyle name="Percent 3 3 2 2 7 2 3" xfId="59466" xr:uid="{00000000-0005-0000-0000-0000ECE70000}"/>
    <cellStyle name="Percent 3 3 2 2 7 3" xfId="59467" xr:uid="{00000000-0005-0000-0000-0000EDE70000}"/>
    <cellStyle name="Percent 3 3 2 2 7 4" xfId="59468" xr:uid="{00000000-0005-0000-0000-0000EEE70000}"/>
    <cellStyle name="Percent 3 3 2 2 7 5" xfId="59469" xr:uid="{00000000-0005-0000-0000-0000EFE70000}"/>
    <cellStyle name="Percent 3 3 2 2 7 6" xfId="59470" xr:uid="{00000000-0005-0000-0000-0000F0E70000}"/>
    <cellStyle name="Percent 3 3 2 2 8" xfId="59471" xr:uid="{00000000-0005-0000-0000-0000F1E70000}"/>
    <cellStyle name="Percent 3 3 2 2 8 2" xfId="59472" xr:uid="{00000000-0005-0000-0000-0000F2E70000}"/>
    <cellStyle name="Percent 3 3 2 2 8 2 2" xfId="59473" xr:uid="{00000000-0005-0000-0000-0000F3E70000}"/>
    <cellStyle name="Percent 3 3 2 2 8 2 3" xfId="59474" xr:uid="{00000000-0005-0000-0000-0000F4E70000}"/>
    <cellStyle name="Percent 3 3 2 2 8 3" xfId="59475" xr:uid="{00000000-0005-0000-0000-0000F5E70000}"/>
    <cellStyle name="Percent 3 3 2 2 8 4" xfId="59476" xr:uid="{00000000-0005-0000-0000-0000F6E70000}"/>
    <cellStyle name="Percent 3 3 2 2 8 5" xfId="59477" xr:uid="{00000000-0005-0000-0000-0000F7E70000}"/>
    <cellStyle name="Percent 3 3 2 2 8 6" xfId="59478" xr:uid="{00000000-0005-0000-0000-0000F8E70000}"/>
    <cellStyle name="Percent 3 3 2 2 9" xfId="59479" xr:uid="{00000000-0005-0000-0000-0000F9E70000}"/>
    <cellStyle name="Percent 3 3 2 2 9 2" xfId="59480" xr:uid="{00000000-0005-0000-0000-0000FAE70000}"/>
    <cellStyle name="Percent 3 3 2 2 9 3" xfId="59481" xr:uid="{00000000-0005-0000-0000-0000FBE70000}"/>
    <cellStyle name="Percent 3 3 2 3" xfId="59482" xr:uid="{00000000-0005-0000-0000-0000FCE70000}"/>
    <cellStyle name="Percent 3 3 2 3 10" xfId="59483" xr:uid="{00000000-0005-0000-0000-0000FDE70000}"/>
    <cellStyle name="Percent 3 3 2 3 2" xfId="59484" xr:uid="{00000000-0005-0000-0000-0000FEE70000}"/>
    <cellStyle name="Percent 3 3 2 3 2 2" xfId="59485" xr:uid="{00000000-0005-0000-0000-0000FFE70000}"/>
    <cellStyle name="Percent 3 3 2 3 2 2 2" xfId="59486" xr:uid="{00000000-0005-0000-0000-000000E80000}"/>
    <cellStyle name="Percent 3 3 2 3 2 2 2 2" xfId="59487" xr:uid="{00000000-0005-0000-0000-000001E80000}"/>
    <cellStyle name="Percent 3 3 2 3 2 2 2 3" xfId="59488" xr:uid="{00000000-0005-0000-0000-000002E80000}"/>
    <cellStyle name="Percent 3 3 2 3 2 2 3" xfId="59489" xr:uid="{00000000-0005-0000-0000-000003E80000}"/>
    <cellStyle name="Percent 3 3 2 3 2 2 4" xfId="59490" xr:uid="{00000000-0005-0000-0000-000004E80000}"/>
    <cellStyle name="Percent 3 3 2 3 2 2 5" xfId="59491" xr:uid="{00000000-0005-0000-0000-000005E80000}"/>
    <cellStyle name="Percent 3 3 2 3 2 2 6" xfId="59492" xr:uid="{00000000-0005-0000-0000-000006E80000}"/>
    <cellStyle name="Percent 3 3 2 3 2 3" xfId="59493" xr:uid="{00000000-0005-0000-0000-000007E80000}"/>
    <cellStyle name="Percent 3 3 2 3 2 3 2" xfId="59494" xr:uid="{00000000-0005-0000-0000-000008E80000}"/>
    <cellStyle name="Percent 3 3 2 3 2 3 2 2" xfId="59495" xr:uid="{00000000-0005-0000-0000-000009E80000}"/>
    <cellStyle name="Percent 3 3 2 3 2 3 2 3" xfId="59496" xr:uid="{00000000-0005-0000-0000-00000AE80000}"/>
    <cellStyle name="Percent 3 3 2 3 2 3 3" xfId="59497" xr:uid="{00000000-0005-0000-0000-00000BE80000}"/>
    <cellStyle name="Percent 3 3 2 3 2 3 4" xfId="59498" xr:uid="{00000000-0005-0000-0000-00000CE80000}"/>
    <cellStyle name="Percent 3 3 2 3 2 3 5" xfId="59499" xr:uid="{00000000-0005-0000-0000-00000DE80000}"/>
    <cellStyle name="Percent 3 3 2 3 2 3 6" xfId="59500" xr:uid="{00000000-0005-0000-0000-00000EE80000}"/>
    <cellStyle name="Percent 3 3 2 3 2 4" xfId="59501" xr:uid="{00000000-0005-0000-0000-00000FE80000}"/>
    <cellStyle name="Percent 3 3 2 3 2 4 2" xfId="59502" xr:uid="{00000000-0005-0000-0000-000010E80000}"/>
    <cellStyle name="Percent 3 3 2 3 2 4 3" xfId="59503" xr:uid="{00000000-0005-0000-0000-000011E80000}"/>
    <cellStyle name="Percent 3 3 2 3 2 5" xfId="59504" xr:uid="{00000000-0005-0000-0000-000012E80000}"/>
    <cellStyle name="Percent 3 3 2 3 2 6" xfId="59505" xr:uid="{00000000-0005-0000-0000-000013E80000}"/>
    <cellStyle name="Percent 3 3 2 3 2 7" xfId="59506" xr:uid="{00000000-0005-0000-0000-000014E80000}"/>
    <cellStyle name="Percent 3 3 2 3 2 8" xfId="59507" xr:uid="{00000000-0005-0000-0000-000015E80000}"/>
    <cellStyle name="Percent 3 3 2 3 3" xfId="59508" xr:uid="{00000000-0005-0000-0000-000016E80000}"/>
    <cellStyle name="Percent 3 3 2 3 3 2" xfId="59509" xr:uid="{00000000-0005-0000-0000-000017E80000}"/>
    <cellStyle name="Percent 3 3 2 3 3 2 2" xfId="59510" xr:uid="{00000000-0005-0000-0000-000018E80000}"/>
    <cellStyle name="Percent 3 3 2 3 3 2 2 2" xfId="59511" xr:uid="{00000000-0005-0000-0000-000019E80000}"/>
    <cellStyle name="Percent 3 3 2 3 3 2 2 3" xfId="59512" xr:uid="{00000000-0005-0000-0000-00001AE80000}"/>
    <cellStyle name="Percent 3 3 2 3 3 2 3" xfId="59513" xr:uid="{00000000-0005-0000-0000-00001BE80000}"/>
    <cellStyle name="Percent 3 3 2 3 3 2 4" xfId="59514" xr:uid="{00000000-0005-0000-0000-00001CE80000}"/>
    <cellStyle name="Percent 3 3 2 3 3 2 5" xfId="59515" xr:uid="{00000000-0005-0000-0000-00001DE80000}"/>
    <cellStyle name="Percent 3 3 2 3 3 2 6" xfId="59516" xr:uid="{00000000-0005-0000-0000-00001EE80000}"/>
    <cellStyle name="Percent 3 3 2 3 3 3" xfId="59517" xr:uid="{00000000-0005-0000-0000-00001FE80000}"/>
    <cellStyle name="Percent 3 3 2 3 3 3 2" xfId="59518" xr:uid="{00000000-0005-0000-0000-000020E80000}"/>
    <cellStyle name="Percent 3 3 2 3 3 3 3" xfId="59519" xr:uid="{00000000-0005-0000-0000-000021E80000}"/>
    <cellStyle name="Percent 3 3 2 3 3 4" xfId="59520" xr:uid="{00000000-0005-0000-0000-000022E80000}"/>
    <cellStyle name="Percent 3 3 2 3 3 5" xfId="59521" xr:uid="{00000000-0005-0000-0000-000023E80000}"/>
    <cellStyle name="Percent 3 3 2 3 3 6" xfId="59522" xr:uid="{00000000-0005-0000-0000-000024E80000}"/>
    <cellStyle name="Percent 3 3 2 3 3 7" xfId="59523" xr:uid="{00000000-0005-0000-0000-000025E80000}"/>
    <cellStyle name="Percent 3 3 2 3 4" xfId="59524" xr:uid="{00000000-0005-0000-0000-000026E80000}"/>
    <cellStyle name="Percent 3 3 2 3 4 2" xfId="59525" xr:uid="{00000000-0005-0000-0000-000027E80000}"/>
    <cellStyle name="Percent 3 3 2 3 4 2 2" xfId="59526" xr:uid="{00000000-0005-0000-0000-000028E80000}"/>
    <cellStyle name="Percent 3 3 2 3 4 2 3" xfId="59527" xr:uid="{00000000-0005-0000-0000-000029E80000}"/>
    <cellStyle name="Percent 3 3 2 3 4 3" xfId="59528" xr:uid="{00000000-0005-0000-0000-00002AE80000}"/>
    <cellStyle name="Percent 3 3 2 3 4 4" xfId="59529" xr:uid="{00000000-0005-0000-0000-00002BE80000}"/>
    <cellStyle name="Percent 3 3 2 3 4 5" xfId="59530" xr:uid="{00000000-0005-0000-0000-00002CE80000}"/>
    <cellStyle name="Percent 3 3 2 3 4 6" xfId="59531" xr:uid="{00000000-0005-0000-0000-00002DE80000}"/>
    <cellStyle name="Percent 3 3 2 3 5" xfId="59532" xr:uid="{00000000-0005-0000-0000-00002EE80000}"/>
    <cellStyle name="Percent 3 3 2 3 5 2" xfId="59533" xr:uid="{00000000-0005-0000-0000-00002FE80000}"/>
    <cellStyle name="Percent 3 3 2 3 5 2 2" xfId="59534" xr:uid="{00000000-0005-0000-0000-000030E80000}"/>
    <cellStyle name="Percent 3 3 2 3 5 2 3" xfId="59535" xr:uid="{00000000-0005-0000-0000-000031E80000}"/>
    <cellStyle name="Percent 3 3 2 3 5 3" xfId="59536" xr:uid="{00000000-0005-0000-0000-000032E80000}"/>
    <cellStyle name="Percent 3 3 2 3 5 4" xfId="59537" xr:uid="{00000000-0005-0000-0000-000033E80000}"/>
    <cellStyle name="Percent 3 3 2 3 5 5" xfId="59538" xr:uid="{00000000-0005-0000-0000-000034E80000}"/>
    <cellStyle name="Percent 3 3 2 3 5 6" xfId="59539" xr:uid="{00000000-0005-0000-0000-000035E80000}"/>
    <cellStyle name="Percent 3 3 2 3 6" xfId="59540" xr:uid="{00000000-0005-0000-0000-000036E80000}"/>
    <cellStyle name="Percent 3 3 2 3 6 2" xfId="59541" xr:uid="{00000000-0005-0000-0000-000037E80000}"/>
    <cellStyle name="Percent 3 3 2 3 6 3" xfId="59542" xr:uid="{00000000-0005-0000-0000-000038E80000}"/>
    <cellStyle name="Percent 3 3 2 3 7" xfId="59543" xr:uid="{00000000-0005-0000-0000-000039E80000}"/>
    <cellStyle name="Percent 3 3 2 3 8" xfId="59544" xr:uid="{00000000-0005-0000-0000-00003AE80000}"/>
    <cellStyle name="Percent 3 3 2 3 9" xfId="59545" xr:uid="{00000000-0005-0000-0000-00003BE80000}"/>
    <cellStyle name="Percent 3 3 2 4" xfId="59546" xr:uid="{00000000-0005-0000-0000-00003CE80000}"/>
    <cellStyle name="Percent 3 3 2 4 2" xfId="59547" xr:uid="{00000000-0005-0000-0000-00003DE80000}"/>
    <cellStyle name="Percent 3 3 2 4 2 2" xfId="59548" xr:uid="{00000000-0005-0000-0000-00003EE80000}"/>
    <cellStyle name="Percent 3 3 2 4 2 2 2" xfId="59549" xr:uid="{00000000-0005-0000-0000-00003FE80000}"/>
    <cellStyle name="Percent 3 3 2 4 2 2 2 2" xfId="59550" xr:uid="{00000000-0005-0000-0000-000040E80000}"/>
    <cellStyle name="Percent 3 3 2 4 2 2 2 3" xfId="59551" xr:uid="{00000000-0005-0000-0000-000041E80000}"/>
    <cellStyle name="Percent 3 3 2 4 2 2 3" xfId="59552" xr:uid="{00000000-0005-0000-0000-000042E80000}"/>
    <cellStyle name="Percent 3 3 2 4 2 2 4" xfId="59553" xr:uid="{00000000-0005-0000-0000-000043E80000}"/>
    <cellStyle name="Percent 3 3 2 4 2 2 5" xfId="59554" xr:uid="{00000000-0005-0000-0000-000044E80000}"/>
    <cellStyle name="Percent 3 3 2 4 2 2 6" xfId="59555" xr:uid="{00000000-0005-0000-0000-000045E80000}"/>
    <cellStyle name="Percent 3 3 2 4 2 3" xfId="59556" xr:uid="{00000000-0005-0000-0000-000046E80000}"/>
    <cellStyle name="Percent 3 3 2 4 2 3 2" xfId="59557" xr:uid="{00000000-0005-0000-0000-000047E80000}"/>
    <cellStyle name="Percent 3 3 2 4 2 3 3" xfId="59558" xr:uid="{00000000-0005-0000-0000-000048E80000}"/>
    <cellStyle name="Percent 3 3 2 4 2 4" xfId="59559" xr:uid="{00000000-0005-0000-0000-000049E80000}"/>
    <cellStyle name="Percent 3 3 2 4 2 5" xfId="59560" xr:uid="{00000000-0005-0000-0000-00004AE80000}"/>
    <cellStyle name="Percent 3 3 2 4 2 6" xfId="59561" xr:uid="{00000000-0005-0000-0000-00004BE80000}"/>
    <cellStyle name="Percent 3 3 2 4 2 7" xfId="59562" xr:uid="{00000000-0005-0000-0000-00004CE80000}"/>
    <cellStyle name="Percent 3 3 2 4 3" xfId="59563" xr:uid="{00000000-0005-0000-0000-00004DE80000}"/>
    <cellStyle name="Percent 3 3 2 4 3 2" xfId="59564" xr:uid="{00000000-0005-0000-0000-00004EE80000}"/>
    <cellStyle name="Percent 3 3 2 4 3 2 2" xfId="59565" xr:uid="{00000000-0005-0000-0000-00004FE80000}"/>
    <cellStyle name="Percent 3 3 2 4 3 2 3" xfId="59566" xr:uid="{00000000-0005-0000-0000-000050E80000}"/>
    <cellStyle name="Percent 3 3 2 4 3 3" xfId="59567" xr:uid="{00000000-0005-0000-0000-000051E80000}"/>
    <cellStyle name="Percent 3 3 2 4 3 4" xfId="59568" xr:uid="{00000000-0005-0000-0000-000052E80000}"/>
    <cellStyle name="Percent 3 3 2 4 3 5" xfId="59569" xr:uid="{00000000-0005-0000-0000-000053E80000}"/>
    <cellStyle name="Percent 3 3 2 4 3 6" xfId="59570" xr:uid="{00000000-0005-0000-0000-000054E80000}"/>
    <cellStyle name="Percent 3 3 2 4 4" xfId="59571" xr:uid="{00000000-0005-0000-0000-000055E80000}"/>
    <cellStyle name="Percent 3 3 2 4 4 2" xfId="59572" xr:uid="{00000000-0005-0000-0000-000056E80000}"/>
    <cellStyle name="Percent 3 3 2 4 4 2 2" xfId="59573" xr:uid="{00000000-0005-0000-0000-000057E80000}"/>
    <cellStyle name="Percent 3 3 2 4 4 2 3" xfId="59574" xr:uid="{00000000-0005-0000-0000-000058E80000}"/>
    <cellStyle name="Percent 3 3 2 4 4 3" xfId="59575" xr:uid="{00000000-0005-0000-0000-000059E80000}"/>
    <cellStyle name="Percent 3 3 2 4 4 4" xfId="59576" xr:uid="{00000000-0005-0000-0000-00005AE80000}"/>
    <cellStyle name="Percent 3 3 2 4 4 5" xfId="59577" xr:uid="{00000000-0005-0000-0000-00005BE80000}"/>
    <cellStyle name="Percent 3 3 2 4 4 6" xfId="59578" xr:uid="{00000000-0005-0000-0000-00005CE80000}"/>
    <cellStyle name="Percent 3 3 2 4 5" xfId="59579" xr:uid="{00000000-0005-0000-0000-00005DE80000}"/>
    <cellStyle name="Percent 3 3 2 4 5 2" xfId="59580" xr:uid="{00000000-0005-0000-0000-00005EE80000}"/>
    <cellStyle name="Percent 3 3 2 4 5 3" xfId="59581" xr:uid="{00000000-0005-0000-0000-00005FE80000}"/>
    <cellStyle name="Percent 3 3 2 4 6" xfId="59582" xr:uid="{00000000-0005-0000-0000-000060E80000}"/>
    <cellStyle name="Percent 3 3 2 4 7" xfId="59583" xr:uid="{00000000-0005-0000-0000-000061E80000}"/>
    <cellStyle name="Percent 3 3 2 4 8" xfId="59584" xr:uid="{00000000-0005-0000-0000-000062E80000}"/>
    <cellStyle name="Percent 3 3 2 4 9" xfId="59585" xr:uid="{00000000-0005-0000-0000-000063E80000}"/>
    <cellStyle name="Percent 3 3 2 5" xfId="59586" xr:uid="{00000000-0005-0000-0000-000064E80000}"/>
    <cellStyle name="Percent 3 3 2 5 2" xfId="59587" xr:uid="{00000000-0005-0000-0000-000065E80000}"/>
    <cellStyle name="Percent 3 3 2 5 2 2" xfId="59588" xr:uid="{00000000-0005-0000-0000-000066E80000}"/>
    <cellStyle name="Percent 3 3 2 5 2 2 2" xfId="59589" xr:uid="{00000000-0005-0000-0000-000067E80000}"/>
    <cellStyle name="Percent 3 3 2 5 2 2 3" xfId="59590" xr:uid="{00000000-0005-0000-0000-000068E80000}"/>
    <cellStyle name="Percent 3 3 2 5 2 3" xfId="59591" xr:uid="{00000000-0005-0000-0000-000069E80000}"/>
    <cellStyle name="Percent 3 3 2 5 2 4" xfId="59592" xr:uid="{00000000-0005-0000-0000-00006AE80000}"/>
    <cellStyle name="Percent 3 3 2 5 2 5" xfId="59593" xr:uid="{00000000-0005-0000-0000-00006BE80000}"/>
    <cellStyle name="Percent 3 3 2 5 2 6" xfId="59594" xr:uid="{00000000-0005-0000-0000-00006CE80000}"/>
    <cellStyle name="Percent 3 3 2 5 3" xfId="59595" xr:uid="{00000000-0005-0000-0000-00006DE80000}"/>
    <cellStyle name="Percent 3 3 2 5 3 2" xfId="59596" xr:uid="{00000000-0005-0000-0000-00006EE80000}"/>
    <cellStyle name="Percent 3 3 2 5 3 3" xfId="59597" xr:uid="{00000000-0005-0000-0000-00006FE80000}"/>
    <cellStyle name="Percent 3 3 2 5 4" xfId="59598" xr:uid="{00000000-0005-0000-0000-000070E80000}"/>
    <cellStyle name="Percent 3 3 2 5 5" xfId="59599" xr:uid="{00000000-0005-0000-0000-000071E80000}"/>
    <cellStyle name="Percent 3 3 2 5 6" xfId="59600" xr:uid="{00000000-0005-0000-0000-000072E80000}"/>
    <cellStyle name="Percent 3 3 2 5 7" xfId="59601" xr:uid="{00000000-0005-0000-0000-000073E80000}"/>
    <cellStyle name="Percent 3 3 2 6" xfId="59602" xr:uid="{00000000-0005-0000-0000-000074E80000}"/>
    <cellStyle name="Percent 3 3 2 6 2" xfId="59603" xr:uid="{00000000-0005-0000-0000-000075E80000}"/>
    <cellStyle name="Percent 3 3 2 6 2 2" xfId="59604" xr:uid="{00000000-0005-0000-0000-000076E80000}"/>
    <cellStyle name="Percent 3 3 2 6 2 3" xfId="59605" xr:uid="{00000000-0005-0000-0000-000077E80000}"/>
    <cellStyle name="Percent 3 3 2 6 3" xfId="59606" xr:uid="{00000000-0005-0000-0000-000078E80000}"/>
    <cellStyle name="Percent 3 3 2 6 4" xfId="59607" xr:uid="{00000000-0005-0000-0000-000079E80000}"/>
    <cellStyle name="Percent 3 3 2 6 5" xfId="59608" xr:uid="{00000000-0005-0000-0000-00007AE80000}"/>
    <cellStyle name="Percent 3 3 2 6 6" xfId="59609" xr:uid="{00000000-0005-0000-0000-00007BE80000}"/>
    <cellStyle name="Percent 3 3 2 7" xfId="59610" xr:uid="{00000000-0005-0000-0000-00007CE80000}"/>
    <cellStyle name="Percent 3 3 2 7 2" xfId="59611" xr:uid="{00000000-0005-0000-0000-00007DE80000}"/>
    <cellStyle name="Percent 3 3 2 7 2 2" xfId="59612" xr:uid="{00000000-0005-0000-0000-00007EE80000}"/>
    <cellStyle name="Percent 3 3 2 7 2 3" xfId="59613" xr:uid="{00000000-0005-0000-0000-00007FE80000}"/>
    <cellStyle name="Percent 3 3 2 7 3" xfId="59614" xr:uid="{00000000-0005-0000-0000-000080E80000}"/>
    <cellStyle name="Percent 3 3 2 7 4" xfId="59615" xr:uid="{00000000-0005-0000-0000-000081E80000}"/>
    <cellStyle name="Percent 3 3 2 7 5" xfId="59616" xr:uid="{00000000-0005-0000-0000-000082E80000}"/>
    <cellStyle name="Percent 3 3 2 7 6" xfId="59617" xr:uid="{00000000-0005-0000-0000-000083E80000}"/>
    <cellStyle name="Percent 3 3 2 8" xfId="59618" xr:uid="{00000000-0005-0000-0000-000084E80000}"/>
    <cellStyle name="Percent 3 3 2 8 2" xfId="59619" xr:uid="{00000000-0005-0000-0000-000085E80000}"/>
    <cellStyle name="Percent 3 3 2 8 2 2" xfId="59620" xr:uid="{00000000-0005-0000-0000-000086E80000}"/>
    <cellStyle name="Percent 3 3 2 8 2 3" xfId="59621" xr:uid="{00000000-0005-0000-0000-000087E80000}"/>
    <cellStyle name="Percent 3 3 2 8 3" xfId="59622" xr:uid="{00000000-0005-0000-0000-000088E80000}"/>
    <cellStyle name="Percent 3 3 2 8 4" xfId="59623" xr:uid="{00000000-0005-0000-0000-000089E80000}"/>
    <cellStyle name="Percent 3 3 2 8 5" xfId="59624" xr:uid="{00000000-0005-0000-0000-00008AE80000}"/>
    <cellStyle name="Percent 3 3 2 8 6" xfId="59625" xr:uid="{00000000-0005-0000-0000-00008BE80000}"/>
    <cellStyle name="Percent 3 3 2 9" xfId="59626" xr:uid="{00000000-0005-0000-0000-00008CE80000}"/>
    <cellStyle name="Percent 3 3 2 9 2" xfId="59627" xr:uid="{00000000-0005-0000-0000-00008DE80000}"/>
    <cellStyle name="Percent 3 3 2 9 2 2" xfId="59628" xr:uid="{00000000-0005-0000-0000-00008EE80000}"/>
    <cellStyle name="Percent 3 3 2 9 2 3" xfId="59629" xr:uid="{00000000-0005-0000-0000-00008FE80000}"/>
    <cellStyle name="Percent 3 3 2 9 3" xfId="59630" xr:uid="{00000000-0005-0000-0000-000090E80000}"/>
    <cellStyle name="Percent 3 3 2 9 4" xfId="59631" xr:uid="{00000000-0005-0000-0000-000091E80000}"/>
    <cellStyle name="Percent 3 3 2 9 5" xfId="59632" xr:uid="{00000000-0005-0000-0000-000092E80000}"/>
    <cellStyle name="Percent 3 3 2 9 6" xfId="59633" xr:uid="{00000000-0005-0000-0000-000093E80000}"/>
    <cellStyle name="Percent 3 3 3" xfId="567" xr:uid="{00000000-0005-0000-0000-000094E80000}"/>
    <cellStyle name="Percent 3 3 3 10" xfId="59634" xr:uid="{00000000-0005-0000-0000-000095E80000}"/>
    <cellStyle name="Percent 3 3 3 10 2" xfId="59635" xr:uid="{00000000-0005-0000-0000-000096E80000}"/>
    <cellStyle name="Percent 3 3 3 10 3" xfId="59636" xr:uid="{00000000-0005-0000-0000-000097E80000}"/>
    <cellStyle name="Percent 3 3 3 11" xfId="59637" xr:uid="{00000000-0005-0000-0000-000098E80000}"/>
    <cellStyle name="Percent 3 3 3 12" xfId="59638" xr:uid="{00000000-0005-0000-0000-000099E80000}"/>
    <cellStyle name="Percent 3 3 3 13" xfId="59639" xr:uid="{00000000-0005-0000-0000-00009AE80000}"/>
    <cellStyle name="Percent 3 3 3 14" xfId="59640" xr:uid="{00000000-0005-0000-0000-00009BE80000}"/>
    <cellStyle name="Percent 3 3 3 2" xfId="59641" xr:uid="{00000000-0005-0000-0000-00009CE80000}"/>
    <cellStyle name="Percent 3 3 3 2 10" xfId="59642" xr:uid="{00000000-0005-0000-0000-00009DE80000}"/>
    <cellStyle name="Percent 3 3 3 2 11" xfId="59643" xr:uid="{00000000-0005-0000-0000-00009EE80000}"/>
    <cellStyle name="Percent 3 3 3 2 12" xfId="59644" xr:uid="{00000000-0005-0000-0000-00009FE80000}"/>
    <cellStyle name="Percent 3 3 3 2 13" xfId="59645" xr:uid="{00000000-0005-0000-0000-0000A0E80000}"/>
    <cellStyle name="Percent 3 3 3 2 2" xfId="59646" xr:uid="{00000000-0005-0000-0000-0000A1E80000}"/>
    <cellStyle name="Percent 3 3 3 2 2 10" xfId="59647" xr:uid="{00000000-0005-0000-0000-0000A2E80000}"/>
    <cellStyle name="Percent 3 3 3 2 2 2" xfId="59648" xr:uid="{00000000-0005-0000-0000-0000A3E80000}"/>
    <cellStyle name="Percent 3 3 3 2 2 2 2" xfId="59649" xr:uid="{00000000-0005-0000-0000-0000A4E80000}"/>
    <cellStyle name="Percent 3 3 3 2 2 2 2 2" xfId="59650" xr:uid="{00000000-0005-0000-0000-0000A5E80000}"/>
    <cellStyle name="Percent 3 3 3 2 2 2 2 2 2" xfId="59651" xr:uid="{00000000-0005-0000-0000-0000A6E80000}"/>
    <cellStyle name="Percent 3 3 3 2 2 2 2 2 3" xfId="59652" xr:uid="{00000000-0005-0000-0000-0000A7E80000}"/>
    <cellStyle name="Percent 3 3 3 2 2 2 2 3" xfId="59653" xr:uid="{00000000-0005-0000-0000-0000A8E80000}"/>
    <cellStyle name="Percent 3 3 3 2 2 2 2 4" xfId="59654" xr:uid="{00000000-0005-0000-0000-0000A9E80000}"/>
    <cellStyle name="Percent 3 3 3 2 2 2 2 5" xfId="59655" xr:uid="{00000000-0005-0000-0000-0000AAE80000}"/>
    <cellStyle name="Percent 3 3 3 2 2 2 2 6" xfId="59656" xr:uid="{00000000-0005-0000-0000-0000ABE80000}"/>
    <cellStyle name="Percent 3 3 3 2 2 2 3" xfId="59657" xr:uid="{00000000-0005-0000-0000-0000ACE80000}"/>
    <cellStyle name="Percent 3 3 3 2 2 2 3 2" xfId="59658" xr:uid="{00000000-0005-0000-0000-0000ADE80000}"/>
    <cellStyle name="Percent 3 3 3 2 2 2 3 2 2" xfId="59659" xr:uid="{00000000-0005-0000-0000-0000AEE80000}"/>
    <cellStyle name="Percent 3 3 3 2 2 2 3 2 3" xfId="59660" xr:uid="{00000000-0005-0000-0000-0000AFE80000}"/>
    <cellStyle name="Percent 3 3 3 2 2 2 3 3" xfId="59661" xr:uid="{00000000-0005-0000-0000-0000B0E80000}"/>
    <cellStyle name="Percent 3 3 3 2 2 2 3 4" xfId="59662" xr:uid="{00000000-0005-0000-0000-0000B1E80000}"/>
    <cellStyle name="Percent 3 3 3 2 2 2 3 5" xfId="59663" xr:uid="{00000000-0005-0000-0000-0000B2E80000}"/>
    <cellStyle name="Percent 3 3 3 2 2 2 3 6" xfId="59664" xr:uid="{00000000-0005-0000-0000-0000B3E80000}"/>
    <cellStyle name="Percent 3 3 3 2 2 2 4" xfId="59665" xr:uid="{00000000-0005-0000-0000-0000B4E80000}"/>
    <cellStyle name="Percent 3 3 3 2 2 2 4 2" xfId="59666" xr:uid="{00000000-0005-0000-0000-0000B5E80000}"/>
    <cellStyle name="Percent 3 3 3 2 2 2 4 3" xfId="59667" xr:uid="{00000000-0005-0000-0000-0000B6E80000}"/>
    <cellStyle name="Percent 3 3 3 2 2 2 5" xfId="59668" xr:uid="{00000000-0005-0000-0000-0000B7E80000}"/>
    <cellStyle name="Percent 3 3 3 2 2 2 6" xfId="59669" xr:uid="{00000000-0005-0000-0000-0000B8E80000}"/>
    <cellStyle name="Percent 3 3 3 2 2 2 7" xfId="59670" xr:uid="{00000000-0005-0000-0000-0000B9E80000}"/>
    <cellStyle name="Percent 3 3 3 2 2 2 8" xfId="59671" xr:uid="{00000000-0005-0000-0000-0000BAE80000}"/>
    <cellStyle name="Percent 3 3 3 2 2 3" xfId="59672" xr:uid="{00000000-0005-0000-0000-0000BBE80000}"/>
    <cellStyle name="Percent 3 3 3 2 2 3 2" xfId="59673" xr:uid="{00000000-0005-0000-0000-0000BCE80000}"/>
    <cellStyle name="Percent 3 3 3 2 2 3 2 2" xfId="59674" xr:uid="{00000000-0005-0000-0000-0000BDE80000}"/>
    <cellStyle name="Percent 3 3 3 2 2 3 2 2 2" xfId="59675" xr:uid="{00000000-0005-0000-0000-0000BEE80000}"/>
    <cellStyle name="Percent 3 3 3 2 2 3 2 2 3" xfId="59676" xr:uid="{00000000-0005-0000-0000-0000BFE80000}"/>
    <cellStyle name="Percent 3 3 3 2 2 3 2 3" xfId="59677" xr:uid="{00000000-0005-0000-0000-0000C0E80000}"/>
    <cellStyle name="Percent 3 3 3 2 2 3 2 4" xfId="59678" xr:uid="{00000000-0005-0000-0000-0000C1E80000}"/>
    <cellStyle name="Percent 3 3 3 2 2 3 2 5" xfId="59679" xr:uid="{00000000-0005-0000-0000-0000C2E80000}"/>
    <cellStyle name="Percent 3 3 3 2 2 3 2 6" xfId="59680" xr:uid="{00000000-0005-0000-0000-0000C3E80000}"/>
    <cellStyle name="Percent 3 3 3 2 2 3 3" xfId="59681" xr:uid="{00000000-0005-0000-0000-0000C4E80000}"/>
    <cellStyle name="Percent 3 3 3 2 2 3 3 2" xfId="59682" xr:uid="{00000000-0005-0000-0000-0000C5E80000}"/>
    <cellStyle name="Percent 3 3 3 2 2 3 3 3" xfId="59683" xr:uid="{00000000-0005-0000-0000-0000C6E80000}"/>
    <cellStyle name="Percent 3 3 3 2 2 3 4" xfId="59684" xr:uid="{00000000-0005-0000-0000-0000C7E80000}"/>
    <cellStyle name="Percent 3 3 3 2 2 3 5" xfId="59685" xr:uid="{00000000-0005-0000-0000-0000C8E80000}"/>
    <cellStyle name="Percent 3 3 3 2 2 3 6" xfId="59686" xr:uid="{00000000-0005-0000-0000-0000C9E80000}"/>
    <cellStyle name="Percent 3 3 3 2 2 3 7" xfId="59687" xr:uid="{00000000-0005-0000-0000-0000CAE80000}"/>
    <cellStyle name="Percent 3 3 3 2 2 4" xfId="59688" xr:uid="{00000000-0005-0000-0000-0000CBE80000}"/>
    <cellStyle name="Percent 3 3 3 2 2 4 2" xfId="59689" xr:uid="{00000000-0005-0000-0000-0000CCE80000}"/>
    <cellStyle name="Percent 3 3 3 2 2 4 2 2" xfId="59690" xr:uid="{00000000-0005-0000-0000-0000CDE80000}"/>
    <cellStyle name="Percent 3 3 3 2 2 4 2 3" xfId="59691" xr:uid="{00000000-0005-0000-0000-0000CEE80000}"/>
    <cellStyle name="Percent 3 3 3 2 2 4 3" xfId="59692" xr:uid="{00000000-0005-0000-0000-0000CFE80000}"/>
    <cellStyle name="Percent 3 3 3 2 2 4 4" xfId="59693" xr:uid="{00000000-0005-0000-0000-0000D0E80000}"/>
    <cellStyle name="Percent 3 3 3 2 2 4 5" xfId="59694" xr:uid="{00000000-0005-0000-0000-0000D1E80000}"/>
    <cellStyle name="Percent 3 3 3 2 2 4 6" xfId="59695" xr:uid="{00000000-0005-0000-0000-0000D2E80000}"/>
    <cellStyle name="Percent 3 3 3 2 2 5" xfId="59696" xr:uid="{00000000-0005-0000-0000-0000D3E80000}"/>
    <cellStyle name="Percent 3 3 3 2 2 5 2" xfId="59697" xr:uid="{00000000-0005-0000-0000-0000D4E80000}"/>
    <cellStyle name="Percent 3 3 3 2 2 5 2 2" xfId="59698" xr:uid="{00000000-0005-0000-0000-0000D5E80000}"/>
    <cellStyle name="Percent 3 3 3 2 2 5 2 3" xfId="59699" xr:uid="{00000000-0005-0000-0000-0000D6E80000}"/>
    <cellStyle name="Percent 3 3 3 2 2 5 3" xfId="59700" xr:uid="{00000000-0005-0000-0000-0000D7E80000}"/>
    <cellStyle name="Percent 3 3 3 2 2 5 4" xfId="59701" xr:uid="{00000000-0005-0000-0000-0000D8E80000}"/>
    <cellStyle name="Percent 3 3 3 2 2 5 5" xfId="59702" xr:uid="{00000000-0005-0000-0000-0000D9E80000}"/>
    <cellStyle name="Percent 3 3 3 2 2 5 6" xfId="59703" xr:uid="{00000000-0005-0000-0000-0000DAE80000}"/>
    <cellStyle name="Percent 3 3 3 2 2 6" xfId="59704" xr:uid="{00000000-0005-0000-0000-0000DBE80000}"/>
    <cellStyle name="Percent 3 3 3 2 2 6 2" xfId="59705" xr:uid="{00000000-0005-0000-0000-0000DCE80000}"/>
    <cellStyle name="Percent 3 3 3 2 2 6 3" xfId="59706" xr:uid="{00000000-0005-0000-0000-0000DDE80000}"/>
    <cellStyle name="Percent 3 3 3 2 2 7" xfId="59707" xr:uid="{00000000-0005-0000-0000-0000DEE80000}"/>
    <cellStyle name="Percent 3 3 3 2 2 8" xfId="59708" xr:uid="{00000000-0005-0000-0000-0000DFE80000}"/>
    <cellStyle name="Percent 3 3 3 2 2 9" xfId="59709" xr:uid="{00000000-0005-0000-0000-0000E0E80000}"/>
    <cellStyle name="Percent 3 3 3 2 3" xfId="59710" xr:uid="{00000000-0005-0000-0000-0000E1E80000}"/>
    <cellStyle name="Percent 3 3 3 2 3 2" xfId="59711" xr:uid="{00000000-0005-0000-0000-0000E2E80000}"/>
    <cellStyle name="Percent 3 3 3 2 3 2 2" xfId="59712" xr:uid="{00000000-0005-0000-0000-0000E3E80000}"/>
    <cellStyle name="Percent 3 3 3 2 3 2 2 2" xfId="59713" xr:uid="{00000000-0005-0000-0000-0000E4E80000}"/>
    <cellStyle name="Percent 3 3 3 2 3 2 2 2 2" xfId="59714" xr:uid="{00000000-0005-0000-0000-0000E5E80000}"/>
    <cellStyle name="Percent 3 3 3 2 3 2 2 2 3" xfId="59715" xr:uid="{00000000-0005-0000-0000-0000E6E80000}"/>
    <cellStyle name="Percent 3 3 3 2 3 2 2 3" xfId="59716" xr:uid="{00000000-0005-0000-0000-0000E7E80000}"/>
    <cellStyle name="Percent 3 3 3 2 3 2 2 4" xfId="59717" xr:uid="{00000000-0005-0000-0000-0000E8E80000}"/>
    <cellStyle name="Percent 3 3 3 2 3 2 2 5" xfId="59718" xr:uid="{00000000-0005-0000-0000-0000E9E80000}"/>
    <cellStyle name="Percent 3 3 3 2 3 2 2 6" xfId="59719" xr:uid="{00000000-0005-0000-0000-0000EAE80000}"/>
    <cellStyle name="Percent 3 3 3 2 3 2 3" xfId="59720" xr:uid="{00000000-0005-0000-0000-0000EBE80000}"/>
    <cellStyle name="Percent 3 3 3 2 3 2 3 2" xfId="59721" xr:uid="{00000000-0005-0000-0000-0000ECE80000}"/>
    <cellStyle name="Percent 3 3 3 2 3 2 3 3" xfId="59722" xr:uid="{00000000-0005-0000-0000-0000EDE80000}"/>
    <cellStyle name="Percent 3 3 3 2 3 2 4" xfId="59723" xr:uid="{00000000-0005-0000-0000-0000EEE80000}"/>
    <cellStyle name="Percent 3 3 3 2 3 2 5" xfId="59724" xr:uid="{00000000-0005-0000-0000-0000EFE80000}"/>
    <cellStyle name="Percent 3 3 3 2 3 2 6" xfId="59725" xr:uid="{00000000-0005-0000-0000-0000F0E80000}"/>
    <cellStyle name="Percent 3 3 3 2 3 2 7" xfId="59726" xr:uid="{00000000-0005-0000-0000-0000F1E80000}"/>
    <cellStyle name="Percent 3 3 3 2 3 3" xfId="59727" xr:uid="{00000000-0005-0000-0000-0000F2E80000}"/>
    <cellStyle name="Percent 3 3 3 2 3 3 2" xfId="59728" xr:uid="{00000000-0005-0000-0000-0000F3E80000}"/>
    <cellStyle name="Percent 3 3 3 2 3 3 2 2" xfId="59729" xr:uid="{00000000-0005-0000-0000-0000F4E80000}"/>
    <cellStyle name="Percent 3 3 3 2 3 3 2 3" xfId="59730" xr:uid="{00000000-0005-0000-0000-0000F5E80000}"/>
    <cellStyle name="Percent 3 3 3 2 3 3 3" xfId="59731" xr:uid="{00000000-0005-0000-0000-0000F6E80000}"/>
    <cellStyle name="Percent 3 3 3 2 3 3 4" xfId="59732" xr:uid="{00000000-0005-0000-0000-0000F7E80000}"/>
    <cellStyle name="Percent 3 3 3 2 3 3 5" xfId="59733" xr:uid="{00000000-0005-0000-0000-0000F8E80000}"/>
    <cellStyle name="Percent 3 3 3 2 3 3 6" xfId="59734" xr:uid="{00000000-0005-0000-0000-0000F9E80000}"/>
    <cellStyle name="Percent 3 3 3 2 3 4" xfId="59735" xr:uid="{00000000-0005-0000-0000-0000FAE80000}"/>
    <cellStyle name="Percent 3 3 3 2 3 4 2" xfId="59736" xr:uid="{00000000-0005-0000-0000-0000FBE80000}"/>
    <cellStyle name="Percent 3 3 3 2 3 4 2 2" xfId="59737" xr:uid="{00000000-0005-0000-0000-0000FCE80000}"/>
    <cellStyle name="Percent 3 3 3 2 3 4 2 3" xfId="59738" xr:uid="{00000000-0005-0000-0000-0000FDE80000}"/>
    <cellStyle name="Percent 3 3 3 2 3 4 3" xfId="59739" xr:uid="{00000000-0005-0000-0000-0000FEE80000}"/>
    <cellStyle name="Percent 3 3 3 2 3 4 4" xfId="59740" xr:uid="{00000000-0005-0000-0000-0000FFE80000}"/>
    <cellStyle name="Percent 3 3 3 2 3 4 5" xfId="59741" xr:uid="{00000000-0005-0000-0000-000000E90000}"/>
    <cellStyle name="Percent 3 3 3 2 3 4 6" xfId="59742" xr:uid="{00000000-0005-0000-0000-000001E90000}"/>
    <cellStyle name="Percent 3 3 3 2 3 5" xfId="59743" xr:uid="{00000000-0005-0000-0000-000002E90000}"/>
    <cellStyle name="Percent 3 3 3 2 3 5 2" xfId="59744" xr:uid="{00000000-0005-0000-0000-000003E90000}"/>
    <cellStyle name="Percent 3 3 3 2 3 5 3" xfId="59745" xr:uid="{00000000-0005-0000-0000-000004E90000}"/>
    <cellStyle name="Percent 3 3 3 2 3 6" xfId="59746" xr:uid="{00000000-0005-0000-0000-000005E90000}"/>
    <cellStyle name="Percent 3 3 3 2 3 7" xfId="59747" xr:uid="{00000000-0005-0000-0000-000006E90000}"/>
    <cellStyle name="Percent 3 3 3 2 3 8" xfId="59748" xr:uid="{00000000-0005-0000-0000-000007E90000}"/>
    <cellStyle name="Percent 3 3 3 2 3 9" xfId="59749" xr:uid="{00000000-0005-0000-0000-000008E90000}"/>
    <cellStyle name="Percent 3 3 3 2 4" xfId="59750" xr:uid="{00000000-0005-0000-0000-000009E90000}"/>
    <cellStyle name="Percent 3 3 3 2 4 2" xfId="59751" xr:uid="{00000000-0005-0000-0000-00000AE90000}"/>
    <cellStyle name="Percent 3 3 3 2 4 2 2" xfId="59752" xr:uid="{00000000-0005-0000-0000-00000BE90000}"/>
    <cellStyle name="Percent 3 3 3 2 4 2 2 2" xfId="59753" xr:uid="{00000000-0005-0000-0000-00000CE90000}"/>
    <cellStyle name="Percent 3 3 3 2 4 2 2 3" xfId="59754" xr:uid="{00000000-0005-0000-0000-00000DE90000}"/>
    <cellStyle name="Percent 3 3 3 2 4 2 3" xfId="59755" xr:uid="{00000000-0005-0000-0000-00000EE90000}"/>
    <cellStyle name="Percent 3 3 3 2 4 2 4" xfId="59756" xr:uid="{00000000-0005-0000-0000-00000FE90000}"/>
    <cellStyle name="Percent 3 3 3 2 4 2 5" xfId="59757" xr:uid="{00000000-0005-0000-0000-000010E90000}"/>
    <cellStyle name="Percent 3 3 3 2 4 2 6" xfId="59758" xr:uid="{00000000-0005-0000-0000-000011E90000}"/>
    <cellStyle name="Percent 3 3 3 2 4 3" xfId="59759" xr:uid="{00000000-0005-0000-0000-000012E90000}"/>
    <cellStyle name="Percent 3 3 3 2 4 3 2" xfId="59760" xr:uid="{00000000-0005-0000-0000-000013E90000}"/>
    <cellStyle name="Percent 3 3 3 2 4 3 3" xfId="59761" xr:uid="{00000000-0005-0000-0000-000014E90000}"/>
    <cellStyle name="Percent 3 3 3 2 4 4" xfId="59762" xr:uid="{00000000-0005-0000-0000-000015E90000}"/>
    <cellStyle name="Percent 3 3 3 2 4 5" xfId="59763" xr:uid="{00000000-0005-0000-0000-000016E90000}"/>
    <cellStyle name="Percent 3 3 3 2 4 6" xfId="59764" xr:uid="{00000000-0005-0000-0000-000017E90000}"/>
    <cellStyle name="Percent 3 3 3 2 4 7" xfId="59765" xr:uid="{00000000-0005-0000-0000-000018E90000}"/>
    <cellStyle name="Percent 3 3 3 2 5" xfId="59766" xr:uid="{00000000-0005-0000-0000-000019E90000}"/>
    <cellStyle name="Percent 3 3 3 2 5 2" xfId="59767" xr:uid="{00000000-0005-0000-0000-00001AE90000}"/>
    <cellStyle name="Percent 3 3 3 2 5 2 2" xfId="59768" xr:uid="{00000000-0005-0000-0000-00001BE90000}"/>
    <cellStyle name="Percent 3 3 3 2 5 2 3" xfId="59769" xr:uid="{00000000-0005-0000-0000-00001CE90000}"/>
    <cellStyle name="Percent 3 3 3 2 5 3" xfId="59770" xr:uid="{00000000-0005-0000-0000-00001DE90000}"/>
    <cellStyle name="Percent 3 3 3 2 5 4" xfId="59771" xr:uid="{00000000-0005-0000-0000-00001EE90000}"/>
    <cellStyle name="Percent 3 3 3 2 5 5" xfId="59772" xr:uid="{00000000-0005-0000-0000-00001FE90000}"/>
    <cellStyle name="Percent 3 3 3 2 5 6" xfId="59773" xr:uid="{00000000-0005-0000-0000-000020E90000}"/>
    <cellStyle name="Percent 3 3 3 2 6" xfId="59774" xr:uid="{00000000-0005-0000-0000-000021E90000}"/>
    <cellStyle name="Percent 3 3 3 2 6 2" xfId="59775" xr:uid="{00000000-0005-0000-0000-000022E90000}"/>
    <cellStyle name="Percent 3 3 3 2 6 2 2" xfId="59776" xr:uid="{00000000-0005-0000-0000-000023E90000}"/>
    <cellStyle name="Percent 3 3 3 2 6 2 3" xfId="59777" xr:uid="{00000000-0005-0000-0000-000024E90000}"/>
    <cellStyle name="Percent 3 3 3 2 6 3" xfId="59778" xr:uid="{00000000-0005-0000-0000-000025E90000}"/>
    <cellStyle name="Percent 3 3 3 2 6 4" xfId="59779" xr:uid="{00000000-0005-0000-0000-000026E90000}"/>
    <cellStyle name="Percent 3 3 3 2 6 5" xfId="59780" xr:uid="{00000000-0005-0000-0000-000027E90000}"/>
    <cellStyle name="Percent 3 3 3 2 6 6" xfId="59781" xr:uid="{00000000-0005-0000-0000-000028E90000}"/>
    <cellStyle name="Percent 3 3 3 2 7" xfId="59782" xr:uid="{00000000-0005-0000-0000-000029E90000}"/>
    <cellStyle name="Percent 3 3 3 2 7 2" xfId="59783" xr:uid="{00000000-0005-0000-0000-00002AE90000}"/>
    <cellStyle name="Percent 3 3 3 2 7 2 2" xfId="59784" xr:uid="{00000000-0005-0000-0000-00002BE90000}"/>
    <cellStyle name="Percent 3 3 3 2 7 2 3" xfId="59785" xr:uid="{00000000-0005-0000-0000-00002CE90000}"/>
    <cellStyle name="Percent 3 3 3 2 7 3" xfId="59786" xr:uid="{00000000-0005-0000-0000-00002DE90000}"/>
    <cellStyle name="Percent 3 3 3 2 7 4" xfId="59787" xr:uid="{00000000-0005-0000-0000-00002EE90000}"/>
    <cellStyle name="Percent 3 3 3 2 7 5" xfId="59788" xr:uid="{00000000-0005-0000-0000-00002FE90000}"/>
    <cellStyle name="Percent 3 3 3 2 7 6" xfId="59789" xr:uid="{00000000-0005-0000-0000-000030E90000}"/>
    <cellStyle name="Percent 3 3 3 2 8" xfId="59790" xr:uid="{00000000-0005-0000-0000-000031E90000}"/>
    <cellStyle name="Percent 3 3 3 2 8 2" xfId="59791" xr:uid="{00000000-0005-0000-0000-000032E90000}"/>
    <cellStyle name="Percent 3 3 3 2 8 2 2" xfId="59792" xr:uid="{00000000-0005-0000-0000-000033E90000}"/>
    <cellStyle name="Percent 3 3 3 2 8 2 3" xfId="59793" xr:uid="{00000000-0005-0000-0000-000034E90000}"/>
    <cellStyle name="Percent 3 3 3 2 8 3" xfId="59794" xr:uid="{00000000-0005-0000-0000-000035E90000}"/>
    <cellStyle name="Percent 3 3 3 2 8 4" xfId="59795" xr:uid="{00000000-0005-0000-0000-000036E90000}"/>
    <cellStyle name="Percent 3 3 3 2 8 5" xfId="59796" xr:uid="{00000000-0005-0000-0000-000037E90000}"/>
    <cellStyle name="Percent 3 3 3 2 8 6" xfId="59797" xr:uid="{00000000-0005-0000-0000-000038E90000}"/>
    <cellStyle name="Percent 3 3 3 2 9" xfId="59798" xr:uid="{00000000-0005-0000-0000-000039E90000}"/>
    <cellStyle name="Percent 3 3 3 2 9 2" xfId="59799" xr:uid="{00000000-0005-0000-0000-00003AE90000}"/>
    <cellStyle name="Percent 3 3 3 2 9 3" xfId="59800" xr:uid="{00000000-0005-0000-0000-00003BE90000}"/>
    <cellStyle name="Percent 3 3 3 3" xfId="59801" xr:uid="{00000000-0005-0000-0000-00003CE90000}"/>
    <cellStyle name="Percent 3 3 3 3 10" xfId="59802" xr:uid="{00000000-0005-0000-0000-00003DE90000}"/>
    <cellStyle name="Percent 3 3 3 3 2" xfId="59803" xr:uid="{00000000-0005-0000-0000-00003EE90000}"/>
    <cellStyle name="Percent 3 3 3 3 2 2" xfId="59804" xr:uid="{00000000-0005-0000-0000-00003FE90000}"/>
    <cellStyle name="Percent 3 3 3 3 2 2 2" xfId="59805" xr:uid="{00000000-0005-0000-0000-000040E90000}"/>
    <cellStyle name="Percent 3 3 3 3 2 2 2 2" xfId="59806" xr:uid="{00000000-0005-0000-0000-000041E90000}"/>
    <cellStyle name="Percent 3 3 3 3 2 2 2 3" xfId="59807" xr:uid="{00000000-0005-0000-0000-000042E90000}"/>
    <cellStyle name="Percent 3 3 3 3 2 2 3" xfId="59808" xr:uid="{00000000-0005-0000-0000-000043E90000}"/>
    <cellStyle name="Percent 3 3 3 3 2 2 4" xfId="59809" xr:uid="{00000000-0005-0000-0000-000044E90000}"/>
    <cellStyle name="Percent 3 3 3 3 2 2 5" xfId="59810" xr:uid="{00000000-0005-0000-0000-000045E90000}"/>
    <cellStyle name="Percent 3 3 3 3 2 2 6" xfId="59811" xr:uid="{00000000-0005-0000-0000-000046E90000}"/>
    <cellStyle name="Percent 3 3 3 3 2 3" xfId="59812" xr:uid="{00000000-0005-0000-0000-000047E90000}"/>
    <cellStyle name="Percent 3 3 3 3 2 3 2" xfId="59813" xr:uid="{00000000-0005-0000-0000-000048E90000}"/>
    <cellStyle name="Percent 3 3 3 3 2 3 2 2" xfId="59814" xr:uid="{00000000-0005-0000-0000-000049E90000}"/>
    <cellStyle name="Percent 3 3 3 3 2 3 2 3" xfId="59815" xr:uid="{00000000-0005-0000-0000-00004AE90000}"/>
    <cellStyle name="Percent 3 3 3 3 2 3 3" xfId="59816" xr:uid="{00000000-0005-0000-0000-00004BE90000}"/>
    <cellStyle name="Percent 3 3 3 3 2 3 4" xfId="59817" xr:uid="{00000000-0005-0000-0000-00004CE90000}"/>
    <cellStyle name="Percent 3 3 3 3 2 3 5" xfId="59818" xr:uid="{00000000-0005-0000-0000-00004DE90000}"/>
    <cellStyle name="Percent 3 3 3 3 2 3 6" xfId="59819" xr:uid="{00000000-0005-0000-0000-00004EE90000}"/>
    <cellStyle name="Percent 3 3 3 3 2 4" xfId="59820" xr:uid="{00000000-0005-0000-0000-00004FE90000}"/>
    <cellStyle name="Percent 3 3 3 3 2 4 2" xfId="59821" xr:uid="{00000000-0005-0000-0000-000050E90000}"/>
    <cellStyle name="Percent 3 3 3 3 2 4 3" xfId="59822" xr:uid="{00000000-0005-0000-0000-000051E90000}"/>
    <cellStyle name="Percent 3 3 3 3 2 5" xfId="59823" xr:uid="{00000000-0005-0000-0000-000052E90000}"/>
    <cellStyle name="Percent 3 3 3 3 2 6" xfId="59824" xr:uid="{00000000-0005-0000-0000-000053E90000}"/>
    <cellStyle name="Percent 3 3 3 3 2 7" xfId="59825" xr:uid="{00000000-0005-0000-0000-000054E90000}"/>
    <cellStyle name="Percent 3 3 3 3 2 8" xfId="59826" xr:uid="{00000000-0005-0000-0000-000055E90000}"/>
    <cellStyle name="Percent 3 3 3 3 3" xfId="59827" xr:uid="{00000000-0005-0000-0000-000056E90000}"/>
    <cellStyle name="Percent 3 3 3 3 3 2" xfId="59828" xr:uid="{00000000-0005-0000-0000-000057E90000}"/>
    <cellStyle name="Percent 3 3 3 3 3 2 2" xfId="59829" xr:uid="{00000000-0005-0000-0000-000058E90000}"/>
    <cellStyle name="Percent 3 3 3 3 3 2 2 2" xfId="59830" xr:uid="{00000000-0005-0000-0000-000059E90000}"/>
    <cellStyle name="Percent 3 3 3 3 3 2 2 3" xfId="59831" xr:uid="{00000000-0005-0000-0000-00005AE90000}"/>
    <cellStyle name="Percent 3 3 3 3 3 2 3" xfId="59832" xr:uid="{00000000-0005-0000-0000-00005BE90000}"/>
    <cellStyle name="Percent 3 3 3 3 3 2 4" xfId="59833" xr:uid="{00000000-0005-0000-0000-00005CE90000}"/>
    <cellStyle name="Percent 3 3 3 3 3 2 5" xfId="59834" xr:uid="{00000000-0005-0000-0000-00005DE90000}"/>
    <cellStyle name="Percent 3 3 3 3 3 2 6" xfId="59835" xr:uid="{00000000-0005-0000-0000-00005EE90000}"/>
    <cellStyle name="Percent 3 3 3 3 3 3" xfId="59836" xr:uid="{00000000-0005-0000-0000-00005FE90000}"/>
    <cellStyle name="Percent 3 3 3 3 3 3 2" xfId="59837" xr:uid="{00000000-0005-0000-0000-000060E90000}"/>
    <cellStyle name="Percent 3 3 3 3 3 3 3" xfId="59838" xr:uid="{00000000-0005-0000-0000-000061E90000}"/>
    <cellStyle name="Percent 3 3 3 3 3 4" xfId="59839" xr:uid="{00000000-0005-0000-0000-000062E90000}"/>
    <cellStyle name="Percent 3 3 3 3 3 5" xfId="59840" xr:uid="{00000000-0005-0000-0000-000063E90000}"/>
    <cellStyle name="Percent 3 3 3 3 3 6" xfId="59841" xr:uid="{00000000-0005-0000-0000-000064E90000}"/>
    <cellStyle name="Percent 3 3 3 3 3 7" xfId="59842" xr:uid="{00000000-0005-0000-0000-000065E90000}"/>
    <cellStyle name="Percent 3 3 3 3 4" xfId="59843" xr:uid="{00000000-0005-0000-0000-000066E90000}"/>
    <cellStyle name="Percent 3 3 3 3 4 2" xfId="59844" xr:uid="{00000000-0005-0000-0000-000067E90000}"/>
    <cellStyle name="Percent 3 3 3 3 4 2 2" xfId="59845" xr:uid="{00000000-0005-0000-0000-000068E90000}"/>
    <cellStyle name="Percent 3 3 3 3 4 2 3" xfId="59846" xr:uid="{00000000-0005-0000-0000-000069E90000}"/>
    <cellStyle name="Percent 3 3 3 3 4 3" xfId="59847" xr:uid="{00000000-0005-0000-0000-00006AE90000}"/>
    <cellStyle name="Percent 3 3 3 3 4 4" xfId="59848" xr:uid="{00000000-0005-0000-0000-00006BE90000}"/>
    <cellStyle name="Percent 3 3 3 3 4 5" xfId="59849" xr:uid="{00000000-0005-0000-0000-00006CE90000}"/>
    <cellStyle name="Percent 3 3 3 3 4 6" xfId="59850" xr:uid="{00000000-0005-0000-0000-00006DE90000}"/>
    <cellStyle name="Percent 3 3 3 3 5" xfId="59851" xr:uid="{00000000-0005-0000-0000-00006EE90000}"/>
    <cellStyle name="Percent 3 3 3 3 5 2" xfId="59852" xr:uid="{00000000-0005-0000-0000-00006FE90000}"/>
    <cellStyle name="Percent 3 3 3 3 5 2 2" xfId="59853" xr:uid="{00000000-0005-0000-0000-000070E90000}"/>
    <cellStyle name="Percent 3 3 3 3 5 2 3" xfId="59854" xr:uid="{00000000-0005-0000-0000-000071E90000}"/>
    <cellStyle name="Percent 3 3 3 3 5 3" xfId="59855" xr:uid="{00000000-0005-0000-0000-000072E90000}"/>
    <cellStyle name="Percent 3 3 3 3 5 4" xfId="59856" xr:uid="{00000000-0005-0000-0000-000073E90000}"/>
    <cellStyle name="Percent 3 3 3 3 5 5" xfId="59857" xr:uid="{00000000-0005-0000-0000-000074E90000}"/>
    <cellStyle name="Percent 3 3 3 3 5 6" xfId="59858" xr:uid="{00000000-0005-0000-0000-000075E90000}"/>
    <cellStyle name="Percent 3 3 3 3 6" xfId="59859" xr:uid="{00000000-0005-0000-0000-000076E90000}"/>
    <cellStyle name="Percent 3 3 3 3 6 2" xfId="59860" xr:uid="{00000000-0005-0000-0000-000077E90000}"/>
    <cellStyle name="Percent 3 3 3 3 6 3" xfId="59861" xr:uid="{00000000-0005-0000-0000-000078E90000}"/>
    <cellStyle name="Percent 3 3 3 3 7" xfId="59862" xr:uid="{00000000-0005-0000-0000-000079E90000}"/>
    <cellStyle name="Percent 3 3 3 3 8" xfId="59863" xr:uid="{00000000-0005-0000-0000-00007AE90000}"/>
    <cellStyle name="Percent 3 3 3 3 9" xfId="59864" xr:uid="{00000000-0005-0000-0000-00007BE90000}"/>
    <cellStyle name="Percent 3 3 3 4" xfId="59865" xr:uid="{00000000-0005-0000-0000-00007CE90000}"/>
    <cellStyle name="Percent 3 3 3 4 2" xfId="59866" xr:uid="{00000000-0005-0000-0000-00007DE90000}"/>
    <cellStyle name="Percent 3 3 3 4 2 2" xfId="59867" xr:uid="{00000000-0005-0000-0000-00007EE90000}"/>
    <cellStyle name="Percent 3 3 3 4 2 2 2" xfId="59868" xr:uid="{00000000-0005-0000-0000-00007FE90000}"/>
    <cellStyle name="Percent 3 3 3 4 2 2 2 2" xfId="59869" xr:uid="{00000000-0005-0000-0000-000080E90000}"/>
    <cellStyle name="Percent 3 3 3 4 2 2 2 3" xfId="59870" xr:uid="{00000000-0005-0000-0000-000081E90000}"/>
    <cellStyle name="Percent 3 3 3 4 2 2 3" xfId="59871" xr:uid="{00000000-0005-0000-0000-000082E90000}"/>
    <cellStyle name="Percent 3 3 3 4 2 2 4" xfId="59872" xr:uid="{00000000-0005-0000-0000-000083E90000}"/>
    <cellStyle name="Percent 3 3 3 4 2 2 5" xfId="59873" xr:uid="{00000000-0005-0000-0000-000084E90000}"/>
    <cellStyle name="Percent 3 3 3 4 2 2 6" xfId="59874" xr:uid="{00000000-0005-0000-0000-000085E90000}"/>
    <cellStyle name="Percent 3 3 3 4 2 3" xfId="59875" xr:uid="{00000000-0005-0000-0000-000086E90000}"/>
    <cellStyle name="Percent 3 3 3 4 2 3 2" xfId="59876" xr:uid="{00000000-0005-0000-0000-000087E90000}"/>
    <cellStyle name="Percent 3 3 3 4 2 3 3" xfId="59877" xr:uid="{00000000-0005-0000-0000-000088E90000}"/>
    <cellStyle name="Percent 3 3 3 4 2 4" xfId="59878" xr:uid="{00000000-0005-0000-0000-000089E90000}"/>
    <cellStyle name="Percent 3 3 3 4 2 5" xfId="59879" xr:uid="{00000000-0005-0000-0000-00008AE90000}"/>
    <cellStyle name="Percent 3 3 3 4 2 6" xfId="59880" xr:uid="{00000000-0005-0000-0000-00008BE90000}"/>
    <cellStyle name="Percent 3 3 3 4 2 7" xfId="59881" xr:uid="{00000000-0005-0000-0000-00008CE90000}"/>
    <cellStyle name="Percent 3 3 3 4 3" xfId="59882" xr:uid="{00000000-0005-0000-0000-00008DE90000}"/>
    <cellStyle name="Percent 3 3 3 4 3 2" xfId="59883" xr:uid="{00000000-0005-0000-0000-00008EE90000}"/>
    <cellStyle name="Percent 3 3 3 4 3 2 2" xfId="59884" xr:uid="{00000000-0005-0000-0000-00008FE90000}"/>
    <cellStyle name="Percent 3 3 3 4 3 2 3" xfId="59885" xr:uid="{00000000-0005-0000-0000-000090E90000}"/>
    <cellStyle name="Percent 3 3 3 4 3 3" xfId="59886" xr:uid="{00000000-0005-0000-0000-000091E90000}"/>
    <cellStyle name="Percent 3 3 3 4 3 4" xfId="59887" xr:uid="{00000000-0005-0000-0000-000092E90000}"/>
    <cellStyle name="Percent 3 3 3 4 3 5" xfId="59888" xr:uid="{00000000-0005-0000-0000-000093E90000}"/>
    <cellStyle name="Percent 3 3 3 4 3 6" xfId="59889" xr:uid="{00000000-0005-0000-0000-000094E90000}"/>
    <cellStyle name="Percent 3 3 3 4 4" xfId="59890" xr:uid="{00000000-0005-0000-0000-000095E90000}"/>
    <cellStyle name="Percent 3 3 3 4 4 2" xfId="59891" xr:uid="{00000000-0005-0000-0000-000096E90000}"/>
    <cellStyle name="Percent 3 3 3 4 4 2 2" xfId="59892" xr:uid="{00000000-0005-0000-0000-000097E90000}"/>
    <cellStyle name="Percent 3 3 3 4 4 2 3" xfId="59893" xr:uid="{00000000-0005-0000-0000-000098E90000}"/>
    <cellStyle name="Percent 3 3 3 4 4 3" xfId="59894" xr:uid="{00000000-0005-0000-0000-000099E90000}"/>
    <cellStyle name="Percent 3 3 3 4 4 4" xfId="59895" xr:uid="{00000000-0005-0000-0000-00009AE90000}"/>
    <cellStyle name="Percent 3 3 3 4 4 5" xfId="59896" xr:uid="{00000000-0005-0000-0000-00009BE90000}"/>
    <cellStyle name="Percent 3 3 3 4 4 6" xfId="59897" xr:uid="{00000000-0005-0000-0000-00009CE90000}"/>
    <cellStyle name="Percent 3 3 3 4 5" xfId="59898" xr:uid="{00000000-0005-0000-0000-00009DE90000}"/>
    <cellStyle name="Percent 3 3 3 4 5 2" xfId="59899" xr:uid="{00000000-0005-0000-0000-00009EE90000}"/>
    <cellStyle name="Percent 3 3 3 4 5 3" xfId="59900" xr:uid="{00000000-0005-0000-0000-00009FE90000}"/>
    <cellStyle name="Percent 3 3 3 4 6" xfId="59901" xr:uid="{00000000-0005-0000-0000-0000A0E90000}"/>
    <cellStyle name="Percent 3 3 3 4 7" xfId="59902" xr:uid="{00000000-0005-0000-0000-0000A1E90000}"/>
    <cellStyle name="Percent 3 3 3 4 8" xfId="59903" xr:uid="{00000000-0005-0000-0000-0000A2E90000}"/>
    <cellStyle name="Percent 3 3 3 4 9" xfId="59904" xr:uid="{00000000-0005-0000-0000-0000A3E90000}"/>
    <cellStyle name="Percent 3 3 3 5" xfId="59905" xr:uid="{00000000-0005-0000-0000-0000A4E90000}"/>
    <cellStyle name="Percent 3 3 3 5 2" xfId="59906" xr:uid="{00000000-0005-0000-0000-0000A5E90000}"/>
    <cellStyle name="Percent 3 3 3 5 2 2" xfId="59907" xr:uid="{00000000-0005-0000-0000-0000A6E90000}"/>
    <cellStyle name="Percent 3 3 3 5 2 2 2" xfId="59908" xr:uid="{00000000-0005-0000-0000-0000A7E90000}"/>
    <cellStyle name="Percent 3 3 3 5 2 2 3" xfId="59909" xr:uid="{00000000-0005-0000-0000-0000A8E90000}"/>
    <cellStyle name="Percent 3 3 3 5 2 3" xfId="59910" xr:uid="{00000000-0005-0000-0000-0000A9E90000}"/>
    <cellStyle name="Percent 3 3 3 5 2 4" xfId="59911" xr:uid="{00000000-0005-0000-0000-0000AAE90000}"/>
    <cellStyle name="Percent 3 3 3 5 2 5" xfId="59912" xr:uid="{00000000-0005-0000-0000-0000ABE90000}"/>
    <cellStyle name="Percent 3 3 3 5 2 6" xfId="59913" xr:uid="{00000000-0005-0000-0000-0000ACE90000}"/>
    <cellStyle name="Percent 3 3 3 5 3" xfId="59914" xr:uid="{00000000-0005-0000-0000-0000ADE90000}"/>
    <cellStyle name="Percent 3 3 3 5 3 2" xfId="59915" xr:uid="{00000000-0005-0000-0000-0000AEE90000}"/>
    <cellStyle name="Percent 3 3 3 5 3 3" xfId="59916" xr:uid="{00000000-0005-0000-0000-0000AFE90000}"/>
    <cellStyle name="Percent 3 3 3 5 4" xfId="59917" xr:uid="{00000000-0005-0000-0000-0000B0E90000}"/>
    <cellStyle name="Percent 3 3 3 5 5" xfId="59918" xr:uid="{00000000-0005-0000-0000-0000B1E90000}"/>
    <cellStyle name="Percent 3 3 3 5 6" xfId="59919" xr:uid="{00000000-0005-0000-0000-0000B2E90000}"/>
    <cellStyle name="Percent 3 3 3 5 7" xfId="59920" xr:uid="{00000000-0005-0000-0000-0000B3E90000}"/>
    <cellStyle name="Percent 3 3 3 6" xfId="59921" xr:uid="{00000000-0005-0000-0000-0000B4E90000}"/>
    <cellStyle name="Percent 3 3 3 6 2" xfId="59922" xr:uid="{00000000-0005-0000-0000-0000B5E90000}"/>
    <cellStyle name="Percent 3 3 3 6 2 2" xfId="59923" xr:uid="{00000000-0005-0000-0000-0000B6E90000}"/>
    <cellStyle name="Percent 3 3 3 6 2 3" xfId="59924" xr:uid="{00000000-0005-0000-0000-0000B7E90000}"/>
    <cellStyle name="Percent 3 3 3 6 3" xfId="59925" xr:uid="{00000000-0005-0000-0000-0000B8E90000}"/>
    <cellStyle name="Percent 3 3 3 6 4" xfId="59926" xr:uid="{00000000-0005-0000-0000-0000B9E90000}"/>
    <cellStyle name="Percent 3 3 3 6 5" xfId="59927" xr:uid="{00000000-0005-0000-0000-0000BAE90000}"/>
    <cellStyle name="Percent 3 3 3 6 6" xfId="59928" xr:uid="{00000000-0005-0000-0000-0000BBE90000}"/>
    <cellStyle name="Percent 3 3 3 7" xfId="59929" xr:uid="{00000000-0005-0000-0000-0000BCE90000}"/>
    <cellStyle name="Percent 3 3 3 7 2" xfId="59930" xr:uid="{00000000-0005-0000-0000-0000BDE90000}"/>
    <cellStyle name="Percent 3 3 3 7 2 2" xfId="59931" xr:uid="{00000000-0005-0000-0000-0000BEE90000}"/>
    <cellStyle name="Percent 3 3 3 7 2 3" xfId="59932" xr:uid="{00000000-0005-0000-0000-0000BFE90000}"/>
    <cellStyle name="Percent 3 3 3 7 3" xfId="59933" xr:uid="{00000000-0005-0000-0000-0000C0E90000}"/>
    <cellStyle name="Percent 3 3 3 7 4" xfId="59934" xr:uid="{00000000-0005-0000-0000-0000C1E90000}"/>
    <cellStyle name="Percent 3 3 3 7 5" xfId="59935" xr:uid="{00000000-0005-0000-0000-0000C2E90000}"/>
    <cellStyle name="Percent 3 3 3 7 6" xfId="59936" xr:uid="{00000000-0005-0000-0000-0000C3E90000}"/>
    <cellStyle name="Percent 3 3 3 8" xfId="59937" xr:uid="{00000000-0005-0000-0000-0000C4E90000}"/>
    <cellStyle name="Percent 3 3 3 8 2" xfId="59938" xr:uid="{00000000-0005-0000-0000-0000C5E90000}"/>
    <cellStyle name="Percent 3 3 3 8 2 2" xfId="59939" xr:uid="{00000000-0005-0000-0000-0000C6E90000}"/>
    <cellStyle name="Percent 3 3 3 8 2 3" xfId="59940" xr:uid="{00000000-0005-0000-0000-0000C7E90000}"/>
    <cellStyle name="Percent 3 3 3 8 3" xfId="59941" xr:uid="{00000000-0005-0000-0000-0000C8E90000}"/>
    <cellStyle name="Percent 3 3 3 8 4" xfId="59942" xr:uid="{00000000-0005-0000-0000-0000C9E90000}"/>
    <cellStyle name="Percent 3 3 3 8 5" xfId="59943" xr:uid="{00000000-0005-0000-0000-0000CAE90000}"/>
    <cellStyle name="Percent 3 3 3 8 6" xfId="59944" xr:uid="{00000000-0005-0000-0000-0000CBE90000}"/>
    <cellStyle name="Percent 3 3 3 9" xfId="59945" xr:uid="{00000000-0005-0000-0000-0000CCE90000}"/>
    <cellStyle name="Percent 3 3 3 9 2" xfId="59946" xr:uid="{00000000-0005-0000-0000-0000CDE90000}"/>
    <cellStyle name="Percent 3 3 3 9 2 2" xfId="59947" xr:uid="{00000000-0005-0000-0000-0000CEE90000}"/>
    <cellStyle name="Percent 3 3 3 9 2 3" xfId="59948" xr:uid="{00000000-0005-0000-0000-0000CFE90000}"/>
    <cellStyle name="Percent 3 3 3 9 3" xfId="59949" xr:uid="{00000000-0005-0000-0000-0000D0E90000}"/>
    <cellStyle name="Percent 3 3 3 9 4" xfId="59950" xr:uid="{00000000-0005-0000-0000-0000D1E90000}"/>
    <cellStyle name="Percent 3 3 3 9 5" xfId="59951" xr:uid="{00000000-0005-0000-0000-0000D2E90000}"/>
    <cellStyle name="Percent 3 3 3 9 6" xfId="59952" xr:uid="{00000000-0005-0000-0000-0000D3E90000}"/>
    <cellStyle name="Percent 3 3 4" xfId="59953" xr:uid="{00000000-0005-0000-0000-0000D4E90000}"/>
    <cellStyle name="Percent 3 3 4 10" xfId="59954" xr:uid="{00000000-0005-0000-0000-0000D5E90000}"/>
    <cellStyle name="Percent 3 3 4 11" xfId="59955" xr:uid="{00000000-0005-0000-0000-0000D6E90000}"/>
    <cellStyle name="Percent 3 3 4 12" xfId="59956" xr:uid="{00000000-0005-0000-0000-0000D7E90000}"/>
    <cellStyle name="Percent 3 3 4 13" xfId="59957" xr:uid="{00000000-0005-0000-0000-0000D8E90000}"/>
    <cellStyle name="Percent 3 3 4 2" xfId="59958" xr:uid="{00000000-0005-0000-0000-0000D9E90000}"/>
    <cellStyle name="Percent 3 3 4 2 10" xfId="59959" xr:uid="{00000000-0005-0000-0000-0000DAE90000}"/>
    <cellStyle name="Percent 3 3 4 2 2" xfId="59960" xr:uid="{00000000-0005-0000-0000-0000DBE90000}"/>
    <cellStyle name="Percent 3 3 4 2 2 2" xfId="59961" xr:uid="{00000000-0005-0000-0000-0000DCE90000}"/>
    <cellStyle name="Percent 3 3 4 2 2 2 2" xfId="59962" xr:uid="{00000000-0005-0000-0000-0000DDE90000}"/>
    <cellStyle name="Percent 3 3 4 2 2 2 2 2" xfId="59963" xr:uid="{00000000-0005-0000-0000-0000DEE90000}"/>
    <cellStyle name="Percent 3 3 4 2 2 2 2 3" xfId="59964" xr:uid="{00000000-0005-0000-0000-0000DFE90000}"/>
    <cellStyle name="Percent 3 3 4 2 2 2 3" xfId="59965" xr:uid="{00000000-0005-0000-0000-0000E0E90000}"/>
    <cellStyle name="Percent 3 3 4 2 2 2 4" xfId="59966" xr:uid="{00000000-0005-0000-0000-0000E1E90000}"/>
    <cellStyle name="Percent 3 3 4 2 2 2 5" xfId="59967" xr:uid="{00000000-0005-0000-0000-0000E2E90000}"/>
    <cellStyle name="Percent 3 3 4 2 2 2 6" xfId="59968" xr:uid="{00000000-0005-0000-0000-0000E3E90000}"/>
    <cellStyle name="Percent 3 3 4 2 2 3" xfId="59969" xr:uid="{00000000-0005-0000-0000-0000E4E90000}"/>
    <cellStyle name="Percent 3 3 4 2 2 3 2" xfId="59970" xr:uid="{00000000-0005-0000-0000-0000E5E90000}"/>
    <cellStyle name="Percent 3 3 4 2 2 3 2 2" xfId="59971" xr:uid="{00000000-0005-0000-0000-0000E6E90000}"/>
    <cellStyle name="Percent 3 3 4 2 2 3 2 3" xfId="59972" xr:uid="{00000000-0005-0000-0000-0000E7E90000}"/>
    <cellStyle name="Percent 3 3 4 2 2 3 3" xfId="59973" xr:uid="{00000000-0005-0000-0000-0000E8E90000}"/>
    <cellStyle name="Percent 3 3 4 2 2 3 4" xfId="59974" xr:uid="{00000000-0005-0000-0000-0000E9E90000}"/>
    <cellStyle name="Percent 3 3 4 2 2 3 5" xfId="59975" xr:uid="{00000000-0005-0000-0000-0000EAE90000}"/>
    <cellStyle name="Percent 3 3 4 2 2 3 6" xfId="59976" xr:uid="{00000000-0005-0000-0000-0000EBE90000}"/>
    <cellStyle name="Percent 3 3 4 2 2 4" xfId="59977" xr:uid="{00000000-0005-0000-0000-0000ECE90000}"/>
    <cellStyle name="Percent 3 3 4 2 2 4 2" xfId="59978" xr:uid="{00000000-0005-0000-0000-0000EDE90000}"/>
    <cellStyle name="Percent 3 3 4 2 2 4 3" xfId="59979" xr:uid="{00000000-0005-0000-0000-0000EEE90000}"/>
    <cellStyle name="Percent 3 3 4 2 2 5" xfId="59980" xr:uid="{00000000-0005-0000-0000-0000EFE90000}"/>
    <cellStyle name="Percent 3 3 4 2 2 6" xfId="59981" xr:uid="{00000000-0005-0000-0000-0000F0E90000}"/>
    <cellStyle name="Percent 3 3 4 2 2 7" xfId="59982" xr:uid="{00000000-0005-0000-0000-0000F1E90000}"/>
    <cellStyle name="Percent 3 3 4 2 2 8" xfId="59983" xr:uid="{00000000-0005-0000-0000-0000F2E90000}"/>
    <cellStyle name="Percent 3 3 4 2 3" xfId="59984" xr:uid="{00000000-0005-0000-0000-0000F3E90000}"/>
    <cellStyle name="Percent 3 3 4 2 3 2" xfId="59985" xr:uid="{00000000-0005-0000-0000-0000F4E90000}"/>
    <cellStyle name="Percent 3 3 4 2 3 2 2" xfId="59986" xr:uid="{00000000-0005-0000-0000-0000F5E90000}"/>
    <cellStyle name="Percent 3 3 4 2 3 2 2 2" xfId="59987" xr:uid="{00000000-0005-0000-0000-0000F6E90000}"/>
    <cellStyle name="Percent 3 3 4 2 3 2 2 3" xfId="59988" xr:uid="{00000000-0005-0000-0000-0000F7E90000}"/>
    <cellStyle name="Percent 3 3 4 2 3 2 3" xfId="59989" xr:uid="{00000000-0005-0000-0000-0000F8E90000}"/>
    <cellStyle name="Percent 3 3 4 2 3 2 4" xfId="59990" xr:uid="{00000000-0005-0000-0000-0000F9E90000}"/>
    <cellStyle name="Percent 3 3 4 2 3 2 5" xfId="59991" xr:uid="{00000000-0005-0000-0000-0000FAE90000}"/>
    <cellStyle name="Percent 3 3 4 2 3 2 6" xfId="59992" xr:uid="{00000000-0005-0000-0000-0000FBE90000}"/>
    <cellStyle name="Percent 3 3 4 2 3 3" xfId="59993" xr:uid="{00000000-0005-0000-0000-0000FCE90000}"/>
    <cellStyle name="Percent 3 3 4 2 3 3 2" xfId="59994" xr:uid="{00000000-0005-0000-0000-0000FDE90000}"/>
    <cellStyle name="Percent 3 3 4 2 3 3 3" xfId="59995" xr:uid="{00000000-0005-0000-0000-0000FEE90000}"/>
    <cellStyle name="Percent 3 3 4 2 3 4" xfId="59996" xr:uid="{00000000-0005-0000-0000-0000FFE90000}"/>
    <cellStyle name="Percent 3 3 4 2 3 5" xfId="59997" xr:uid="{00000000-0005-0000-0000-000000EA0000}"/>
    <cellStyle name="Percent 3 3 4 2 3 6" xfId="59998" xr:uid="{00000000-0005-0000-0000-000001EA0000}"/>
    <cellStyle name="Percent 3 3 4 2 3 7" xfId="59999" xr:uid="{00000000-0005-0000-0000-000002EA0000}"/>
    <cellStyle name="Percent 3 3 4 2 4" xfId="60000" xr:uid="{00000000-0005-0000-0000-000003EA0000}"/>
    <cellStyle name="Percent 3 3 4 2 4 2" xfId="60001" xr:uid="{00000000-0005-0000-0000-000004EA0000}"/>
    <cellStyle name="Percent 3 3 4 2 4 2 2" xfId="60002" xr:uid="{00000000-0005-0000-0000-000005EA0000}"/>
    <cellStyle name="Percent 3 3 4 2 4 2 3" xfId="60003" xr:uid="{00000000-0005-0000-0000-000006EA0000}"/>
    <cellStyle name="Percent 3 3 4 2 4 3" xfId="60004" xr:uid="{00000000-0005-0000-0000-000007EA0000}"/>
    <cellStyle name="Percent 3 3 4 2 4 4" xfId="60005" xr:uid="{00000000-0005-0000-0000-000008EA0000}"/>
    <cellStyle name="Percent 3 3 4 2 4 5" xfId="60006" xr:uid="{00000000-0005-0000-0000-000009EA0000}"/>
    <cellStyle name="Percent 3 3 4 2 4 6" xfId="60007" xr:uid="{00000000-0005-0000-0000-00000AEA0000}"/>
    <cellStyle name="Percent 3 3 4 2 5" xfId="60008" xr:uid="{00000000-0005-0000-0000-00000BEA0000}"/>
    <cellStyle name="Percent 3 3 4 2 5 2" xfId="60009" xr:uid="{00000000-0005-0000-0000-00000CEA0000}"/>
    <cellStyle name="Percent 3 3 4 2 5 2 2" xfId="60010" xr:uid="{00000000-0005-0000-0000-00000DEA0000}"/>
    <cellStyle name="Percent 3 3 4 2 5 2 3" xfId="60011" xr:uid="{00000000-0005-0000-0000-00000EEA0000}"/>
    <cellStyle name="Percent 3 3 4 2 5 3" xfId="60012" xr:uid="{00000000-0005-0000-0000-00000FEA0000}"/>
    <cellStyle name="Percent 3 3 4 2 5 4" xfId="60013" xr:uid="{00000000-0005-0000-0000-000010EA0000}"/>
    <cellStyle name="Percent 3 3 4 2 5 5" xfId="60014" xr:uid="{00000000-0005-0000-0000-000011EA0000}"/>
    <cellStyle name="Percent 3 3 4 2 5 6" xfId="60015" xr:uid="{00000000-0005-0000-0000-000012EA0000}"/>
    <cellStyle name="Percent 3 3 4 2 6" xfId="60016" xr:uid="{00000000-0005-0000-0000-000013EA0000}"/>
    <cellStyle name="Percent 3 3 4 2 6 2" xfId="60017" xr:uid="{00000000-0005-0000-0000-000014EA0000}"/>
    <cellStyle name="Percent 3 3 4 2 6 3" xfId="60018" xr:uid="{00000000-0005-0000-0000-000015EA0000}"/>
    <cellStyle name="Percent 3 3 4 2 7" xfId="60019" xr:uid="{00000000-0005-0000-0000-000016EA0000}"/>
    <cellStyle name="Percent 3 3 4 2 8" xfId="60020" xr:uid="{00000000-0005-0000-0000-000017EA0000}"/>
    <cellStyle name="Percent 3 3 4 2 9" xfId="60021" xr:uid="{00000000-0005-0000-0000-000018EA0000}"/>
    <cellStyle name="Percent 3 3 4 3" xfId="60022" xr:uid="{00000000-0005-0000-0000-000019EA0000}"/>
    <cellStyle name="Percent 3 3 4 3 2" xfId="60023" xr:uid="{00000000-0005-0000-0000-00001AEA0000}"/>
    <cellStyle name="Percent 3 3 4 3 2 2" xfId="60024" xr:uid="{00000000-0005-0000-0000-00001BEA0000}"/>
    <cellStyle name="Percent 3 3 4 3 2 2 2" xfId="60025" xr:uid="{00000000-0005-0000-0000-00001CEA0000}"/>
    <cellStyle name="Percent 3 3 4 3 2 2 2 2" xfId="60026" xr:uid="{00000000-0005-0000-0000-00001DEA0000}"/>
    <cellStyle name="Percent 3 3 4 3 2 2 2 3" xfId="60027" xr:uid="{00000000-0005-0000-0000-00001EEA0000}"/>
    <cellStyle name="Percent 3 3 4 3 2 2 3" xfId="60028" xr:uid="{00000000-0005-0000-0000-00001FEA0000}"/>
    <cellStyle name="Percent 3 3 4 3 2 2 4" xfId="60029" xr:uid="{00000000-0005-0000-0000-000020EA0000}"/>
    <cellStyle name="Percent 3 3 4 3 2 2 5" xfId="60030" xr:uid="{00000000-0005-0000-0000-000021EA0000}"/>
    <cellStyle name="Percent 3 3 4 3 2 2 6" xfId="60031" xr:uid="{00000000-0005-0000-0000-000022EA0000}"/>
    <cellStyle name="Percent 3 3 4 3 2 3" xfId="60032" xr:uid="{00000000-0005-0000-0000-000023EA0000}"/>
    <cellStyle name="Percent 3 3 4 3 2 3 2" xfId="60033" xr:uid="{00000000-0005-0000-0000-000024EA0000}"/>
    <cellStyle name="Percent 3 3 4 3 2 3 3" xfId="60034" xr:uid="{00000000-0005-0000-0000-000025EA0000}"/>
    <cellStyle name="Percent 3 3 4 3 2 4" xfId="60035" xr:uid="{00000000-0005-0000-0000-000026EA0000}"/>
    <cellStyle name="Percent 3 3 4 3 2 5" xfId="60036" xr:uid="{00000000-0005-0000-0000-000027EA0000}"/>
    <cellStyle name="Percent 3 3 4 3 2 6" xfId="60037" xr:uid="{00000000-0005-0000-0000-000028EA0000}"/>
    <cellStyle name="Percent 3 3 4 3 2 7" xfId="60038" xr:uid="{00000000-0005-0000-0000-000029EA0000}"/>
    <cellStyle name="Percent 3 3 4 3 3" xfId="60039" xr:uid="{00000000-0005-0000-0000-00002AEA0000}"/>
    <cellStyle name="Percent 3 3 4 3 3 2" xfId="60040" xr:uid="{00000000-0005-0000-0000-00002BEA0000}"/>
    <cellStyle name="Percent 3 3 4 3 3 2 2" xfId="60041" xr:uid="{00000000-0005-0000-0000-00002CEA0000}"/>
    <cellStyle name="Percent 3 3 4 3 3 2 3" xfId="60042" xr:uid="{00000000-0005-0000-0000-00002DEA0000}"/>
    <cellStyle name="Percent 3 3 4 3 3 3" xfId="60043" xr:uid="{00000000-0005-0000-0000-00002EEA0000}"/>
    <cellStyle name="Percent 3 3 4 3 3 4" xfId="60044" xr:uid="{00000000-0005-0000-0000-00002FEA0000}"/>
    <cellStyle name="Percent 3 3 4 3 3 5" xfId="60045" xr:uid="{00000000-0005-0000-0000-000030EA0000}"/>
    <cellStyle name="Percent 3 3 4 3 3 6" xfId="60046" xr:uid="{00000000-0005-0000-0000-000031EA0000}"/>
    <cellStyle name="Percent 3 3 4 3 4" xfId="60047" xr:uid="{00000000-0005-0000-0000-000032EA0000}"/>
    <cellStyle name="Percent 3 3 4 3 4 2" xfId="60048" xr:uid="{00000000-0005-0000-0000-000033EA0000}"/>
    <cellStyle name="Percent 3 3 4 3 4 2 2" xfId="60049" xr:uid="{00000000-0005-0000-0000-000034EA0000}"/>
    <cellStyle name="Percent 3 3 4 3 4 2 3" xfId="60050" xr:uid="{00000000-0005-0000-0000-000035EA0000}"/>
    <cellStyle name="Percent 3 3 4 3 4 3" xfId="60051" xr:uid="{00000000-0005-0000-0000-000036EA0000}"/>
    <cellStyle name="Percent 3 3 4 3 4 4" xfId="60052" xr:uid="{00000000-0005-0000-0000-000037EA0000}"/>
    <cellStyle name="Percent 3 3 4 3 4 5" xfId="60053" xr:uid="{00000000-0005-0000-0000-000038EA0000}"/>
    <cellStyle name="Percent 3 3 4 3 4 6" xfId="60054" xr:uid="{00000000-0005-0000-0000-000039EA0000}"/>
    <cellStyle name="Percent 3 3 4 3 5" xfId="60055" xr:uid="{00000000-0005-0000-0000-00003AEA0000}"/>
    <cellStyle name="Percent 3 3 4 3 5 2" xfId="60056" xr:uid="{00000000-0005-0000-0000-00003BEA0000}"/>
    <cellStyle name="Percent 3 3 4 3 5 3" xfId="60057" xr:uid="{00000000-0005-0000-0000-00003CEA0000}"/>
    <cellStyle name="Percent 3 3 4 3 6" xfId="60058" xr:uid="{00000000-0005-0000-0000-00003DEA0000}"/>
    <cellStyle name="Percent 3 3 4 3 7" xfId="60059" xr:uid="{00000000-0005-0000-0000-00003EEA0000}"/>
    <cellStyle name="Percent 3 3 4 3 8" xfId="60060" xr:uid="{00000000-0005-0000-0000-00003FEA0000}"/>
    <cellStyle name="Percent 3 3 4 3 9" xfId="60061" xr:uid="{00000000-0005-0000-0000-000040EA0000}"/>
    <cellStyle name="Percent 3 3 4 4" xfId="60062" xr:uid="{00000000-0005-0000-0000-000041EA0000}"/>
    <cellStyle name="Percent 3 3 4 4 2" xfId="60063" xr:uid="{00000000-0005-0000-0000-000042EA0000}"/>
    <cellStyle name="Percent 3 3 4 4 2 2" xfId="60064" xr:uid="{00000000-0005-0000-0000-000043EA0000}"/>
    <cellStyle name="Percent 3 3 4 4 2 2 2" xfId="60065" xr:uid="{00000000-0005-0000-0000-000044EA0000}"/>
    <cellStyle name="Percent 3 3 4 4 2 2 3" xfId="60066" xr:uid="{00000000-0005-0000-0000-000045EA0000}"/>
    <cellStyle name="Percent 3 3 4 4 2 3" xfId="60067" xr:uid="{00000000-0005-0000-0000-000046EA0000}"/>
    <cellStyle name="Percent 3 3 4 4 2 4" xfId="60068" xr:uid="{00000000-0005-0000-0000-000047EA0000}"/>
    <cellStyle name="Percent 3 3 4 4 2 5" xfId="60069" xr:uid="{00000000-0005-0000-0000-000048EA0000}"/>
    <cellStyle name="Percent 3 3 4 4 2 6" xfId="60070" xr:uid="{00000000-0005-0000-0000-000049EA0000}"/>
    <cellStyle name="Percent 3 3 4 4 3" xfId="60071" xr:uid="{00000000-0005-0000-0000-00004AEA0000}"/>
    <cellStyle name="Percent 3 3 4 4 3 2" xfId="60072" xr:uid="{00000000-0005-0000-0000-00004BEA0000}"/>
    <cellStyle name="Percent 3 3 4 4 3 3" xfId="60073" xr:uid="{00000000-0005-0000-0000-00004CEA0000}"/>
    <cellStyle name="Percent 3 3 4 4 4" xfId="60074" xr:uid="{00000000-0005-0000-0000-00004DEA0000}"/>
    <cellStyle name="Percent 3 3 4 4 5" xfId="60075" xr:uid="{00000000-0005-0000-0000-00004EEA0000}"/>
    <cellStyle name="Percent 3 3 4 4 6" xfId="60076" xr:uid="{00000000-0005-0000-0000-00004FEA0000}"/>
    <cellStyle name="Percent 3 3 4 4 7" xfId="60077" xr:uid="{00000000-0005-0000-0000-000050EA0000}"/>
    <cellStyle name="Percent 3 3 4 5" xfId="60078" xr:uid="{00000000-0005-0000-0000-000051EA0000}"/>
    <cellStyle name="Percent 3 3 4 5 2" xfId="60079" xr:uid="{00000000-0005-0000-0000-000052EA0000}"/>
    <cellStyle name="Percent 3 3 4 5 2 2" xfId="60080" xr:uid="{00000000-0005-0000-0000-000053EA0000}"/>
    <cellStyle name="Percent 3 3 4 5 2 3" xfId="60081" xr:uid="{00000000-0005-0000-0000-000054EA0000}"/>
    <cellStyle name="Percent 3 3 4 5 3" xfId="60082" xr:uid="{00000000-0005-0000-0000-000055EA0000}"/>
    <cellStyle name="Percent 3 3 4 5 4" xfId="60083" xr:uid="{00000000-0005-0000-0000-000056EA0000}"/>
    <cellStyle name="Percent 3 3 4 5 5" xfId="60084" xr:uid="{00000000-0005-0000-0000-000057EA0000}"/>
    <cellStyle name="Percent 3 3 4 5 6" xfId="60085" xr:uid="{00000000-0005-0000-0000-000058EA0000}"/>
    <cellStyle name="Percent 3 3 4 6" xfId="60086" xr:uid="{00000000-0005-0000-0000-000059EA0000}"/>
    <cellStyle name="Percent 3 3 4 6 2" xfId="60087" xr:uid="{00000000-0005-0000-0000-00005AEA0000}"/>
    <cellStyle name="Percent 3 3 4 6 2 2" xfId="60088" xr:uid="{00000000-0005-0000-0000-00005BEA0000}"/>
    <cellStyle name="Percent 3 3 4 6 2 3" xfId="60089" xr:uid="{00000000-0005-0000-0000-00005CEA0000}"/>
    <cellStyle name="Percent 3 3 4 6 3" xfId="60090" xr:uid="{00000000-0005-0000-0000-00005DEA0000}"/>
    <cellStyle name="Percent 3 3 4 6 4" xfId="60091" xr:uid="{00000000-0005-0000-0000-00005EEA0000}"/>
    <cellStyle name="Percent 3 3 4 6 5" xfId="60092" xr:uid="{00000000-0005-0000-0000-00005FEA0000}"/>
    <cellStyle name="Percent 3 3 4 6 6" xfId="60093" xr:uid="{00000000-0005-0000-0000-000060EA0000}"/>
    <cellStyle name="Percent 3 3 4 7" xfId="60094" xr:uid="{00000000-0005-0000-0000-000061EA0000}"/>
    <cellStyle name="Percent 3 3 4 7 2" xfId="60095" xr:uid="{00000000-0005-0000-0000-000062EA0000}"/>
    <cellStyle name="Percent 3 3 4 7 2 2" xfId="60096" xr:uid="{00000000-0005-0000-0000-000063EA0000}"/>
    <cellStyle name="Percent 3 3 4 7 2 3" xfId="60097" xr:uid="{00000000-0005-0000-0000-000064EA0000}"/>
    <cellStyle name="Percent 3 3 4 7 3" xfId="60098" xr:uid="{00000000-0005-0000-0000-000065EA0000}"/>
    <cellStyle name="Percent 3 3 4 7 4" xfId="60099" xr:uid="{00000000-0005-0000-0000-000066EA0000}"/>
    <cellStyle name="Percent 3 3 4 7 5" xfId="60100" xr:uid="{00000000-0005-0000-0000-000067EA0000}"/>
    <cellStyle name="Percent 3 3 4 7 6" xfId="60101" xr:uid="{00000000-0005-0000-0000-000068EA0000}"/>
    <cellStyle name="Percent 3 3 4 8" xfId="60102" xr:uid="{00000000-0005-0000-0000-000069EA0000}"/>
    <cellStyle name="Percent 3 3 4 8 2" xfId="60103" xr:uid="{00000000-0005-0000-0000-00006AEA0000}"/>
    <cellStyle name="Percent 3 3 4 8 2 2" xfId="60104" xr:uid="{00000000-0005-0000-0000-00006BEA0000}"/>
    <cellStyle name="Percent 3 3 4 8 2 3" xfId="60105" xr:uid="{00000000-0005-0000-0000-00006CEA0000}"/>
    <cellStyle name="Percent 3 3 4 8 3" xfId="60106" xr:uid="{00000000-0005-0000-0000-00006DEA0000}"/>
    <cellStyle name="Percent 3 3 4 8 4" xfId="60107" xr:uid="{00000000-0005-0000-0000-00006EEA0000}"/>
    <cellStyle name="Percent 3 3 4 8 5" xfId="60108" xr:uid="{00000000-0005-0000-0000-00006FEA0000}"/>
    <cellStyle name="Percent 3 3 4 8 6" xfId="60109" xr:uid="{00000000-0005-0000-0000-000070EA0000}"/>
    <cellStyle name="Percent 3 3 4 9" xfId="60110" xr:uid="{00000000-0005-0000-0000-000071EA0000}"/>
    <cellStyle name="Percent 3 3 4 9 2" xfId="60111" xr:uid="{00000000-0005-0000-0000-000072EA0000}"/>
    <cellStyle name="Percent 3 3 4 9 3" xfId="60112" xr:uid="{00000000-0005-0000-0000-000073EA0000}"/>
    <cellStyle name="Percent 3 3 5" xfId="60113" xr:uid="{00000000-0005-0000-0000-000074EA0000}"/>
    <cellStyle name="Percent 3 3 5 10" xfId="60114" xr:uid="{00000000-0005-0000-0000-000075EA0000}"/>
    <cellStyle name="Percent 3 3 5 2" xfId="60115" xr:uid="{00000000-0005-0000-0000-000076EA0000}"/>
    <cellStyle name="Percent 3 3 5 2 2" xfId="60116" xr:uid="{00000000-0005-0000-0000-000077EA0000}"/>
    <cellStyle name="Percent 3 3 5 2 2 2" xfId="60117" xr:uid="{00000000-0005-0000-0000-000078EA0000}"/>
    <cellStyle name="Percent 3 3 5 2 2 2 2" xfId="60118" xr:uid="{00000000-0005-0000-0000-000079EA0000}"/>
    <cellStyle name="Percent 3 3 5 2 2 2 3" xfId="60119" xr:uid="{00000000-0005-0000-0000-00007AEA0000}"/>
    <cellStyle name="Percent 3 3 5 2 2 3" xfId="60120" xr:uid="{00000000-0005-0000-0000-00007BEA0000}"/>
    <cellStyle name="Percent 3 3 5 2 2 4" xfId="60121" xr:uid="{00000000-0005-0000-0000-00007CEA0000}"/>
    <cellStyle name="Percent 3 3 5 2 2 5" xfId="60122" xr:uid="{00000000-0005-0000-0000-00007DEA0000}"/>
    <cellStyle name="Percent 3 3 5 2 2 6" xfId="60123" xr:uid="{00000000-0005-0000-0000-00007EEA0000}"/>
    <cellStyle name="Percent 3 3 5 2 3" xfId="60124" xr:uid="{00000000-0005-0000-0000-00007FEA0000}"/>
    <cellStyle name="Percent 3 3 5 2 3 2" xfId="60125" xr:uid="{00000000-0005-0000-0000-000080EA0000}"/>
    <cellStyle name="Percent 3 3 5 2 3 2 2" xfId="60126" xr:uid="{00000000-0005-0000-0000-000081EA0000}"/>
    <cellStyle name="Percent 3 3 5 2 3 2 3" xfId="60127" xr:uid="{00000000-0005-0000-0000-000082EA0000}"/>
    <cellStyle name="Percent 3 3 5 2 3 3" xfId="60128" xr:uid="{00000000-0005-0000-0000-000083EA0000}"/>
    <cellStyle name="Percent 3 3 5 2 3 4" xfId="60129" xr:uid="{00000000-0005-0000-0000-000084EA0000}"/>
    <cellStyle name="Percent 3 3 5 2 3 5" xfId="60130" xr:uid="{00000000-0005-0000-0000-000085EA0000}"/>
    <cellStyle name="Percent 3 3 5 2 3 6" xfId="60131" xr:uid="{00000000-0005-0000-0000-000086EA0000}"/>
    <cellStyle name="Percent 3 3 5 2 4" xfId="60132" xr:uid="{00000000-0005-0000-0000-000087EA0000}"/>
    <cellStyle name="Percent 3 3 5 2 4 2" xfId="60133" xr:uid="{00000000-0005-0000-0000-000088EA0000}"/>
    <cellStyle name="Percent 3 3 5 2 4 3" xfId="60134" xr:uid="{00000000-0005-0000-0000-000089EA0000}"/>
    <cellStyle name="Percent 3 3 5 2 5" xfId="60135" xr:uid="{00000000-0005-0000-0000-00008AEA0000}"/>
    <cellStyle name="Percent 3 3 5 2 6" xfId="60136" xr:uid="{00000000-0005-0000-0000-00008BEA0000}"/>
    <cellStyle name="Percent 3 3 5 2 7" xfId="60137" xr:uid="{00000000-0005-0000-0000-00008CEA0000}"/>
    <cellStyle name="Percent 3 3 5 2 8" xfId="60138" xr:uid="{00000000-0005-0000-0000-00008DEA0000}"/>
    <cellStyle name="Percent 3 3 5 3" xfId="60139" xr:uid="{00000000-0005-0000-0000-00008EEA0000}"/>
    <cellStyle name="Percent 3 3 5 3 2" xfId="60140" xr:uid="{00000000-0005-0000-0000-00008FEA0000}"/>
    <cellStyle name="Percent 3 3 5 3 2 2" xfId="60141" xr:uid="{00000000-0005-0000-0000-000090EA0000}"/>
    <cellStyle name="Percent 3 3 5 3 2 2 2" xfId="60142" xr:uid="{00000000-0005-0000-0000-000091EA0000}"/>
    <cellStyle name="Percent 3 3 5 3 2 2 3" xfId="60143" xr:uid="{00000000-0005-0000-0000-000092EA0000}"/>
    <cellStyle name="Percent 3 3 5 3 2 3" xfId="60144" xr:uid="{00000000-0005-0000-0000-000093EA0000}"/>
    <cellStyle name="Percent 3 3 5 3 2 4" xfId="60145" xr:uid="{00000000-0005-0000-0000-000094EA0000}"/>
    <cellStyle name="Percent 3 3 5 3 2 5" xfId="60146" xr:uid="{00000000-0005-0000-0000-000095EA0000}"/>
    <cellStyle name="Percent 3 3 5 3 2 6" xfId="60147" xr:uid="{00000000-0005-0000-0000-000096EA0000}"/>
    <cellStyle name="Percent 3 3 5 3 3" xfId="60148" xr:uid="{00000000-0005-0000-0000-000097EA0000}"/>
    <cellStyle name="Percent 3 3 5 3 3 2" xfId="60149" xr:uid="{00000000-0005-0000-0000-000098EA0000}"/>
    <cellStyle name="Percent 3 3 5 3 3 3" xfId="60150" xr:uid="{00000000-0005-0000-0000-000099EA0000}"/>
    <cellStyle name="Percent 3 3 5 3 4" xfId="60151" xr:uid="{00000000-0005-0000-0000-00009AEA0000}"/>
    <cellStyle name="Percent 3 3 5 3 5" xfId="60152" xr:uid="{00000000-0005-0000-0000-00009BEA0000}"/>
    <cellStyle name="Percent 3 3 5 3 6" xfId="60153" xr:uid="{00000000-0005-0000-0000-00009CEA0000}"/>
    <cellStyle name="Percent 3 3 5 3 7" xfId="60154" xr:uid="{00000000-0005-0000-0000-00009DEA0000}"/>
    <cellStyle name="Percent 3 3 5 4" xfId="60155" xr:uid="{00000000-0005-0000-0000-00009EEA0000}"/>
    <cellStyle name="Percent 3 3 5 4 2" xfId="60156" xr:uid="{00000000-0005-0000-0000-00009FEA0000}"/>
    <cellStyle name="Percent 3 3 5 4 2 2" xfId="60157" xr:uid="{00000000-0005-0000-0000-0000A0EA0000}"/>
    <cellStyle name="Percent 3 3 5 4 2 3" xfId="60158" xr:uid="{00000000-0005-0000-0000-0000A1EA0000}"/>
    <cellStyle name="Percent 3 3 5 4 3" xfId="60159" xr:uid="{00000000-0005-0000-0000-0000A2EA0000}"/>
    <cellStyle name="Percent 3 3 5 4 4" xfId="60160" xr:uid="{00000000-0005-0000-0000-0000A3EA0000}"/>
    <cellStyle name="Percent 3 3 5 4 5" xfId="60161" xr:uid="{00000000-0005-0000-0000-0000A4EA0000}"/>
    <cellStyle name="Percent 3 3 5 4 6" xfId="60162" xr:uid="{00000000-0005-0000-0000-0000A5EA0000}"/>
    <cellStyle name="Percent 3 3 5 5" xfId="60163" xr:uid="{00000000-0005-0000-0000-0000A6EA0000}"/>
    <cellStyle name="Percent 3 3 5 5 2" xfId="60164" xr:uid="{00000000-0005-0000-0000-0000A7EA0000}"/>
    <cellStyle name="Percent 3 3 5 5 2 2" xfId="60165" xr:uid="{00000000-0005-0000-0000-0000A8EA0000}"/>
    <cellStyle name="Percent 3 3 5 5 2 3" xfId="60166" xr:uid="{00000000-0005-0000-0000-0000A9EA0000}"/>
    <cellStyle name="Percent 3 3 5 5 3" xfId="60167" xr:uid="{00000000-0005-0000-0000-0000AAEA0000}"/>
    <cellStyle name="Percent 3 3 5 5 4" xfId="60168" xr:uid="{00000000-0005-0000-0000-0000ABEA0000}"/>
    <cellStyle name="Percent 3 3 5 5 5" xfId="60169" xr:uid="{00000000-0005-0000-0000-0000ACEA0000}"/>
    <cellStyle name="Percent 3 3 5 5 6" xfId="60170" xr:uid="{00000000-0005-0000-0000-0000ADEA0000}"/>
    <cellStyle name="Percent 3 3 5 6" xfId="60171" xr:uid="{00000000-0005-0000-0000-0000AEEA0000}"/>
    <cellStyle name="Percent 3 3 5 6 2" xfId="60172" xr:uid="{00000000-0005-0000-0000-0000AFEA0000}"/>
    <cellStyle name="Percent 3 3 5 6 3" xfId="60173" xr:uid="{00000000-0005-0000-0000-0000B0EA0000}"/>
    <cellStyle name="Percent 3 3 5 7" xfId="60174" xr:uid="{00000000-0005-0000-0000-0000B1EA0000}"/>
    <cellStyle name="Percent 3 3 5 8" xfId="60175" xr:uid="{00000000-0005-0000-0000-0000B2EA0000}"/>
    <cellStyle name="Percent 3 3 5 9" xfId="60176" xr:uid="{00000000-0005-0000-0000-0000B3EA0000}"/>
    <cellStyle name="Percent 3 3 6" xfId="60177" xr:uid="{00000000-0005-0000-0000-0000B4EA0000}"/>
    <cellStyle name="Percent 3 3 6 2" xfId="60178" xr:uid="{00000000-0005-0000-0000-0000B5EA0000}"/>
    <cellStyle name="Percent 3 3 6 2 2" xfId="60179" xr:uid="{00000000-0005-0000-0000-0000B6EA0000}"/>
    <cellStyle name="Percent 3 3 6 2 2 2" xfId="60180" xr:uid="{00000000-0005-0000-0000-0000B7EA0000}"/>
    <cellStyle name="Percent 3 3 6 2 2 2 2" xfId="60181" xr:uid="{00000000-0005-0000-0000-0000B8EA0000}"/>
    <cellStyle name="Percent 3 3 6 2 2 2 3" xfId="60182" xr:uid="{00000000-0005-0000-0000-0000B9EA0000}"/>
    <cellStyle name="Percent 3 3 6 2 2 3" xfId="60183" xr:uid="{00000000-0005-0000-0000-0000BAEA0000}"/>
    <cellStyle name="Percent 3 3 6 2 2 4" xfId="60184" xr:uid="{00000000-0005-0000-0000-0000BBEA0000}"/>
    <cellStyle name="Percent 3 3 6 2 2 5" xfId="60185" xr:uid="{00000000-0005-0000-0000-0000BCEA0000}"/>
    <cellStyle name="Percent 3 3 6 2 2 6" xfId="60186" xr:uid="{00000000-0005-0000-0000-0000BDEA0000}"/>
    <cellStyle name="Percent 3 3 6 2 3" xfId="60187" xr:uid="{00000000-0005-0000-0000-0000BEEA0000}"/>
    <cellStyle name="Percent 3 3 6 2 3 2" xfId="60188" xr:uid="{00000000-0005-0000-0000-0000BFEA0000}"/>
    <cellStyle name="Percent 3 3 6 2 3 3" xfId="60189" xr:uid="{00000000-0005-0000-0000-0000C0EA0000}"/>
    <cellStyle name="Percent 3 3 6 2 4" xfId="60190" xr:uid="{00000000-0005-0000-0000-0000C1EA0000}"/>
    <cellStyle name="Percent 3 3 6 2 5" xfId="60191" xr:uid="{00000000-0005-0000-0000-0000C2EA0000}"/>
    <cellStyle name="Percent 3 3 6 2 6" xfId="60192" xr:uid="{00000000-0005-0000-0000-0000C3EA0000}"/>
    <cellStyle name="Percent 3 3 6 2 7" xfId="60193" xr:uid="{00000000-0005-0000-0000-0000C4EA0000}"/>
    <cellStyle name="Percent 3 3 6 3" xfId="60194" xr:uid="{00000000-0005-0000-0000-0000C5EA0000}"/>
    <cellStyle name="Percent 3 3 6 3 2" xfId="60195" xr:uid="{00000000-0005-0000-0000-0000C6EA0000}"/>
    <cellStyle name="Percent 3 3 6 3 2 2" xfId="60196" xr:uid="{00000000-0005-0000-0000-0000C7EA0000}"/>
    <cellStyle name="Percent 3 3 6 3 2 3" xfId="60197" xr:uid="{00000000-0005-0000-0000-0000C8EA0000}"/>
    <cellStyle name="Percent 3 3 6 3 3" xfId="60198" xr:uid="{00000000-0005-0000-0000-0000C9EA0000}"/>
    <cellStyle name="Percent 3 3 6 3 4" xfId="60199" xr:uid="{00000000-0005-0000-0000-0000CAEA0000}"/>
    <cellStyle name="Percent 3 3 6 3 5" xfId="60200" xr:uid="{00000000-0005-0000-0000-0000CBEA0000}"/>
    <cellStyle name="Percent 3 3 6 3 6" xfId="60201" xr:uid="{00000000-0005-0000-0000-0000CCEA0000}"/>
    <cellStyle name="Percent 3 3 6 4" xfId="60202" xr:uid="{00000000-0005-0000-0000-0000CDEA0000}"/>
    <cellStyle name="Percent 3 3 6 4 2" xfId="60203" xr:uid="{00000000-0005-0000-0000-0000CEEA0000}"/>
    <cellStyle name="Percent 3 3 6 4 2 2" xfId="60204" xr:uid="{00000000-0005-0000-0000-0000CFEA0000}"/>
    <cellStyle name="Percent 3 3 6 4 2 3" xfId="60205" xr:uid="{00000000-0005-0000-0000-0000D0EA0000}"/>
    <cellStyle name="Percent 3 3 6 4 3" xfId="60206" xr:uid="{00000000-0005-0000-0000-0000D1EA0000}"/>
    <cellStyle name="Percent 3 3 6 4 4" xfId="60207" xr:uid="{00000000-0005-0000-0000-0000D2EA0000}"/>
    <cellStyle name="Percent 3 3 6 4 5" xfId="60208" xr:uid="{00000000-0005-0000-0000-0000D3EA0000}"/>
    <cellStyle name="Percent 3 3 6 4 6" xfId="60209" xr:uid="{00000000-0005-0000-0000-0000D4EA0000}"/>
    <cellStyle name="Percent 3 3 6 5" xfId="60210" xr:uid="{00000000-0005-0000-0000-0000D5EA0000}"/>
    <cellStyle name="Percent 3 3 6 5 2" xfId="60211" xr:uid="{00000000-0005-0000-0000-0000D6EA0000}"/>
    <cellStyle name="Percent 3 3 6 5 3" xfId="60212" xr:uid="{00000000-0005-0000-0000-0000D7EA0000}"/>
    <cellStyle name="Percent 3 3 6 6" xfId="60213" xr:uid="{00000000-0005-0000-0000-0000D8EA0000}"/>
    <cellStyle name="Percent 3 3 6 7" xfId="60214" xr:uid="{00000000-0005-0000-0000-0000D9EA0000}"/>
    <cellStyle name="Percent 3 3 6 8" xfId="60215" xr:uid="{00000000-0005-0000-0000-0000DAEA0000}"/>
    <cellStyle name="Percent 3 3 6 9" xfId="60216" xr:uid="{00000000-0005-0000-0000-0000DBEA0000}"/>
    <cellStyle name="Percent 3 3 7" xfId="60217" xr:uid="{00000000-0005-0000-0000-0000DCEA0000}"/>
    <cellStyle name="Percent 3 3 7 2" xfId="60218" xr:uid="{00000000-0005-0000-0000-0000DDEA0000}"/>
    <cellStyle name="Percent 3 3 7 2 2" xfId="60219" xr:uid="{00000000-0005-0000-0000-0000DEEA0000}"/>
    <cellStyle name="Percent 3 3 7 2 2 2" xfId="60220" xr:uid="{00000000-0005-0000-0000-0000DFEA0000}"/>
    <cellStyle name="Percent 3 3 7 2 2 3" xfId="60221" xr:uid="{00000000-0005-0000-0000-0000E0EA0000}"/>
    <cellStyle name="Percent 3 3 7 2 3" xfId="60222" xr:uid="{00000000-0005-0000-0000-0000E1EA0000}"/>
    <cellStyle name="Percent 3 3 7 2 4" xfId="60223" xr:uid="{00000000-0005-0000-0000-0000E2EA0000}"/>
    <cellStyle name="Percent 3 3 7 2 5" xfId="60224" xr:uid="{00000000-0005-0000-0000-0000E3EA0000}"/>
    <cellStyle name="Percent 3 3 7 2 6" xfId="60225" xr:uid="{00000000-0005-0000-0000-0000E4EA0000}"/>
    <cellStyle name="Percent 3 3 7 3" xfId="60226" xr:uid="{00000000-0005-0000-0000-0000E5EA0000}"/>
    <cellStyle name="Percent 3 3 7 3 2" xfId="60227" xr:uid="{00000000-0005-0000-0000-0000E6EA0000}"/>
    <cellStyle name="Percent 3 3 7 3 3" xfId="60228" xr:uid="{00000000-0005-0000-0000-0000E7EA0000}"/>
    <cellStyle name="Percent 3 3 7 4" xfId="60229" xr:uid="{00000000-0005-0000-0000-0000E8EA0000}"/>
    <cellStyle name="Percent 3 3 7 5" xfId="60230" xr:uid="{00000000-0005-0000-0000-0000E9EA0000}"/>
    <cellStyle name="Percent 3 3 7 6" xfId="60231" xr:uid="{00000000-0005-0000-0000-0000EAEA0000}"/>
    <cellStyle name="Percent 3 3 7 7" xfId="60232" xr:uid="{00000000-0005-0000-0000-0000EBEA0000}"/>
    <cellStyle name="Percent 3 3 8" xfId="60233" xr:uid="{00000000-0005-0000-0000-0000ECEA0000}"/>
    <cellStyle name="Percent 3 3 8 2" xfId="60234" xr:uid="{00000000-0005-0000-0000-0000EDEA0000}"/>
    <cellStyle name="Percent 3 3 8 2 2" xfId="60235" xr:uid="{00000000-0005-0000-0000-0000EEEA0000}"/>
    <cellStyle name="Percent 3 3 8 2 3" xfId="60236" xr:uid="{00000000-0005-0000-0000-0000EFEA0000}"/>
    <cellStyle name="Percent 3 3 8 3" xfId="60237" xr:uid="{00000000-0005-0000-0000-0000F0EA0000}"/>
    <cellStyle name="Percent 3 3 8 4" xfId="60238" xr:uid="{00000000-0005-0000-0000-0000F1EA0000}"/>
    <cellStyle name="Percent 3 3 8 5" xfId="60239" xr:uid="{00000000-0005-0000-0000-0000F2EA0000}"/>
    <cellStyle name="Percent 3 3 8 6" xfId="60240" xr:uid="{00000000-0005-0000-0000-0000F3EA0000}"/>
    <cellStyle name="Percent 3 3 9" xfId="60241" xr:uid="{00000000-0005-0000-0000-0000F4EA0000}"/>
    <cellStyle name="Percent 3 3 9 2" xfId="60242" xr:uid="{00000000-0005-0000-0000-0000F5EA0000}"/>
    <cellStyle name="Percent 3 3 9 2 2" xfId="60243" xr:uid="{00000000-0005-0000-0000-0000F6EA0000}"/>
    <cellStyle name="Percent 3 3 9 2 3" xfId="60244" xr:uid="{00000000-0005-0000-0000-0000F7EA0000}"/>
    <cellStyle name="Percent 3 3 9 3" xfId="60245" xr:uid="{00000000-0005-0000-0000-0000F8EA0000}"/>
    <cellStyle name="Percent 3 3 9 4" xfId="60246" xr:uid="{00000000-0005-0000-0000-0000F9EA0000}"/>
    <cellStyle name="Percent 3 3 9 5" xfId="60247" xr:uid="{00000000-0005-0000-0000-0000FAEA0000}"/>
    <cellStyle name="Percent 3 3 9 6" xfId="60248" xr:uid="{00000000-0005-0000-0000-0000FBEA0000}"/>
    <cellStyle name="Percent 3 4" xfId="568" xr:uid="{00000000-0005-0000-0000-0000FCEA0000}"/>
    <cellStyle name="Percent 3 4 2" xfId="569" xr:uid="{00000000-0005-0000-0000-0000FDEA0000}"/>
    <cellStyle name="Percent 3 5" xfId="570" xr:uid="{00000000-0005-0000-0000-0000FEEA0000}"/>
    <cellStyle name="Percent 3 5 10" xfId="60249" xr:uid="{00000000-0005-0000-0000-0000FFEA0000}"/>
    <cellStyle name="Percent 3 5 10 2" xfId="60250" xr:uid="{00000000-0005-0000-0000-000000EB0000}"/>
    <cellStyle name="Percent 3 5 10 3" xfId="60251" xr:uid="{00000000-0005-0000-0000-000001EB0000}"/>
    <cellStyle name="Percent 3 5 11" xfId="60252" xr:uid="{00000000-0005-0000-0000-000002EB0000}"/>
    <cellStyle name="Percent 3 5 12" xfId="60253" xr:uid="{00000000-0005-0000-0000-000003EB0000}"/>
    <cellStyle name="Percent 3 5 13" xfId="60254" xr:uid="{00000000-0005-0000-0000-000004EB0000}"/>
    <cellStyle name="Percent 3 5 14" xfId="60255" xr:uid="{00000000-0005-0000-0000-000005EB0000}"/>
    <cellStyle name="Percent 3 5 2" xfId="60256" xr:uid="{00000000-0005-0000-0000-000006EB0000}"/>
    <cellStyle name="Percent 3 5 2 10" xfId="60257" xr:uid="{00000000-0005-0000-0000-000007EB0000}"/>
    <cellStyle name="Percent 3 5 2 11" xfId="60258" xr:uid="{00000000-0005-0000-0000-000008EB0000}"/>
    <cellStyle name="Percent 3 5 2 12" xfId="60259" xr:uid="{00000000-0005-0000-0000-000009EB0000}"/>
    <cellStyle name="Percent 3 5 2 13" xfId="60260" xr:uid="{00000000-0005-0000-0000-00000AEB0000}"/>
    <cellStyle name="Percent 3 5 2 2" xfId="60261" xr:uid="{00000000-0005-0000-0000-00000BEB0000}"/>
    <cellStyle name="Percent 3 5 2 2 10" xfId="60262" xr:uid="{00000000-0005-0000-0000-00000CEB0000}"/>
    <cellStyle name="Percent 3 5 2 2 2" xfId="60263" xr:uid="{00000000-0005-0000-0000-00000DEB0000}"/>
    <cellStyle name="Percent 3 5 2 2 2 2" xfId="60264" xr:uid="{00000000-0005-0000-0000-00000EEB0000}"/>
    <cellStyle name="Percent 3 5 2 2 2 2 2" xfId="60265" xr:uid="{00000000-0005-0000-0000-00000FEB0000}"/>
    <cellStyle name="Percent 3 5 2 2 2 2 2 2" xfId="60266" xr:uid="{00000000-0005-0000-0000-000010EB0000}"/>
    <cellStyle name="Percent 3 5 2 2 2 2 2 3" xfId="60267" xr:uid="{00000000-0005-0000-0000-000011EB0000}"/>
    <cellStyle name="Percent 3 5 2 2 2 2 3" xfId="60268" xr:uid="{00000000-0005-0000-0000-000012EB0000}"/>
    <cellStyle name="Percent 3 5 2 2 2 2 4" xfId="60269" xr:uid="{00000000-0005-0000-0000-000013EB0000}"/>
    <cellStyle name="Percent 3 5 2 2 2 2 5" xfId="60270" xr:uid="{00000000-0005-0000-0000-000014EB0000}"/>
    <cellStyle name="Percent 3 5 2 2 2 2 6" xfId="60271" xr:uid="{00000000-0005-0000-0000-000015EB0000}"/>
    <cellStyle name="Percent 3 5 2 2 2 3" xfId="60272" xr:uid="{00000000-0005-0000-0000-000016EB0000}"/>
    <cellStyle name="Percent 3 5 2 2 2 3 2" xfId="60273" xr:uid="{00000000-0005-0000-0000-000017EB0000}"/>
    <cellStyle name="Percent 3 5 2 2 2 3 2 2" xfId="60274" xr:uid="{00000000-0005-0000-0000-000018EB0000}"/>
    <cellStyle name="Percent 3 5 2 2 2 3 2 3" xfId="60275" xr:uid="{00000000-0005-0000-0000-000019EB0000}"/>
    <cellStyle name="Percent 3 5 2 2 2 3 3" xfId="60276" xr:uid="{00000000-0005-0000-0000-00001AEB0000}"/>
    <cellStyle name="Percent 3 5 2 2 2 3 4" xfId="60277" xr:uid="{00000000-0005-0000-0000-00001BEB0000}"/>
    <cellStyle name="Percent 3 5 2 2 2 3 5" xfId="60278" xr:uid="{00000000-0005-0000-0000-00001CEB0000}"/>
    <cellStyle name="Percent 3 5 2 2 2 3 6" xfId="60279" xr:uid="{00000000-0005-0000-0000-00001DEB0000}"/>
    <cellStyle name="Percent 3 5 2 2 2 4" xfId="60280" xr:uid="{00000000-0005-0000-0000-00001EEB0000}"/>
    <cellStyle name="Percent 3 5 2 2 2 4 2" xfId="60281" xr:uid="{00000000-0005-0000-0000-00001FEB0000}"/>
    <cellStyle name="Percent 3 5 2 2 2 4 3" xfId="60282" xr:uid="{00000000-0005-0000-0000-000020EB0000}"/>
    <cellStyle name="Percent 3 5 2 2 2 5" xfId="60283" xr:uid="{00000000-0005-0000-0000-000021EB0000}"/>
    <cellStyle name="Percent 3 5 2 2 2 6" xfId="60284" xr:uid="{00000000-0005-0000-0000-000022EB0000}"/>
    <cellStyle name="Percent 3 5 2 2 2 7" xfId="60285" xr:uid="{00000000-0005-0000-0000-000023EB0000}"/>
    <cellStyle name="Percent 3 5 2 2 2 8" xfId="60286" xr:uid="{00000000-0005-0000-0000-000024EB0000}"/>
    <cellStyle name="Percent 3 5 2 2 3" xfId="60287" xr:uid="{00000000-0005-0000-0000-000025EB0000}"/>
    <cellStyle name="Percent 3 5 2 2 3 2" xfId="60288" xr:uid="{00000000-0005-0000-0000-000026EB0000}"/>
    <cellStyle name="Percent 3 5 2 2 3 2 2" xfId="60289" xr:uid="{00000000-0005-0000-0000-000027EB0000}"/>
    <cellStyle name="Percent 3 5 2 2 3 2 2 2" xfId="60290" xr:uid="{00000000-0005-0000-0000-000028EB0000}"/>
    <cellStyle name="Percent 3 5 2 2 3 2 2 3" xfId="60291" xr:uid="{00000000-0005-0000-0000-000029EB0000}"/>
    <cellStyle name="Percent 3 5 2 2 3 2 3" xfId="60292" xr:uid="{00000000-0005-0000-0000-00002AEB0000}"/>
    <cellStyle name="Percent 3 5 2 2 3 2 4" xfId="60293" xr:uid="{00000000-0005-0000-0000-00002BEB0000}"/>
    <cellStyle name="Percent 3 5 2 2 3 2 5" xfId="60294" xr:uid="{00000000-0005-0000-0000-00002CEB0000}"/>
    <cellStyle name="Percent 3 5 2 2 3 2 6" xfId="60295" xr:uid="{00000000-0005-0000-0000-00002DEB0000}"/>
    <cellStyle name="Percent 3 5 2 2 3 3" xfId="60296" xr:uid="{00000000-0005-0000-0000-00002EEB0000}"/>
    <cellStyle name="Percent 3 5 2 2 3 3 2" xfId="60297" xr:uid="{00000000-0005-0000-0000-00002FEB0000}"/>
    <cellStyle name="Percent 3 5 2 2 3 3 3" xfId="60298" xr:uid="{00000000-0005-0000-0000-000030EB0000}"/>
    <cellStyle name="Percent 3 5 2 2 3 4" xfId="60299" xr:uid="{00000000-0005-0000-0000-000031EB0000}"/>
    <cellStyle name="Percent 3 5 2 2 3 5" xfId="60300" xr:uid="{00000000-0005-0000-0000-000032EB0000}"/>
    <cellStyle name="Percent 3 5 2 2 3 6" xfId="60301" xr:uid="{00000000-0005-0000-0000-000033EB0000}"/>
    <cellStyle name="Percent 3 5 2 2 3 7" xfId="60302" xr:uid="{00000000-0005-0000-0000-000034EB0000}"/>
    <cellStyle name="Percent 3 5 2 2 4" xfId="60303" xr:uid="{00000000-0005-0000-0000-000035EB0000}"/>
    <cellStyle name="Percent 3 5 2 2 4 2" xfId="60304" xr:uid="{00000000-0005-0000-0000-000036EB0000}"/>
    <cellStyle name="Percent 3 5 2 2 4 2 2" xfId="60305" xr:uid="{00000000-0005-0000-0000-000037EB0000}"/>
    <cellStyle name="Percent 3 5 2 2 4 2 3" xfId="60306" xr:uid="{00000000-0005-0000-0000-000038EB0000}"/>
    <cellStyle name="Percent 3 5 2 2 4 3" xfId="60307" xr:uid="{00000000-0005-0000-0000-000039EB0000}"/>
    <cellStyle name="Percent 3 5 2 2 4 4" xfId="60308" xr:uid="{00000000-0005-0000-0000-00003AEB0000}"/>
    <cellStyle name="Percent 3 5 2 2 4 5" xfId="60309" xr:uid="{00000000-0005-0000-0000-00003BEB0000}"/>
    <cellStyle name="Percent 3 5 2 2 4 6" xfId="60310" xr:uid="{00000000-0005-0000-0000-00003CEB0000}"/>
    <cellStyle name="Percent 3 5 2 2 5" xfId="60311" xr:uid="{00000000-0005-0000-0000-00003DEB0000}"/>
    <cellStyle name="Percent 3 5 2 2 5 2" xfId="60312" xr:uid="{00000000-0005-0000-0000-00003EEB0000}"/>
    <cellStyle name="Percent 3 5 2 2 5 2 2" xfId="60313" xr:uid="{00000000-0005-0000-0000-00003FEB0000}"/>
    <cellStyle name="Percent 3 5 2 2 5 2 3" xfId="60314" xr:uid="{00000000-0005-0000-0000-000040EB0000}"/>
    <cellStyle name="Percent 3 5 2 2 5 3" xfId="60315" xr:uid="{00000000-0005-0000-0000-000041EB0000}"/>
    <cellStyle name="Percent 3 5 2 2 5 4" xfId="60316" xr:uid="{00000000-0005-0000-0000-000042EB0000}"/>
    <cellStyle name="Percent 3 5 2 2 5 5" xfId="60317" xr:uid="{00000000-0005-0000-0000-000043EB0000}"/>
    <cellStyle name="Percent 3 5 2 2 5 6" xfId="60318" xr:uid="{00000000-0005-0000-0000-000044EB0000}"/>
    <cellStyle name="Percent 3 5 2 2 6" xfId="60319" xr:uid="{00000000-0005-0000-0000-000045EB0000}"/>
    <cellStyle name="Percent 3 5 2 2 6 2" xfId="60320" xr:uid="{00000000-0005-0000-0000-000046EB0000}"/>
    <cellStyle name="Percent 3 5 2 2 6 3" xfId="60321" xr:uid="{00000000-0005-0000-0000-000047EB0000}"/>
    <cellStyle name="Percent 3 5 2 2 7" xfId="60322" xr:uid="{00000000-0005-0000-0000-000048EB0000}"/>
    <cellStyle name="Percent 3 5 2 2 8" xfId="60323" xr:uid="{00000000-0005-0000-0000-000049EB0000}"/>
    <cellStyle name="Percent 3 5 2 2 9" xfId="60324" xr:uid="{00000000-0005-0000-0000-00004AEB0000}"/>
    <cellStyle name="Percent 3 5 2 3" xfId="60325" xr:uid="{00000000-0005-0000-0000-00004BEB0000}"/>
    <cellStyle name="Percent 3 5 2 3 2" xfId="60326" xr:uid="{00000000-0005-0000-0000-00004CEB0000}"/>
    <cellStyle name="Percent 3 5 2 3 2 2" xfId="60327" xr:uid="{00000000-0005-0000-0000-00004DEB0000}"/>
    <cellStyle name="Percent 3 5 2 3 2 2 2" xfId="60328" xr:uid="{00000000-0005-0000-0000-00004EEB0000}"/>
    <cellStyle name="Percent 3 5 2 3 2 2 2 2" xfId="60329" xr:uid="{00000000-0005-0000-0000-00004FEB0000}"/>
    <cellStyle name="Percent 3 5 2 3 2 2 2 3" xfId="60330" xr:uid="{00000000-0005-0000-0000-000050EB0000}"/>
    <cellStyle name="Percent 3 5 2 3 2 2 3" xfId="60331" xr:uid="{00000000-0005-0000-0000-000051EB0000}"/>
    <cellStyle name="Percent 3 5 2 3 2 2 4" xfId="60332" xr:uid="{00000000-0005-0000-0000-000052EB0000}"/>
    <cellStyle name="Percent 3 5 2 3 2 2 5" xfId="60333" xr:uid="{00000000-0005-0000-0000-000053EB0000}"/>
    <cellStyle name="Percent 3 5 2 3 2 2 6" xfId="60334" xr:uid="{00000000-0005-0000-0000-000054EB0000}"/>
    <cellStyle name="Percent 3 5 2 3 2 3" xfId="60335" xr:uid="{00000000-0005-0000-0000-000055EB0000}"/>
    <cellStyle name="Percent 3 5 2 3 2 3 2" xfId="60336" xr:uid="{00000000-0005-0000-0000-000056EB0000}"/>
    <cellStyle name="Percent 3 5 2 3 2 3 3" xfId="60337" xr:uid="{00000000-0005-0000-0000-000057EB0000}"/>
    <cellStyle name="Percent 3 5 2 3 2 4" xfId="60338" xr:uid="{00000000-0005-0000-0000-000058EB0000}"/>
    <cellStyle name="Percent 3 5 2 3 2 5" xfId="60339" xr:uid="{00000000-0005-0000-0000-000059EB0000}"/>
    <cellStyle name="Percent 3 5 2 3 2 6" xfId="60340" xr:uid="{00000000-0005-0000-0000-00005AEB0000}"/>
    <cellStyle name="Percent 3 5 2 3 2 7" xfId="60341" xr:uid="{00000000-0005-0000-0000-00005BEB0000}"/>
    <cellStyle name="Percent 3 5 2 3 3" xfId="60342" xr:uid="{00000000-0005-0000-0000-00005CEB0000}"/>
    <cellStyle name="Percent 3 5 2 3 3 2" xfId="60343" xr:uid="{00000000-0005-0000-0000-00005DEB0000}"/>
    <cellStyle name="Percent 3 5 2 3 3 2 2" xfId="60344" xr:uid="{00000000-0005-0000-0000-00005EEB0000}"/>
    <cellStyle name="Percent 3 5 2 3 3 2 3" xfId="60345" xr:uid="{00000000-0005-0000-0000-00005FEB0000}"/>
    <cellStyle name="Percent 3 5 2 3 3 3" xfId="60346" xr:uid="{00000000-0005-0000-0000-000060EB0000}"/>
    <cellStyle name="Percent 3 5 2 3 3 4" xfId="60347" xr:uid="{00000000-0005-0000-0000-000061EB0000}"/>
    <cellStyle name="Percent 3 5 2 3 3 5" xfId="60348" xr:uid="{00000000-0005-0000-0000-000062EB0000}"/>
    <cellStyle name="Percent 3 5 2 3 3 6" xfId="60349" xr:uid="{00000000-0005-0000-0000-000063EB0000}"/>
    <cellStyle name="Percent 3 5 2 3 4" xfId="60350" xr:uid="{00000000-0005-0000-0000-000064EB0000}"/>
    <cellStyle name="Percent 3 5 2 3 4 2" xfId="60351" xr:uid="{00000000-0005-0000-0000-000065EB0000}"/>
    <cellStyle name="Percent 3 5 2 3 4 2 2" xfId="60352" xr:uid="{00000000-0005-0000-0000-000066EB0000}"/>
    <cellStyle name="Percent 3 5 2 3 4 2 3" xfId="60353" xr:uid="{00000000-0005-0000-0000-000067EB0000}"/>
    <cellStyle name="Percent 3 5 2 3 4 3" xfId="60354" xr:uid="{00000000-0005-0000-0000-000068EB0000}"/>
    <cellStyle name="Percent 3 5 2 3 4 4" xfId="60355" xr:uid="{00000000-0005-0000-0000-000069EB0000}"/>
    <cellStyle name="Percent 3 5 2 3 4 5" xfId="60356" xr:uid="{00000000-0005-0000-0000-00006AEB0000}"/>
    <cellStyle name="Percent 3 5 2 3 4 6" xfId="60357" xr:uid="{00000000-0005-0000-0000-00006BEB0000}"/>
    <cellStyle name="Percent 3 5 2 3 5" xfId="60358" xr:uid="{00000000-0005-0000-0000-00006CEB0000}"/>
    <cellStyle name="Percent 3 5 2 3 5 2" xfId="60359" xr:uid="{00000000-0005-0000-0000-00006DEB0000}"/>
    <cellStyle name="Percent 3 5 2 3 5 3" xfId="60360" xr:uid="{00000000-0005-0000-0000-00006EEB0000}"/>
    <cellStyle name="Percent 3 5 2 3 6" xfId="60361" xr:uid="{00000000-0005-0000-0000-00006FEB0000}"/>
    <cellStyle name="Percent 3 5 2 3 7" xfId="60362" xr:uid="{00000000-0005-0000-0000-000070EB0000}"/>
    <cellStyle name="Percent 3 5 2 3 8" xfId="60363" xr:uid="{00000000-0005-0000-0000-000071EB0000}"/>
    <cellStyle name="Percent 3 5 2 3 9" xfId="60364" xr:uid="{00000000-0005-0000-0000-000072EB0000}"/>
    <cellStyle name="Percent 3 5 2 4" xfId="60365" xr:uid="{00000000-0005-0000-0000-000073EB0000}"/>
    <cellStyle name="Percent 3 5 2 4 2" xfId="60366" xr:uid="{00000000-0005-0000-0000-000074EB0000}"/>
    <cellStyle name="Percent 3 5 2 4 2 2" xfId="60367" xr:uid="{00000000-0005-0000-0000-000075EB0000}"/>
    <cellStyle name="Percent 3 5 2 4 2 2 2" xfId="60368" xr:uid="{00000000-0005-0000-0000-000076EB0000}"/>
    <cellStyle name="Percent 3 5 2 4 2 2 3" xfId="60369" xr:uid="{00000000-0005-0000-0000-000077EB0000}"/>
    <cellStyle name="Percent 3 5 2 4 2 3" xfId="60370" xr:uid="{00000000-0005-0000-0000-000078EB0000}"/>
    <cellStyle name="Percent 3 5 2 4 2 4" xfId="60371" xr:uid="{00000000-0005-0000-0000-000079EB0000}"/>
    <cellStyle name="Percent 3 5 2 4 2 5" xfId="60372" xr:uid="{00000000-0005-0000-0000-00007AEB0000}"/>
    <cellStyle name="Percent 3 5 2 4 2 6" xfId="60373" xr:uid="{00000000-0005-0000-0000-00007BEB0000}"/>
    <cellStyle name="Percent 3 5 2 4 3" xfId="60374" xr:uid="{00000000-0005-0000-0000-00007CEB0000}"/>
    <cellStyle name="Percent 3 5 2 4 3 2" xfId="60375" xr:uid="{00000000-0005-0000-0000-00007DEB0000}"/>
    <cellStyle name="Percent 3 5 2 4 3 3" xfId="60376" xr:uid="{00000000-0005-0000-0000-00007EEB0000}"/>
    <cellStyle name="Percent 3 5 2 4 4" xfId="60377" xr:uid="{00000000-0005-0000-0000-00007FEB0000}"/>
    <cellStyle name="Percent 3 5 2 4 5" xfId="60378" xr:uid="{00000000-0005-0000-0000-000080EB0000}"/>
    <cellStyle name="Percent 3 5 2 4 6" xfId="60379" xr:uid="{00000000-0005-0000-0000-000081EB0000}"/>
    <cellStyle name="Percent 3 5 2 4 7" xfId="60380" xr:uid="{00000000-0005-0000-0000-000082EB0000}"/>
    <cellStyle name="Percent 3 5 2 5" xfId="60381" xr:uid="{00000000-0005-0000-0000-000083EB0000}"/>
    <cellStyle name="Percent 3 5 2 5 2" xfId="60382" xr:uid="{00000000-0005-0000-0000-000084EB0000}"/>
    <cellStyle name="Percent 3 5 2 5 2 2" xfId="60383" xr:uid="{00000000-0005-0000-0000-000085EB0000}"/>
    <cellStyle name="Percent 3 5 2 5 2 3" xfId="60384" xr:uid="{00000000-0005-0000-0000-000086EB0000}"/>
    <cellStyle name="Percent 3 5 2 5 3" xfId="60385" xr:uid="{00000000-0005-0000-0000-000087EB0000}"/>
    <cellStyle name="Percent 3 5 2 5 4" xfId="60386" xr:uid="{00000000-0005-0000-0000-000088EB0000}"/>
    <cellStyle name="Percent 3 5 2 5 5" xfId="60387" xr:uid="{00000000-0005-0000-0000-000089EB0000}"/>
    <cellStyle name="Percent 3 5 2 5 6" xfId="60388" xr:uid="{00000000-0005-0000-0000-00008AEB0000}"/>
    <cellStyle name="Percent 3 5 2 6" xfId="60389" xr:uid="{00000000-0005-0000-0000-00008BEB0000}"/>
    <cellStyle name="Percent 3 5 2 6 2" xfId="60390" xr:uid="{00000000-0005-0000-0000-00008CEB0000}"/>
    <cellStyle name="Percent 3 5 2 6 2 2" xfId="60391" xr:uid="{00000000-0005-0000-0000-00008DEB0000}"/>
    <cellStyle name="Percent 3 5 2 6 2 3" xfId="60392" xr:uid="{00000000-0005-0000-0000-00008EEB0000}"/>
    <cellStyle name="Percent 3 5 2 6 3" xfId="60393" xr:uid="{00000000-0005-0000-0000-00008FEB0000}"/>
    <cellStyle name="Percent 3 5 2 6 4" xfId="60394" xr:uid="{00000000-0005-0000-0000-000090EB0000}"/>
    <cellStyle name="Percent 3 5 2 6 5" xfId="60395" xr:uid="{00000000-0005-0000-0000-000091EB0000}"/>
    <cellStyle name="Percent 3 5 2 6 6" xfId="60396" xr:uid="{00000000-0005-0000-0000-000092EB0000}"/>
    <cellStyle name="Percent 3 5 2 7" xfId="60397" xr:uid="{00000000-0005-0000-0000-000093EB0000}"/>
    <cellStyle name="Percent 3 5 2 7 2" xfId="60398" xr:uid="{00000000-0005-0000-0000-000094EB0000}"/>
    <cellStyle name="Percent 3 5 2 7 2 2" xfId="60399" xr:uid="{00000000-0005-0000-0000-000095EB0000}"/>
    <cellStyle name="Percent 3 5 2 7 2 3" xfId="60400" xr:uid="{00000000-0005-0000-0000-000096EB0000}"/>
    <cellStyle name="Percent 3 5 2 7 3" xfId="60401" xr:uid="{00000000-0005-0000-0000-000097EB0000}"/>
    <cellStyle name="Percent 3 5 2 7 4" xfId="60402" xr:uid="{00000000-0005-0000-0000-000098EB0000}"/>
    <cellStyle name="Percent 3 5 2 7 5" xfId="60403" xr:uid="{00000000-0005-0000-0000-000099EB0000}"/>
    <cellStyle name="Percent 3 5 2 7 6" xfId="60404" xr:uid="{00000000-0005-0000-0000-00009AEB0000}"/>
    <cellStyle name="Percent 3 5 2 8" xfId="60405" xr:uid="{00000000-0005-0000-0000-00009BEB0000}"/>
    <cellStyle name="Percent 3 5 2 8 2" xfId="60406" xr:uid="{00000000-0005-0000-0000-00009CEB0000}"/>
    <cellStyle name="Percent 3 5 2 8 2 2" xfId="60407" xr:uid="{00000000-0005-0000-0000-00009DEB0000}"/>
    <cellStyle name="Percent 3 5 2 8 2 3" xfId="60408" xr:uid="{00000000-0005-0000-0000-00009EEB0000}"/>
    <cellStyle name="Percent 3 5 2 8 3" xfId="60409" xr:uid="{00000000-0005-0000-0000-00009FEB0000}"/>
    <cellStyle name="Percent 3 5 2 8 4" xfId="60410" xr:uid="{00000000-0005-0000-0000-0000A0EB0000}"/>
    <cellStyle name="Percent 3 5 2 8 5" xfId="60411" xr:uid="{00000000-0005-0000-0000-0000A1EB0000}"/>
    <cellStyle name="Percent 3 5 2 8 6" xfId="60412" xr:uid="{00000000-0005-0000-0000-0000A2EB0000}"/>
    <cellStyle name="Percent 3 5 2 9" xfId="60413" xr:uid="{00000000-0005-0000-0000-0000A3EB0000}"/>
    <cellStyle name="Percent 3 5 2 9 2" xfId="60414" xr:uid="{00000000-0005-0000-0000-0000A4EB0000}"/>
    <cellStyle name="Percent 3 5 2 9 3" xfId="60415" xr:uid="{00000000-0005-0000-0000-0000A5EB0000}"/>
    <cellStyle name="Percent 3 5 3" xfId="60416" xr:uid="{00000000-0005-0000-0000-0000A6EB0000}"/>
    <cellStyle name="Percent 3 5 3 10" xfId="60417" xr:uid="{00000000-0005-0000-0000-0000A7EB0000}"/>
    <cellStyle name="Percent 3 5 3 2" xfId="60418" xr:uid="{00000000-0005-0000-0000-0000A8EB0000}"/>
    <cellStyle name="Percent 3 5 3 2 2" xfId="60419" xr:uid="{00000000-0005-0000-0000-0000A9EB0000}"/>
    <cellStyle name="Percent 3 5 3 2 2 2" xfId="60420" xr:uid="{00000000-0005-0000-0000-0000AAEB0000}"/>
    <cellStyle name="Percent 3 5 3 2 2 2 2" xfId="60421" xr:uid="{00000000-0005-0000-0000-0000ABEB0000}"/>
    <cellStyle name="Percent 3 5 3 2 2 2 3" xfId="60422" xr:uid="{00000000-0005-0000-0000-0000ACEB0000}"/>
    <cellStyle name="Percent 3 5 3 2 2 3" xfId="60423" xr:uid="{00000000-0005-0000-0000-0000ADEB0000}"/>
    <cellStyle name="Percent 3 5 3 2 2 4" xfId="60424" xr:uid="{00000000-0005-0000-0000-0000AEEB0000}"/>
    <cellStyle name="Percent 3 5 3 2 2 5" xfId="60425" xr:uid="{00000000-0005-0000-0000-0000AFEB0000}"/>
    <cellStyle name="Percent 3 5 3 2 2 6" xfId="60426" xr:uid="{00000000-0005-0000-0000-0000B0EB0000}"/>
    <cellStyle name="Percent 3 5 3 2 3" xfId="60427" xr:uid="{00000000-0005-0000-0000-0000B1EB0000}"/>
    <cellStyle name="Percent 3 5 3 2 3 2" xfId="60428" xr:uid="{00000000-0005-0000-0000-0000B2EB0000}"/>
    <cellStyle name="Percent 3 5 3 2 3 2 2" xfId="60429" xr:uid="{00000000-0005-0000-0000-0000B3EB0000}"/>
    <cellStyle name="Percent 3 5 3 2 3 2 3" xfId="60430" xr:uid="{00000000-0005-0000-0000-0000B4EB0000}"/>
    <cellStyle name="Percent 3 5 3 2 3 3" xfId="60431" xr:uid="{00000000-0005-0000-0000-0000B5EB0000}"/>
    <cellStyle name="Percent 3 5 3 2 3 4" xfId="60432" xr:uid="{00000000-0005-0000-0000-0000B6EB0000}"/>
    <cellStyle name="Percent 3 5 3 2 3 5" xfId="60433" xr:uid="{00000000-0005-0000-0000-0000B7EB0000}"/>
    <cellStyle name="Percent 3 5 3 2 3 6" xfId="60434" xr:uid="{00000000-0005-0000-0000-0000B8EB0000}"/>
    <cellStyle name="Percent 3 5 3 2 4" xfId="60435" xr:uid="{00000000-0005-0000-0000-0000B9EB0000}"/>
    <cellStyle name="Percent 3 5 3 2 4 2" xfId="60436" xr:uid="{00000000-0005-0000-0000-0000BAEB0000}"/>
    <cellStyle name="Percent 3 5 3 2 4 3" xfId="60437" xr:uid="{00000000-0005-0000-0000-0000BBEB0000}"/>
    <cellStyle name="Percent 3 5 3 2 5" xfId="60438" xr:uid="{00000000-0005-0000-0000-0000BCEB0000}"/>
    <cellStyle name="Percent 3 5 3 2 6" xfId="60439" xr:uid="{00000000-0005-0000-0000-0000BDEB0000}"/>
    <cellStyle name="Percent 3 5 3 2 7" xfId="60440" xr:uid="{00000000-0005-0000-0000-0000BEEB0000}"/>
    <cellStyle name="Percent 3 5 3 2 8" xfId="60441" xr:uid="{00000000-0005-0000-0000-0000BFEB0000}"/>
    <cellStyle name="Percent 3 5 3 3" xfId="60442" xr:uid="{00000000-0005-0000-0000-0000C0EB0000}"/>
    <cellStyle name="Percent 3 5 3 3 2" xfId="60443" xr:uid="{00000000-0005-0000-0000-0000C1EB0000}"/>
    <cellStyle name="Percent 3 5 3 3 2 2" xfId="60444" xr:uid="{00000000-0005-0000-0000-0000C2EB0000}"/>
    <cellStyle name="Percent 3 5 3 3 2 2 2" xfId="60445" xr:uid="{00000000-0005-0000-0000-0000C3EB0000}"/>
    <cellStyle name="Percent 3 5 3 3 2 2 3" xfId="60446" xr:uid="{00000000-0005-0000-0000-0000C4EB0000}"/>
    <cellStyle name="Percent 3 5 3 3 2 3" xfId="60447" xr:uid="{00000000-0005-0000-0000-0000C5EB0000}"/>
    <cellStyle name="Percent 3 5 3 3 2 4" xfId="60448" xr:uid="{00000000-0005-0000-0000-0000C6EB0000}"/>
    <cellStyle name="Percent 3 5 3 3 2 5" xfId="60449" xr:uid="{00000000-0005-0000-0000-0000C7EB0000}"/>
    <cellStyle name="Percent 3 5 3 3 2 6" xfId="60450" xr:uid="{00000000-0005-0000-0000-0000C8EB0000}"/>
    <cellStyle name="Percent 3 5 3 3 3" xfId="60451" xr:uid="{00000000-0005-0000-0000-0000C9EB0000}"/>
    <cellStyle name="Percent 3 5 3 3 3 2" xfId="60452" xr:uid="{00000000-0005-0000-0000-0000CAEB0000}"/>
    <cellStyle name="Percent 3 5 3 3 3 3" xfId="60453" xr:uid="{00000000-0005-0000-0000-0000CBEB0000}"/>
    <cellStyle name="Percent 3 5 3 3 4" xfId="60454" xr:uid="{00000000-0005-0000-0000-0000CCEB0000}"/>
    <cellStyle name="Percent 3 5 3 3 5" xfId="60455" xr:uid="{00000000-0005-0000-0000-0000CDEB0000}"/>
    <cellStyle name="Percent 3 5 3 3 6" xfId="60456" xr:uid="{00000000-0005-0000-0000-0000CEEB0000}"/>
    <cellStyle name="Percent 3 5 3 3 7" xfId="60457" xr:uid="{00000000-0005-0000-0000-0000CFEB0000}"/>
    <cellStyle name="Percent 3 5 3 4" xfId="60458" xr:uid="{00000000-0005-0000-0000-0000D0EB0000}"/>
    <cellStyle name="Percent 3 5 3 4 2" xfId="60459" xr:uid="{00000000-0005-0000-0000-0000D1EB0000}"/>
    <cellStyle name="Percent 3 5 3 4 2 2" xfId="60460" xr:uid="{00000000-0005-0000-0000-0000D2EB0000}"/>
    <cellStyle name="Percent 3 5 3 4 2 3" xfId="60461" xr:uid="{00000000-0005-0000-0000-0000D3EB0000}"/>
    <cellStyle name="Percent 3 5 3 4 3" xfId="60462" xr:uid="{00000000-0005-0000-0000-0000D4EB0000}"/>
    <cellStyle name="Percent 3 5 3 4 4" xfId="60463" xr:uid="{00000000-0005-0000-0000-0000D5EB0000}"/>
    <cellStyle name="Percent 3 5 3 4 5" xfId="60464" xr:uid="{00000000-0005-0000-0000-0000D6EB0000}"/>
    <cellStyle name="Percent 3 5 3 4 6" xfId="60465" xr:uid="{00000000-0005-0000-0000-0000D7EB0000}"/>
    <cellStyle name="Percent 3 5 3 5" xfId="60466" xr:uid="{00000000-0005-0000-0000-0000D8EB0000}"/>
    <cellStyle name="Percent 3 5 3 5 2" xfId="60467" xr:uid="{00000000-0005-0000-0000-0000D9EB0000}"/>
    <cellStyle name="Percent 3 5 3 5 2 2" xfId="60468" xr:uid="{00000000-0005-0000-0000-0000DAEB0000}"/>
    <cellStyle name="Percent 3 5 3 5 2 3" xfId="60469" xr:uid="{00000000-0005-0000-0000-0000DBEB0000}"/>
    <cellStyle name="Percent 3 5 3 5 3" xfId="60470" xr:uid="{00000000-0005-0000-0000-0000DCEB0000}"/>
    <cellStyle name="Percent 3 5 3 5 4" xfId="60471" xr:uid="{00000000-0005-0000-0000-0000DDEB0000}"/>
    <cellStyle name="Percent 3 5 3 5 5" xfId="60472" xr:uid="{00000000-0005-0000-0000-0000DEEB0000}"/>
    <cellStyle name="Percent 3 5 3 5 6" xfId="60473" xr:uid="{00000000-0005-0000-0000-0000DFEB0000}"/>
    <cellStyle name="Percent 3 5 3 6" xfId="60474" xr:uid="{00000000-0005-0000-0000-0000E0EB0000}"/>
    <cellStyle name="Percent 3 5 3 6 2" xfId="60475" xr:uid="{00000000-0005-0000-0000-0000E1EB0000}"/>
    <cellStyle name="Percent 3 5 3 6 3" xfId="60476" xr:uid="{00000000-0005-0000-0000-0000E2EB0000}"/>
    <cellStyle name="Percent 3 5 3 7" xfId="60477" xr:uid="{00000000-0005-0000-0000-0000E3EB0000}"/>
    <cellStyle name="Percent 3 5 3 8" xfId="60478" xr:uid="{00000000-0005-0000-0000-0000E4EB0000}"/>
    <cellStyle name="Percent 3 5 3 9" xfId="60479" xr:uid="{00000000-0005-0000-0000-0000E5EB0000}"/>
    <cellStyle name="Percent 3 5 4" xfId="60480" xr:uid="{00000000-0005-0000-0000-0000E6EB0000}"/>
    <cellStyle name="Percent 3 5 4 2" xfId="60481" xr:uid="{00000000-0005-0000-0000-0000E7EB0000}"/>
    <cellStyle name="Percent 3 5 4 2 2" xfId="60482" xr:uid="{00000000-0005-0000-0000-0000E8EB0000}"/>
    <cellStyle name="Percent 3 5 4 2 2 2" xfId="60483" xr:uid="{00000000-0005-0000-0000-0000E9EB0000}"/>
    <cellStyle name="Percent 3 5 4 2 2 2 2" xfId="60484" xr:uid="{00000000-0005-0000-0000-0000EAEB0000}"/>
    <cellStyle name="Percent 3 5 4 2 2 2 3" xfId="60485" xr:uid="{00000000-0005-0000-0000-0000EBEB0000}"/>
    <cellStyle name="Percent 3 5 4 2 2 3" xfId="60486" xr:uid="{00000000-0005-0000-0000-0000ECEB0000}"/>
    <cellStyle name="Percent 3 5 4 2 2 4" xfId="60487" xr:uid="{00000000-0005-0000-0000-0000EDEB0000}"/>
    <cellStyle name="Percent 3 5 4 2 2 5" xfId="60488" xr:uid="{00000000-0005-0000-0000-0000EEEB0000}"/>
    <cellStyle name="Percent 3 5 4 2 2 6" xfId="60489" xr:uid="{00000000-0005-0000-0000-0000EFEB0000}"/>
    <cellStyle name="Percent 3 5 4 2 3" xfId="60490" xr:uid="{00000000-0005-0000-0000-0000F0EB0000}"/>
    <cellStyle name="Percent 3 5 4 2 3 2" xfId="60491" xr:uid="{00000000-0005-0000-0000-0000F1EB0000}"/>
    <cellStyle name="Percent 3 5 4 2 3 3" xfId="60492" xr:uid="{00000000-0005-0000-0000-0000F2EB0000}"/>
    <cellStyle name="Percent 3 5 4 2 4" xfId="60493" xr:uid="{00000000-0005-0000-0000-0000F3EB0000}"/>
    <cellStyle name="Percent 3 5 4 2 5" xfId="60494" xr:uid="{00000000-0005-0000-0000-0000F4EB0000}"/>
    <cellStyle name="Percent 3 5 4 2 6" xfId="60495" xr:uid="{00000000-0005-0000-0000-0000F5EB0000}"/>
    <cellStyle name="Percent 3 5 4 2 7" xfId="60496" xr:uid="{00000000-0005-0000-0000-0000F6EB0000}"/>
    <cellStyle name="Percent 3 5 4 3" xfId="60497" xr:uid="{00000000-0005-0000-0000-0000F7EB0000}"/>
    <cellStyle name="Percent 3 5 4 3 2" xfId="60498" xr:uid="{00000000-0005-0000-0000-0000F8EB0000}"/>
    <cellStyle name="Percent 3 5 4 3 2 2" xfId="60499" xr:uid="{00000000-0005-0000-0000-0000F9EB0000}"/>
    <cellStyle name="Percent 3 5 4 3 2 3" xfId="60500" xr:uid="{00000000-0005-0000-0000-0000FAEB0000}"/>
    <cellStyle name="Percent 3 5 4 3 3" xfId="60501" xr:uid="{00000000-0005-0000-0000-0000FBEB0000}"/>
    <cellStyle name="Percent 3 5 4 3 4" xfId="60502" xr:uid="{00000000-0005-0000-0000-0000FCEB0000}"/>
    <cellStyle name="Percent 3 5 4 3 5" xfId="60503" xr:uid="{00000000-0005-0000-0000-0000FDEB0000}"/>
    <cellStyle name="Percent 3 5 4 3 6" xfId="60504" xr:uid="{00000000-0005-0000-0000-0000FEEB0000}"/>
    <cellStyle name="Percent 3 5 4 4" xfId="60505" xr:uid="{00000000-0005-0000-0000-0000FFEB0000}"/>
    <cellStyle name="Percent 3 5 4 4 2" xfId="60506" xr:uid="{00000000-0005-0000-0000-000000EC0000}"/>
    <cellStyle name="Percent 3 5 4 4 2 2" xfId="60507" xr:uid="{00000000-0005-0000-0000-000001EC0000}"/>
    <cellStyle name="Percent 3 5 4 4 2 3" xfId="60508" xr:uid="{00000000-0005-0000-0000-000002EC0000}"/>
    <cellStyle name="Percent 3 5 4 4 3" xfId="60509" xr:uid="{00000000-0005-0000-0000-000003EC0000}"/>
    <cellStyle name="Percent 3 5 4 4 4" xfId="60510" xr:uid="{00000000-0005-0000-0000-000004EC0000}"/>
    <cellStyle name="Percent 3 5 4 4 5" xfId="60511" xr:uid="{00000000-0005-0000-0000-000005EC0000}"/>
    <cellStyle name="Percent 3 5 4 4 6" xfId="60512" xr:uid="{00000000-0005-0000-0000-000006EC0000}"/>
    <cellStyle name="Percent 3 5 4 5" xfId="60513" xr:uid="{00000000-0005-0000-0000-000007EC0000}"/>
    <cellStyle name="Percent 3 5 4 5 2" xfId="60514" xr:uid="{00000000-0005-0000-0000-000008EC0000}"/>
    <cellStyle name="Percent 3 5 4 5 3" xfId="60515" xr:uid="{00000000-0005-0000-0000-000009EC0000}"/>
    <cellStyle name="Percent 3 5 4 6" xfId="60516" xr:uid="{00000000-0005-0000-0000-00000AEC0000}"/>
    <cellStyle name="Percent 3 5 4 7" xfId="60517" xr:uid="{00000000-0005-0000-0000-00000BEC0000}"/>
    <cellStyle name="Percent 3 5 4 8" xfId="60518" xr:uid="{00000000-0005-0000-0000-00000CEC0000}"/>
    <cellStyle name="Percent 3 5 4 9" xfId="60519" xr:uid="{00000000-0005-0000-0000-00000DEC0000}"/>
    <cellStyle name="Percent 3 5 5" xfId="60520" xr:uid="{00000000-0005-0000-0000-00000EEC0000}"/>
    <cellStyle name="Percent 3 5 5 2" xfId="60521" xr:uid="{00000000-0005-0000-0000-00000FEC0000}"/>
    <cellStyle name="Percent 3 5 5 2 2" xfId="60522" xr:uid="{00000000-0005-0000-0000-000010EC0000}"/>
    <cellStyle name="Percent 3 5 5 2 2 2" xfId="60523" xr:uid="{00000000-0005-0000-0000-000011EC0000}"/>
    <cellStyle name="Percent 3 5 5 2 2 3" xfId="60524" xr:uid="{00000000-0005-0000-0000-000012EC0000}"/>
    <cellStyle name="Percent 3 5 5 2 3" xfId="60525" xr:uid="{00000000-0005-0000-0000-000013EC0000}"/>
    <cellStyle name="Percent 3 5 5 2 4" xfId="60526" xr:uid="{00000000-0005-0000-0000-000014EC0000}"/>
    <cellStyle name="Percent 3 5 5 2 5" xfId="60527" xr:uid="{00000000-0005-0000-0000-000015EC0000}"/>
    <cellStyle name="Percent 3 5 5 2 6" xfId="60528" xr:uid="{00000000-0005-0000-0000-000016EC0000}"/>
    <cellStyle name="Percent 3 5 5 3" xfId="60529" xr:uid="{00000000-0005-0000-0000-000017EC0000}"/>
    <cellStyle name="Percent 3 5 5 3 2" xfId="60530" xr:uid="{00000000-0005-0000-0000-000018EC0000}"/>
    <cellStyle name="Percent 3 5 5 3 3" xfId="60531" xr:uid="{00000000-0005-0000-0000-000019EC0000}"/>
    <cellStyle name="Percent 3 5 5 4" xfId="60532" xr:uid="{00000000-0005-0000-0000-00001AEC0000}"/>
    <cellStyle name="Percent 3 5 5 5" xfId="60533" xr:uid="{00000000-0005-0000-0000-00001BEC0000}"/>
    <cellStyle name="Percent 3 5 5 6" xfId="60534" xr:uid="{00000000-0005-0000-0000-00001CEC0000}"/>
    <cellStyle name="Percent 3 5 5 7" xfId="60535" xr:uid="{00000000-0005-0000-0000-00001DEC0000}"/>
    <cellStyle name="Percent 3 5 6" xfId="60536" xr:uid="{00000000-0005-0000-0000-00001EEC0000}"/>
    <cellStyle name="Percent 3 5 6 2" xfId="60537" xr:uid="{00000000-0005-0000-0000-00001FEC0000}"/>
    <cellStyle name="Percent 3 5 6 2 2" xfId="60538" xr:uid="{00000000-0005-0000-0000-000020EC0000}"/>
    <cellStyle name="Percent 3 5 6 2 3" xfId="60539" xr:uid="{00000000-0005-0000-0000-000021EC0000}"/>
    <cellStyle name="Percent 3 5 6 3" xfId="60540" xr:uid="{00000000-0005-0000-0000-000022EC0000}"/>
    <cellStyle name="Percent 3 5 6 4" xfId="60541" xr:uid="{00000000-0005-0000-0000-000023EC0000}"/>
    <cellStyle name="Percent 3 5 6 5" xfId="60542" xr:uid="{00000000-0005-0000-0000-000024EC0000}"/>
    <cellStyle name="Percent 3 5 6 6" xfId="60543" xr:uid="{00000000-0005-0000-0000-000025EC0000}"/>
    <cellStyle name="Percent 3 5 7" xfId="60544" xr:uid="{00000000-0005-0000-0000-000026EC0000}"/>
    <cellStyle name="Percent 3 5 7 2" xfId="60545" xr:uid="{00000000-0005-0000-0000-000027EC0000}"/>
    <cellStyle name="Percent 3 5 7 2 2" xfId="60546" xr:uid="{00000000-0005-0000-0000-000028EC0000}"/>
    <cellStyle name="Percent 3 5 7 2 3" xfId="60547" xr:uid="{00000000-0005-0000-0000-000029EC0000}"/>
    <cellStyle name="Percent 3 5 7 3" xfId="60548" xr:uid="{00000000-0005-0000-0000-00002AEC0000}"/>
    <cellStyle name="Percent 3 5 7 4" xfId="60549" xr:uid="{00000000-0005-0000-0000-00002BEC0000}"/>
    <cellStyle name="Percent 3 5 7 5" xfId="60550" xr:uid="{00000000-0005-0000-0000-00002CEC0000}"/>
    <cellStyle name="Percent 3 5 7 6" xfId="60551" xr:uid="{00000000-0005-0000-0000-00002DEC0000}"/>
    <cellStyle name="Percent 3 5 8" xfId="60552" xr:uid="{00000000-0005-0000-0000-00002EEC0000}"/>
    <cellStyle name="Percent 3 5 8 2" xfId="60553" xr:uid="{00000000-0005-0000-0000-00002FEC0000}"/>
    <cellStyle name="Percent 3 5 8 2 2" xfId="60554" xr:uid="{00000000-0005-0000-0000-000030EC0000}"/>
    <cellStyle name="Percent 3 5 8 2 3" xfId="60555" xr:uid="{00000000-0005-0000-0000-000031EC0000}"/>
    <cellStyle name="Percent 3 5 8 3" xfId="60556" xr:uid="{00000000-0005-0000-0000-000032EC0000}"/>
    <cellStyle name="Percent 3 5 8 4" xfId="60557" xr:uid="{00000000-0005-0000-0000-000033EC0000}"/>
    <cellStyle name="Percent 3 5 8 5" xfId="60558" xr:uid="{00000000-0005-0000-0000-000034EC0000}"/>
    <cellStyle name="Percent 3 5 8 6" xfId="60559" xr:uid="{00000000-0005-0000-0000-000035EC0000}"/>
    <cellStyle name="Percent 3 5 9" xfId="60560" xr:uid="{00000000-0005-0000-0000-000036EC0000}"/>
    <cellStyle name="Percent 3 5 9 2" xfId="60561" xr:uid="{00000000-0005-0000-0000-000037EC0000}"/>
    <cellStyle name="Percent 3 5 9 2 2" xfId="60562" xr:uid="{00000000-0005-0000-0000-000038EC0000}"/>
    <cellStyle name="Percent 3 5 9 2 3" xfId="60563" xr:uid="{00000000-0005-0000-0000-000039EC0000}"/>
    <cellStyle name="Percent 3 5 9 3" xfId="60564" xr:uid="{00000000-0005-0000-0000-00003AEC0000}"/>
    <cellStyle name="Percent 3 5 9 4" xfId="60565" xr:uid="{00000000-0005-0000-0000-00003BEC0000}"/>
    <cellStyle name="Percent 3 5 9 5" xfId="60566" xr:uid="{00000000-0005-0000-0000-00003CEC0000}"/>
    <cellStyle name="Percent 3 5 9 6" xfId="60567" xr:uid="{00000000-0005-0000-0000-00003DEC0000}"/>
    <cellStyle name="Percent 3 6" xfId="571" xr:uid="{00000000-0005-0000-0000-00003EEC0000}"/>
    <cellStyle name="Percent 3 6 10" xfId="60568" xr:uid="{00000000-0005-0000-0000-00003FEC0000}"/>
    <cellStyle name="Percent 3 6 10 2" xfId="60569" xr:uid="{00000000-0005-0000-0000-000040EC0000}"/>
    <cellStyle name="Percent 3 6 10 3" xfId="60570" xr:uid="{00000000-0005-0000-0000-000041EC0000}"/>
    <cellStyle name="Percent 3 6 11" xfId="60571" xr:uid="{00000000-0005-0000-0000-000042EC0000}"/>
    <cellStyle name="Percent 3 6 12" xfId="60572" xr:uid="{00000000-0005-0000-0000-000043EC0000}"/>
    <cellStyle name="Percent 3 6 13" xfId="60573" xr:uid="{00000000-0005-0000-0000-000044EC0000}"/>
    <cellStyle name="Percent 3 6 14" xfId="60574" xr:uid="{00000000-0005-0000-0000-000045EC0000}"/>
    <cellStyle name="Percent 3 6 2" xfId="60575" xr:uid="{00000000-0005-0000-0000-000046EC0000}"/>
    <cellStyle name="Percent 3 6 2 10" xfId="60576" xr:uid="{00000000-0005-0000-0000-000047EC0000}"/>
    <cellStyle name="Percent 3 6 2 11" xfId="60577" xr:uid="{00000000-0005-0000-0000-000048EC0000}"/>
    <cellStyle name="Percent 3 6 2 12" xfId="60578" xr:uid="{00000000-0005-0000-0000-000049EC0000}"/>
    <cellStyle name="Percent 3 6 2 13" xfId="60579" xr:uid="{00000000-0005-0000-0000-00004AEC0000}"/>
    <cellStyle name="Percent 3 6 2 2" xfId="60580" xr:uid="{00000000-0005-0000-0000-00004BEC0000}"/>
    <cellStyle name="Percent 3 6 2 2 10" xfId="60581" xr:uid="{00000000-0005-0000-0000-00004CEC0000}"/>
    <cellStyle name="Percent 3 6 2 2 2" xfId="60582" xr:uid="{00000000-0005-0000-0000-00004DEC0000}"/>
    <cellStyle name="Percent 3 6 2 2 2 2" xfId="60583" xr:uid="{00000000-0005-0000-0000-00004EEC0000}"/>
    <cellStyle name="Percent 3 6 2 2 2 2 2" xfId="60584" xr:uid="{00000000-0005-0000-0000-00004FEC0000}"/>
    <cellStyle name="Percent 3 6 2 2 2 2 2 2" xfId="60585" xr:uid="{00000000-0005-0000-0000-000050EC0000}"/>
    <cellStyle name="Percent 3 6 2 2 2 2 2 3" xfId="60586" xr:uid="{00000000-0005-0000-0000-000051EC0000}"/>
    <cellStyle name="Percent 3 6 2 2 2 2 3" xfId="60587" xr:uid="{00000000-0005-0000-0000-000052EC0000}"/>
    <cellStyle name="Percent 3 6 2 2 2 2 4" xfId="60588" xr:uid="{00000000-0005-0000-0000-000053EC0000}"/>
    <cellStyle name="Percent 3 6 2 2 2 2 5" xfId="60589" xr:uid="{00000000-0005-0000-0000-000054EC0000}"/>
    <cellStyle name="Percent 3 6 2 2 2 2 6" xfId="60590" xr:uid="{00000000-0005-0000-0000-000055EC0000}"/>
    <cellStyle name="Percent 3 6 2 2 2 3" xfId="60591" xr:uid="{00000000-0005-0000-0000-000056EC0000}"/>
    <cellStyle name="Percent 3 6 2 2 2 3 2" xfId="60592" xr:uid="{00000000-0005-0000-0000-000057EC0000}"/>
    <cellStyle name="Percent 3 6 2 2 2 3 2 2" xfId="60593" xr:uid="{00000000-0005-0000-0000-000058EC0000}"/>
    <cellStyle name="Percent 3 6 2 2 2 3 2 3" xfId="60594" xr:uid="{00000000-0005-0000-0000-000059EC0000}"/>
    <cellStyle name="Percent 3 6 2 2 2 3 3" xfId="60595" xr:uid="{00000000-0005-0000-0000-00005AEC0000}"/>
    <cellStyle name="Percent 3 6 2 2 2 3 4" xfId="60596" xr:uid="{00000000-0005-0000-0000-00005BEC0000}"/>
    <cellStyle name="Percent 3 6 2 2 2 3 5" xfId="60597" xr:uid="{00000000-0005-0000-0000-00005CEC0000}"/>
    <cellStyle name="Percent 3 6 2 2 2 3 6" xfId="60598" xr:uid="{00000000-0005-0000-0000-00005DEC0000}"/>
    <cellStyle name="Percent 3 6 2 2 2 4" xfId="60599" xr:uid="{00000000-0005-0000-0000-00005EEC0000}"/>
    <cellStyle name="Percent 3 6 2 2 2 4 2" xfId="60600" xr:uid="{00000000-0005-0000-0000-00005FEC0000}"/>
    <cellStyle name="Percent 3 6 2 2 2 4 3" xfId="60601" xr:uid="{00000000-0005-0000-0000-000060EC0000}"/>
    <cellStyle name="Percent 3 6 2 2 2 5" xfId="60602" xr:uid="{00000000-0005-0000-0000-000061EC0000}"/>
    <cellStyle name="Percent 3 6 2 2 2 6" xfId="60603" xr:uid="{00000000-0005-0000-0000-000062EC0000}"/>
    <cellStyle name="Percent 3 6 2 2 2 7" xfId="60604" xr:uid="{00000000-0005-0000-0000-000063EC0000}"/>
    <cellStyle name="Percent 3 6 2 2 2 8" xfId="60605" xr:uid="{00000000-0005-0000-0000-000064EC0000}"/>
    <cellStyle name="Percent 3 6 2 2 3" xfId="60606" xr:uid="{00000000-0005-0000-0000-000065EC0000}"/>
    <cellStyle name="Percent 3 6 2 2 3 2" xfId="60607" xr:uid="{00000000-0005-0000-0000-000066EC0000}"/>
    <cellStyle name="Percent 3 6 2 2 3 2 2" xfId="60608" xr:uid="{00000000-0005-0000-0000-000067EC0000}"/>
    <cellStyle name="Percent 3 6 2 2 3 2 2 2" xfId="60609" xr:uid="{00000000-0005-0000-0000-000068EC0000}"/>
    <cellStyle name="Percent 3 6 2 2 3 2 2 3" xfId="60610" xr:uid="{00000000-0005-0000-0000-000069EC0000}"/>
    <cellStyle name="Percent 3 6 2 2 3 2 3" xfId="60611" xr:uid="{00000000-0005-0000-0000-00006AEC0000}"/>
    <cellStyle name="Percent 3 6 2 2 3 2 4" xfId="60612" xr:uid="{00000000-0005-0000-0000-00006BEC0000}"/>
    <cellStyle name="Percent 3 6 2 2 3 2 5" xfId="60613" xr:uid="{00000000-0005-0000-0000-00006CEC0000}"/>
    <cellStyle name="Percent 3 6 2 2 3 2 6" xfId="60614" xr:uid="{00000000-0005-0000-0000-00006DEC0000}"/>
    <cellStyle name="Percent 3 6 2 2 3 3" xfId="60615" xr:uid="{00000000-0005-0000-0000-00006EEC0000}"/>
    <cellStyle name="Percent 3 6 2 2 3 3 2" xfId="60616" xr:uid="{00000000-0005-0000-0000-00006FEC0000}"/>
    <cellStyle name="Percent 3 6 2 2 3 3 3" xfId="60617" xr:uid="{00000000-0005-0000-0000-000070EC0000}"/>
    <cellStyle name="Percent 3 6 2 2 3 4" xfId="60618" xr:uid="{00000000-0005-0000-0000-000071EC0000}"/>
    <cellStyle name="Percent 3 6 2 2 3 5" xfId="60619" xr:uid="{00000000-0005-0000-0000-000072EC0000}"/>
    <cellStyle name="Percent 3 6 2 2 3 6" xfId="60620" xr:uid="{00000000-0005-0000-0000-000073EC0000}"/>
    <cellStyle name="Percent 3 6 2 2 3 7" xfId="60621" xr:uid="{00000000-0005-0000-0000-000074EC0000}"/>
    <cellStyle name="Percent 3 6 2 2 4" xfId="60622" xr:uid="{00000000-0005-0000-0000-000075EC0000}"/>
    <cellStyle name="Percent 3 6 2 2 4 2" xfId="60623" xr:uid="{00000000-0005-0000-0000-000076EC0000}"/>
    <cellStyle name="Percent 3 6 2 2 4 2 2" xfId="60624" xr:uid="{00000000-0005-0000-0000-000077EC0000}"/>
    <cellStyle name="Percent 3 6 2 2 4 2 3" xfId="60625" xr:uid="{00000000-0005-0000-0000-000078EC0000}"/>
    <cellStyle name="Percent 3 6 2 2 4 3" xfId="60626" xr:uid="{00000000-0005-0000-0000-000079EC0000}"/>
    <cellStyle name="Percent 3 6 2 2 4 4" xfId="60627" xr:uid="{00000000-0005-0000-0000-00007AEC0000}"/>
    <cellStyle name="Percent 3 6 2 2 4 5" xfId="60628" xr:uid="{00000000-0005-0000-0000-00007BEC0000}"/>
    <cellStyle name="Percent 3 6 2 2 4 6" xfId="60629" xr:uid="{00000000-0005-0000-0000-00007CEC0000}"/>
    <cellStyle name="Percent 3 6 2 2 5" xfId="60630" xr:uid="{00000000-0005-0000-0000-00007DEC0000}"/>
    <cellStyle name="Percent 3 6 2 2 5 2" xfId="60631" xr:uid="{00000000-0005-0000-0000-00007EEC0000}"/>
    <cellStyle name="Percent 3 6 2 2 5 2 2" xfId="60632" xr:uid="{00000000-0005-0000-0000-00007FEC0000}"/>
    <cellStyle name="Percent 3 6 2 2 5 2 3" xfId="60633" xr:uid="{00000000-0005-0000-0000-000080EC0000}"/>
    <cellStyle name="Percent 3 6 2 2 5 3" xfId="60634" xr:uid="{00000000-0005-0000-0000-000081EC0000}"/>
    <cellStyle name="Percent 3 6 2 2 5 4" xfId="60635" xr:uid="{00000000-0005-0000-0000-000082EC0000}"/>
    <cellStyle name="Percent 3 6 2 2 5 5" xfId="60636" xr:uid="{00000000-0005-0000-0000-000083EC0000}"/>
    <cellStyle name="Percent 3 6 2 2 5 6" xfId="60637" xr:uid="{00000000-0005-0000-0000-000084EC0000}"/>
    <cellStyle name="Percent 3 6 2 2 6" xfId="60638" xr:uid="{00000000-0005-0000-0000-000085EC0000}"/>
    <cellStyle name="Percent 3 6 2 2 6 2" xfId="60639" xr:uid="{00000000-0005-0000-0000-000086EC0000}"/>
    <cellStyle name="Percent 3 6 2 2 6 3" xfId="60640" xr:uid="{00000000-0005-0000-0000-000087EC0000}"/>
    <cellStyle name="Percent 3 6 2 2 7" xfId="60641" xr:uid="{00000000-0005-0000-0000-000088EC0000}"/>
    <cellStyle name="Percent 3 6 2 2 8" xfId="60642" xr:uid="{00000000-0005-0000-0000-000089EC0000}"/>
    <cellStyle name="Percent 3 6 2 2 9" xfId="60643" xr:uid="{00000000-0005-0000-0000-00008AEC0000}"/>
    <cellStyle name="Percent 3 6 2 3" xfId="60644" xr:uid="{00000000-0005-0000-0000-00008BEC0000}"/>
    <cellStyle name="Percent 3 6 2 3 2" xfId="60645" xr:uid="{00000000-0005-0000-0000-00008CEC0000}"/>
    <cellStyle name="Percent 3 6 2 3 2 2" xfId="60646" xr:uid="{00000000-0005-0000-0000-00008DEC0000}"/>
    <cellStyle name="Percent 3 6 2 3 2 2 2" xfId="60647" xr:uid="{00000000-0005-0000-0000-00008EEC0000}"/>
    <cellStyle name="Percent 3 6 2 3 2 2 2 2" xfId="60648" xr:uid="{00000000-0005-0000-0000-00008FEC0000}"/>
    <cellStyle name="Percent 3 6 2 3 2 2 2 3" xfId="60649" xr:uid="{00000000-0005-0000-0000-000090EC0000}"/>
    <cellStyle name="Percent 3 6 2 3 2 2 3" xfId="60650" xr:uid="{00000000-0005-0000-0000-000091EC0000}"/>
    <cellStyle name="Percent 3 6 2 3 2 2 4" xfId="60651" xr:uid="{00000000-0005-0000-0000-000092EC0000}"/>
    <cellStyle name="Percent 3 6 2 3 2 2 5" xfId="60652" xr:uid="{00000000-0005-0000-0000-000093EC0000}"/>
    <cellStyle name="Percent 3 6 2 3 2 2 6" xfId="60653" xr:uid="{00000000-0005-0000-0000-000094EC0000}"/>
    <cellStyle name="Percent 3 6 2 3 2 3" xfId="60654" xr:uid="{00000000-0005-0000-0000-000095EC0000}"/>
    <cellStyle name="Percent 3 6 2 3 2 3 2" xfId="60655" xr:uid="{00000000-0005-0000-0000-000096EC0000}"/>
    <cellStyle name="Percent 3 6 2 3 2 3 3" xfId="60656" xr:uid="{00000000-0005-0000-0000-000097EC0000}"/>
    <cellStyle name="Percent 3 6 2 3 2 4" xfId="60657" xr:uid="{00000000-0005-0000-0000-000098EC0000}"/>
    <cellStyle name="Percent 3 6 2 3 2 5" xfId="60658" xr:uid="{00000000-0005-0000-0000-000099EC0000}"/>
    <cellStyle name="Percent 3 6 2 3 2 6" xfId="60659" xr:uid="{00000000-0005-0000-0000-00009AEC0000}"/>
    <cellStyle name="Percent 3 6 2 3 2 7" xfId="60660" xr:uid="{00000000-0005-0000-0000-00009BEC0000}"/>
    <cellStyle name="Percent 3 6 2 3 3" xfId="60661" xr:uid="{00000000-0005-0000-0000-00009CEC0000}"/>
    <cellStyle name="Percent 3 6 2 3 3 2" xfId="60662" xr:uid="{00000000-0005-0000-0000-00009DEC0000}"/>
    <cellStyle name="Percent 3 6 2 3 3 2 2" xfId="60663" xr:uid="{00000000-0005-0000-0000-00009EEC0000}"/>
    <cellStyle name="Percent 3 6 2 3 3 2 3" xfId="60664" xr:uid="{00000000-0005-0000-0000-00009FEC0000}"/>
    <cellStyle name="Percent 3 6 2 3 3 3" xfId="60665" xr:uid="{00000000-0005-0000-0000-0000A0EC0000}"/>
    <cellStyle name="Percent 3 6 2 3 3 4" xfId="60666" xr:uid="{00000000-0005-0000-0000-0000A1EC0000}"/>
    <cellStyle name="Percent 3 6 2 3 3 5" xfId="60667" xr:uid="{00000000-0005-0000-0000-0000A2EC0000}"/>
    <cellStyle name="Percent 3 6 2 3 3 6" xfId="60668" xr:uid="{00000000-0005-0000-0000-0000A3EC0000}"/>
    <cellStyle name="Percent 3 6 2 3 4" xfId="60669" xr:uid="{00000000-0005-0000-0000-0000A4EC0000}"/>
    <cellStyle name="Percent 3 6 2 3 4 2" xfId="60670" xr:uid="{00000000-0005-0000-0000-0000A5EC0000}"/>
    <cellStyle name="Percent 3 6 2 3 4 2 2" xfId="60671" xr:uid="{00000000-0005-0000-0000-0000A6EC0000}"/>
    <cellStyle name="Percent 3 6 2 3 4 2 3" xfId="60672" xr:uid="{00000000-0005-0000-0000-0000A7EC0000}"/>
    <cellStyle name="Percent 3 6 2 3 4 3" xfId="60673" xr:uid="{00000000-0005-0000-0000-0000A8EC0000}"/>
    <cellStyle name="Percent 3 6 2 3 4 4" xfId="60674" xr:uid="{00000000-0005-0000-0000-0000A9EC0000}"/>
    <cellStyle name="Percent 3 6 2 3 4 5" xfId="60675" xr:uid="{00000000-0005-0000-0000-0000AAEC0000}"/>
    <cellStyle name="Percent 3 6 2 3 4 6" xfId="60676" xr:uid="{00000000-0005-0000-0000-0000ABEC0000}"/>
    <cellStyle name="Percent 3 6 2 3 5" xfId="60677" xr:uid="{00000000-0005-0000-0000-0000ACEC0000}"/>
    <cellStyle name="Percent 3 6 2 3 5 2" xfId="60678" xr:uid="{00000000-0005-0000-0000-0000ADEC0000}"/>
    <cellStyle name="Percent 3 6 2 3 5 3" xfId="60679" xr:uid="{00000000-0005-0000-0000-0000AEEC0000}"/>
    <cellStyle name="Percent 3 6 2 3 6" xfId="60680" xr:uid="{00000000-0005-0000-0000-0000AFEC0000}"/>
    <cellStyle name="Percent 3 6 2 3 7" xfId="60681" xr:uid="{00000000-0005-0000-0000-0000B0EC0000}"/>
    <cellStyle name="Percent 3 6 2 3 8" xfId="60682" xr:uid="{00000000-0005-0000-0000-0000B1EC0000}"/>
    <cellStyle name="Percent 3 6 2 3 9" xfId="60683" xr:uid="{00000000-0005-0000-0000-0000B2EC0000}"/>
    <cellStyle name="Percent 3 6 2 4" xfId="60684" xr:uid="{00000000-0005-0000-0000-0000B3EC0000}"/>
    <cellStyle name="Percent 3 6 2 4 2" xfId="60685" xr:uid="{00000000-0005-0000-0000-0000B4EC0000}"/>
    <cellStyle name="Percent 3 6 2 4 2 2" xfId="60686" xr:uid="{00000000-0005-0000-0000-0000B5EC0000}"/>
    <cellStyle name="Percent 3 6 2 4 2 2 2" xfId="60687" xr:uid="{00000000-0005-0000-0000-0000B6EC0000}"/>
    <cellStyle name="Percent 3 6 2 4 2 2 3" xfId="60688" xr:uid="{00000000-0005-0000-0000-0000B7EC0000}"/>
    <cellStyle name="Percent 3 6 2 4 2 3" xfId="60689" xr:uid="{00000000-0005-0000-0000-0000B8EC0000}"/>
    <cellStyle name="Percent 3 6 2 4 2 4" xfId="60690" xr:uid="{00000000-0005-0000-0000-0000B9EC0000}"/>
    <cellStyle name="Percent 3 6 2 4 2 5" xfId="60691" xr:uid="{00000000-0005-0000-0000-0000BAEC0000}"/>
    <cellStyle name="Percent 3 6 2 4 2 6" xfId="60692" xr:uid="{00000000-0005-0000-0000-0000BBEC0000}"/>
    <cellStyle name="Percent 3 6 2 4 3" xfId="60693" xr:uid="{00000000-0005-0000-0000-0000BCEC0000}"/>
    <cellStyle name="Percent 3 6 2 4 3 2" xfId="60694" xr:uid="{00000000-0005-0000-0000-0000BDEC0000}"/>
    <cellStyle name="Percent 3 6 2 4 3 3" xfId="60695" xr:uid="{00000000-0005-0000-0000-0000BEEC0000}"/>
    <cellStyle name="Percent 3 6 2 4 4" xfId="60696" xr:uid="{00000000-0005-0000-0000-0000BFEC0000}"/>
    <cellStyle name="Percent 3 6 2 4 5" xfId="60697" xr:uid="{00000000-0005-0000-0000-0000C0EC0000}"/>
    <cellStyle name="Percent 3 6 2 4 6" xfId="60698" xr:uid="{00000000-0005-0000-0000-0000C1EC0000}"/>
    <cellStyle name="Percent 3 6 2 4 7" xfId="60699" xr:uid="{00000000-0005-0000-0000-0000C2EC0000}"/>
    <cellStyle name="Percent 3 6 2 5" xfId="60700" xr:uid="{00000000-0005-0000-0000-0000C3EC0000}"/>
    <cellStyle name="Percent 3 6 2 5 2" xfId="60701" xr:uid="{00000000-0005-0000-0000-0000C4EC0000}"/>
    <cellStyle name="Percent 3 6 2 5 2 2" xfId="60702" xr:uid="{00000000-0005-0000-0000-0000C5EC0000}"/>
    <cellStyle name="Percent 3 6 2 5 2 3" xfId="60703" xr:uid="{00000000-0005-0000-0000-0000C6EC0000}"/>
    <cellStyle name="Percent 3 6 2 5 3" xfId="60704" xr:uid="{00000000-0005-0000-0000-0000C7EC0000}"/>
    <cellStyle name="Percent 3 6 2 5 4" xfId="60705" xr:uid="{00000000-0005-0000-0000-0000C8EC0000}"/>
    <cellStyle name="Percent 3 6 2 5 5" xfId="60706" xr:uid="{00000000-0005-0000-0000-0000C9EC0000}"/>
    <cellStyle name="Percent 3 6 2 5 6" xfId="60707" xr:uid="{00000000-0005-0000-0000-0000CAEC0000}"/>
    <cellStyle name="Percent 3 6 2 6" xfId="60708" xr:uid="{00000000-0005-0000-0000-0000CBEC0000}"/>
    <cellStyle name="Percent 3 6 2 6 2" xfId="60709" xr:uid="{00000000-0005-0000-0000-0000CCEC0000}"/>
    <cellStyle name="Percent 3 6 2 6 2 2" xfId="60710" xr:uid="{00000000-0005-0000-0000-0000CDEC0000}"/>
    <cellStyle name="Percent 3 6 2 6 2 3" xfId="60711" xr:uid="{00000000-0005-0000-0000-0000CEEC0000}"/>
    <cellStyle name="Percent 3 6 2 6 3" xfId="60712" xr:uid="{00000000-0005-0000-0000-0000CFEC0000}"/>
    <cellStyle name="Percent 3 6 2 6 4" xfId="60713" xr:uid="{00000000-0005-0000-0000-0000D0EC0000}"/>
    <cellStyle name="Percent 3 6 2 6 5" xfId="60714" xr:uid="{00000000-0005-0000-0000-0000D1EC0000}"/>
    <cellStyle name="Percent 3 6 2 6 6" xfId="60715" xr:uid="{00000000-0005-0000-0000-0000D2EC0000}"/>
    <cellStyle name="Percent 3 6 2 7" xfId="60716" xr:uid="{00000000-0005-0000-0000-0000D3EC0000}"/>
    <cellStyle name="Percent 3 6 2 7 2" xfId="60717" xr:uid="{00000000-0005-0000-0000-0000D4EC0000}"/>
    <cellStyle name="Percent 3 6 2 7 2 2" xfId="60718" xr:uid="{00000000-0005-0000-0000-0000D5EC0000}"/>
    <cellStyle name="Percent 3 6 2 7 2 3" xfId="60719" xr:uid="{00000000-0005-0000-0000-0000D6EC0000}"/>
    <cellStyle name="Percent 3 6 2 7 3" xfId="60720" xr:uid="{00000000-0005-0000-0000-0000D7EC0000}"/>
    <cellStyle name="Percent 3 6 2 7 4" xfId="60721" xr:uid="{00000000-0005-0000-0000-0000D8EC0000}"/>
    <cellStyle name="Percent 3 6 2 7 5" xfId="60722" xr:uid="{00000000-0005-0000-0000-0000D9EC0000}"/>
    <cellStyle name="Percent 3 6 2 7 6" xfId="60723" xr:uid="{00000000-0005-0000-0000-0000DAEC0000}"/>
    <cellStyle name="Percent 3 6 2 8" xfId="60724" xr:uid="{00000000-0005-0000-0000-0000DBEC0000}"/>
    <cellStyle name="Percent 3 6 2 8 2" xfId="60725" xr:uid="{00000000-0005-0000-0000-0000DCEC0000}"/>
    <cellStyle name="Percent 3 6 2 8 2 2" xfId="60726" xr:uid="{00000000-0005-0000-0000-0000DDEC0000}"/>
    <cellStyle name="Percent 3 6 2 8 2 3" xfId="60727" xr:uid="{00000000-0005-0000-0000-0000DEEC0000}"/>
    <cellStyle name="Percent 3 6 2 8 3" xfId="60728" xr:uid="{00000000-0005-0000-0000-0000DFEC0000}"/>
    <cellStyle name="Percent 3 6 2 8 4" xfId="60729" xr:uid="{00000000-0005-0000-0000-0000E0EC0000}"/>
    <cellStyle name="Percent 3 6 2 8 5" xfId="60730" xr:uid="{00000000-0005-0000-0000-0000E1EC0000}"/>
    <cellStyle name="Percent 3 6 2 8 6" xfId="60731" xr:uid="{00000000-0005-0000-0000-0000E2EC0000}"/>
    <cellStyle name="Percent 3 6 2 9" xfId="60732" xr:uid="{00000000-0005-0000-0000-0000E3EC0000}"/>
    <cellStyle name="Percent 3 6 2 9 2" xfId="60733" xr:uid="{00000000-0005-0000-0000-0000E4EC0000}"/>
    <cellStyle name="Percent 3 6 2 9 3" xfId="60734" xr:uid="{00000000-0005-0000-0000-0000E5EC0000}"/>
    <cellStyle name="Percent 3 6 3" xfId="60735" xr:uid="{00000000-0005-0000-0000-0000E6EC0000}"/>
    <cellStyle name="Percent 3 6 3 10" xfId="60736" xr:uid="{00000000-0005-0000-0000-0000E7EC0000}"/>
    <cellStyle name="Percent 3 6 3 2" xfId="60737" xr:uid="{00000000-0005-0000-0000-0000E8EC0000}"/>
    <cellStyle name="Percent 3 6 3 2 2" xfId="60738" xr:uid="{00000000-0005-0000-0000-0000E9EC0000}"/>
    <cellStyle name="Percent 3 6 3 2 2 2" xfId="60739" xr:uid="{00000000-0005-0000-0000-0000EAEC0000}"/>
    <cellStyle name="Percent 3 6 3 2 2 2 2" xfId="60740" xr:uid="{00000000-0005-0000-0000-0000EBEC0000}"/>
    <cellStyle name="Percent 3 6 3 2 2 2 3" xfId="60741" xr:uid="{00000000-0005-0000-0000-0000ECEC0000}"/>
    <cellStyle name="Percent 3 6 3 2 2 3" xfId="60742" xr:uid="{00000000-0005-0000-0000-0000EDEC0000}"/>
    <cellStyle name="Percent 3 6 3 2 2 4" xfId="60743" xr:uid="{00000000-0005-0000-0000-0000EEEC0000}"/>
    <cellStyle name="Percent 3 6 3 2 2 5" xfId="60744" xr:uid="{00000000-0005-0000-0000-0000EFEC0000}"/>
    <cellStyle name="Percent 3 6 3 2 2 6" xfId="60745" xr:uid="{00000000-0005-0000-0000-0000F0EC0000}"/>
    <cellStyle name="Percent 3 6 3 2 3" xfId="60746" xr:uid="{00000000-0005-0000-0000-0000F1EC0000}"/>
    <cellStyle name="Percent 3 6 3 2 3 2" xfId="60747" xr:uid="{00000000-0005-0000-0000-0000F2EC0000}"/>
    <cellStyle name="Percent 3 6 3 2 3 2 2" xfId="60748" xr:uid="{00000000-0005-0000-0000-0000F3EC0000}"/>
    <cellStyle name="Percent 3 6 3 2 3 2 3" xfId="60749" xr:uid="{00000000-0005-0000-0000-0000F4EC0000}"/>
    <cellStyle name="Percent 3 6 3 2 3 3" xfId="60750" xr:uid="{00000000-0005-0000-0000-0000F5EC0000}"/>
    <cellStyle name="Percent 3 6 3 2 3 4" xfId="60751" xr:uid="{00000000-0005-0000-0000-0000F6EC0000}"/>
    <cellStyle name="Percent 3 6 3 2 3 5" xfId="60752" xr:uid="{00000000-0005-0000-0000-0000F7EC0000}"/>
    <cellStyle name="Percent 3 6 3 2 3 6" xfId="60753" xr:uid="{00000000-0005-0000-0000-0000F8EC0000}"/>
    <cellStyle name="Percent 3 6 3 2 4" xfId="60754" xr:uid="{00000000-0005-0000-0000-0000F9EC0000}"/>
    <cellStyle name="Percent 3 6 3 2 4 2" xfId="60755" xr:uid="{00000000-0005-0000-0000-0000FAEC0000}"/>
    <cellStyle name="Percent 3 6 3 2 4 3" xfId="60756" xr:uid="{00000000-0005-0000-0000-0000FBEC0000}"/>
    <cellStyle name="Percent 3 6 3 2 5" xfId="60757" xr:uid="{00000000-0005-0000-0000-0000FCEC0000}"/>
    <cellStyle name="Percent 3 6 3 2 6" xfId="60758" xr:uid="{00000000-0005-0000-0000-0000FDEC0000}"/>
    <cellStyle name="Percent 3 6 3 2 7" xfId="60759" xr:uid="{00000000-0005-0000-0000-0000FEEC0000}"/>
    <cellStyle name="Percent 3 6 3 2 8" xfId="60760" xr:uid="{00000000-0005-0000-0000-0000FFEC0000}"/>
    <cellStyle name="Percent 3 6 3 3" xfId="60761" xr:uid="{00000000-0005-0000-0000-000000ED0000}"/>
    <cellStyle name="Percent 3 6 3 3 2" xfId="60762" xr:uid="{00000000-0005-0000-0000-000001ED0000}"/>
    <cellStyle name="Percent 3 6 3 3 2 2" xfId="60763" xr:uid="{00000000-0005-0000-0000-000002ED0000}"/>
    <cellStyle name="Percent 3 6 3 3 2 2 2" xfId="60764" xr:uid="{00000000-0005-0000-0000-000003ED0000}"/>
    <cellStyle name="Percent 3 6 3 3 2 2 3" xfId="60765" xr:uid="{00000000-0005-0000-0000-000004ED0000}"/>
    <cellStyle name="Percent 3 6 3 3 2 3" xfId="60766" xr:uid="{00000000-0005-0000-0000-000005ED0000}"/>
    <cellStyle name="Percent 3 6 3 3 2 4" xfId="60767" xr:uid="{00000000-0005-0000-0000-000006ED0000}"/>
    <cellStyle name="Percent 3 6 3 3 2 5" xfId="60768" xr:uid="{00000000-0005-0000-0000-000007ED0000}"/>
    <cellStyle name="Percent 3 6 3 3 2 6" xfId="60769" xr:uid="{00000000-0005-0000-0000-000008ED0000}"/>
    <cellStyle name="Percent 3 6 3 3 3" xfId="60770" xr:uid="{00000000-0005-0000-0000-000009ED0000}"/>
    <cellStyle name="Percent 3 6 3 3 3 2" xfId="60771" xr:uid="{00000000-0005-0000-0000-00000AED0000}"/>
    <cellStyle name="Percent 3 6 3 3 3 3" xfId="60772" xr:uid="{00000000-0005-0000-0000-00000BED0000}"/>
    <cellStyle name="Percent 3 6 3 3 4" xfId="60773" xr:uid="{00000000-0005-0000-0000-00000CED0000}"/>
    <cellStyle name="Percent 3 6 3 3 5" xfId="60774" xr:uid="{00000000-0005-0000-0000-00000DED0000}"/>
    <cellStyle name="Percent 3 6 3 3 6" xfId="60775" xr:uid="{00000000-0005-0000-0000-00000EED0000}"/>
    <cellStyle name="Percent 3 6 3 3 7" xfId="60776" xr:uid="{00000000-0005-0000-0000-00000FED0000}"/>
    <cellStyle name="Percent 3 6 3 4" xfId="60777" xr:uid="{00000000-0005-0000-0000-000010ED0000}"/>
    <cellStyle name="Percent 3 6 3 4 2" xfId="60778" xr:uid="{00000000-0005-0000-0000-000011ED0000}"/>
    <cellStyle name="Percent 3 6 3 4 2 2" xfId="60779" xr:uid="{00000000-0005-0000-0000-000012ED0000}"/>
    <cellStyle name="Percent 3 6 3 4 2 3" xfId="60780" xr:uid="{00000000-0005-0000-0000-000013ED0000}"/>
    <cellStyle name="Percent 3 6 3 4 3" xfId="60781" xr:uid="{00000000-0005-0000-0000-000014ED0000}"/>
    <cellStyle name="Percent 3 6 3 4 4" xfId="60782" xr:uid="{00000000-0005-0000-0000-000015ED0000}"/>
    <cellStyle name="Percent 3 6 3 4 5" xfId="60783" xr:uid="{00000000-0005-0000-0000-000016ED0000}"/>
    <cellStyle name="Percent 3 6 3 4 6" xfId="60784" xr:uid="{00000000-0005-0000-0000-000017ED0000}"/>
    <cellStyle name="Percent 3 6 3 5" xfId="60785" xr:uid="{00000000-0005-0000-0000-000018ED0000}"/>
    <cellStyle name="Percent 3 6 3 5 2" xfId="60786" xr:uid="{00000000-0005-0000-0000-000019ED0000}"/>
    <cellStyle name="Percent 3 6 3 5 2 2" xfId="60787" xr:uid="{00000000-0005-0000-0000-00001AED0000}"/>
    <cellStyle name="Percent 3 6 3 5 2 3" xfId="60788" xr:uid="{00000000-0005-0000-0000-00001BED0000}"/>
    <cellStyle name="Percent 3 6 3 5 3" xfId="60789" xr:uid="{00000000-0005-0000-0000-00001CED0000}"/>
    <cellStyle name="Percent 3 6 3 5 4" xfId="60790" xr:uid="{00000000-0005-0000-0000-00001DED0000}"/>
    <cellStyle name="Percent 3 6 3 5 5" xfId="60791" xr:uid="{00000000-0005-0000-0000-00001EED0000}"/>
    <cellStyle name="Percent 3 6 3 5 6" xfId="60792" xr:uid="{00000000-0005-0000-0000-00001FED0000}"/>
    <cellStyle name="Percent 3 6 3 6" xfId="60793" xr:uid="{00000000-0005-0000-0000-000020ED0000}"/>
    <cellStyle name="Percent 3 6 3 6 2" xfId="60794" xr:uid="{00000000-0005-0000-0000-000021ED0000}"/>
    <cellStyle name="Percent 3 6 3 6 3" xfId="60795" xr:uid="{00000000-0005-0000-0000-000022ED0000}"/>
    <cellStyle name="Percent 3 6 3 7" xfId="60796" xr:uid="{00000000-0005-0000-0000-000023ED0000}"/>
    <cellStyle name="Percent 3 6 3 8" xfId="60797" xr:uid="{00000000-0005-0000-0000-000024ED0000}"/>
    <cellStyle name="Percent 3 6 3 9" xfId="60798" xr:uid="{00000000-0005-0000-0000-000025ED0000}"/>
    <cellStyle name="Percent 3 6 4" xfId="60799" xr:uid="{00000000-0005-0000-0000-000026ED0000}"/>
    <cellStyle name="Percent 3 6 4 2" xfId="60800" xr:uid="{00000000-0005-0000-0000-000027ED0000}"/>
    <cellStyle name="Percent 3 6 4 2 2" xfId="60801" xr:uid="{00000000-0005-0000-0000-000028ED0000}"/>
    <cellStyle name="Percent 3 6 4 2 2 2" xfId="60802" xr:uid="{00000000-0005-0000-0000-000029ED0000}"/>
    <cellStyle name="Percent 3 6 4 2 2 2 2" xfId="60803" xr:uid="{00000000-0005-0000-0000-00002AED0000}"/>
    <cellStyle name="Percent 3 6 4 2 2 2 3" xfId="60804" xr:uid="{00000000-0005-0000-0000-00002BED0000}"/>
    <cellStyle name="Percent 3 6 4 2 2 3" xfId="60805" xr:uid="{00000000-0005-0000-0000-00002CED0000}"/>
    <cellStyle name="Percent 3 6 4 2 2 4" xfId="60806" xr:uid="{00000000-0005-0000-0000-00002DED0000}"/>
    <cellStyle name="Percent 3 6 4 2 2 5" xfId="60807" xr:uid="{00000000-0005-0000-0000-00002EED0000}"/>
    <cellStyle name="Percent 3 6 4 2 2 6" xfId="60808" xr:uid="{00000000-0005-0000-0000-00002FED0000}"/>
    <cellStyle name="Percent 3 6 4 2 3" xfId="60809" xr:uid="{00000000-0005-0000-0000-000030ED0000}"/>
    <cellStyle name="Percent 3 6 4 2 3 2" xfId="60810" xr:uid="{00000000-0005-0000-0000-000031ED0000}"/>
    <cellStyle name="Percent 3 6 4 2 3 3" xfId="60811" xr:uid="{00000000-0005-0000-0000-000032ED0000}"/>
    <cellStyle name="Percent 3 6 4 2 4" xfId="60812" xr:uid="{00000000-0005-0000-0000-000033ED0000}"/>
    <cellStyle name="Percent 3 6 4 2 5" xfId="60813" xr:uid="{00000000-0005-0000-0000-000034ED0000}"/>
    <cellStyle name="Percent 3 6 4 2 6" xfId="60814" xr:uid="{00000000-0005-0000-0000-000035ED0000}"/>
    <cellStyle name="Percent 3 6 4 2 7" xfId="60815" xr:uid="{00000000-0005-0000-0000-000036ED0000}"/>
    <cellStyle name="Percent 3 6 4 3" xfId="60816" xr:uid="{00000000-0005-0000-0000-000037ED0000}"/>
    <cellStyle name="Percent 3 6 4 3 2" xfId="60817" xr:uid="{00000000-0005-0000-0000-000038ED0000}"/>
    <cellStyle name="Percent 3 6 4 3 2 2" xfId="60818" xr:uid="{00000000-0005-0000-0000-000039ED0000}"/>
    <cellStyle name="Percent 3 6 4 3 2 3" xfId="60819" xr:uid="{00000000-0005-0000-0000-00003AED0000}"/>
    <cellStyle name="Percent 3 6 4 3 3" xfId="60820" xr:uid="{00000000-0005-0000-0000-00003BED0000}"/>
    <cellStyle name="Percent 3 6 4 3 4" xfId="60821" xr:uid="{00000000-0005-0000-0000-00003CED0000}"/>
    <cellStyle name="Percent 3 6 4 3 5" xfId="60822" xr:uid="{00000000-0005-0000-0000-00003DED0000}"/>
    <cellStyle name="Percent 3 6 4 3 6" xfId="60823" xr:uid="{00000000-0005-0000-0000-00003EED0000}"/>
    <cellStyle name="Percent 3 6 4 4" xfId="60824" xr:uid="{00000000-0005-0000-0000-00003FED0000}"/>
    <cellStyle name="Percent 3 6 4 4 2" xfId="60825" xr:uid="{00000000-0005-0000-0000-000040ED0000}"/>
    <cellStyle name="Percent 3 6 4 4 2 2" xfId="60826" xr:uid="{00000000-0005-0000-0000-000041ED0000}"/>
    <cellStyle name="Percent 3 6 4 4 2 3" xfId="60827" xr:uid="{00000000-0005-0000-0000-000042ED0000}"/>
    <cellStyle name="Percent 3 6 4 4 3" xfId="60828" xr:uid="{00000000-0005-0000-0000-000043ED0000}"/>
    <cellStyle name="Percent 3 6 4 4 4" xfId="60829" xr:uid="{00000000-0005-0000-0000-000044ED0000}"/>
    <cellStyle name="Percent 3 6 4 4 5" xfId="60830" xr:uid="{00000000-0005-0000-0000-000045ED0000}"/>
    <cellStyle name="Percent 3 6 4 4 6" xfId="60831" xr:uid="{00000000-0005-0000-0000-000046ED0000}"/>
    <cellStyle name="Percent 3 6 4 5" xfId="60832" xr:uid="{00000000-0005-0000-0000-000047ED0000}"/>
    <cellStyle name="Percent 3 6 4 5 2" xfId="60833" xr:uid="{00000000-0005-0000-0000-000048ED0000}"/>
    <cellStyle name="Percent 3 6 4 5 3" xfId="60834" xr:uid="{00000000-0005-0000-0000-000049ED0000}"/>
    <cellStyle name="Percent 3 6 4 6" xfId="60835" xr:uid="{00000000-0005-0000-0000-00004AED0000}"/>
    <cellStyle name="Percent 3 6 4 7" xfId="60836" xr:uid="{00000000-0005-0000-0000-00004BED0000}"/>
    <cellStyle name="Percent 3 6 4 8" xfId="60837" xr:uid="{00000000-0005-0000-0000-00004CED0000}"/>
    <cellStyle name="Percent 3 6 4 9" xfId="60838" xr:uid="{00000000-0005-0000-0000-00004DED0000}"/>
    <cellStyle name="Percent 3 6 5" xfId="60839" xr:uid="{00000000-0005-0000-0000-00004EED0000}"/>
    <cellStyle name="Percent 3 6 5 2" xfId="60840" xr:uid="{00000000-0005-0000-0000-00004FED0000}"/>
    <cellStyle name="Percent 3 6 5 2 2" xfId="60841" xr:uid="{00000000-0005-0000-0000-000050ED0000}"/>
    <cellStyle name="Percent 3 6 5 2 2 2" xfId="60842" xr:uid="{00000000-0005-0000-0000-000051ED0000}"/>
    <cellStyle name="Percent 3 6 5 2 2 3" xfId="60843" xr:uid="{00000000-0005-0000-0000-000052ED0000}"/>
    <cellStyle name="Percent 3 6 5 2 3" xfId="60844" xr:uid="{00000000-0005-0000-0000-000053ED0000}"/>
    <cellStyle name="Percent 3 6 5 2 4" xfId="60845" xr:uid="{00000000-0005-0000-0000-000054ED0000}"/>
    <cellStyle name="Percent 3 6 5 2 5" xfId="60846" xr:uid="{00000000-0005-0000-0000-000055ED0000}"/>
    <cellStyle name="Percent 3 6 5 2 6" xfId="60847" xr:uid="{00000000-0005-0000-0000-000056ED0000}"/>
    <cellStyle name="Percent 3 6 5 3" xfId="60848" xr:uid="{00000000-0005-0000-0000-000057ED0000}"/>
    <cellStyle name="Percent 3 6 5 3 2" xfId="60849" xr:uid="{00000000-0005-0000-0000-000058ED0000}"/>
    <cellStyle name="Percent 3 6 5 3 3" xfId="60850" xr:uid="{00000000-0005-0000-0000-000059ED0000}"/>
    <cellStyle name="Percent 3 6 5 4" xfId="60851" xr:uid="{00000000-0005-0000-0000-00005AED0000}"/>
    <cellStyle name="Percent 3 6 5 5" xfId="60852" xr:uid="{00000000-0005-0000-0000-00005BED0000}"/>
    <cellStyle name="Percent 3 6 5 6" xfId="60853" xr:uid="{00000000-0005-0000-0000-00005CED0000}"/>
    <cellStyle name="Percent 3 6 5 7" xfId="60854" xr:uid="{00000000-0005-0000-0000-00005DED0000}"/>
    <cellStyle name="Percent 3 6 6" xfId="60855" xr:uid="{00000000-0005-0000-0000-00005EED0000}"/>
    <cellStyle name="Percent 3 6 6 2" xfId="60856" xr:uid="{00000000-0005-0000-0000-00005FED0000}"/>
    <cellStyle name="Percent 3 6 6 2 2" xfId="60857" xr:uid="{00000000-0005-0000-0000-000060ED0000}"/>
    <cellStyle name="Percent 3 6 6 2 3" xfId="60858" xr:uid="{00000000-0005-0000-0000-000061ED0000}"/>
    <cellStyle name="Percent 3 6 6 3" xfId="60859" xr:uid="{00000000-0005-0000-0000-000062ED0000}"/>
    <cellStyle name="Percent 3 6 6 4" xfId="60860" xr:uid="{00000000-0005-0000-0000-000063ED0000}"/>
    <cellStyle name="Percent 3 6 6 5" xfId="60861" xr:uid="{00000000-0005-0000-0000-000064ED0000}"/>
    <cellStyle name="Percent 3 6 6 6" xfId="60862" xr:uid="{00000000-0005-0000-0000-000065ED0000}"/>
    <cellStyle name="Percent 3 6 7" xfId="60863" xr:uid="{00000000-0005-0000-0000-000066ED0000}"/>
    <cellStyle name="Percent 3 6 7 2" xfId="60864" xr:uid="{00000000-0005-0000-0000-000067ED0000}"/>
    <cellStyle name="Percent 3 6 7 2 2" xfId="60865" xr:uid="{00000000-0005-0000-0000-000068ED0000}"/>
    <cellStyle name="Percent 3 6 7 2 3" xfId="60866" xr:uid="{00000000-0005-0000-0000-000069ED0000}"/>
    <cellStyle name="Percent 3 6 7 3" xfId="60867" xr:uid="{00000000-0005-0000-0000-00006AED0000}"/>
    <cellStyle name="Percent 3 6 7 4" xfId="60868" xr:uid="{00000000-0005-0000-0000-00006BED0000}"/>
    <cellStyle name="Percent 3 6 7 5" xfId="60869" xr:uid="{00000000-0005-0000-0000-00006CED0000}"/>
    <cellStyle name="Percent 3 6 7 6" xfId="60870" xr:uid="{00000000-0005-0000-0000-00006DED0000}"/>
    <cellStyle name="Percent 3 6 8" xfId="60871" xr:uid="{00000000-0005-0000-0000-00006EED0000}"/>
    <cellStyle name="Percent 3 6 8 2" xfId="60872" xr:uid="{00000000-0005-0000-0000-00006FED0000}"/>
    <cellStyle name="Percent 3 6 8 2 2" xfId="60873" xr:uid="{00000000-0005-0000-0000-000070ED0000}"/>
    <cellStyle name="Percent 3 6 8 2 3" xfId="60874" xr:uid="{00000000-0005-0000-0000-000071ED0000}"/>
    <cellStyle name="Percent 3 6 8 3" xfId="60875" xr:uid="{00000000-0005-0000-0000-000072ED0000}"/>
    <cellStyle name="Percent 3 6 8 4" xfId="60876" xr:uid="{00000000-0005-0000-0000-000073ED0000}"/>
    <cellStyle name="Percent 3 6 8 5" xfId="60877" xr:uid="{00000000-0005-0000-0000-000074ED0000}"/>
    <cellStyle name="Percent 3 6 8 6" xfId="60878" xr:uid="{00000000-0005-0000-0000-000075ED0000}"/>
    <cellStyle name="Percent 3 6 9" xfId="60879" xr:uid="{00000000-0005-0000-0000-000076ED0000}"/>
    <cellStyle name="Percent 3 6 9 2" xfId="60880" xr:uid="{00000000-0005-0000-0000-000077ED0000}"/>
    <cellStyle name="Percent 3 6 9 2 2" xfId="60881" xr:uid="{00000000-0005-0000-0000-000078ED0000}"/>
    <cellStyle name="Percent 3 6 9 2 3" xfId="60882" xr:uid="{00000000-0005-0000-0000-000079ED0000}"/>
    <cellStyle name="Percent 3 6 9 3" xfId="60883" xr:uid="{00000000-0005-0000-0000-00007AED0000}"/>
    <cellStyle name="Percent 3 6 9 4" xfId="60884" xr:uid="{00000000-0005-0000-0000-00007BED0000}"/>
    <cellStyle name="Percent 3 6 9 5" xfId="60885" xr:uid="{00000000-0005-0000-0000-00007CED0000}"/>
    <cellStyle name="Percent 3 6 9 6" xfId="60886" xr:uid="{00000000-0005-0000-0000-00007DED0000}"/>
    <cellStyle name="Percent 3 7" xfId="612" xr:uid="{00000000-0005-0000-0000-00007EED0000}"/>
    <cellStyle name="Percent 3 8" xfId="60887" xr:uid="{00000000-0005-0000-0000-00007FED0000}"/>
    <cellStyle name="Percent 3 8 2" xfId="60888" xr:uid="{00000000-0005-0000-0000-000080ED0000}"/>
    <cellStyle name="Percent 3 8 2 2" xfId="60889" xr:uid="{00000000-0005-0000-0000-000081ED0000}"/>
    <cellStyle name="Percent 3 8 2 2 2" xfId="60890" xr:uid="{00000000-0005-0000-0000-000082ED0000}"/>
    <cellStyle name="Percent 3 8 2 2 2 2" xfId="60891" xr:uid="{00000000-0005-0000-0000-000083ED0000}"/>
    <cellStyle name="Percent 3 8 2 2 2 3" xfId="60892" xr:uid="{00000000-0005-0000-0000-000084ED0000}"/>
    <cellStyle name="Percent 3 8 2 2 3" xfId="60893" xr:uid="{00000000-0005-0000-0000-000085ED0000}"/>
    <cellStyle name="Percent 3 8 2 2 4" xfId="60894" xr:uid="{00000000-0005-0000-0000-000086ED0000}"/>
    <cellStyle name="Percent 3 8 2 2 5" xfId="60895" xr:uid="{00000000-0005-0000-0000-000087ED0000}"/>
    <cellStyle name="Percent 3 8 2 2 6" xfId="60896" xr:uid="{00000000-0005-0000-0000-000088ED0000}"/>
    <cellStyle name="Percent 3 8 2 3" xfId="60897" xr:uid="{00000000-0005-0000-0000-000089ED0000}"/>
    <cellStyle name="Percent 3 8 2 3 2" xfId="60898" xr:uid="{00000000-0005-0000-0000-00008AED0000}"/>
    <cellStyle name="Percent 3 8 2 3 3" xfId="60899" xr:uid="{00000000-0005-0000-0000-00008BED0000}"/>
    <cellStyle name="Percent 3 8 2 4" xfId="60900" xr:uid="{00000000-0005-0000-0000-00008CED0000}"/>
    <cellStyle name="Percent 3 8 2 5" xfId="60901" xr:uid="{00000000-0005-0000-0000-00008DED0000}"/>
    <cellStyle name="Percent 3 8 2 6" xfId="60902" xr:uid="{00000000-0005-0000-0000-00008EED0000}"/>
    <cellStyle name="Percent 3 8 2 7" xfId="60903" xr:uid="{00000000-0005-0000-0000-00008FED0000}"/>
    <cellStyle name="Percent 3 8 3" xfId="60904" xr:uid="{00000000-0005-0000-0000-000090ED0000}"/>
    <cellStyle name="Percent 3 8 3 2" xfId="60905" xr:uid="{00000000-0005-0000-0000-000091ED0000}"/>
    <cellStyle name="Percent 3 8 3 2 2" xfId="60906" xr:uid="{00000000-0005-0000-0000-000092ED0000}"/>
    <cellStyle name="Percent 3 8 3 2 3" xfId="60907" xr:uid="{00000000-0005-0000-0000-000093ED0000}"/>
    <cellStyle name="Percent 3 8 3 3" xfId="60908" xr:uid="{00000000-0005-0000-0000-000094ED0000}"/>
    <cellStyle name="Percent 3 8 3 4" xfId="60909" xr:uid="{00000000-0005-0000-0000-000095ED0000}"/>
    <cellStyle name="Percent 3 8 3 5" xfId="60910" xr:uid="{00000000-0005-0000-0000-000096ED0000}"/>
    <cellStyle name="Percent 3 8 3 6" xfId="60911" xr:uid="{00000000-0005-0000-0000-000097ED0000}"/>
    <cellStyle name="Percent 3 8 4" xfId="60912" xr:uid="{00000000-0005-0000-0000-000098ED0000}"/>
    <cellStyle name="Percent 3 8 4 2" xfId="60913" xr:uid="{00000000-0005-0000-0000-000099ED0000}"/>
    <cellStyle name="Percent 3 8 4 2 2" xfId="60914" xr:uid="{00000000-0005-0000-0000-00009AED0000}"/>
    <cellStyle name="Percent 3 8 4 2 3" xfId="60915" xr:uid="{00000000-0005-0000-0000-00009BED0000}"/>
    <cellStyle name="Percent 3 8 4 3" xfId="60916" xr:uid="{00000000-0005-0000-0000-00009CED0000}"/>
    <cellStyle name="Percent 3 8 4 4" xfId="60917" xr:uid="{00000000-0005-0000-0000-00009DED0000}"/>
    <cellStyle name="Percent 3 8 4 5" xfId="60918" xr:uid="{00000000-0005-0000-0000-00009EED0000}"/>
    <cellStyle name="Percent 3 8 4 6" xfId="60919" xr:uid="{00000000-0005-0000-0000-00009FED0000}"/>
    <cellStyle name="Percent 3 8 5" xfId="60920" xr:uid="{00000000-0005-0000-0000-0000A0ED0000}"/>
    <cellStyle name="Percent 3 8 5 2" xfId="60921" xr:uid="{00000000-0005-0000-0000-0000A1ED0000}"/>
    <cellStyle name="Percent 3 8 5 3" xfId="60922" xr:uid="{00000000-0005-0000-0000-0000A2ED0000}"/>
    <cellStyle name="Percent 3 8 6" xfId="60923" xr:uid="{00000000-0005-0000-0000-0000A3ED0000}"/>
    <cellStyle name="Percent 3 8 7" xfId="60924" xr:uid="{00000000-0005-0000-0000-0000A4ED0000}"/>
    <cellStyle name="Percent 3 8 8" xfId="60925" xr:uid="{00000000-0005-0000-0000-0000A5ED0000}"/>
    <cellStyle name="Percent 3 8 9" xfId="60926" xr:uid="{00000000-0005-0000-0000-0000A6ED0000}"/>
    <cellStyle name="Percent 3 9" xfId="60927" xr:uid="{00000000-0005-0000-0000-0000A7ED0000}"/>
    <cellStyle name="Percent 3 9 2" xfId="60928" xr:uid="{00000000-0005-0000-0000-0000A8ED0000}"/>
    <cellStyle name="Percent 3 9 2 2" xfId="60929" xr:uid="{00000000-0005-0000-0000-0000A9ED0000}"/>
    <cellStyle name="Percent 3 9 2 2 2" xfId="60930" xr:uid="{00000000-0005-0000-0000-0000AAED0000}"/>
    <cellStyle name="Percent 3 9 2 2 3" xfId="60931" xr:uid="{00000000-0005-0000-0000-0000ABED0000}"/>
    <cellStyle name="Percent 3 9 2 3" xfId="60932" xr:uid="{00000000-0005-0000-0000-0000ACED0000}"/>
    <cellStyle name="Percent 3 9 2 4" xfId="60933" xr:uid="{00000000-0005-0000-0000-0000ADED0000}"/>
    <cellStyle name="Percent 3 9 2 5" xfId="60934" xr:uid="{00000000-0005-0000-0000-0000AEED0000}"/>
    <cellStyle name="Percent 3 9 2 6" xfId="60935" xr:uid="{00000000-0005-0000-0000-0000AFED0000}"/>
    <cellStyle name="Percent 3 9 3" xfId="60936" xr:uid="{00000000-0005-0000-0000-0000B0ED0000}"/>
    <cellStyle name="Percent 3 9 3 2" xfId="60937" xr:uid="{00000000-0005-0000-0000-0000B1ED0000}"/>
    <cellStyle name="Percent 3 9 3 3" xfId="60938" xr:uid="{00000000-0005-0000-0000-0000B2ED0000}"/>
    <cellStyle name="Percent 3 9 4" xfId="60939" xr:uid="{00000000-0005-0000-0000-0000B3ED0000}"/>
    <cellStyle name="Percent 3 9 5" xfId="60940" xr:uid="{00000000-0005-0000-0000-0000B4ED0000}"/>
    <cellStyle name="Percent 3 9 6" xfId="60941" xr:uid="{00000000-0005-0000-0000-0000B5ED0000}"/>
    <cellStyle name="Percent 3 9 7" xfId="60942" xr:uid="{00000000-0005-0000-0000-0000B6ED0000}"/>
    <cellStyle name="Percent 4" xfId="169" xr:uid="{00000000-0005-0000-0000-0000B7ED0000}"/>
    <cellStyle name="Percent 4 2" xfId="572" xr:uid="{00000000-0005-0000-0000-0000B8ED0000}"/>
    <cellStyle name="Percent 4 2 2" xfId="573" xr:uid="{00000000-0005-0000-0000-0000B9ED0000}"/>
    <cellStyle name="Percent 4 2 2 2" xfId="574" xr:uid="{00000000-0005-0000-0000-0000BAED0000}"/>
    <cellStyle name="Percent 4 2 3" xfId="575" xr:uid="{00000000-0005-0000-0000-0000BBED0000}"/>
    <cellStyle name="Percent 4 3" xfId="576" xr:uid="{00000000-0005-0000-0000-0000BCED0000}"/>
    <cellStyle name="Percent 4 3 2" xfId="577" xr:uid="{00000000-0005-0000-0000-0000BDED0000}"/>
    <cellStyle name="Percent 4 3 2 2" xfId="578" xr:uid="{00000000-0005-0000-0000-0000BEED0000}"/>
    <cellStyle name="Percent 4 3 3" xfId="579" xr:uid="{00000000-0005-0000-0000-0000BFED0000}"/>
    <cellStyle name="Percent 4 4" xfId="580" xr:uid="{00000000-0005-0000-0000-0000C0ED0000}"/>
    <cellStyle name="Percent 4 4 2" xfId="581" xr:uid="{00000000-0005-0000-0000-0000C1ED0000}"/>
    <cellStyle name="Percent 4 5" xfId="582" xr:uid="{00000000-0005-0000-0000-0000C2ED0000}"/>
    <cellStyle name="Percent 4 6" xfId="583" xr:uid="{00000000-0005-0000-0000-0000C3ED0000}"/>
    <cellStyle name="Percent 5" xfId="276" xr:uid="{00000000-0005-0000-0000-0000C4ED0000}"/>
    <cellStyle name="Percent 5 2" xfId="278" xr:uid="{00000000-0005-0000-0000-0000C5ED0000}"/>
    <cellStyle name="Percent 6" xfId="584" xr:uid="{00000000-0005-0000-0000-0000C6ED0000}"/>
    <cellStyle name="Percent 6 2" xfId="60943" xr:uid="{00000000-0005-0000-0000-0000C7ED0000}"/>
    <cellStyle name="Percent 6 3" xfId="60944" xr:uid="{00000000-0005-0000-0000-0000C8ED0000}"/>
    <cellStyle name="Percent 6 3 2" xfId="60945" xr:uid="{00000000-0005-0000-0000-0000C9ED0000}"/>
    <cellStyle name="Percent 6 4" xfId="60946" xr:uid="{00000000-0005-0000-0000-0000CAED0000}"/>
    <cellStyle name="Percent 6 4 2" xfId="60947" xr:uid="{00000000-0005-0000-0000-0000CBED0000}"/>
    <cellStyle name="Percent 6 4 2 2" xfId="60948" xr:uid="{00000000-0005-0000-0000-0000CCED0000}"/>
    <cellStyle name="Percent 6 4 3" xfId="60949" xr:uid="{00000000-0005-0000-0000-0000CDED0000}"/>
    <cellStyle name="Percent 6 5" xfId="60950" xr:uid="{00000000-0005-0000-0000-0000CEED0000}"/>
    <cellStyle name="Percent 6 6" xfId="60951" xr:uid="{00000000-0005-0000-0000-0000CFED0000}"/>
    <cellStyle name="Percent 6 6 2" xfId="60952" xr:uid="{00000000-0005-0000-0000-0000D0ED0000}"/>
    <cellStyle name="Percent 7" xfId="585" xr:uid="{00000000-0005-0000-0000-0000D1ED0000}"/>
    <cellStyle name="Percent 7 2" xfId="586" xr:uid="{00000000-0005-0000-0000-0000D2ED0000}"/>
    <cellStyle name="Percent 7 2 2" xfId="587" xr:uid="{00000000-0005-0000-0000-0000D3ED0000}"/>
    <cellStyle name="Percent 7 3" xfId="588" xr:uid="{00000000-0005-0000-0000-0000D4ED0000}"/>
    <cellStyle name="Percent 8" xfId="589" xr:uid="{00000000-0005-0000-0000-0000D5ED0000}"/>
    <cellStyle name="Percent 8 2" xfId="590" xr:uid="{00000000-0005-0000-0000-0000D6ED0000}"/>
    <cellStyle name="Percent 8 2 2" xfId="591" xr:uid="{00000000-0005-0000-0000-0000D7ED0000}"/>
    <cellStyle name="Percent 8 3" xfId="592" xr:uid="{00000000-0005-0000-0000-0000D8ED0000}"/>
    <cellStyle name="Percent 9" xfId="593" xr:uid="{00000000-0005-0000-0000-0000D9ED0000}"/>
    <cellStyle name="Percent(0)" xfId="60953" xr:uid="{00000000-0005-0000-0000-0000DAED0000}"/>
    <cellStyle name="Percent(0) 2" xfId="60954" xr:uid="{00000000-0005-0000-0000-0000DBED0000}"/>
    <cellStyle name="Percent(0) 3" xfId="60955" xr:uid="{00000000-0005-0000-0000-0000DCED0000}"/>
    <cellStyle name="Percent(0) 4" xfId="60956" xr:uid="{00000000-0005-0000-0000-0000DDED0000}"/>
    <cellStyle name="Percent(1)" xfId="60957" xr:uid="{00000000-0005-0000-0000-0000DEED0000}"/>
    <cellStyle name="Percent(1) 2" xfId="60958" xr:uid="{00000000-0005-0000-0000-0000DFED0000}"/>
    <cellStyle name="Percent(1) 3" xfId="60959" xr:uid="{00000000-0005-0000-0000-0000E0ED0000}"/>
    <cellStyle name="Percent(1) 4" xfId="60960" xr:uid="{00000000-0005-0000-0000-0000E1ED0000}"/>
    <cellStyle name="Pourcentage 2" xfId="170" xr:uid="{00000000-0005-0000-0000-0000E2ED0000}"/>
    <cellStyle name="ProgramVariable" xfId="60961" xr:uid="{00000000-0005-0000-0000-0000E3ED0000}"/>
    <cellStyle name="PSChar" xfId="60962" xr:uid="{00000000-0005-0000-0000-0000E4ED0000}"/>
    <cellStyle name="PSDate" xfId="60963" xr:uid="{00000000-0005-0000-0000-0000E5ED0000}"/>
    <cellStyle name="PSDec" xfId="60964" xr:uid="{00000000-0005-0000-0000-0000E6ED0000}"/>
    <cellStyle name="PSHeading" xfId="60965" xr:uid="{00000000-0005-0000-0000-0000E7ED0000}"/>
    <cellStyle name="PSInt" xfId="60966" xr:uid="{00000000-0005-0000-0000-0000E8ED0000}"/>
    <cellStyle name="PSSpacer" xfId="60967" xr:uid="{00000000-0005-0000-0000-0000E9ED0000}"/>
    <cellStyle name="Reference" xfId="60968" xr:uid="{00000000-0005-0000-0000-0000EAED0000}"/>
    <cellStyle name="Report" xfId="60969" xr:uid="{00000000-0005-0000-0000-0000EBED0000}"/>
    <cellStyle name="RHlayer1" xfId="60970" xr:uid="{00000000-0005-0000-0000-0000ECED0000}"/>
    <cellStyle name="RHlayer2" xfId="60971" xr:uid="{00000000-0005-0000-0000-0000EDED0000}"/>
    <cellStyle name="RHlayer3" xfId="60972" xr:uid="{00000000-0005-0000-0000-0000EEED0000}"/>
    <cellStyle name="RHlayer4" xfId="60973" xr:uid="{00000000-0005-0000-0000-0000EFED0000}"/>
    <cellStyle name="RHlayer5" xfId="60974" xr:uid="{00000000-0005-0000-0000-0000F0ED0000}"/>
    <cellStyle name="RHlayer6" xfId="60975" xr:uid="{00000000-0005-0000-0000-0000F1ED0000}"/>
    <cellStyle name="RHlevel1" xfId="60976" xr:uid="{00000000-0005-0000-0000-0000F2ED0000}"/>
    <cellStyle name="RHlevel2" xfId="60977" xr:uid="{00000000-0005-0000-0000-0000F3ED0000}"/>
    <cellStyle name="RHlevel3" xfId="60978" xr:uid="{00000000-0005-0000-0000-0000F4ED0000}"/>
    <cellStyle name="RHlevel4" xfId="60979" xr:uid="{00000000-0005-0000-0000-0000F5ED0000}"/>
    <cellStyle name="RHlevel5" xfId="60980" xr:uid="{00000000-0005-0000-0000-0000F6ED0000}"/>
    <cellStyle name="Row heading" xfId="60981" xr:uid="{00000000-0005-0000-0000-0000F7ED0000}"/>
    <cellStyle name="SAPBEXaggData" xfId="171" xr:uid="{00000000-0005-0000-0000-0000F8ED0000}"/>
    <cellStyle name="SAPBEXaggData 2" xfId="60982" xr:uid="{00000000-0005-0000-0000-0000F9ED0000}"/>
    <cellStyle name="SAPBEXaggDataEmph" xfId="172" xr:uid="{00000000-0005-0000-0000-0000FAED0000}"/>
    <cellStyle name="SAPBEXaggDataEmph 2" xfId="60983" xr:uid="{00000000-0005-0000-0000-0000FBED0000}"/>
    <cellStyle name="SAPBEXaggItem" xfId="173" xr:uid="{00000000-0005-0000-0000-0000FCED0000}"/>
    <cellStyle name="SAPBEXaggItem 2" xfId="60984" xr:uid="{00000000-0005-0000-0000-0000FDED0000}"/>
    <cellStyle name="SAPBEXaggItemX" xfId="174" xr:uid="{00000000-0005-0000-0000-0000FEED0000}"/>
    <cellStyle name="SAPBEXaggItemX 2" xfId="60985" xr:uid="{00000000-0005-0000-0000-0000FFED0000}"/>
    <cellStyle name="SAPBEXchaText" xfId="175" xr:uid="{00000000-0005-0000-0000-000000EE0000}"/>
    <cellStyle name="SAPBEXexcBad7" xfId="176" xr:uid="{00000000-0005-0000-0000-000001EE0000}"/>
    <cellStyle name="SAPBEXexcBad7 2" xfId="60986" xr:uid="{00000000-0005-0000-0000-000002EE0000}"/>
    <cellStyle name="SAPBEXexcBad8" xfId="177" xr:uid="{00000000-0005-0000-0000-000003EE0000}"/>
    <cellStyle name="SAPBEXexcBad8 2" xfId="60987" xr:uid="{00000000-0005-0000-0000-000004EE0000}"/>
    <cellStyle name="SAPBEXexcBad9" xfId="178" xr:uid="{00000000-0005-0000-0000-000005EE0000}"/>
    <cellStyle name="SAPBEXexcBad9 2" xfId="60988" xr:uid="{00000000-0005-0000-0000-000006EE0000}"/>
    <cellStyle name="SAPBEXexcCritical4" xfId="179" xr:uid="{00000000-0005-0000-0000-000007EE0000}"/>
    <cellStyle name="SAPBEXexcCritical4 2" xfId="60989" xr:uid="{00000000-0005-0000-0000-000008EE0000}"/>
    <cellStyle name="SAPBEXexcCritical5" xfId="180" xr:uid="{00000000-0005-0000-0000-000009EE0000}"/>
    <cellStyle name="SAPBEXexcCritical5 2" xfId="60990" xr:uid="{00000000-0005-0000-0000-00000AEE0000}"/>
    <cellStyle name="SAPBEXexcCritical6" xfId="181" xr:uid="{00000000-0005-0000-0000-00000BEE0000}"/>
    <cellStyle name="SAPBEXexcCritical6 2" xfId="60991" xr:uid="{00000000-0005-0000-0000-00000CEE0000}"/>
    <cellStyle name="SAPBEXexcGood1" xfId="182" xr:uid="{00000000-0005-0000-0000-00000DEE0000}"/>
    <cellStyle name="SAPBEXexcGood1 2" xfId="60992" xr:uid="{00000000-0005-0000-0000-00000EEE0000}"/>
    <cellStyle name="SAPBEXexcGood2" xfId="183" xr:uid="{00000000-0005-0000-0000-00000FEE0000}"/>
    <cellStyle name="SAPBEXexcGood2 2" xfId="60993" xr:uid="{00000000-0005-0000-0000-000010EE0000}"/>
    <cellStyle name="SAPBEXexcGood3" xfId="184" xr:uid="{00000000-0005-0000-0000-000011EE0000}"/>
    <cellStyle name="SAPBEXexcGood3 2" xfId="60994" xr:uid="{00000000-0005-0000-0000-000012EE0000}"/>
    <cellStyle name="SAPBEXfilterDrill" xfId="185" xr:uid="{00000000-0005-0000-0000-000013EE0000}"/>
    <cellStyle name="SAPBEXfilterItem" xfId="186" xr:uid="{00000000-0005-0000-0000-000014EE0000}"/>
    <cellStyle name="SAPBEXfilterText" xfId="187" xr:uid="{00000000-0005-0000-0000-000015EE0000}"/>
    <cellStyle name="SAPBEXformats" xfId="188" xr:uid="{00000000-0005-0000-0000-000016EE0000}"/>
    <cellStyle name="SAPBEXformats 2" xfId="60995" xr:uid="{00000000-0005-0000-0000-000017EE0000}"/>
    <cellStyle name="SAPBEXheaderItem" xfId="189" xr:uid="{00000000-0005-0000-0000-000018EE0000}"/>
    <cellStyle name="SAPBEXheaderText" xfId="190" xr:uid="{00000000-0005-0000-0000-000019EE0000}"/>
    <cellStyle name="SAPBEXHLevel0" xfId="191" xr:uid="{00000000-0005-0000-0000-00001AEE0000}"/>
    <cellStyle name="SAPBEXHLevel0 2" xfId="60996" xr:uid="{00000000-0005-0000-0000-00001BEE0000}"/>
    <cellStyle name="SAPBEXHLevel0X" xfId="192" xr:uid="{00000000-0005-0000-0000-00001CEE0000}"/>
    <cellStyle name="SAPBEXHLevel0X 2" xfId="60997" xr:uid="{00000000-0005-0000-0000-00001DEE0000}"/>
    <cellStyle name="SAPBEXHLevel1" xfId="193" xr:uid="{00000000-0005-0000-0000-00001EEE0000}"/>
    <cellStyle name="SAPBEXHLevel1 2" xfId="60998" xr:uid="{00000000-0005-0000-0000-00001FEE0000}"/>
    <cellStyle name="SAPBEXHLevel1X" xfId="194" xr:uid="{00000000-0005-0000-0000-000020EE0000}"/>
    <cellStyle name="SAPBEXHLevel1X 2" xfId="60999" xr:uid="{00000000-0005-0000-0000-000021EE0000}"/>
    <cellStyle name="SAPBEXHLevel2" xfId="195" xr:uid="{00000000-0005-0000-0000-000022EE0000}"/>
    <cellStyle name="SAPBEXHLevel2 2" xfId="61000" xr:uid="{00000000-0005-0000-0000-000023EE0000}"/>
    <cellStyle name="SAPBEXHLevel2X" xfId="196" xr:uid="{00000000-0005-0000-0000-000024EE0000}"/>
    <cellStyle name="SAPBEXHLevel2X 2" xfId="61001" xr:uid="{00000000-0005-0000-0000-000025EE0000}"/>
    <cellStyle name="SAPBEXHLevel3" xfId="197" xr:uid="{00000000-0005-0000-0000-000026EE0000}"/>
    <cellStyle name="SAPBEXHLevel3 2" xfId="61002" xr:uid="{00000000-0005-0000-0000-000027EE0000}"/>
    <cellStyle name="SAPBEXHLevel3X" xfId="198" xr:uid="{00000000-0005-0000-0000-000028EE0000}"/>
    <cellStyle name="SAPBEXHLevel3X 2" xfId="61003" xr:uid="{00000000-0005-0000-0000-000029EE0000}"/>
    <cellStyle name="SAPBEXinputData" xfId="199" xr:uid="{00000000-0005-0000-0000-00002AEE0000}"/>
    <cellStyle name="SAPBEXinputData 2" xfId="61004" xr:uid="{00000000-0005-0000-0000-00002BEE0000}"/>
    <cellStyle name="SAPBEXItemHeader" xfId="200" xr:uid="{00000000-0005-0000-0000-00002CEE0000}"/>
    <cellStyle name="SAPBEXItemHeader 2" xfId="61005" xr:uid="{00000000-0005-0000-0000-00002DEE0000}"/>
    <cellStyle name="SAPBEXresData" xfId="201" xr:uid="{00000000-0005-0000-0000-00002EEE0000}"/>
    <cellStyle name="SAPBEXresData 2" xfId="61006" xr:uid="{00000000-0005-0000-0000-00002FEE0000}"/>
    <cellStyle name="SAPBEXresDataEmph" xfId="202" xr:uid="{00000000-0005-0000-0000-000030EE0000}"/>
    <cellStyle name="SAPBEXresDataEmph 2" xfId="61007" xr:uid="{00000000-0005-0000-0000-000031EE0000}"/>
    <cellStyle name="SAPBEXresItem" xfId="203" xr:uid="{00000000-0005-0000-0000-000032EE0000}"/>
    <cellStyle name="SAPBEXresItem 2" xfId="61008" xr:uid="{00000000-0005-0000-0000-000033EE0000}"/>
    <cellStyle name="SAPBEXresItemX" xfId="204" xr:uid="{00000000-0005-0000-0000-000034EE0000}"/>
    <cellStyle name="SAPBEXresItemX 2" xfId="61009" xr:uid="{00000000-0005-0000-0000-000035EE0000}"/>
    <cellStyle name="SAPBEXstdData" xfId="205" xr:uid="{00000000-0005-0000-0000-000036EE0000}"/>
    <cellStyle name="SAPBEXstdData 2" xfId="61010" xr:uid="{00000000-0005-0000-0000-000037EE0000}"/>
    <cellStyle name="SAPBEXstdDataEmph" xfId="206" xr:uid="{00000000-0005-0000-0000-000038EE0000}"/>
    <cellStyle name="SAPBEXstdDataEmph 2" xfId="61011" xr:uid="{00000000-0005-0000-0000-000039EE0000}"/>
    <cellStyle name="SAPBEXstdItem" xfId="207" xr:uid="{00000000-0005-0000-0000-00003AEE0000}"/>
    <cellStyle name="SAPBEXstdItem 2" xfId="61012" xr:uid="{00000000-0005-0000-0000-00003BEE0000}"/>
    <cellStyle name="SAPBEXstdItemX" xfId="208" xr:uid="{00000000-0005-0000-0000-00003CEE0000}"/>
    <cellStyle name="SAPBEXstdItemX 2" xfId="61013" xr:uid="{00000000-0005-0000-0000-00003DEE0000}"/>
    <cellStyle name="SAPBEXtitle" xfId="209" xr:uid="{00000000-0005-0000-0000-00003EEE0000}"/>
    <cellStyle name="SAPBEXunassignedItem" xfId="210" xr:uid="{00000000-0005-0000-0000-00003FEE0000}"/>
    <cellStyle name="SAPBEXunassignedItem 2" xfId="61014" xr:uid="{00000000-0005-0000-0000-000040EE0000}"/>
    <cellStyle name="SAPBEXundefined" xfId="211" xr:uid="{00000000-0005-0000-0000-000041EE0000}"/>
    <cellStyle name="SAPBEXundefined 2" xfId="61015" xr:uid="{00000000-0005-0000-0000-000042EE0000}"/>
    <cellStyle name="Sheet Title" xfId="212" xr:uid="{00000000-0005-0000-0000-000043EE0000}"/>
    <cellStyle name="Source Hed" xfId="61016" xr:uid="{00000000-0005-0000-0000-000044EE0000}"/>
    <cellStyle name="Source Letter" xfId="61017" xr:uid="{00000000-0005-0000-0000-000045EE0000}"/>
    <cellStyle name="Source Superscript" xfId="61018" xr:uid="{00000000-0005-0000-0000-000046EE0000}"/>
    <cellStyle name="Source Text" xfId="213" xr:uid="{00000000-0005-0000-0000-000047EE0000}"/>
    <cellStyle name="State" xfId="61019" xr:uid="{00000000-0005-0000-0000-000048EE0000}"/>
    <cellStyle name="Style 33" xfId="61020" xr:uid="{00000000-0005-0000-0000-000049EE0000}"/>
    <cellStyle name="Style 33 2" xfId="61021" xr:uid="{00000000-0005-0000-0000-00004AEE0000}"/>
    <cellStyle name="Style 34" xfId="61022" xr:uid="{00000000-0005-0000-0000-00004BEE0000}"/>
    <cellStyle name="Style 34 2" xfId="61023" xr:uid="{00000000-0005-0000-0000-00004CEE0000}"/>
    <cellStyle name="Style 35" xfId="61024" xr:uid="{00000000-0005-0000-0000-00004DEE0000}"/>
    <cellStyle name="Style 35 2" xfId="61025" xr:uid="{00000000-0005-0000-0000-00004EEE0000}"/>
    <cellStyle name="Style 36" xfId="61026" xr:uid="{00000000-0005-0000-0000-00004FEE0000}"/>
    <cellStyle name="Style 36 2" xfId="61027" xr:uid="{00000000-0005-0000-0000-000050EE0000}"/>
    <cellStyle name="Style 37" xfId="61028" xr:uid="{00000000-0005-0000-0000-000051EE0000}"/>
    <cellStyle name="Superscript" xfId="61029" xr:uid="{00000000-0005-0000-0000-000052EE0000}"/>
    <cellStyle name="Superscript- regular" xfId="61030" xr:uid="{00000000-0005-0000-0000-000053EE0000}"/>
    <cellStyle name="Superscript_1-1A-Regular" xfId="61031" xr:uid="{00000000-0005-0000-0000-000054EE0000}"/>
    <cellStyle name="Table Data" xfId="61032" xr:uid="{00000000-0005-0000-0000-000055EE0000}"/>
    <cellStyle name="Table Head Top" xfId="61033" xr:uid="{00000000-0005-0000-0000-000056EE0000}"/>
    <cellStyle name="Table Hed Side" xfId="61034" xr:uid="{00000000-0005-0000-0000-000057EE0000}"/>
    <cellStyle name="Table Title" xfId="61035" xr:uid="{00000000-0005-0000-0000-000058EE0000}"/>
    <cellStyle name="Title" xfId="3" builtinId="15" customBuiltin="1"/>
    <cellStyle name="Title 2" xfId="268" xr:uid="{00000000-0005-0000-0000-00005AEE0000}"/>
    <cellStyle name="Title 3" xfId="61036" xr:uid="{00000000-0005-0000-0000-00005BEE0000}"/>
    <cellStyle name="Title 4" xfId="61037" xr:uid="{00000000-0005-0000-0000-00005CEE0000}"/>
    <cellStyle name="Title 5" xfId="61038" xr:uid="{00000000-0005-0000-0000-00005DEE0000}"/>
    <cellStyle name="Title 6" xfId="61066" xr:uid="{0EA83456-8591-4EE7-8B6D-D7F5F16C0D83}"/>
    <cellStyle name="Title Text" xfId="61039" xr:uid="{00000000-0005-0000-0000-00005EEE0000}"/>
    <cellStyle name="Title Text 1" xfId="61040" xr:uid="{00000000-0005-0000-0000-00005FEE0000}"/>
    <cellStyle name="Title Text 2" xfId="61041" xr:uid="{00000000-0005-0000-0000-000060EE0000}"/>
    <cellStyle name="Title-1" xfId="61042" xr:uid="{00000000-0005-0000-0000-000061EE0000}"/>
    <cellStyle name="Title-2" xfId="61043" xr:uid="{00000000-0005-0000-0000-000062EE0000}"/>
    <cellStyle name="Title-3" xfId="61044" xr:uid="{00000000-0005-0000-0000-000063EE0000}"/>
    <cellStyle name="TitleBar" xfId="61045" xr:uid="{00000000-0005-0000-0000-000064EE0000}"/>
    <cellStyle name="Total" xfId="19" builtinId="25" customBuiltin="1"/>
    <cellStyle name="Total 2" xfId="269" xr:uid="{00000000-0005-0000-0000-000066EE0000}"/>
    <cellStyle name="Total 2 2" xfId="270" xr:uid="{00000000-0005-0000-0000-000067EE0000}"/>
    <cellStyle name="Total 2 2 2" xfId="594" xr:uid="{00000000-0005-0000-0000-000068EE0000}"/>
    <cellStyle name="Total 2 2 3" xfId="595" xr:uid="{00000000-0005-0000-0000-000069EE0000}"/>
    <cellStyle name="Total 2 3" xfId="596" xr:uid="{00000000-0005-0000-0000-00006AEE0000}"/>
    <cellStyle name="Total 2 3 2" xfId="597" xr:uid="{00000000-0005-0000-0000-00006BEE0000}"/>
    <cellStyle name="Total 2 3 3" xfId="598" xr:uid="{00000000-0005-0000-0000-00006CEE0000}"/>
    <cellStyle name="Total 2 4" xfId="599" xr:uid="{00000000-0005-0000-0000-00006DEE0000}"/>
    <cellStyle name="Total 2 4 2" xfId="600" xr:uid="{00000000-0005-0000-0000-00006EEE0000}"/>
    <cellStyle name="Total 2 4 3" xfId="601" xr:uid="{00000000-0005-0000-0000-00006FEE0000}"/>
    <cellStyle name="Total 2 4 4" xfId="602" xr:uid="{00000000-0005-0000-0000-000070EE0000}"/>
    <cellStyle name="Total 2 5" xfId="603" xr:uid="{00000000-0005-0000-0000-000071EE0000}"/>
    <cellStyle name="Total 2 6" xfId="604" xr:uid="{00000000-0005-0000-0000-000072EE0000}"/>
    <cellStyle name="Total 2 7" xfId="605" xr:uid="{00000000-0005-0000-0000-000073EE0000}"/>
    <cellStyle name="Total 2 8" xfId="606" xr:uid="{00000000-0005-0000-0000-000074EE0000}"/>
    <cellStyle name="Total 3" xfId="61046" xr:uid="{00000000-0005-0000-0000-000075EE0000}"/>
    <cellStyle name="Total 4" xfId="61047" xr:uid="{00000000-0005-0000-0000-000076EE0000}"/>
    <cellStyle name="Total 5" xfId="61048" xr:uid="{00000000-0005-0000-0000-000077EE0000}"/>
    <cellStyle name="Valuta (0)_Foglio1" xfId="61049" xr:uid="{00000000-0005-0000-0000-000078EE0000}"/>
    <cellStyle name="Warning Text" xfId="16" builtinId="11" customBuiltin="1"/>
    <cellStyle name="Warning Text 2" xfId="271" xr:uid="{00000000-0005-0000-0000-00007AEE0000}"/>
    <cellStyle name="Warning Text 3" xfId="61050" xr:uid="{00000000-0005-0000-0000-00007BEE0000}"/>
    <cellStyle name="Warning Text 4" xfId="61051" xr:uid="{00000000-0005-0000-0000-00007CEE0000}"/>
    <cellStyle name="Warning Text 5" xfId="61052" xr:uid="{00000000-0005-0000-0000-00007DEE0000}"/>
    <cellStyle name="Wrap" xfId="61053" xr:uid="{00000000-0005-0000-0000-00007EEE0000}"/>
    <cellStyle name="Wrap Bold" xfId="61054" xr:uid="{00000000-0005-0000-0000-00007FEE0000}"/>
    <cellStyle name="Wrap Title" xfId="61055" xr:uid="{00000000-0005-0000-0000-000080EE0000}"/>
    <cellStyle name="Wrap_NTS99-~11" xfId="61056" xr:uid="{00000000-0005-0000-0000-000081EE0000}"/>
    <cellStyle name="Y.check" xfId="214" xr:uid="{00000000-0005-0000-0000-000082EE0000}"/>
    <cellStyle name="桁区切り [0.00]_results" xfId="61057" xr:uid="{00000000-0005-0000-0000-000083EE0000}"/>
    <cellStyle name="桁区切り_results" xfId="61058" xr:uid="{00000000-0005-0000-0000-000084EE0000}"/>
    <cellStyle name="標準_results" xfId="61059" xr:uid="{00000000-0005-0000-0000-000085EE0000}"/>
    <cellStyle name="通貨 [0.00]_results" xfId="61060" xr:uid="{00000000-0005-0000-0000-000086EE0000}"/>
    <cellStyle name="通貨_results" xfId="61061" xr:uid="{00000000-0005-0000-0000-000087EE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cid:image003.png@01D7103C.F6EE3F10" TargetMode="External"/><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2</xdr:col>
      <xdr:colOff>911086</xdr:colOff>
      <xdr:row>96</xdr:row>
      <xdr:rowOff>8281</xdr:rowOff>
    </xdr:from>
    <xdr:to>
      <xdr:col>2</xdr:col>
      <xdr:colOff>6089321</xdr:colOff>
      <xdr:row>104</xdr:row>
      <xdr:rowOff>0</xdr:rowOff>
    </xdr:to>
    <xdr:pic>
      <xdr:nvPicPr>
        <xdr:cNvPr id="2" name="Picture 1">
          <a:extLst>
            <a:ext uri="{FF2B5EF4-FFF2-40B4-BE49-F238E27FC236}">
              <a16:creationId xmlns:a16="http://schemas.microsoft.com/office/drawing/2014/main" id="{8203A33E-4076-47CC-BD2A-FF535AEF4D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7608" y="17153281"/>
          <a:ext cx="5178235" cy="183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542925</xdr:colOff>
      <xdr:row>10</xdr:row>
      <xdr:rowOff>0</xdr:rowOff>
    </xdr:from>
    <xdr:to>
      <xdr:col>20</xdr:col>
      <xdr:colOff>152400</xdr:colOff>
      <xdr:row>25</xdr:row>
      <xdr:rowOff>28575</xdr:rowOff>
    </xdr:to>
    <xdr:pic>
      <xdr:nvPicPr>
        <xdr:cNvPr id="2" name="Picture 2" descr="A picture containing text&#10;&#10;Description automatically generated">
          <a:extLst>
            <a:ext uri="{FF2B5EF4-FFF2-40B4-BE49-F238E27FC236}">
              <a16:creationId xmlns:a16="http://schemas.microsoft.com/office/drawing/2014/main" id="{0B8C40B4-9532-4508-A4E1-5ADB29855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2476500"/>
          <a:ext cx="6315075"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95250</xdr:colOff>
      <xdr:row>21</xdr:row>
      <xdr:rowOff>57150</xdr:rowOff>
    </xdr:from>
    <xdr:to>
      <xdr:col>15</xdr:col>
      <xdr:colOff>152927</xdr:colOff>
      <xdr:row>37</xdr:row>
      <xdr:rowOff>57447</xdr:rowOff>
    </xdr:to>
    <xdr:pic>
      <xdr:nvPicPr>
        <xdr:cNvPr id="2" name="Picture 1">
          <a:extLst>
            <a:ext uri="{FF2B5EF4-FFF2-40B4-BE49-F238E27FC236}">
              <a16:creationId xmlns:a16="http://schemas.microsoft.com/office/drawing/2014/main" id="{CA2EBB8B-B27A-46E2-81D7-0826154403F6}"/>
            </a:ext>
          </a:extLst>
        </xdr:cNvPr>
        <xdr:cNvPicPr>
          <a:picLocks noChangeAspect="1"/>
        </xdr:cNvPicPr>
      </xdr:nvPicPr>
      <xdr:blipFill>
        <a:blip xmlns:r="http://schemas.openxmlformats.org/officeDocument/2006/relationships" r:embed="rId1"/>
        <a:stretch>
          <a:fillRect/>
        </a:stretch>
      </xdr:blipFill>
      <xdr:spPr>
        <a:xfrm>
          <a:off x="6762750" y="3676650"/>
          <a:ext cx="6096528" cy="34292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80684</xdr:colOff>
      <xdr:row>20</xdr:row>
      <xdr:rowOff>17930</xdr:rowOff>
    </xdr:from>
    <xdr:to>
      <xdr:col>5</xdr:col>
      <xdr:colOff>295835</xdr:colOff>
      <xdr:row>40</xdr:row>
      <xdr:rowOff>125894</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a:stretch>
          <a:fillRect/>
        </a:stretch>
      </xdr:blipFill>
      <xdr:spPr>
        <a:xfrm>
          <a:off x="80684" y="3424518"/>
          <a:ext cx="3756210" cy="3693847"/>
        </a:xfrm>
        <a:prstGeom prst="rect">
          <a:avLst/>
        </a:prstGeom>
      </xdr:spPr>
    </xdr:pic>
    <xdr:clientData/>
  </xdr:twoCellAnchor>
  <xdr:twoCellAnchor editAs="oneCell">
    <xdr:from>
      <xdr:col>10</xdr:col>
      <xdr:colOff>0</xdr:colOff>
      <xdr:row>20</xdr:row>
      <xdr:rowOff>0</xdr:rowOff>
    </xdr:from>
    <xdr:to>
      <xdr:col>21</xdr:col>
      <xdr:colOff>676602</xdr:colOff>
      <xdr:row>36</xdr:row>
      <xdr:rowOff>4283</xdr:rowOff>
    </xdr:to>
    <xdr:pic>
      <xdr:nvPicPr>
        <xdr:cNvPr id="11" name="Picture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7153835" y="3406588"/>
          <a:ext cx="7651144" cy="2872989"/>
        </a:xfrm>
        <a:prstGeom prst="rect">
          <a:avLst/>
        </a:prstGeom>
      </xdr:spPr>
    </xdr:pic>
    <xdr:clientData/>
  </xdr:twoCellAnchor>
  <xdr:twoCellAnchor editAs="oneCell">
    <xdr:from>
      <xdr:col>9</xdr:col>
      <xdr:colOff>134471</xdr:colOff>
      <xdr:row>44</xdr:row>
      <xdr:rowOff>8964</xdr:rowOff>
    </xdr:from>
    <xdr:to>
      <xdr:col>22</xdr:col>
      <xdr:colOff>142819</xdr:colOff>
      <xdr:row>64</xdr:row>
      <xdr:rowOff>12413</xdr:rowOff>
    </xdr:to>
    <xdr:pic>
      <xdr:nvPicPr>
        <xdr:cNvPr id="12" name="Picture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3"/>
        <a:stretch>
          <a:fillRect/>
        </a:stretch>
      </xdr:blipFill>
      <xdr:spPr>
        <a:xfrm>
          <a:off x="6714565" y="7718611"/>
          <a:ext cx="8390348" cy="3589331"/>
        </a:xfrm>
        <a:prstGeom prst="rect">
          <a:avLst/>
        </a:prstGeom>
      </xdr:spPr>
    </xdr:pic>
    <xdr:clientData/>
  </xdr:twoCellAnchor>
  <xdr:twoCellAnchor editAs="oneCell">
    <xdr:from>
      <xdr:col>0</xdr:col>
      <xdr:colOff>0</xdr:colOff>
      <xdr:row>43</xdr:row>
      <xdr:rowOff>35858</xdr:rowOff>
    </xdr:from>
    <xdr:to>
      <xdr:col>5</xdr:col>
      <xdr:colOff>636494</xdr:colOff>
      <xdr:row>58</xdr:row>
      <xdr:rowOff>94883</xdr:rowOff>
    </xdr:to>
    <xdr:pic>
      <xdr:nvPicPr>
        <xdr:cNvPr id="13" name="Picture 12">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4"/>
        <a:stretch>
          <a:fillRect/>
        </a:stretch>
      </xdr:blipFill>
      <xdr:spPr>
        <a:xfrm>
          <a:off x="0" y="7566211"/>
          <a:ext cx="4177553" cy="2748437"/>
        </a:xfrm>
        <a:prstGeom prst="rect">
          <a:avLst/>
        </a:prstGeom>
      </xdr:spPr>
    </xdr:pic>
    <xdr:clientData/>
  </xdr:twoCellAnchor>
  <xdr:twoCellAnchor editAs="oneCell">
    <xdr:from>
      <xdr:col>0</xdr:col>
      <xdr:colOff>17931</xdr:colOff>
      <xdr:row>66</xdr:row>
      <xdr:rowOff>53788</xdr:rowOff>
    </xdr:from>
    <xdr:to>
      <xdr:col>10</xdr:col>
      <xdr:colOff>174729</xdr:colOff>
      <xdr:row>99</xdr:row>
      <xdr:rowOff>15366</xdr:rowOff>
    </xdr:to>
    <xdr:pic>
      <xdr:nvPicPr>
        <xdr:cNvPr id="14" name="Picture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5"/>
        <a:stretch>
          <a:fillRect/>
        </a:stretch>
      </xdr:blipFill>
      <xdr:spPr>
        <a:xfrm>
          <a:off x="17931" y="11707906"/>
          <a:ext cx="7400280" cy="5878284"/>
        </a:xfrm>
        <a:prstGeom prst="rect">
          <a:avLst/>
        </a:prstGeom>
      </xdr:spPr>
    </xdr:pic>
    <xdr:clientData/>
  </xdr:twoCellAnchor>
  <xdr:twoCellAnchor editAs="oneCell">
    <xdr:from>
      <xdr:col>15</xdr:col>
      <xdr:colOff>0</xdr:colOff>
      <xdr:row>66</xdr:row>
      <xdr:rowOff>0</xdr:rowOff>
    </xdr:from>
    <xdr:to>
      <xdr:col>26</xdr:col>
      <xdr:colOff>373576</xdr:colOff>
      <xdr:row>80</xdr:row>
      <xdr:rowOff>27563</xdr:rowOff>
    </xdr:to>
    <xdr:pic>
      <xdr:nvPicPr>
        <xdr:cNvPr id="15" name="Picture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6"/>
        <a:stretch>
          <a:fillRect/>
        </a:stretch>
      </xdr:blipFill>
      <xdr:spPr>
        <a:xfrm>
          <a:off x="10434918" y="11654118"/>
          <a:ext cx="7437765" cy="2537680"/>
        </a:xfrm>
        <a:prstGeom prst="rect">
          <a:avLst/>
        </a:prstGeom>
      </xdr:spPr>
    </xdr:pic>
    <xdr:clientData/>
  </xdr:twoCellAnchor>
  <xdr:twoCellAnchor editAs="oneCell">
    <xdr:from>
      <xdr:col>0</xdr:col>
      <xdr:colOff>62753</xdr:colOff>
      <xdr:row>102</xdr:row>
      <xdr:rowOff>26894</xdr:rowOff>
    </xdr:from>
    <xdr:to>
      <xdr:col>8</xdr:col>
      <xdr:colOff>606049</xdr:colOff>
      <xdr:row>122</xdr:row>
      <xdr:rowOff>98618</xdr:rowOff>
    </xdr:to>
    <xdr:pic>
      <xdr:nvPicPr>
        <xdr:cNvPr id="16" name="Picture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7"/>
        <a:stretch>
          <a:fillRect/>
        </a:stretch>
      </xdr:blipFill>
      <xdr:spPr>
        <a:xfrm>
          <a:off x="62753" y="18135600"/>
          <a:ext cx="6442072" cy="3657606"/>
        </a:xfrm>
        <a:prstGeom prst="rect">
          <a:avLst/>
        </a:prstGeom>
      </xdr:spPr>
    </xdr:pic>
    <xdr:clientData/>
  </xdr:twoCellAnchor>
  <xdr:twoCellAnchor editAs="oneCell">
    <xdr:from>
      <xdr:col>14</xdr:col>
      <xdr:colOff>0</xdr:colOff>
      <xdr:row>102</xdr:row>
      <xdr:rowOff>0</xdr:rowOff>
    </xdr:from>
    <xdr:to>
      <xdr:col>26</xdr:col>
      <xdr:colOff>457914</xdr:colOff>
      <xdr:row>121</xdr:row>
      <xdr:rowOff>114157</xdr:rowOff>
    </xdr:to>
    <xdr:pic>
      <xdr:nvPicPr>
        <xdr:cNvPr id="17" name="Picture 16">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8"/>
        <a:stretch>
          <a:fillRect/>
        </a:stretch>
      </xdr:blipFill>
      <xdr:spPr>
        <a:xfrm>
          <a:off x="9726706" y="18108706"/>
          <a:ext cx="8230314" cy="35207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12</xdr:col>
      <xdr:colOff>107950</xdr:colOff>
      <xdr:row>22</xdr:row>
      <xdr:rowOff>38100</xdr:rowOff>
    </xdr:to>
    <xdr:pic>
      <xdr:nvPicPr>
        <xdr:cNvPr id="2" name="Picture 1">
          <a:extLst>
            <a:ext uri="{FF2B5EF4-FFF2-40B4-BE49-F238E27FC236}">
              <a16:creationId xmlns:a16="http://schemas.microsoft.com/office/drawing/2014/main" id="{489EF6D9-F774-42C0-BB3C-63D5717321E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581025" y="952500"/>
          <a:ext cx="6499225"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CONTROLLER\Property%20Accounting\Reporting%20&amp;%20Analysis\Annual%20Reports\2006\R-1\330\Diverted%20W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RL2FP005\ACI_Projects\CONTROLLER\Property%20Accounting\Reporting%20&amp;%20Analysis\Annual%20Reports\2006\R-1\330\Diverted%20W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RAL3FP001\data\CONTROLLER\Property%20Accounting\Reporting%20&amp;%20Analysis\Annual%20Reports\2006\R-1\330\Diverted%20W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b145489\Local%20Settings\Temporary%20Internet%20Files\OLKB2\Purchase%20Accounting%20Run%20Off%2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ARL2FP005\ACI_Projects\Documents%20and%20Settings\b145489\Local%20Settings\Temporary%20Internet%20Files\OLKB2\Purchase%20Accounting%20Run%20Off%2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RAL3FP001\data\Documents%20and%20Settings\b145489\Local%20Settings\Temporary%20Internet%20Files\OLKB2\Purchase%20Accounting%20Run%20Off%2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WINNT\Loco%20Depr%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ARL2FP005\ACI_Projects\WINNT\Loco%20Depr%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RAL3FP001\data\WINNT\Loco%20Depr%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RAL3FP001\data\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CONTROLLER\Plan\Debt1\Debt\Other\UAM_2750%20FY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ARL2FP005\ACI_Projects\CONTROLLER\Plan\Debt1\Debt\Other\UAM_2750%20FY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N\MN%20-%20BNSF%20TIGER%202014\400-Technical\402%20BCA\New%20Analysis%20Network%20Grade%20Crossings\MGCAM12032009%20-%20Test42614_Staples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ARL2FP005\ACI_Projects\MN\MN%20-%20BNSF%20TIGER%202014\400-Technical\402%20BCA\New%20Analysis%20Network%20Grade%20Crossings\MGCAM12032009%20-%20Test42614_Staples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RAL3FP001\data\MN\MN%20-%20BNSF%20TIGER%202014\400-Technical\402%20BCA\New%20Analysis%20Network%20Grade%20Crossings\MGCAM12032009%20-%20Test42614_Staples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NCDOT%20INFRA%202019\O&amp;M\I-95%20Maintenance%20Cost%20I-95%20Exit%2013%20to%20Exit%2019%20existing%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Inputs"/>
      <sheetName val="Maintenance Calculations"/>
      <sheetName val="Roadway Maintenance (M)"/>
      <sheetName val="Renewal &amp; Replacement (R&amp;R)"/>
      <sheetName val="Summary "/>
      <sheetName val="bridge"/>
      <sheetName val="Ramp"/>
    </sheetNames>
    <sheetDataSet>
      <sheetData sheetId="0"/>
      <sheetData sheetId="1">
        <row r="5">
          <cell r="C5">
            <v>2019</v>
          </cell>
        </row>
        <row r="6">
          <cell r="C6">
            <v>2020</v>
          </cell>
        </row>
        <row r="32">
          <cell r="B32">
            <v>2018</v>
          </cell>
          <cell r="C32">
            <v>0</v>
          </cell>
        </row>
        <row r="33">
          <cell r="B33">
            <v>2019</v>
          </cell>
          <cell r="C33">
            <v>0</v>
          </cell>
        </row>
        <row r="34">
          <cell r="B34">
            <v>2020</v>
          </cell>
          <cell r="C34">
            <v>0</v>
          </cell>
        </row>
        <row r="35">
          <cell r="B35">
            <v>2021</v>
          </cell>
          <cell r="C35">
            <v>0</v>
          </cell>
        </row>
        <row r="36">
          <cell r="B36">
            <v>2022</v>
          </cell>
          <cell r="C36">
            <v>0</v>
          </cell>
        </row>
        <row r="37">
          <cell r="B37">
            <v>2023</v>
          </cell>
          <cell r="C37">
            <v>0</v>
          </cell>
        </row>
        <row r="38">
          <cell r="B38">
            <v>2024</v>
          </cell>
          <cell r="C38">
            <v>0</v>
          </cell>
        </row>
        <row r="39">
          <cell r="B39">
            <v>2025</v>
          </cell>
          <cell r="C39">
            <v>0</v>
          </cell>
        </row>
        <row r="40">
          <cell r="B40">
            <v>2026</v>
          </cell>
          <cell r="C40">
            <v>0</v>
          </cell>
        </row>
        <row r="41">
          <cell r="B41">
            <v>2027</v>
          </cell>
          <cell r="C41">
            <v>0</v>
          </cell>
        </row>
        <row r="42">
          <cell r="B42">
            <v>2028</v>
          </cell>
          <cell r="C42">
            <v>0</v>
          </cell>
        </row>
        <row r="43">
          <cell r="B43">
            <v>2029</v>
          </cell>
          <cell r="C43">
            <v>0</v>
          </cell>
        </row>
        <row r="44">
          <cell r="B44">
            <v>2030</v>
          </cell>
          <cell r="C44">
            <v>0</v>
          </cell>
        </row>
        <row r="45">
          <cell r="B45">
            <v>2031</v>
          </cell>
          <cell r="C45">
            <v>0</v>
          </cell>
        </row>
        <row r="46">
          <cell r="B46">
            <v>2032</v>
          </cell>
          <cell r="C46">
            <v>0</v>
          </cell>
        </row>
        <row r="47">
          <cell r="B47">
            <v>2033</v>
          </cell>
          <cell r="C47">
            <v>0</v>
          </cell>
        </row>
        <row r="48">
          <cell r="B48">
            <v>2034</v>
          </cell>
          <cell r="C48">
            <v>0</v>
          </cell>
        </row>
        <row r="49">
          <cell r="B49">
            <v>2035</v>
          </cell>
          <cell r="C49">
            <v>0</v>
          </cell>
        </row>
        <row r="50">
          <cell r="B50">
            <v>2036</v>
          </cell>
          <cell r="C50">
            <v>0</v>
          </cell>
        </row>
        <row r="51">
          <cell r="B51">
            <v>2037</v>
          </cell>
          <cell r="C51">
            <v>0</v>
          </cell>
        </row>
        <row r="52">
          <cell r="B52">
            <v>2038</v>
          </cell>
          <cell r="C52">
            <v>0</v>
          </cell>
        </row>
        <row r="53">
          <cell r="B53">
            <v>2039</v>
          </cell>
          <cell r="C53">
            <v>0</v>
          </cell>
        </row>
        <row r="54">
          <cell r="B54">
            <v>2040</v>
          </cell>
          <cell r="C54">
            <v>0</v>
          </cell>
        </row>
        <row r="55">
          <cell r="B55">
            <v>2041</v>
          </cell>
          <cell r="C55">
            <v>0</v>
          </cell>
        </row>
        <row r="56">
          <cell r="B56">
            <v>2042</v>
          </cell>
          <cell r="C56">
            <v>0</v>
          </cell>
        </row>
        <row r="57">
          <cell r="B57">
            <v>2043</v>
          </cell>
          <cell r="C57">
            <v>0</v>
          </cell>
        </row>
        <row r="58">
          <cell r="B58">
            <v>2044</v>
          </cell>
          <cell r="C58">
            <v>0</v>
          </cell>
        </row>
        <row r="59">
          <cell r="B59">
            <v>2045</v>
          </cell>
          <cell r="C59">
            <v>0</v>
          </cell>
        </row>
        <row r="60">
          <cell r="B60">
            <v>2046</v>
          </cell>
          <cell r="C60">
            <v>0</v>
          </cell>
        </row>
        <row r="61">
          <cell r="B61">
            <v>2047</v>
          </cell>
          <cell r="C61">
            <v>0</v>
          </cell>
        </row>
        <row r="62">
          <cell r="B62">
            <v>2048</v>
          </cell>
          <cell r="C62">
            <v>0</v>
          </cell>
        </row>
        <row r="63">
          <cell r="B63">
            <v>2049</v>
          </cell>
          <cell r="C63">
            <v>0</v>
          </cell>
        </row>
        <row r="64">
          <cell r="B64">
            <v>2050</v>
          </cell>
          <cell r="C64">
            <v>0</v>
          </cell>
        </row>
        <row r="65">
          <cell r="B65">
            <v>2051</v>
          </cell>
          <cell r="C65">
            <v>0</v>
          </cell>
        </row>
        <row r="66">
          <cell r="B66">
            <v>2052</v>
          </cell>
          <cell r="C66">
            <v>0</v>
          </cell>
        </row>
        <row r="67">
          <cell r="B67">
            <v>2053</v>
          </cell>
          <cell r="C67">
            <v>0</v>
          </cell>
        </row>
        <row r="68">
          <cell r="B68">
            <v>2054</v>
          </cell>
          <cell r="C68">
            <v>0</v>
          </cell>
        </row>
        <row r="69">
          <cell r="B69">
            <v>2055</v>
          </cell>
          <cell r="C69">
            <v>0</v>
          </cell>
        </row>
        <row r="70">
          <cell r="B70">
            <v>2056</v>
          </cell>
          <cell r="C70">
            <v>0</v>
          </cell>
        </row>
        <row r="71">
          <cell r="B71">
            <v>2057</v>
          </cell>
          <cell r="C71">
            <v>0</v>
          </cell>
        </row>
        <row r="72">
          <cell r="B72">
            <v>2058</v>
          </cell>
          <cell r="C72">
            <v>0</v>
          </cell>
        </row>
        <row r="73">
          <cell r="B73">
            <v>2059</v>
          </cell>
          <cell r="C73">
            <v>0</v>
          </cell>
        </row>
        <row r="74">
          <cell r="B74">
            <v>2060</v>
          </cell>
          <cell r="C74">
            <v>0</v>
          </cell>
        </row>
        <row r="75">
          <cell r="B75">
            <v>2061</v>
          </cell>
          <cell r="C75">
            <v>0</v>
          </cell>
        </row>
        <row r="76">
          <cell r="B76">
            <v>2062</v>
          </cell>
          <cell r="C76">
            <v>0</v>
          </cell>
        </row>
        <row r="77">
          <cell r="B77">
            <v>2063</v>
          </cell>
          <cell r="C77">
            <v>0</v>
          </cell>
        </row>
        <row r="78">
          <cell r="B78">
            <v>2064</v>
          </cell>
          <cell r="C78">
            <v>0</v>
          </cell>
        </row>
        <row r="79">
          <cell r="B79">
            <v>2065</v>
          </cell>
          <cell r="C79">
            <v>0</v>
          </cell>
        </row>
        <row r="80">
          <cell r="B80">
            <v>2066</v>
          </cell>
          <cell r="C80">
            <v>0</v>
          </cell>
        </row>
        <row r="81">
          <cell r="B81">
            <v>2067</v>
          </cell>
          <cell r="C81">
            <v>0</v>
          </cell>
        </row>
      </sheetData>
      <sheetData sheetId="2"/>
      <sheetData sheetId="3">
        <row r="5">
          <cell r="C5">
            <v>2020</v>
          </cell>
        </row>
      </sheetData>
      <sheetData sheetId="4">
        <row r="11">
          <cell r="C11">
            <v>2020</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dan.dot.gov/tsftables/National%20Statistics.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wtvr.com/2016/09/04/semi-flips-on-virginia-dare-memorial-bridge-hermine/" TargetMode="External"/><Relationship Id="rId2" Type="http://schemas.openxmlformats.org/officeDocument/2006/relationships/hyperlink" Target="https://wcti12.com/archive/alligator-river-bridge-closed-when-tractor-trailer-blows-over" TargetMode="External"/><Relationship Id="rId1" Type="http://schemas.openxmlformats.org/officeDocument/2006/relationships/hyperlink" Target="https://pilotonline.com/news/local/article_b91e5f44-191c-5888-b402-b8a8ac2b2b8b.html" TargetMode="External"/><Relationship Id="rId6" Type="http://schemas.openxmlformats.org/officeDocument/2006/relationships/drawing" Target="../drawings/drawing3.xml"/><Relationship Id="rId5" Type="http://schemas.openxmlformats.org/officeDocument/2006/relationships/printerSettings" Target="../printerSettings/printerSettings18.bin"/><Relationship Id="rId4" Type="http://schemas.openxmlformats.org/officeDocument/2006/relationships/hyperlink" Target="https://pilotonline.com/news/local/article_b91e5f44-191c-5888-b402-b8a8ac2b2b8b.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files.nc.gov/ncosbm/demog/countygrowth_cert_2016.html" TargetMode="External"/><Relationship Id="rId1" Type="http://schemas.openxmlformats.org/officeDocument/2006/relationships/hyperlink" Target="https://www.colorado.edu/economics/gradplacement/PetersonJMP.pdf"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ieee802.org/3/bm/public/may14/vanvickle_01_0514_optx.pdf" TargetMode="External"/><Relationship Id="rId1" Type="http://schemas.openxmlformats.org/officeDocument/2006/relationships/hyperlink" Target="http://www.bea.gov/scb/account_articles/national/wlth2594/tableC.ht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hyperlink" Target="https://files.nc.gov/ncosbm/demog/countygrowth_2030.htm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whitehouse.gov/sites/whitehouse.gov/files/omb/budget/fy2018/hist10z1.xls"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energy.gov/sites/prod/files/2019/12/f69/GITT%20ISATT%20EVs%20at%20Scale%20Grid%20Summary%20Report%20FINAL%20Nov2019.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S57"/>
  <sheetViews>
    <sheetView tabSelected="1" zoomScale="115" zoomScaleNormal="115" workbookViewId="0">
      <selection activeCell="F30" sqref="F30"/>
    </sheetView>
  </sheetViews>
  <sheetFormatPr defaultRowHeight="12"/>
  <cols>
    <col min="1" max="1" width="64.42578125" style="304" customWidth="1"/>
    <col min="2" max="2" width="3.28515625" style="360" customWidth="1"/>
    <col min="3" max="4" width="15.7109375" style="303" customWidth="1"/>
    <col min="5" max="5" width="2.7109375" style="302" customWidth="1"/>
    <col min="6" max="7" width="15.7109375" style="303" customWidth="1"/>
    <col min="8" max="8" width="2.5703125" style="302" customWidth="1"/>
    <col min="9" max="10" width="15.7109375" style="303" customWidth="1"/>
    <col min="11" max="11" width="16" style="303" customWidth="1"/>
    <col min="12" max="13" width="9.140625" style="303"/>
    <col min="14" max="14" width="3.42578125" style="303" customWidth="1"/>
    <col min="15" max="16384" width="9.140625" style="303"/>
  </cols>
  <sheetData>
    <row r="1" spans="1:19" ht="32.25" customHeight="1">
      <c r="A1" s="642" t="s">
        <v>594</v>
      </c>
      <c r="B1" s="714" t="s">
        <v>741</v>
      </c>
      <c r="C1" s="715" t="s">
        <v>75</v>
      </c>
      <c r="D1" s="715"/>
      <c r="E1" s="301"/>
      <c r="F1" s="715" t="s">
        <v>585</v>
      </c>
      <c r="G1" s="715"/>
      <c r="I1" s="715" t="s">
        <v>288</v>
      </c>
      <c r="J1" s="715"/>
    </row>
    <row r="2" spans="1:19">
      <c r="B2" s="714"/>
      <c r="C2" s="716" t="s">
        <v>1028</v>
      </c>
      <c r="D2" s="716"/>
      <c r="E2" s="315"/>
      <c r="F2" s="716" t="s">
        <v>1027</v>
      </c>
      <c r="G2" s="716"/>
      <c r="H2" s="315"/>
      <c r="I2" s="716" t="s">
        <v>1029</v>
      </c>
      <c r="J2" s="716"/>
      <c r="L2" s="310"/>
    </row>
    <row r="3" spans="1:19">
      <c r="B3" s="714"/>
      <c r="C3" s="715" t="s">
        <v>595</v>
      </c>
      <c r="D3" s="715"/>
      <c r="F3" s="715" t="s">
        <v>595</v>
      </c>
      <c r="G3" s="715"/>
      <c r="I3" s="715" t="s">
        <v>595</v>
      </c>
      <c r="J3" s="715"/>
    </row>
    <row r="4" spans="1:19">
      <c r="B4" s="714"/>
      <c r="C4" s="305" t="s">
        <v>13</v>
      </c>
      <c r="D4" s="636" t="s">
        <v>14</v>
      </c>
      <c r="F4" s="305" t="s">
        <v>13</v>
      </c>
      <c r="G4" s="305" t="s">
        <v>14</v>
      </c>
      <c r="H4" s="306"/>
      <c r="I4" s="305" t="s">
        <v>13</v>
      </c>
      <c r="J4" s="305" t="s">
        <v>14</v>
      </c>
    </row>
    <row r="5" spans="1:19">
      <c r="A5" s="643" t="s">
        <v>15</v>
      </c>
      <c r="B5" s="361"/>
      <c r="C5" s="307"/>
      <c r="D5" s="307"/>
      <c r="E5" s="307"/>
      <c r="F5" s="307"/>
      <c r="G5" s="307"/>
      <c r="H5" s="307"/>
      <c r="I5" s="307"/>
      <c r="J5" s="308"/>
    </row>
    <row r="6" spans="1:19" s="310" customFormat="1">
      <c r="A6" s="644" t="s">
        <v>16</v>
      </c>
      <c r="B6" s="362"/>
      <c r="C6" s="309">
        <f>F6+I6</f>
        <v>364.42000695001593</v>
      </c>
      <c r="D6" s="309">
        <f>G6+J6</f>
        <v>439.47190499742487</v>
      </c>
      <c r="E6" s="302"/>
      <c r="F6" s="309">
        <f>Costs!G36/10^6</f>
        <v>350.36337203620553</v>
      </c>
      <c r="G6" s="309">
        <f>Costs!H36/10^6</f>
        <v>423.55432105683417</v>
      </c>
      <c r="H6" s="306"/>
      <c r="I6" s="309">
        <f>Costs!G68/10^6</f>
        <v>14.056634913810372</v>
      </c>
      <c r="J6" s="309">
        <f>Costs!H68/10^6</f>
        <v>15.917583940590683</v>
      </c>
      <c r="P6" s="303"/>
      <c r="Q6" s="303"/>
      <c r="R6" s="303"/>
      <c r="S6" s="303"/>
    </row>
    <row r="7" spans="1:19">
      <c r="A7" s="645" t="s">
        <v>17</v>
      </c>
      <c r="B7" s="363"/>
      <c r="C7" s="311">
        <f>C6</f>
        <v>364.42000695001593</v>
      </c>
      <c r="D7" s="311">
        <f>D6</f>
        <v>439.47190499742487</v>
      </c>
      <c r="E7" s="312"/>
      <c r="F7" s="311">
        <f>F6</f>
        <v>350.36337203620553</v>
      </c>
      <c r="G7" s="311">
        <f>G6</f>
        <v>423.55432105683417</v>
      </c>
      <c r="H7" s="306"/>
      <c r="I7" s="311">
        <f>I6</f>
        <v>14.056634913810372</v>
      </c>
      <c r="J7" s="311">
        <f>J6</f>
        <v>15.917583940590683</v>
      </c>
      <c r="K7" s="310"/>
      <c r="M7" s="310"/>
      <c r="N7" s="310"/>
      <c r="O7" s="310"/>
    </row>
    <row r="8" spans="1:19">
      <c r="H8" s="306"/>
      <c r="K8" s="310"/>
      <c r="M8" s="310"/>
      <c r="N8" s="310"/>
      <c r="O8" s="310"/>
      <c r="P8" s="310"/>
    </row>
    <row r="9" spans="1:19">
      <c r="A9" s="643" t="s">
        <v>18</v>
      </c>
      <c r="B9" s="361"/>
      <c r="C9" s="307"/>
      <c r="D9" s="307"/>
      <c r="E9" s="307"/>
      <c r="F9" s="307"/>
      <c r="G9" s="307"/>
      <c r="H9" s="307"/>
      <c r="I9" s="307"/>
      <c r="J9" s="308"/>
      <c r="K9" s="310"/>
      <c r="M9" s="310"/>
      <c r="N9" s="310"/>
      <c r="O9" s="310"/>
      <c r="P9" s="310"/>
    </row>
    <row r="10" spans="1:19">
      <c r="A10" s="643" t="s">
        <v>11</v>
      </c>
      <c r="B10" s="361"/>
      <c r="C10" s="307"/>
      <c r="D10" s="307"/>
      <c r="E10" s="307"/>
      <c r="F10" s="307"/>
      <c r="G10" s="307"/>
      <c r="H10" s="307"/>
      <c r="I10" s="307"/>
      <c r="J10" s="308"/>
      <c r="K10" s="310"/>
      <c r="M10" s="310"/>
      <c r="N10" s="310"/>
      <c r="O10" s="310"/>
      <c r="P10" s="310"/>
    </row>
    <row r="11" spans="1:19">
      <c r="A11" s="313" t="s">
        <v>726</v>
      </c>
      <c r="B11" s="364"/>
      <c r="C11" s="309">
        <f t="shared" ref="C11:D14" si="0">F11</f>
        <v>82.706288500101024</v>
      </c>
      <c r="D11" s="309">
        <f t="shared" si="0"/>
        <v>154.49059675857708</v>
      </c>
      <c r="E11" s="314"/>
      <c r="F11" s="309">
        <f>'Reduced Crashes'!P40/10^6-F12</f>
        <v>82.706288500101024</v>
      </c>
      <c r="G11" s="309">
        <f>'Reduced Crashes'!Q40/10^6-G12</f>
        <v>154.49059675857708</v>
      </c>
      <c r="H11" s="315"/>
      <c r="I11" s="316" t="s">
        <v>230</v>
      </c>
      <c r="J11" s="316" t="s">
        <v>230</v>
      </c>
      <c r="K11" s="683"/>
      <c r="M11" s="310"/>
      <c r="N11" s="310"/>
      <c r="O11" s="310"/>
      <c r="P11" s="310"/>
    </row>
    <row r="12" spans="1:19">
      <c r="A12" s="313" t="s">
        <v>727</v>
      </c>
      <c r="B12" s="365" t="s">
        <v>724</v>
      </c>
      <c r="C12" s="309">
        <f t="shared" si="0"/>
        <v>7.1263681925476741</v>
      </c>
      <c r="D12" s="309">
        <f t="shared" si="0"/>
        <v>13.250781848035006</v>
      </c>
      <c r="E12" s="314"/>
      <c r="F12" s="319">
        <f>'Reduced Crashes'!T40/10^6</f>
        <v>7.1263681925476741</v>
      </c>
      <c r="G12" s="319">
        <f>'Reduced Crashes'!U40/10^6</f>
        <v>13.250781848035006</v>
      </c>
      <c r="H12" s="315"/>
      <c r="I12" s="316" t="s">
        <v>230</v>
      </c>
      <c r="J12" s="316" t="s">
        <v>230</v>
      </c>
      <c r="K12" s="683"/>
      <c r="M12" s="310"/>
      <c r="N12" s="310"/>
      <c r="O12" s="310"/>
      <c r="P12" s="310"/>
    </row>
    <row r="13" spans="1:19">
      <c r="A13" s="317" t="s">
        <v>728</v>
      </c>
      <c r="B13" s="366"/>
      <c r="C13" s="309">
        <f t="shared" si="0"/>
        <v>0.22595023037072773</v>
      </c>
      <c r="D13" s="309">
        <f t="shared" si="0"/>
        <v>0.42190896422602459</v>
      </c>
      <c r="E13" s="318"/>
      <c r="F13" s="319">
        <f>('I-87 DetourSavings'!J69+'I-87 DetourSavings'!Z69)/10^6-F14</f>
        <v>0.22595023037072773</v>
      </c>
      <c r="G13" s="319">
        <f>('I-87 DetourSavings'!K69+'I-87 DetourSavings'!AA69)/10^6-G14</f>
        <v>0.42190896422602459</v>
      </c>
      <c r="I13" s="316" t="s">
        <v>230</v>
      </c>
      <c r="J13" s="316" t="s">
        <v>230</v>
      </c>
      <c r="K13" s="683"/>
      <c r="M13" s="310"/>
      <c r="N13" s="310"/>
      <c r="O13" s="310"/>
      <c r="P13" s="310"/>
    </row>
    <row r="14" spans="1:19">
      <c r="A14" s="317" t="s">
        <v>729</v>
      </c>
      <c r="B14" s="367" t="s">
        <v>724</v>
      </c>
      <c r="C14" s="309">
        <f t="shared" si="0"/>
        <v>1.9647846119193717E-2</v>
      </c>
      <c r="D14" s="309">
        <f t="shared" si="0"/>
        <v>3.6687736019654305E-2</v>
      </c>
      <c r="E14" s="318"/>
      <c r="F14" s="319">
        <f>('I-87 DetourSavings'!N69+'I-87 DetourSavings'!AD69)/10^6</f>
        <v>1.9647846119193717E-2</v>
      </c>
      <c r="G14" s="319">
        <f>('I-87 DetourSavings'!O69+'I-87 DetourSavings'!AE69)/10^6</f>
        <v>3.6687736019654305E-2</v>
      </c>
      <c r="I14" s="316" t="s">
        <v>230</v>
      </c>
      <c r="J14" s="316" t="s">
        <v>230</v>
      </c>
      <c r="K14" s="683"/>
      <c r="M14" s="310"/>
      <c r="N14" s="310"/>
      <c r="O14" s="310"/>
      <c r="P14" s="310"/>
    </row>
    <row r="15" spans="1:19">
      <c r="A15" s="320" t="s">
        <v>730</v>
      </c>
      <c r="B15" s="367"/>
      <c r="C15" s="309">
        <f>I15</f>
        <v>0.46994149266363233</v>
      </c>
      <c r="D15" s="309">
        <f>J15</f>
        <v>0.75858269184653726</v>
      </c>
      <c r="E15" s="318"/>
      <c r="F15" s="316" t="s">
        <v>230</v>
      </c>
      <c r="G15" s="316" t="s">
        <v>230</v>
      </c>
      <c r="I15" s="319">
        <f>Wind_Safety!E73/10^6</f>
        <v>0.46994149266363233</v>
      </c>
      <c r="J15" s="319">
        <f>Wind_Safety!F73/10^6</f>
        <v>0.75858269184653726</v>
      </c>
      <c r="K15" s="683"/>
      <c r="M15" s="310"/>
      <c r="N15" s="310"/>
      <c r="O15" s="310"/>
      <c r="P15" s="310"/>
    </row>
    <row r="16" spans="1:19">
      <c r="A16" s="320" t="s">
        <v>731</v>
      </c>
      <c r="B16" s="367" t="s">
        <v>724</v>
      </c>
      <c r="C16" s="325">
        <f>I16</f>
        <v>18.683854797375073</v>
      </c>
      <c r="D16" s="325">
        <f>J16</f>
        <v>30.159603030429452</v>
      </c>
      <c r="E16" s="318"/>
      <c r="F16" s="316" t="s">
        <v>230</v>
      </c>
      <c r="G16" s="316" t="s">
        <v>230</v>
      </c>
      <c r="I16" s="326">
        <f>Wind_Safety!J73/10^6</f>
        <v>18.683854797375073</v>
      </c>
      <c r="J16" s="326">
        <f>Wind_Safety!K73/10^6</f>
        <v>30.159603030429452</v>
      </c>
      <c r="K16" s="683"/>
      <c r="M16" s="310"/>
      <c r="N16" s="310"/>
      <c r="O16" s="310"/>
      <c r="P16" s="310"/>
    </row>
    <row r="17" spans="1:16">
      <c r="A17" s="646" t="s">
        <v>19</v>
      </c>
      <c r="B17" s="368"/>
      <c r="C17" s="311">
        <f>SUM(C11:C16)</f>
        <v>109.23205105917734</v>
      </c>
      <c r="D17" s="311">
        <f>SUM(D11:D16)</f>
        <v>199.11816102913374</v>
      </c>
      <c r="E17" s="321"/>
      <c r="F17" s="311">
        <f>SUM(F11:F15)</f>
        <v>90.078254769138624</v>
      </c>
      <c r="G17" s="311">
        <f>SUM(G11:G15)</f>
        <v>168.19997530685777</v>
      </c>
      <c r="I17" s="311">
        <f>SUM(I11:I16)</f>
        <v>19.153796290038706</v>
      </c>
      <c r="J17" s="311">
        <f>SUM(J11:J16)</f>
        <v>30.918185722275989</v>
      </c>
      <c r="K17" s="683"/>
      <c r="M17" s="310"/>
      <c r="N17" s="310"/>
      <c r="O17" s="310"/>
      <c r="P17" s="310"/>
    </row>
    <row r="18" spans="1:16">
      <c r="A18" s="643" t="s">
        <v>72</v>
      </c>
      <c r="B18" s="361"/>
      <c r="C18" s="307"/>
      <c r="D18" s="307"/>
      <c r="E18" s="307"/>
      <c r="F18" s="307"/>
      <c r="G18" s="307"/>
      <c r="H18" s="307"/>
      <c r="I18" s="307"/>
      <c r="J18" s="308"/>
      <c r="K18" s="683"/>
      <c r="M18" s="310"/>
      <c r="N18" s="310"/>
      <c r="O18" s="310"/>
      <c r="P18" s="310"/>
    </row>
    <row r="19" spans="1:16" s="310" customFormat="1">
      <c r="A19" s="647" t="s">
        <v>20</v>
      </c>
      <c r="B19" s="369"/>
      <c r="C19" s="309">
        <f>F19+I19</f>
        <v>48.149180278584325</v>
      </c>
      <c r="D19" s="309">
        <f>G19+J19</f>
        <v>134.33584552946118</v>
      </c>
      <c r="E19" s="318"/>
      <c r="F19" s="322">
        <f>Residual!H31</f>
        <v>46.966300558891547</v>
      </c>
      <c r="G19" s="322">
        <f>Residual!H30</f>
        <v>131.38424311142413</v>
      </c>
      <c r="H19" s="323"/>
      <c r="I19" s="326">
        <f>Residual!M31</f>
        <v>1.1828797196927781</v>
      </c>
      <c r="J19" s="326">
        <f>Residual!M30</f>
        <v>2.9516024180370564</v>
      </c>
      <c r="K19" s="683"/>
    </row>
    <row r="20" spans="1:16">
      <c r="A20" s="317" t="s">
        <v>732</v>
      </c>
      <c r="B20" s="316"/>
      <c r="C20" s="309">
        <f>F20</f>
        <v>287.95404776513709</v>
      </c>
      <c r="D20" s="309">
        <f>G20</f>
        <v>552.55797511166111</v>
      </c>
      <c r="E20" s="318"/>
      <c r="F20" s="324">
        <f>'Travel Time Savings'!G40/10^6-F21</f>
        <v>287.95404776513709</v>
      </c>
      <c r="G20" s="324">
        <f>'Travel Time Savings'!H40/10^6-G21</f>
        <v>552.55797511166111</v>
      </c>
      <c r="I20" s="316" t="s">
        <v>230</v>
      </c>
      <c r="J20" s="316" t="s">
        <v>230</v>
      </c>
      <c r="K20" s="683"/>
      <c r="M20" s="310"/>
      <c r="N20" s="310"/>
      <c r="O20" s="310"/>
      <c r="P20" s="310"/>
    </row>
    <row r="21" spans="1:16">
      <c r="A21" s="317" t="s">
        <v>748</v>
      </c>
      <c r="B21" s="316" t="s">
        <v>724</v>
      </c>
      <c r="C21" s="309">
        <f>F21</f>
        <v>31.475056566111338</v>
      </c>
      <c r="D21" s="309">
        <f>G21</f>
        <v>58.45048001583725</v>
      </c>
      <c r="E21" s="318"/>
      <c r="F21" s="324">
        <f>'Travel Time Savings'!K40/10^6</f>
        <v>31.475056566111338</v>
      </c>
      <c r="G21" s="324">
        <f>'Travel Time Savings'!L40/10^6</f>
        <v>58.45048001583725</v>
      </c>
      <c r="I21" s="316" t="s">
        <v>230</v>
      </c>
      <c r="J21" s="316" t="s">
        <v>230</v>
      </c>
      <c r="K21" s="683"/>
      <c r="M21" s="310"/>
      <c r="N21" s="310"/>
      <c r="O21" s="310"/>
      <c r="P21" s="310"/>
    </row>
    <row r="22" spans="1:16">
      <c r="A22" s="317" t="s">
        <v>733</v>
      </c>
      <c r="B22" s="316"/>
      <c r="C22" s="309">
        <f>F22+I22</f>
        <v>-3.3393553798564399</v>
      </c>
      <c r="D22" s="309">
        <f>G22+J22</f>
        <v>-3.9005772591527332</v>
      </c>
      <c r="E22" s="318"/>
      <c r="F22" s="324">
        <f>-ConstructionDelay!L19/10^6</f>
        <v>-2.6044973840422649</v>
      </c>
      <c r="G22" s="324">
        <f>-ConstructionDelay!M19/10^6</f>
        <v>-3.0861883890926793</v>
      </c>
      <c r="H22" s="315"/>
      <c r="I22" s="325">
        <f>-ConstructionDelay!L35/10^6-I23</f>
        <v>-0.73485799581417488</v>
      </c>
      <c r="J22" s="325">
        <f>-ConstructionDelay!M35/10^6-J23</f>
        <v>-0.81438887006005412</v>
      </c>
      <c r="K22" s="683"/>
      <c r="M22" s="310"/>
      <c r="N22" s="310"/>
      <c r="O22" s="310"/>
      <c r="P22" s="310"/>
    </row>
    <row r="23" spans="1:16">
      <c r="A23" s="317" t="s">
        <v>734</v>
      </c>
      <c r="B23" s="316" t="s">
        <v>724</v>
      </c>
      <c r="C23" s="309">
        <f>F23+I23</f>
        <v>-0.67083531048754719</v>
      </c>
      <c r="D23" s="309">
        <f>G23+J23</f>
        <v>-0.77876524963427951</v>
      </c>
      <c r="E23" s="318"/>
      <c r="F23" s="324">
        <f>-ConstructionDelay!P19/10^6</f>
        <v>-0.51551384661172939</v>
      </c>
      <c r="G23" s="324">
        <f>-ConstructionDelay!Q19/10^6</f>
        <v>-0.60663393694201462</v>
      </c>
      <c r="H23" s="315"/>
      <c r="I23" s="325">
        <f>-ConstructionDelay!P35/10^6</f>
        <v>-0.15532146387581783</v>
      </c>
      <c r="J23" s="325">
        <f>-ConstructionDelay!Q35/10^6</f>
        <v>-0.17213131269226489</v>
      </c>
      <c r="K23" s="683"/>
      <c r="M23" s="310"/>
      <c r="N23" s="310"/>
      <c r="O23" s="310"/>
      <c r="P23" s="310"/>
    </row>
    <row r="24" spans="1:16">
      <c r="A24" s="647" t="s">
        <v>982</v>
      </c>
      <c r="B24" s="369" t="s">
        <v>724</v>
      </c>
      <c r="C24" s="309">
        <f>F24</f>
        <v>42.777463242124064</v>
      </c>
      <c r="D24" s="309">
        <f t="shared" ref="D24" si="1">G24</f>
        <v>81.160119474631557</v>
      </c>
      <c r="E24" s="318"/>
      <c r="F24" s="309">
        <f>TruckOpsSavings!D29/10^6</f>
        <v>42.777463242124064</v>
      </c>
      <c r="G24" s="309">
        <f>TruckOpsSavings!E29/10^6</f>
        <v>81.160119474631557</v>
      </c>
      <c r="I24" s="316" t="s">
        <v>230</v>
      </c>
      <c r="J24" s="316" t="s">
        <v>230</v>
      </c>
      <c r="K24" s="683"/>
      <c r="M24" s="310"/>
      <c r="N24" s="310"/>
      <c r="O24" s="310"/>
      <c r="P24" s="310"/>
    </row>
    <row r="25" spans="1:16">
      <c r="A25" s="317" t="s">
        <v>757</v>
      </c>
      <c r="B25" s="316"/>
      <c r="C25" s="309">
        <f>F25+I25</f>
        <v>17.008130932858972</v>
      </c>
      <c r="D25" s="309">
        <f>G25+J25</f>
        <v>30.257468436294932</v>
      </c>
      <c r="E25" s="318"/>
      <c r="F25" s="319">
        <f>'ICM Reliability'!H43/10^6-F26</f>
        <v>15.724478331494277</v>
      </c>
      <c r="G25" s="319">
        <f>'ICM Reliability'!I43/10^6-G26</f>
        <v>28.185387845539307</v>
      </c>
      <c r="H25" s="315"/>
      <c r="I25" s="326">
        <f>'ICM Reliability'!H68/10^6-I26</f>
        <v>1.2836526013646936</v>
      </c>
      <c r="J25" s="326">
        <f>'ICM Reliability'!I68/10^6-J26</f>
        <v>2.0720805907556241</v>
      </c>
      <c r="K25" s="683"/>
      <c r="M25" s="310"/>
      <c r="N25" s="310"/>
      <c r="O25" s="310"/>
      <c r="P25" s="310"/>
    </row>
    <row r="26" spans="1:16">
      <c r="A26" s="317" t="s">
        <v>758</v>
      </c>
      <c r="B26" s="316" t="s">
        <v>724</v>
      </c>
      <c r="C26" s="309">
        <f>F26+I26</f>
        <v>3.594882017111853</v>
      </c>
      <c r="D26" s="309">
        <f>G26+J26</f>
        <v>6.395295849635267</v>
      </c>
      <c r="E26" s="318"/>
      <c r="F26" s="319">
        <f>'ICM Reliability'!L43/10^6</f>
        <v>3.3235659229989118</v>
      </c>
      <c r="G26" s="319">
        <f>'ICM Reliability'!M43/10^6</f>
        <v>5.9573356009095839</v>
      </c>
      <c r="H26" s="315"/>
      <c r="I26" s="326">
        <f>'ICM Reliability'!L68/10^6</f>
        <v>0.271316094112941</v>
      </c>
      <c r="J26" s="326">
        <f>'ICM Reliability'!M68/10^6</f>
        <v>0.43796024872568312</v>
      </c>
      <c r="K26" s="683"/>
      <c r="M26" s="310"/>
      <c r="N26" s="310"/>
      <c r="O26" s="310"/>
      <c r="P26" s="310"/>
    </row>
    <row r="27" spans="1:16">
      <c r="A27" s="648" t="s">
        <v>74</v>
      </c>
      <c r="B27" s="370"/>
      <c r="C27" s="327">
        <f>SUM(C19:C26)</f>
        <v>426.94857011158359</v>
      </c>
      <c r="D27" s="327">
        <f>SUM(D19:D26)</f>
        <v>858.47784190873426</v>
      </c>
      <c r="E27" s="318"/>
      <c r="F27" s="327">
        <f>SUM(F19:F26)</f>
        <v>425.10090115610319</v>
      </c>
      <c r="G27" s="327">
        <f>SUM(G19:G26)</f>
        <v>854.00271883396817</v>
      </c>
      <c r="H27" s="315"/>
      <c r="I27" s="327">
        <f>SUM(I19:I26)</f>
        <v>1.8476689554804202</v>
      </c>
      <c r="J27" s="327">
        <f>SUM(J19:J26)</f>
        <v>4.4751230747660449</v>
      </c>
      <c r="K27" s="683"/>
      <c r="N27" s="310"/>
      <c r="O27" s="310"/>
      <c r="P27" s="310"/>
    </row>
    <row r="28" spans="1:16">
      <c r="A28" s="643" t="s">
        <v>716</v>
      </c>
      <c r="B28" s="361"/>
      <c r="C28" s="307"/>
      <c r="D28" s="307"/>
      <c r="E28" s="307"/>
      <c r="F28" s="307"/>
      <c r="G28" s="307"/>
      <c r="H28" s="307"/>
      <c r="I28" s="307"/>
      <c r="J28" s="308"/>
      <c r="K28" s="683"/>
      <c r="N28" s="310"/>
      <c r="O28" s="310"/>
      <c r="P28" s="310"/>
    </row>
    <row r="29" spans="1:16">
      <c r="A29" s="317" t="s">
        <v>735</v>
      </c>
      <c r="B29" s="316"/>
      <c r="C29" s="309">
        <f t="shared" ref="C29:C35" si="2">F29</f>
        <v>0.51750610800524655</v>
      </c>
      <c r="D29" s="309">
        <f t="shared" ref="D29:D35" si="3">G29</f>
        <v>0.96632105951338443</v>
      </c>
      <c r="E29" s="318"/>
      <c r="F29" s="319">
        <f>'I-87 DetourSavings'!E95/10^6+'I-87 DetourSavings'!AC95/10^6-F30</f>
        <v>0.51750610800524655</v>
      </c>
      <c r="G29" s="319">
        <f>'I-87 DetourSavings'!F95/10^6+'I-87 DetourSavings'!AD95/10^6-G30</f>
        <v>0.96632105951338443</v>
      </c>
      <c r="I29" s="316" t="s">
        <v>230</v>
      </c>
      <c r="J29" s="316" t="s">
        <v>230</v>
      </c>
      <c r="K29" s="683"/>
      <c r="M29" s="310"/>
      <c r="N29" s="310"/>
      <c r="O29" s="310"/>
      <c r="P29" s="310"/>
    </row>
    <row r="30" spans="1:16">
      <c r="A30" s="317" t="s">
        <v>736</v>
      </c>
      <c r="B30" s="316" t="s">
        <v>724</v>
      </c>
      <c r="C30" s="309">
        <f>F30</f>
        <v>4.6365917065247488E-2</v>
      </c>
      <c r="D30" s="309">
        <f>G30</f>
        <v>8.6577455629461675E-2</v>
      </c>
      <c r="E30" s="318"/>
      <c r="F30" s="319">
        <f>('I-87 DetourSavings'!I95+'I-87 DetourSavings'!AG95)/10^6</f>
        <v>4.6365917065247488E-2</v>
      </c>
      <c r="G30" s="319">
        <f>('I-87 DetourSavings'!J95+'I-87 DetourSavings'!AH95)/10^6</f>
        <v>8.6577455629461675E-2</v>
      </c>
      <c r="I30" s="316" t="s">
        <v>230</v>
      </c>
      <c r="J30" s="316" t="s">
        <v>230</v>
      </c>
      <c r="K30" s="683"/>
      <c r="L30" s="310"/>
      <c r="M30" s="310"/>
      <c r="N30" s="310"/>
      <c r="O30" s="310"/>
      <c r="P30" s="310"/>
    </row>
    <row r="31" spans="1:16" ht="14.25" customHeight="1">
      <c r="A31" s="317" t="s">
        <v>983</v>
      </c>
      <c r="B31" s="316" t="s">
        <v>724</v>
      </c>
      <c r="C31" s="309">
        <f t="shared" si="2"/>
        <v>6.3015496375040919E-2</v>
      </c>
      <c r="D31" s="309">
        <f t="shared" si="3"/>
        <v>0.11766663287822297</v>
      </c>
      <c r="E31" s="318"/>
      <c r="F31" s="319">
        <f>('I-87 DetourSavings'!D121+'I-87 DetourSavings'!N121)/10^6</f>
        <v>6.3015496375040919E-2</v>
      </c>
      <c r="G31" s="319">
        <f>('I-87 DetourSavings'!E121+'I-87 DetourSavings'!O121)/10^6</f>
        <v>0.11766663287822297</v>
      </c>
      <c r="I31" s="316" t="s">
        <v>230</v>
      </c>
      <c r="J31" s="316" t="s">
        <v>230</v>
      </c>
      <c r="K31" s="683"/>
      <c r="L31" s="310"/>
      <c r="M31" s="310"/>
      <c r="N31" s="310"/>
      <c r="O31" s="310"/>
      <c r="P31" s="310"/>
    </row>
    <row r="32" spans="1:16">
      <c r="A32" s="317" t="s">
        <v>737</v>
      </c>
      <c r="B32" s="316"/>
      <c r="C32" s="309">
        <f t="shared" si="2"/>
        <v>9.2850835544903649</v>
      </c>
      <c r="D32" s="309">
        <f t="shared" si="3"/>
        <v>17.337711843885067</v>
      </c>
      <c r="E32" s="318"/>
      <c r="F32" s="326">
        <f>('I-87 DetourSavings'!R95+'I-87 DetourSavings'!AP95)/10^6-F33</f>
        <v>9.2850835544903649</v>
      </c>
      <c r="G32" s="326">
        <f>('I-87 DetourSavings'!S95+'I-87 DetourSavings'!AQ95)/10^6-G33</f>
        <v>17.337711843885067</v>
      </c>
      <c r="I32" s="316" t="s">
        <v>230</v>
      </c>
      <c r="J32" s="316" t="s">
        <v>230</v>
      </c>
      <c r="K32" s="683"/>
      <c r="L32" s="310"/>
      <c r="M32" s="310"/>
      <c r="N32" s="310"/>
      <c r="O32" s="310"/>
      <c r="P32" s="310"/>
    </row>
    <row r="33" spans="1:16">
      <c r="A33" s="317" t="s">
        <v>738</v>
      </c>
      <c r="B33" s="316" t="s">
        <v>724</v>
      </c>
      <c r="C33" s="309">
        <f>F33</f>
        <v>0.83189629527431397</v>
      </c>
      <c r="D33" s="309">
        <f>G33</f>
        <v>1.5533708627195262</v>
      </c>
      <c r="E33" s="318"/>
      <c r="F33" s="326">
        <f>('I-87 DetourSavings'!V95+'I-87 DetourSavings'!AT95)/10^6</f>
        <v>0.83189629527431397</v>
      </c>
      <c r="G33" s="326">
        <f>('I-87 DetourSavings'!W95+'I-87 DetourSavings'!AU95)/10^6</f>
        <v>1.5533708627195262</v>
      </c>
      <c r="I33" s="316" t="s">
        <v>230</v>
      </c>
      <c r="J33" s="316" t="s">
        <v>230</v>
      </c>
      <c r="K33" s="683"/>
      <c r="L33" s="310"/>
      <c r="M33" s="310"/>
      <c r="N33" s="310"/>
      <c r="O33" s="310"/>
      <c r="P33" s="310"/>
    </row>
    <row r="34" spans="1:16">
      <c r="A34" s="317" t="s">
        <v>820</v>
      </c>
      <c r="B34" s="316"/>
      <c r="C34" s="309">
        <f t="shared" si="2"/>
        <v>0.28097357018829738</v>
      </c>
      <c r="D34" s="309">
        <f t="shared" si="3"/>
        <v>0.51804390133861966</v>
      </c>
      <c r="E34" s="318"/>
      <c r="F34" s="319">
        <f>('I-87 DetourSavings'!E147+'I-87 DetourSavings'!O147)/10^6</f>
        <v>0.28097357018829738</v>
      </c>
      <c r="G34" s="319">
        <f>('I-87 DetourSavings'!F147+'I-87 DetourSavings'!P147)/10^6</f>
        <v>0.51804390133861966</v>
      </c>
      <c r="I34" s="316" t="s">
        <v>230</v>
      </c>
      <c r="J34" s="316" t="s">
        <v>230</v>
      </c>
      <c r="K34" s="683"/>
      <c r="L34" s="310"/>
      <c r="M34" s="310"/>
      <c r="N34" s="310"/>
      <c r="O34" s="310"/>
      <c r="P34" s="310"/>
    </row>
    <row r="35" spans="1:16">
      <c r="A35" s="649" t="s">
        <v>384</v>
      </c>
      <c r="B35" s="402"/>
      <c r="C35" s="398">
        <f t="shared" si="2"/>
        <v>5.4934514176727802</v>
      </c>
      <c r="D35" s="309">
        <f t="shared" si="3"/>
        <v>9.8467532946780647</v>
      </c>
      <c r="E35" s="318"/>
      <c r="F35" s="319">
        <f>RepairCostSavings!E34/10^6</f>
        <v>5.4934514176727802</v>
      </c>
      <c r="G35" s="319">
        <f>RepairCostSavings!F34/10^6</f>
        <v>9.8467532946780647</v>
      </c>
      <c r="I35" s="316" t="s">
        <v>230</v>
      </c>
      <c r="J35" s="316" t="s">
        <v>230</v>
      </c>
      <c r="K35" s="683"/>
      <c r="L35" s="310"/>
      <c r="M35" s="310"/>
      <c r="N35" s="310"/>
      <c r="O35" s="310"/>
      <c r="P35" s="310"/>
    </row>
    <row r="36" spans="1:16">
      <c r="A36" s="313" t="s">
        <v>1050</v>
      </c>
      <c r="B36" s="371"/>
      <c r="C36" s="401">
        <f t="shared" ref="C36:D37" si="4">F36</f>
        <v>5.8126419637825508</v>
      </c>
      <c r="D36" s="309">
        <f t="shared" si="4"/>
        <v>7.0260652867540747</v>
      </c>
      <c r="E36" s="318"/>
      <c r="F36" s="322">
        <f>'Reduced Auto Emissions'!T27/10^6+('Reduced Auto Emissions'!AO27+'Reduced Auto Emissions'!BJ27)/10^6</f>
        <v>5.8126419637825508</v>
      </c>
      <c r="G36" s="322">
        <f>'Reduced Auto Emissions'!U27/10^6+('Reduced Auto Emissions'!AP27+'Reduced Auto Emissions'!BK27)/10^6</f>
        <v>7.0260652867540747</v>
      </c>
      <c r="I36" s="316" t="s">
        <v>230</v>
      </c>
      <c r="J36" s="316" t="s">
        <v>230</v>
      </c>
      <c r="K36" s="683"/>
      <c r="L36" s="310"/>
      <c r="M36" s="310"/>
      <c r="N36" s="310"/>
      <c r="O36" s="310"/>
      <c r="P36" s="310"/>
    </row>
    <row r="37" spans="1:16">
      <c r="A37" s="650" t="s">
        <v>1051</v>
      </c>
      <c r="B37" s="394" t="s">
        <v>724</v>
      </c>
      <c r="C37" s="392">
        <f t="shared" si="4"/>
        <v>49.877903536717767</v>
      </c>
      <c r="D37" s="392">
        <f t="shared" si="4"/>
        <v>92.934815339507054</v>
      </c>
      <c r="E37" s="318"/>
      <c r="F37" s="395">
        <f>'Reduced Truck Emissions'!T27/10^6+('Reduced Truck Emissions'!AO27+'Reduced Truck Emissions'!BJ27)/10^6</f>
        <v>49.877903536717767</v>
      </c>
      <c r="G37" s="395">
        <f>'Reduced Truck Emissions'!U27/10^6+('Reduced Truck Emissions'!AP27+'Reduced Truck Emissions'!BK27)/10^6</f>
        <v>92.934815339507054</v>
      </c>
      <c r="I37" s="393" t="s">
        <v>230</v>
      </c>
      <c r="J37" s="393" t="s">
        <v>230</v>
      </c>
      <c r="K37" s="683"/>
      <c r="L37" s="310"/>
      <c r="M37" s="310"/>
      <c r="N37" s="310"/>
      <c r="O37" s="310"/>
      <c r="P37" s="310"/>
    </row>
    <row r="38" spans="1:16" s="310" customFormat="1">
      <c r="A38" s="647" t="s">
        <v>861</v>
      </c>
      <c r="B38" s="369"/>
      <c r="C38" s="711" t="s">
        <v>822</v>
      </c>
      <c r="D38" s="712"/>
      <c r="E38" s="318"/>
      <c r="F38" s="711" t="s">
        <v>822</v>
      </c>
      <c r="G38" s="712"/>
      <c r="H38" s="315"/>
      <c r="I38" s="711" t="s">
        <v>822</v>
      </c>
      <c r="J38" s="712"/>
      <c r="K38" s="683"/>
    </row>
    <row r="39" spans="1:16">
      <c r="A39" s="651" t="s">
        <v>717</v>
      </c>
      <c r="B39" s="396"/>
      <c r="C39" s="397">
        <f>SUM(C29:C37)</f>
        <v>72.208837859571616</v>
      </c>
      <c r="D39" s="397">
        <f>SUM(D29:D37)</f>
        <v>130.38732567690346</v>
      </c>
      <c r="E39" s="398"/>
      <c r="F39" s="397">
        <f>SUM(F29:F37)</f>
        <v>72.208837859571616</v>
      </c>
      <c r="G39" s="397">
        <f>SUM(G29:G37)</f>
        <v>130.38732567690346</v>
      </c>
      <c r="H39" s="399"/>
      <c r="I39" s="397">
        <f>SUM(I29:I37)</f>
        <v>0</v>
      </c>
      <c r="J39" s="397">
        <f>SUM(J29:J37)</f>
        <v>0</v>
      </c>
      <c r="K39" s="683"/>
      <c r="M39" s="310"/>
      <c r="N39" s="310"/>
      <c r="O39" s="310"/>
      <c r="P39" s="310"/>
    </row>
    <row r="40" spans="1:16">
      <c r="A40" s="643" t="s">
        <v>780</v>
      </c>
      <c r="B40" s="361"/>
      <c r="C40" s="307"/>
      <c r="D40" s="307"/>
      <c r="E40" s="307"/>
      <c r="F40" s="307"/>
      <c r="G40" s="307"/>
      <c r="H40" s="307"/>
      <c r="I40" s="307"/>
      <c r="J40" s="308"/>
      <c r="K40" s="683"/>
      <c r="M40" s="310"/>
      <c r="N40" s="310"/>
      <c r="O40" s="310"/>
      <c r="P40" s="310"/>
    </row>
    <row r="41" spans="1:16">
      <c r="A41" s="649" t="s">
        <v>100</v>
      </c>
      <c r="B41" s="402"/>
      <c r="C41" s="398">
        <f>F41+I41</f>
        <v>5.4547766964365714</v>
      </c>
      <c r="D41" s="398">
        <f>G41+J41</f>
        <v>9.3383456442972541</v>
      </c>
      <c r="E41" s="329"/>
      <c r="F41" s="398">
        <f>Fiber!D66/10^6</f>
        <v>3.5066941690158893</v>
      </c>
      <c r="G41" s="398">
        <f>Fiber!E66/10^6</f>
        <v>6.2783055172315478</v>
      </c>
      <c r="H41" s="315"/>
      <c r="I41" s="409">
        <f>Fiber!D105/10^6</f>
        <v>1.9480825274206826</v>
      </c>
      <c r="J41" s="409">
        <f>Fiber!E105/10^6</f>
        <v>3.0600401270657063</v>
      </c>
      <c r="K41" s="683"/>
      <c r="M41" s="310"/>
      <c r="N41" s="310"/>
      <c r="O41" s="310"/>
      <c r="P41" s="310"/>
    </row>
    <row r="42" spans="1:16">
      <c r="A42" s="651" t="s">
        <v>781</v>
      </c>
      <c r="B42" s="400"/>
      <c r="C42" s="397">
        <f>SUM(C41)</f>
        <v>5.4547766964365714</v>
      </c>
      <c r="D42" s="397">
        <f>SUM(D41)</f>
        <v>9.3383456442972541</v>
      </c>
      <c r="E42" s="329"/>
      <c r="F42" s="397">
        <f>SUM(F41)</f>
        <v>3.5066941690158893</v>
      </c>
      <c r="G42" s="397">
        <f>SUM(G41)</f>
        <v>6.2783055172315478</v>
      </c>
      <c r="I42" s="397">
        <f>SUM(I41)</f>
        <v>1.9480825274206826</v>
      </c>
      <c r="J42" s="397">
        <f>SUM(J41)</f>
        <v>3.0600401270657063</v>
      </c>
      <c r="K42" s="683"/>
      <c r="M42" s="310"/>
      <c r="N42" s="310"/>
      <c r="O42" s="310"/>
      <c r="P42" s="310"/>
    </row>
    <row r="43" spans="1:16">
      <c r="A43" s="652"/>
      <c r="B43" s="372"/>
      <c r="C43" s="328"/>
      <c r="D43" s="328"/>
      <c r="E43" s="329"/>
      <c r="F43" s="328"/>
      <c r="G43" s="328"/>
      <c r="I43" s="328"/>
      <c r="J43" s="328"/>
      <c r="K43" s="310"/>
      <c r="M43" s="310"/>
      <c r="N43" s="310"/>
      <c r="O43" s="310"/>
      <c r="P43" s="310"/>
    </row>
    <row r="44" spans="1:16">
      <c r="A44" s="653" t="s">
        <v>64</v>
      </c>
      <c r="B44" s="373"/>
      <c r="C44" s="309">
        <f>F44+I44</f>
        <v>-25.178455028868882</v>
      </c>
      <c r="D44" s="309">
        <f>G44+J44</f>
        <v>-45.747003034224427</v>
      </c>
      <c r="E44" s="329"/>
      <c r="F44" s="322">
        <f>-Costs!O36/10^6</f>
        <v>-23.767820858980873</v>
      </c>
      <c r="G44" s="322">
        <f>-Costs!P36/10^6</f>
        <v>-43.469947948624061</v>
      </c>
      <c r="I44" s="322">
        <f>-Costs!M68/10^6</f>
        <v>-1.4106341698880085</v>
      </c>
      <c r="J44" s="322">
        <f>-Costs!N68/10^6</f>
        <v>-2.2770550856003671</v>
      </c>
      <c r="K44" s="310"/>
      <c r="M44" s="310"/>
      <c r="N44" s="310"/>
      <c r="O44" s="310"/>
      <c r="P44" s="310"/>
    </row>
    <row r="45" spans="1:16" s="331" customFormat="1">
      <c r="A45" s="654" t="s">
        <v>60</v>
      </c>
      <c r="B45" s="374"/>
      <c r="C45" s="311">
        <f>C44</f>
        <v>-25.178455028868882</v>
      </c>
      <c r="D45" s="311">
        <f>D44</f>
        <v>-45.747003034224427</v>
      </c>
      <c r="E45" s="321"/>
      <c r="F45" s="311">
        <f>F44</f>
        <v>-23.767820858980873</v>
      </c>
      <c r="G45" s="311">
        <f>G44</f>
        <v>-43.469947948624061</v>
      </c>
      <c r="H45" s="330"/>
      <c r="I45" s="311">
        <f>I44</f>
        <v>-1.4106341698880085</v>
      </c>
      <c r="J45" s="311">
        <f>J44</f>
        <v>-2.2770550856003671</v>
      </c>
      <c r="K45" s="310"/>
      <c r="M45" s="310"/>
      <c r="N45" s="310"/>
      <c r="O45" s="310"/>
      <c r="P45" s="310"/>
    </row>
    <row r="46" spans="1:16">
      <c r="A46" s="655"/>
      <c r="B46" s="375"/>
      <c r="C46" s="332"/>
      <c r="D46" s="332"/>
      <c r="E46" s="333"/>
      <c r="F46" s="332"/>
      <c r="G46" s="332"/>
      <c r="I46" s="332"/>
      <c r="J46" s="332"/>
      <c r="K46" s="310"/>
      <c r="M46" s="310"/>
      <c r="N46" s="310"/>
      <c r="O46" s="310"/>
      <c r="P46" s="310"/>
    </row>
    <row r="47" spans="1:16">
      <c r="A47" s="656" t="s">
        <v>5</v>
      </c>
      <c r="B47" s="376"/>
      <c r="C47" s="311">
        <f>SUM(C39,C17,C45,C27,C42)</f>
        <v>588.66578069790023</v>
      </c>
      <c r="D47" s="311">
        <f>SUM(D39,D17,D45,D27,D42)</f>
        <v>1151.5746712248445</v>
      </c>
      <c r="E47" s="334"/>
      <c r="F47" s="311">
        <f>SUM(F39,F17,F45,F27,F42)</f>
        <v>567.12686709484842</v>
      </c>
      <c r="G47" s="311">
        <f>SUM(G39,G17,G45,G27,G42)</f>
        <v>1115.3983773863367</v>
      </c>
      <c r="I47" s="311">
        <f>SUM(I39,I17,I45,I27,I42)</f>
        <v>21.538913603051796</v>
      </c>
      <c r="J47" s="311">
        <f>SUM(J39,J17,J45,J27,J42)</f>
        <v>36.17629383850737</v>
      </c>
      <c r="K47" s="310"/>
      <c r="M47" s="310"/>
      <c r="N47" s="310"/>
      <c r="O47" s="310"/>
      <c r="P47" s="310"/>
    </row>
    <row r="48" spans="1:16">
      <c r="K48" s="310"/>
      <c r="M48" s="310"/>
      <c r="N48" s="310"/>
      <c r="O48" s="310"/>
      <c r="P48" s="310"/>
    </row>
    <row r="49" spans="1:16">
      <c r="A49" s="643" t="s">
        <v>21</v>
      </c>
      <c r="B49" s="377"/>
      <c r="C49" s="335">
        <f>C47/C7</f>
        <v>1.615349787254249</v>
      </c>
      <c r="D49" s="335">
        <f>D47/D7</f>
        <v>2.6203601598413719</v>
      </c>
      <c r="F49" s="335">
        <f>F47/F7</f>
        <v>1.6186819523938227</v>
      </c>
      <c r="G49" s="335">
        <f>G47/G7</f>
        <v>2.6334246209630057</v>
      </c>
      <c r="I49" s="335">
        <f>I47/I7</f>
        <v>1.5322951570642438</v>
      </c>
      <c r="J49" s="335">
        <f>J47/J7</f>
        <v>2.2727251807515776</v>
      </c>
      <c r="M49" s="310"/>
      <c r="N49" s="310"/>
      <c r="O49" s="310"/>
      <c r="P49" s="310"/>
    </row>
    <row r="50" spans="1:16">
      <c r="A50" s="657" t="s">
        <v>59</v>
      </c>
      <c r="B50" s="378"/>
      <c r="C50" s="336">
        <f>C47-C7</f>
        <v>224.2457737478843</v>
      </c>
      <c r="D50" s="336">
        <f>D47-D7</f>
        <v>712.10276622741958</v>
      </c>
      <c r="F50" s="336">
        <f>F47-F7</f>
        <v>216.76349505864289</v>
      </c>
      <c r="G50" s="336">
        <f>G47-G7</f>
        <v>691.84405632950256</v>
      </c>
      <c r="I50" s="336">
        <f>I47-I7</f>
        <v>7.4822786892414239</v>
      </c>
      <c r="J50" s="336">
        <f>J47-J7</f>
        <v>20.258709897916688</v>
      </c>
    </row>
    <row r="51" spans="1:16">
      <c r="A51" s="657" t="s">
        <v>739</v>
      </c>
      <c r="B51" s="378"/>
      <c r="C51" s="336">
        <f>SUMIF($B:$B,"x",C:C)</f>
        <v>153.82561859633404</v>
      </c>
      <c r="D51" s="336">
        <f>SUMIF($B:$B,"x",D:D)</f>
        <v>283.36663299568818</v>
      </c>
      <c r="F51" s="336">
        <f>SUMIF($B:$B,"x",F:F)</f>
        <v>135.02576916872181</v>
      </c>
      <c r="G51" s="336">
        <f>SUMIF($B:$B,"x",G:G)</f>
        <v>252.94120102922528</v>
      </c>
      <c r="I51" s="336">
        <f>SUMIF($B:$B,"x",I:I)</f>
        <v>18.799849427612195</v>
      </c>
      <c r="J51" s="336">
        <f>SUMIF($B:$B,"x",J:J)</f>
        <v>30.42543196646287</v>
      </c>
    </row>
    <row r="52" spans="1:16">
      <c r="A52" s="657" t="s">
        <v>740</v>
      </c>
      <c r="B52" s="378"/>
      <c r="C52" s="391">
        <f>C51/SUM(C17,C27,C39)</f>
        <v>0.25284070312708151</v>
      </c>
      <c r="D52" s="391">
        <f>D51/SUM(D17,D27,D39)</f>
        <v>0.23852744914030335</v>
      </c>
      <c r="F52" s="391">
        <f>F51/SUM(F17,F27,F39)</f>
        <v>0.22987492185308062</v>
      </c>
      <c r="G52" s="391">
        <f>G51/SUM(G17,G27,G39)</f>
        <v>0.21945461671551295</v>
      </c>
      <c r="I52" s="391">
        <f>I51/SUM(I17,I27,I39)</f>
        <v>0.89516846600135835</v>
      </c>
      <c r="J52" s="391">
        <f>J51/SUM(J17,J27,J39)</f>
        <v>0.85963796549605587</v>
      </c>
    </row>
    <row r="53" spans="1:16">
      <c r="A53" s="304" t="s">
        <v>1062</v>
      </c>
      <c r="E53" s="303"/>
    </row>
    <row r="54" spans="1:16">
      <c r="A54" s="304" t="s">
        <v>1049</v>
      </c>
      <c r="E54" s="303"/>
    </row>
    <row r="56" spans="1:16" ht="30" customHeight="1">
      <c r="A56" s="713" t="s">
        <v>770</v>
      </c>
      <c r="B56" s="713"/>
      <c r="C56" s="713"/>
      <c r="D56" s="713"/>
      <c r="E56" s="713"/>
      <c r="F56" s="713"/>
      <c r="G56" s="713"/>
      <c r="H56" s="713"/>
      <c r="I56" s="713"/>
      <c r="J56" s="713"/>
    </row>
    <row r="57" spans="1:16" ht="15">
      <c r="A57" s="379"/>
      <c r="F57" s="347"/>
    </row>
  </sheetData>
  <sheetProtection algorithmName="SHA-512" hashValue="QMdWNMAJB7YlzNxLo9po59MRiqcAcDgNwGLJ7RZ+eS2I56V3F83B/fMK4IOVDgGFPaF2jpRI8huzS4Zb9iZuQg==" saltValue="UzAG9ixsGdDph3S9sYGFdg==" spinCount="100000" sheet="1" objects="1" scenarios="1"/>
  <mergeCells count="14">
    <mergeCell ref="I38:J38"/>
    <mergeCell ref="A56:J56"/>
    <mergeCell ref="B1:B4"/>
    <mergeCell ref="I1:J1"/>
    <mergeCell ref="I2:J2"/>
    <mergeCell ref="I3:J3"/>
    <mergeCell ref="C1:D1"/>
    <mergeCell ref="C2:D2"/>
    <mergeCell ref="C3:D3"/>
    <mergeCell ref="F1:G1"/>
    <mergeCell ref="F2:G2"/>
    <mergeCell ref="F3:G3"/>
    <mergeCell ref="C38:D38"/>
    <mergeCell ref="F38:G3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D61B8-90AD-43BC-B5FD-4B45FAA5E9AA}">
  <sheetPr>
    <tabColor theme="6" tint="0.59999389629810485"/>
  </sheetPr>
  <dimension ref="A1:Q71"/>
  <sheetViews>
    <sheetView zoomScale="85" zoomScaleNormal="85" workbookViewId="0">
      <selection activeCell="C36" sqref="C36"/>
    </sheetView>
  </sheetViews>
  <sheetFormatPr defaultColWidth="8.85546875" defaultRowHeight="15"/>
  <cols>
    <col min="1" max="1" width="7.85546875" style="206" customWidth="1"/>
    <col min="2" max="2" width="15" style="206" customWidth="1"/>
    <col min="3" max="3" width="15.7109375" style="206" bestFit="1" customWidth="1"/>
    <col min="4" max="4" width="14.85546875" style="206" customWidth="1"/>
    <col min="5" max="5" width="12.28515625" style="206" customWidth="1"/>
    <col min="6" max="7" width="12.140625" style="206" customWidth="1"/>
    <col min="8" max="8" width="10.85546875" style="206" customWidth="1"/>
    <col min="9" max="10" width="15.7109375" style="206" customWidth="1"/>
    <col min="11" max="11" width="16.42578125" style="206" bestFit="1" customWidth="1"/>
    <col min="12" max="14" width="15.7109375" style="206" bestFit="1" customWidth="1"/>
    <col min="15" max="15" width="12.7109375" style="206" customWidth="1"/>
    <col min="16" max="16" width="12" style="206" customWidth="1"/>
    <col min="17" max="17" width="12.140625" style="206" customWidth="1"/>
    <col min="18" max="30" width="15.7109375" style="206" bestFit="1" customWidth="1"/>
    <col min="31" max="31" width="13.140625" style="206" bestFit="1" customWidth="1"/>
    <col min="32" max="16384" width="8.85546875" style="206"/>
  </cols>
  <sheetData>
    <row r="1" spans="1:14" s="382" customFormat="1" ht="21">
      <c r="A1" s="382" t="s">
        <v>750</v>
      </c>
    </row>
    <row r="2" spans="1:14" s="382" customFormat="1" ht="21">
      <c r="A2" s="206" t="s">
        <v>1104</v>
      </c>
    </row>
    <row r="3" spans="1:14" s="382" customFormat="1" ht="21">
      <c r="A3" s="206" t="s">
        <v>815</v>
      </c>
    </row>
    <row r="4" spans="1:14" s="382" customFormat="1" ht="21">
      <c r="A4" s="206" t="s">
        <v>816</v>
      </c>
    </row>
    <row r="5" spans="1:14" s="382" customFormat="1" ht="21">
      <c r="A5" s="416" t="s">
        <v>1084</v>
      </c>
    </row>
    <row r="6" spans="1:14" s="382" customFormat="1" ht="21.75" thickBot="1"/>
    <row r="7" spans="1:14" s="382" customFormat="1" ht="60.75" thickBot="1">
      <c r="A7" s="688" t="s">
        <v>883</v>
      </c>
      <c r="B7" s="689" t="s">
        <v>884</v>
      </c>
      <c r="C7" s="689" t="s">
        <v>885</v>
      </c>
      <c r="D7" s="689" t="s">
        <v>886</v>
      </c>
      <c r="E7" s="689" t="s">
        <v>887</v>
      </c>
      <c r="F7" s="690" t="s">
        <v>392</v>
      </c>
      <c r="G7" s="690" t="s">
        <v>967</v>
      </c>
      <c r="H7" s="690" t="s">
        <v>974</v>
      </c>
      <c r="I7" s="690" t="s">
        <v>971</v>
      </c>
      <c r="J7" s="690" t="s">
        <v>970</v>
      </c>
      <c r="K7" s="690" t="s">
        <v>975</v>
      </c>
      <c r="L7" s="690" t="s">
        <v>761</v>
      </c>
      <c r="M7" s="690" t="s">
        <v>973</v>
      </c>
      <c r="N7" s="690" t="s">
        <v>972</v>
      </c>
    </row>
    <row r="8" spans="1:14" s="382" customFormat="1" ht="21">
      <c r="A8" s="691">
        <v>1</v>
      </c>
      <c r="B8" s="692" t="s">
        <v>229</v>
      </c>
      <c r="C8" s="693" t="s">
        <v>896</v>
      </c>
      <c r="D8" s="694">
        <v>429</v>
      </c>
      <c r="E8" s="694">
        <v>436</v>
      </c>
      <c r="F8" s="694">
        <f>ICM_ITS_WindCosts!G3</f>
        <v>7</v>
      </c>
      <c r="G8" s="694">
        <v>59000</v>
      </c>
      <c r="H8" s="695"/>
      <c r="I8" s="696">
        <f>G8*(1+Inputs!$B$45)^(2028-2019)</f>
        <v>79285.045243490968</v>
      </c>
      <c r="J8" s="694">
        <f t="shared" ref="J8:J17" si="0">F8/2</f>
        <v>3.5</v>
      </c>
      <c r="K8" s="697">
        <f>J8/65</f>
        <v>5.3846153846153849E-2</v>
      </c>
      <c r="L8" s="698">
        <f t="shared" ref="L8:L17" si="1">K8*$B$20</f>
        <v>1.0769230769230771E-3</v>
      </c>
      <c r="M8" s="695"/>
      <c r="N8" s="699">
        <f>L8*I8*Inputs!$B$13</f>
        <v>23907.490565729586</v>
      </c>
    </row>
    <row r="9" spans="1:14" s="382" customFormat="1" ht="21">
      <c r="A9" s="700">
        <v>2</v>
      </c>
      <c r="B9" s="701" t="s">
        <v>229</v>
      </c>
      <c r="C9" s="702" t="s">
        <v>897</v>
      </c>
      <c r="D9" s="703">
        <v>446</v>
      </c>
      <c r="E9" s="703">
        <v>458</v>
      </c>
      <c r="F9" s="703">
        <f>ICM_ITS_WindCosts!G4</f>
        <v>12</v>
      </c>
      <c r="G9" s="703">
        <v>24000</v>
      </c>
      <c r="H9" s="695"/>
      <c r="I9" s="704">
        <f>G9*(1+Inputs!$B$45)^(2028-2019)</f>
        <v>32251.543827860736</v>
      </c>
      <c r="J9" s="703">
        <f t="shared" si="0"/>
        <v>6</v>
      </c>
      <c r="K9" s="705">
        <f t="shared" ref="K9:K15" si="2">J9/65</f>
        <v>9.2307692307692313E-2</v>
      </c>
      <c r="L9" s="706">
        <f t="shared" si="1"/>
        <v>1.8461538461538463E-3</v>
      </c>
      <c r="M9" s="695"/>
      <c r="N9" s="707">
        <f>L9*I9*Inputs!$B$13</f>
        <v>16671.567271017244</v>
      </c>
    </row>
    <row r="10" spans="1:14" s="382" customFormat="1" ht="21">
      <c r="A10" s="700">
        <v>3</v>
      </c>
      <c r="B10" s="701" t="s">
        <v>229</v>
      </c>
      <c r="C10" s="702" t="s">
        <v>898</v>
      </c>
      <c r="D10" s="703" t="s">
        <v>899</v>
      </c>
      <c r="E10" s="703" t="s">
        <v>900</v>
      </c>
      <c r="F10" s="703">
        <f>ICM_ITS_WindCosts!G5</f>
        <v>4</v>
      </c>
      <c r="G10" s="703">
        <v>45500</v>
      </c>
      <c r="H10" s="695"/>
      <c r="I10" s="704">
        <f>G10*(1+Inputs!$B$45)^(2028-2019)</f>
        <v>61143.551840319313</v>
      </c>
      <c r="J10" s="703">
        <f t="shared" si="0"/>
        <v>2</v>
      </c>
      <c r="K10" s="705">
        <f t="shared" si="2"/>
        <v>3.0769230769230771E-2</v>
      </c>
      <c r="L10" s="706">
        <f t="shared" si="1"/>
        <v>6.1538461538461541E-4</v>
      </c>
      <c r="M10" s="695"/>
      <c r="N10" s="707">
        <f>L10*I10*Inputs!$B$13</f>
        <v>10535.504317101173</v>
      </c>
    </row>
    <row r="11" spans="1:14" s="382" customFormat="1" ht="21">
      <c r="A11" s="700">
        <v>4</v>
      </c>
      <c r="B11" s="701" t="s">
        <v>229</v>
      </c>
      <c r="C11" s="702" t="s">
        <v>897</v>
      </c>
      <c r="D11" s="703" t="s">
        <v>901</v>
      </c>
      <c r="E11" s="703" t="s">
        <v>902</v>
      </c>
      <c r="F11" s="703">
        <f>ICM_ITS_WindCosts!G6</f>
        <v>13</v>
      </c>
      <c r="G11" s="703">
        <v>21500</v>
      </c>
      <c r="H11" s="695"/>
      <c r="I11" s="704">
        <f>G11*(1+Inputs!$B$45)^(2028-2019)</f>
        <v>28892.008012458573</v>
      </c>
      <c r="J11" s="703">
        <f t="shared" si="0"/>
        <v>6.5</v>
      </c>
      <c r="K11" s="705">
        <f t="shared" si="2"/>
        <v>0.1</v>
      </c>
      <c r="L11" s="706">
        <f t="shared" si="1"/>
        <v>2E-3</v>
      </c>
      <c r="M11" s="695"/>
      <c r="N11" s="707">
        <f>L11*I11*Inputs!$B$13</f>
        <v>16179.524486976803</v>
      </c>
    </row>
    <row r="12" spans="1:14" s="382" customFormat="1" ht="21">
      <c r="A12" s="700">
        <v>5</v>
      </c>
      <c r="B12" s="701" t="s">
        <v>229</v>
      </c>
      <c r="C12" s="702" t="s">
        <v>903</v>
      </c>
      <c r="D12" s="703" t="s">
        <v>904</v>
      </c>
      <c r="E12" s="703" t="s">
        <v>905</v>
      </c>
      <c r="F12" s="703">
        <f>ICM_ITS_WindCosts!G7</f>
        <v>6</v>
      </c>
      <c r="G12" s="703">
        <v>8900</v>
      </c>
      <c r="H12" s="695"/>
      <c r="I12" s="704">
        <f>G12*(1+Inputs!$B$45)^(2028-2019)</f>
        <v>11959.947502831688</v>
      </c>
      <c r="J12" s="703">
        <f t="shared" si="0"/>
        <v>3</v>
      </c>
      <c r="K12" s="705">
        <f t="shared" si="2"/>
        <v>4.6153846153846156E-2</v>
      </c>
      <c r="L12" s="706">
        <f t="shared" si="1"/>
        <v>9.2307692307692316E-4</v>
      </c>
      <c r="M12" s="695"/>
      <c r="N12" s="707">
        <f>L12*I12*Inputs!$B$13</f>
        <v>3091.1864315011135</v>
      </c>
    </row>
    <row r="13" spans="1:14" s="382" customFormat="1" ht="21">
      <c r="A13" s="700">
        <v>6</v>
      </c>
      <c r="B13" s="701" t="s">
        <v>229</v>
      </c>
      <c r="C13" s="702" t="s">
        <v>906</v>
      </c>
      <c r="D13" s="703" t="s">
        <v>907</v>
      </c>
      <c r="E13" s="703" t="s">
        <v>908</v>
      </c>
      <c r="F13" s="703">
        <f>ICM_ITS_WindCosts!G8</f>
        <v>2</v>
      </c>
      <c r="G13" s="703">
        <v>20000</v>
      </c>
      <c r="H13" s="695"/>
      <c r="I13" s="704">
        <f>G13*(1+Inputs!$B$45)^(2028-2019)</f>
        <v>26876.286523217277</v>
      </c>
      <c r="J13" s="703">
        <f t="shared" si="0"/>
        <v>1</v>
      </c>
      <c r="K13" s="705">
        <f t="shared" si="2"/>
        <v>1.5384615384615385E-2</v>
      </c>
      <c r="L13" s="706">
        <f t="shared" si="1"/>
        <v>3.076923076923077E-4</v>
      </c>
      <c r="M13" s="695"/>
      <c r="N13" s="707">
        <f>L13*I13*Inputs!$B$13</f>
        <v>2315.4954543079502</v>
      </c>
    </row>
    <row r="14" spans="1:14" s="382" customFormat="1" ht="21">
      <c r="A14" s="700">
        <v>7</v>
      </c>
      <c r="B14" s="701" t="s">
        <v>909</v>
      </c>
      <c r="C14" s="702" t="s">
        <v>903</v>
      </c>
      <c r="D14" s="703" t="s">
        <v>903</v>
      </c>
      <c r="E14" s="703" t="s">
        <v>910</v>
      </c>
      <c r="F14" s="703">
        <f>ICM_ITS_WindCosts!G9</f>
        <v>10</v>
      </c>
      <c r="G14" s="703">
        <v>14500</v>
      </c>
      <c r="H14" s="695"/>
      <c r="I14" s="704">
        <f>G14*(1+Inputs!$B$45)^(2028-2019)</f>
        <v>19485.307729332526</v>
      </c>
      <c r="J14" s="703">
        <f t="shared" si="0"/>
        <v>5</v>
      </c>
      <c r="K14" s="705">
        <f t="shared" si="2"/>
        <v>7.6923076923076927E-2</v>
      </c>
      <c r="L14" s="706">
        <f t="shared" si="1"/>
        <v>1.5384615384615387E-3</v>
      </c>
      <c r="M14" s="695"/>
      <c r="N14" s="707">
        <f>L14*I14*Inputs!$B$13</f>
        <v>8393.6710218663193</v>
      </c>
    </row>
    <row r="15" spans="1:14" s="382" customFormat="1" ht="21">
      <c r="A15" s="700">
        <v>8</v>
      </c>
      <c r="B15" s="701" t="s">
        <v>229</v>
      </c>
      <c r="C15" s="702" t="s">
        <v>911</v>
      </c>
      <c r="D15" s="703" t="s">
        <v>912</v>
      </c>
      <c r="E15" s="703" t="s">
        <v>913</v>
      </c>
      <c r="F15" s="703">
        <f>ICM_ITS_WindCosts!G10</f>
        <v>2.5</v>
      </c>
      <c r="G15" s="703">
        <v>15000</v>
      </c>
      <c r="H15" s="695"/>
      <c r="I15" s="704">
        <f>G15*(1+Inputs!$B$45)^(2028-2019)</f>
        <v>20157.214892412958</v>
      </c>
      <c r="J15" s="703">
        <f t="shared" si="0"/>
        <v>1.25</v>
      </c>
      <c r="K15" s="705">
        <f t="shared" si="2"/>
        <v>1.9230769230769232E-2</v>
      </c>
      <c r="L15" s="706">
        <f t="shared" si="1"/>
        <v>3.8461538461538467E-4</v>
      </c>
      <c r="M15" s="695"/>
      <c r="N15" s="707">
        <f>L15*I15*Inputs!$B$13</f>
        <v>2170.7769884137033</v>
      </c>
    </row>
    <row r="16" spans="1:14" s="382" customFormat="1" ht="21">
      <c r="A16" s="700">
        <v>9</v>
      </c>
      <c r="B16" s="701" t="s">
        <v>291</v>
      </c>
      <c r="C16" s="702" t="s">
        <v>914</v>
      </c>
      <c r="D16" s="703" t="s">
        <v>915</v>
      </c>
      <c r="E16" s="703" t="s">
        <v>916</v>
      </c>
      <c r="F16" s="703">
        <f>ICM_ITS_WindCosts!G11</f>
        <v>10.5</v>
      </c>
      <c r="G16" s="703">
        <v>6600</v>
      </c>
      <c r="H16" s="704">
        <f>G16*(1+Inputs!$B$67)^(2025-2019)</f>
        <v>7151.8858338274858</v>
      </c>
      <c r="I16" s="695"/>
      <c r="J16" s="703">
        <f t="shared" si="0"/>
        <v>5.25</v>
      </c>
      <c r="K16" s="705">
        <f>J16/55</f>
        <v>9.5454545454545459E-2</v>
      </c>
      <c r="L16" s="706">
        <f t="shared" si="1"/>
        <v>1.9090909090909091E-3</v>
      </c>
      <c r="M16" s="707">
        <f>L16*H16*Inputs!$B$13</f>
        <v>3823.0080639005109</v>
      </c>
      <c r="N16" s="695"/>
    </row>
    <row r="17" spans="1:14" s="382" customFormat="1" ht="21">
      <c r="A17" s="700">
        <v>10</v>
      </c>
      <c r="B17" s="701" t="s">
        <v>917</v>
      </c>
      <c r="C17" s="702" t="s">
        <v>291</v>
      </c>
      <c r="D17" s="703" t="s">
        <v>918</v>
      </c>
      <c r="E17" s="703" t="s">
        <v>919</v>
      </c>
      <c r="F17" s="703">
        <f>ICM_ITS_WindCosts!G12</f>
        <v>6</v>
      </c>
      <c r="G17" s="703">
        <v>5500</v>
      </c>
      <c r="H17" s="704">
        <f>G17*(1+Inputs!$B$67)^(2025-2019)</f>
        <v>5959.9048615229049</v>
      </c>
      <c r="I17" s="695"/>
      <c r="J17" s="703">
        <f t="shared" si="0"/>
        <v>3</v>
      </c>
      <c r="K17" s="705">
        <f>J17/55</f>
        <v>5.4545454545454543E-2</v>
      </c>
      <c r="L17" s="706">
        <f t="shared" si="1"/>
        <v>1.090909090909091E-3</v>
      </c>
      <c r="M17" s="707">
        <f>L17*H17*Inputs!$B$13</f>
        <v>1820.4800304288146</v>
      </c>
      <c r="N17" s="695"/>
    </row>
    <row r="18" spans="1:14" s="382" customFormat="1" ht="21">
      <c r="A18" s="416" t="s">
        <v>968</v>
      </c>
      <c r="G18" s="416" t="s">
        <v>969</v>
      </c>
    </row>
    <row r="19" spans="1:14" s="382" customFormat="1" ht="21"/>
    <row r="20" spans="1:14">
      <c r="A20" s="206" t="s">
        <v>229</v>
      </c>
      <c r="B20" s="300">
        <f>Inputs!B83</f>
        <v>0.02</v>
      </c>
      <c r="L20" s="300"/>
      <c r="M20" s="300"/>
    </row>
    <row r="21" spans="1:14" ht="90">
      <c r="A21" s="380" t="s">
        <v>1</v>
      </c>
      <c r="B21" s="381" t="s">
        <v>976</v>
      </c>
      <c r="C21" s="381" t="s">
        <v>751</v>
      </c>
      <c r="D21" s="381" t="s">
        <v>752</v>
      </c>
      <c r="E21" s="381" t="s">
        <v>817</v>
      </c>
      <c r="F21" s="381" t="s">
        <v>753</v>
      </c>
      <c r="G21" s="381" t="s">
        <v>754</v>
      </c>
      <c r="H21" s="380" t="s">
        <v>759</v>
      </c>
      <c r="I21" s="380" t="s">
        <v>760</v>
      </c>
      <c r="K21" s="388" t="s">
        <v>762</v>
      </c>
      <c r="L21" s="388" t="s">
        <v>13</v>
      </c>
      <c r="M21" s="388" t="s">
        <v>14</v>
      </c>
    </row>
    <row r="22" spans="1:14">
      <c r="A22" s="110">
        <f>Inputs!B7</f>
        <v>2027</v>
      </c>
      <c r="B22" s="10">
        <f>SUM(N8:N15)</f>
        <v>83265.216536913897</v>
      </c>
      <c r="C22" s="10">
        <f>B22*Inputs!$B$46</f>
        <v>6661.2173229531118</v>
      </c>
      <c r="D22" s="10">
        <f>B22*(1-Inputs!$B$46)*Inputs!$B$12</f>
        <v>127928.67868731452</v>
      </c>
      <c r="E22" s="12">
        <f>C22*(Inputs!$B$80+Inputs!$B$81)</f>
        <v>484004.0506857732</v>
      </c>
      <c r="F22" s="12">
        <f>D22*Inputs!$B$79</f>
        <v>2289923.3485029298</v>
      </c>
      <c r="G22" s="638">
        <f>SUM(E22:F22)*Inputs!$B$8</f>
        <v>1618124.3161934102</v>
      </c>
      <c r="H22" s="12">
        <f>G22/((1+Inputs!$B$3)^($A22-Inputs!$B$5))</f>
        <v>1007686.5002466267</v>
      </c>
      <c r="I22" s="12">
        <f>G22/((1+Inputs!$B$4)^($A22-Inputs!$B$5))</f>
        <v>1315683.1457951306</v>
      </c>
      <c r="K22" s="638">
        <f>E22*Inputs!$B$8</f>
        <v>282335.69623336772</v>
      </c>
      <c r="L22" s="12">
        <f>K22/((1+Inputs!$B$3)^($A22-Inputs!$B$5))</f>
        <v>175824.48195413608</v>
      </c>
      <c r="M22" s="12">
        <f>K22/((1+Inputs!$B$4)^($A22-Inputs!$B$5))</f>
        <v>229564.75795656699</v>
      </c>
    </row>
    <row r="23" spans="1:14">
      <c r="A23" s="110">
        <f>A22+1</f>
        <v>2028</v>
      </c>
      <c r="B23" s="10">
        <f>B22</f>
        <v>83265.216536913897</v>
      </c>
      <c r="C23" s="10">
        <f>B23*Inputs!$B$46</f>
        <v>6661.2173229531118</v>
      </c>
      <c r="D23" s="10">
        <f>B23*(1-Inputs!$B$46)*Inputs!$B$12</f>
        <v>127928.67868731452</v>
      </c>
      <c r="E23" s="12">
        <f>C23*(Inputs!$B$80+Inputs!$B$81)</f>
        <v>484004.0506857732</v>
      </c>
      <c r="F23" s="12">
        <f>D23*Inputs!$B$79</f>
        <v>2289923.3485029298</v>
      </c>
      <c r="G23" s="12">
        <f t="shared" ref="G23:G41" si="3">SUM(E23:F23)</f>
        <v>2773927.3991887029</v>
      </c>
      <c r="H23" s="12">
        <f>G23/((1+Inputs!$B$3)^($A23-Inputs!$B$5))</f>
        <v>1614451.001730243</v>
      </c>
      <c r="I23" s="12">
        <f>G23/((1+Inputs!$B$4)^($A23-Inputs!$B$5))</f>
        <v>2189763.9042360014</v>
      </c>
      <c r="K23" s="20">
        <f t="shared" ref="K23:K41" si="4">E23</f>
        <v>484004.0506857732</v>
      </c>
      <c r="L23" s="12">
        <f>K23/((1+Inputs!$B$3)^($A23-Inputs!$B$5))</f>
        <v>281694.76414547832</v>
      </c>
      <c r="M23" s="12">
        <f>K23/((1+Inputs!$B$4)^($A23-Inputs!$B$5))</f>
        <v>382077.26705669961</v>
      </c>
    </row>
    <row r="24" spans="1:14">
      <c r="A24" s="110">
        <f t="shared" ref="A24:A42" si="5">A23+1</f>
        <v>2029</v>
      </c>
      <c r="B24" s="10">
        <f t="shared" ref="B24:B41" si="6">B23</f>
        <v>83265.216536913897</v>
      </c>
      <c r="C24" s="10">
        <f>B24*Inputs!$B$46</f>
        <v>6661.2173229531118</v>
      </c>
      <c r="D24" s="10">
        <f>B24*(1-Inputs!$B$46)*Inputs!$B$12</f>
        <v>127928.67868731452</v>
      </c>
      <c r="E24" s="12">
        <f>C24*(Inputs!$B$80+Inputs!$B$81)</f>
        <v>484004.0506857732</v>
      </c>
      <c r="F24" s="12">
        <f>D24*Inputs!$B$79</f>
        <v>2289923.3485029298</v>
      </c>
      <c r="G24" s="12">
        <f t="shared" si="3"/>
        <v>2773927.3991887029</v>
      </c>
      <c r="H24" s="12">
        <f>G24/((1+Inputs!$B$3)^($A24-Inputs!$B$5))</f>
        <v>1508832.711897423</v>
      </c>
      <c r="I24" s="12">
        <f>G24/((1+Inputs!$B$4)^($A24-Inputs!$B$5))</f>
        <v>2125984.3730446612</v>
      </c>
      <c r="K24" s="20">
        <f t="shared" si="4"/>
        <v>484004.0506857732</v>
      </c>
      <c r="L24" s="12">
        <f>K24/((1+Inputs!$B$3)^($A24-Inputs!$B$5))</f>
        <v>263266.13471540029</v>
      </c>
      <c r="M24" s="12">
        <f>K24/((1+Inputs!$B$4)^($A24-Inputs!$B$5))</f>
        <v>370948.8029676695</v>
      </c>
    </row>
    <row r="25" spans="1:14">
      <c r="A25" s="110">
        <f t="shared" si="5"/>
        <v>2030</v>
      </c>
      <c r="B25" s="10">
        <f t="shared" si="6"/>
        <v>83265.216536913897</v>
      </c>
      <c r="C25" s="10">
        <f>B25*Inputs!$B$46</f>
        <v>6661.2173229531118</v>
      </c>
      <c r="D25" s="10">
        <f>B25*(1-Inputs!$B$46)*Inputs!$B$12</f>
        <v>127928.67868731452</v>
      </c>
      <c r="E25" s="12">
        <f>C25*(Inputs!$B$80+Inputs!$B$81)</f>
        <v>484004.0506857732</v>
      </c>
      <c r="F25" s="12">
        <f>D25*Inputs!$B$79</f>
        <v>2289923.3485029298</v>
      </c>
      <c r="G25" s="12">
        <f t="shared" si="3"/>
        <v>2773927.3991887029</v>
      </c>
      <c r="H25" s="12">
        <f>G25/((1+Inputs!$B$3)^($A25-Inputs!$B$5))</f>
        <v>1410124.0298106759</v>
      </c>
      <c r="I25" s="12">
        <f>G25/((1+Inputs!$B$4)^($A25-Inputs!$B$5))</f>
        <v>2064062.498101613</v>
      </c>
      <c r="K25" s="20">
        <f t="shared" si="4"/>
        <v>484004.0506857732</v>
      </c>
      <c r="L25" s="12">
        <f>K25/((1+Inputs!$B$3)^($A25-Inputs!$B$5))</f>
        <v>246043.11655644889</v>
      </c>
      <c r="M25" s="12">
        <f>K25/((1+Inputs!$B$4)^($A25-Inputs!$B$5))</f>
        <v>360144.46890064998</v>
      </c>
    </row>
    <row r="26" spans="1:14">
      <c r="A26" s="110">
        <f t="shared" si="5"/>
        <v>2031</v>
      </c>
      <c r="B26" s="10">
        <f t="shared" si="6"/>
        <v>83265.216536913897</v>
      </c>
      <c r="C26" s="10">
        <f>B26*Inputs!$B$46</f>
        <v>6661.2173229531118</v>
      </c>
      <c r="D26" s="10">
        <f>B26*(1-Inputs!$B$46)*Inputs!$B$12</f>
        <v>127928.67868731452</v>
      </c>
      <c r="E26" s="12">
        <f>C26*(Inputs!$B$80+Inputs!$B$81)</f>
        <v>484004.0506857732</v>
      </c>
      <c r="F26" s="12">
        <f>D26*Inputs!$B$79</f>
        <v>2289923.3485029298</v>
      </c>
      <c r="G26" s="12">
        <f t="shared" si="3"/>
        <v>2773927.3991887029</v>
      </c>
      <c r="H26" s="12">
        <f>G26/((1+Inputs!$B$3)^($A26-Inputs!$B$5))</f>
        <v>1317872.9250567062</v>
      </c>
      <c r="I26" s="12">
        <f>G26/((1+Inputs!$B$4)^($A26-Inputs!$B$5))</f>
        <v>2003944.1729141872</v>
      </c>
      <c r="K26" s="20">
        <f t="shared" si="4"/>
        <v>484004.0506857732</v>
      </c>
      <c r="L26" s="12">
        <f>K26/((1+Inputs!$B$3)^($A26-Inputs!$B$5))</f>
        <v>229946.83790322323</v>
      </c>
      <c r="M26" s="12">
        <f>K26/((1+Inputs!$B$4)^($A26-Inputs!$B$5))</f>
        <v>349654.82417538832</v>
      </c>
    </row>
    <row r="27" spans="1:14">
      <c r="A27" s="110">
        <f t="shared" si="5"/>
        <v>2032</v>
      </c>
      <c r="B27" s="10">
        <f t="shared" si="6"/>
        <v>83265.216536913897</v>
      </c>
      <c r="C27" s="10">
        <f>B27*Inputs!$B$46</f>
        <v>6661.2173229531118</v>
      </c>
      <c r="D27" s="10">
        <f>B27*(1-Inputs!$B$46)*Inputs!$B$12</f>
        <v>127928.67868731452</v>
      </c>
      <c r="E27" s="12">
        <f>C27*(Inputs!$B$80+Inputs!$B$81)</f>
        <v>484004.0506857732</v>
      </c>
      <c r="F27" s="12">
        <f>D27*Inputs!$B$79</f>
        <v>2289923.3485029298</v>
      </c>
      <c r="G27" s="12">
        <f t="shared" si="3"/>
        <v>2773927.3991887029</v>
      </c>
      <c r="H27" s="12">
        <f>G27/((1+Inputs!$B$3)^($A27-Inputs!$B$5))</f>
        <v>1231656.9393053332</v>
      </c>
      <c r="I27" s="12">
        <f>G27/((1+Inputs!$B$4)^($A27-Inputs!$B$5))</f>
        <v>1945576.8669069782</v>
      </c>
      <c r="K27" s="20">
        <f t="shared" si="4"/>
        <v>484004.0506857732</v>
      </c>
      <c r="L27" s="12">
        <f>K27/((1+Inputs!$B$3)^($A27-Inputs!$B$5))</f>
        <v>214903.5868254423</v>
      </c>
      <c r="M27" s="12">
        <f>K27/((1+Inputs!$B$4)^($A27-Inputs!$B$5))</f>
        <v>339470.70308290131</v>
      </c>
    </row>
    <row r="28" spans="1:14">
      <c r="A28" s="110">
        <f t="shared" si="5"/>
        <v>2033</v>
      </c>
      <c r="B28" s="10">
        <f t="shared" si="6"/>
        <v>83265.216536913897</v>
      </c>
      <c r="C28" s="10">
        <f>B28*Inputs!$B$46</f>
        <v>6661.2173229531118</v>
      </c>
      <c r="D28" s="10">
        <f>B28*(1-Inputs!$B$46)*Inputs!$B$12</f>
        <v>127928.67868731452</v>
      </c>
      <c r="E28" s="12">
        <f>C28*(Inputs!$B$80+Inputs!$B$81)</f>
        <v>484004.0506857732</v>
      </c>
      <c r="F28" s="12">
        <f>D28*Inputs!$B$79</f>
        <v>2289923.3485029298</v>
      </c>
      <c r="G28" s="12">
        <f t="shared" si="3"/>
        <v>2773927.3991887029</v>
      </c>
      <c r="H28" s="12">
        <f>G28/((1+Inputs!$B$3)^($A28-Inputs!$B$5))</f>
        <v>1151081.2516872273</v>
      </c>
      <c r="I28" s="12">
        <f>G28/((1+Inputs!$B$4)^($A28-Inputs!$B$5))</f>
        <v>1888909.5795213382</v>
      </c>
      <c r="K28" s="20">
        <f t="shared" si="4"/>
        <v>484004.0506857732</v>
      </c>
      <c r="L28" s="12">
        <f>K28/((1+Inputs!$B$3)^($A28-Inputs!$B$5))</f>
        <v>200844.47366863766</v>
      </c>
      <c r="M28" s="12">
        <f>K28/((1+Inputs!$B$4)^($A28-Inputs!$B$5))</f>
        <v>329583.20687660325</v>
      </c>
    </row>
    <row r="29" spans="1:14">
      <c r="A29" s="110">
        <f t="shared" si="5"/>
        <v>2034</v>
      </c>
      <c r="B29" s="10">
        <f t="shared" si="6"/>
        <v>83265.216536913897</v>
      </c>
      <c r="C29" s="10">
        <f>B29*Inputs!$B$46</f>
        <v>6661.2173229531118</v>
      </c>
      <c r="D29" s="10">
        <f>B29*(1-Inputs!$B$46)*Inputs!$B$12</f>
        <v>127928.67868731452</v>
      </c>
      <c r="E29" s="12">
        <f>C29*(Inputs!$B$80+Inputs!$B$81)</f>
        <v>484004.0506857732</v>
      </c>
      <c r="F29" s="12">
        <f>D29*Inputs!$B$79</f>
        <v>2289923.3485029298</v>
      </c>
      <c r="G29" s="12">
        <f t="shared" si="3"/>
        <v>2773927.3991887029</v>
      </c>
      <c r="H29" s="12">
        <f>G29/((1+Inputs!$B$3)^($A29-Inputs!$B$5))</f>
        <v>1075776.8707357263</v>
      </c>
      <c r="I29" s="12">
        <f>G29/((1+Inputs!$B$4)^($A29-Inputs!$B$5))</f>
        <v>1833892.7956517844</v>
      </c>
      <c r="K29" s="20">
        <f t="shared" si="4"/>
        <v>484004.0506857732</v>
      </c>
      <c r="L29" s="12">
        <f>K29/((1+Inputs!$B$3)^($A29-Inputs!$B$5))</f>
        <v>187705.11557816603</v>
      </c>
      <c r="M29" s="12">
        <f>K29/((1+Inputs!$B$4)^($A29-Inputs!$B$5))</f>
        <v>319983.69599670212</v>
      </c>
    </row>
    <row r="30" spans="1:14">
      <c r="A30" s="110">
        <f t="shared" si="5"/>
        <v>2035</v>
      </c>
      <c r="B30" s="10">
        <f t="shared" si="6"/>
        <v>83265.216536913897</v>
      </c>
      <c r="C30" s="10">
        <f>B30*Inputs!$B$46</f>
        <v>6661.2173229531118</v>
      </c>
      <c r="D30" s="10">
        <f>B30*(1-Inputs!$B$46)*Inputs!$B$12</f>
        <v>127928.67868731452</v>
      </c>
      <c r="E30" s="12">
        <f>C30*(Inputs!$B$80+Inputs!$B$81)</f>
        <v>484004.0506857732</v>
      </c>
      <c r="F30" s="12">
        <f>D30*Inputs!$B$79</f>
        <v>2289923.3485029298</v>
      </c>
      <c r="G30" s="12">
        <f t="shared" si="3"/>
        <v>2773927.3991887029</v>
      </c>
      <c r="H30" s="12">
        <f>G30/((1+Inputs!$B$3)^($A30-Inputs!$B$5))</f>
        <v>1005398.9446128283</v>
      </c>
      <c r="I30" s="12">
        <f>G30/((1+Inputs!$B$4)^($A30-Inputs!$B$5))</f>
        <v>1780478.4423803731</v>
      </c>
      <c r="K30" s="20">
        <f t="shared" si="4"/>
        <v>484004.0506857732</v>
      </c>
      <c r="L30" s="12">
        <f>K30/((1+Inputs!$B$3)^($A30-Inputs!$B$5))</f>
        <v>175425.34166183739</v>
      </c>
      <c r="M30" s="12">
        <f>K30/((1+Inputs!$B$4)^($A30-Inputs!$B$5))</f>
        <v>310663.78252107004</v>
      </c>
    </row>
    <row r="31" spans="1:14">
      <c r="A31" s="110">
        <f t="shared" si="5"/>
        <v>2036</v>
      </c>
      <c r="B31" s="10">
        <f t="shared" si="6"/>
        <v>83265.216536913897</v>
      </c>
      <c r="C31" s="10">
        <f>B31*Inputs!$B$46</f>
        <v>6661.2173229531118</v>
      </c>
      <c r="D31" s="10">
        <f>B31*(1-Inputs!$B$46)*Inputs!$B$12</f>
        <v>127928.67868731452</v>
      </c>
      <c r="E31" s="12">
        <f>C31*(Inputs!$B$80+Inputs!$B$81)</f>
        <v>484004.0506857732</v>
      </c>
      <c r="F31" s="12">
        <f>D31*Inputs!$B$79</f>
        <v>2289923.3485029298</v>
      </c>
      <c r="G31" s="12">
        <f t="shared" si="3"/>
        <v>2773927.3991887029</v>
      </c>
      <c r="H31" s="12">
        <f>G31/((1+Inputs!$B$3)^($A31-Inputs!$B$5))</f>
        <v>939625.18188114802</v>
      </c>
      <c r="I31" s="12">
        <f>G31/((1+Inputs!$B$4)^($A31-Inputs!$B$5))</f>
        <v>1728619.8469712364</v>
      </c>
      <c r="K31" s="20">
        <f t="shared" si="4"/>
        <v>484004.0506857732</v>
      </c>
      <c r="L31" s="12">
        <f>K31/((1+Inputs!$B$3)^($A31-Inputs!$B$5))</f>
        <v>163948.91744096956</v>
      </c>
      <c r="M31" s="12">
        <f>K31/((1+Inputs!$B$4)^($A31-Inputs!$B$5))</f>
        <v>301615.3228359904</v>
      </c>
    </row>
    <row r="32" spans="1:14">
      <c r="A32" s="110">
        <f t="shared" si="5"/>
        <v>2037</v>
      </c>
      <c r="B32" s="10">
        <f t="shared" si="6"/>
        <v>83265.216536913897</v>
      </c>
      <c r="C32" s="10">
        <f>B32*Inputs!$B$46</f>
        <v>6661.2173229531118</v>
      </c>
      <c r="D32" s="10">
        <f>B32*(1-Inputs!$B$46)*Inputs!$B$12</f>
        <v>127928.67868731452</v>
      </c>
      <c r="E32" s="12">
        <f>C32*(Inputs!$B$80+Inputs!$B$81)</f>
        <v>484004.0506857732</v>
      </c>
      <c r="F32" s="12">
        <f>D32*Inputs!$B$79</f>
        <v>2289923.3485029298</v>
      </c>
      <c r="G32" s="12">
        <f t="shared" si="3"/>
        <v>2773927.3991887029</v>
      </c>
      <c r="H32" s="12">
        <f>G32/((1+Inputs!$B$3)^($A32-Inputs!$B$5))</f>
        <v>878154.37558985804</v>
      </c>
      <c r="I32" s="12">
        <f>G32/((1+Inputs!$B$4)^($A32-Inputs!$B$5))</f>
        <v>1678271.696088579</v>
      </c>
      <c r="K32" s="20">
        <f t="shared" si="4"/>
        <v>484004.0506857732</v>
      </c>
      <c r="L32" s="12">
        <f>K32/((1+Inputs!$B$3)^($A32-Inputs!$B$5))</f>
        <v>153223.28732800894</v>
      </c>
      <c r="M32" s="12">
        <f>K32/((1+Inputs!$B$4)^($A32-Inputs!$B$5))</f>
        <v>292830.41052037902</v>
      </c>
    </row>
    <row r="33" spans="1:13">
      <c r="A33" s="110">
        <f t="shared" si="5"/>
        <v>2038</v>
      </c>
      <c r="B33" s="10">
        <f t="shared" si="6"/>
        <v>83265.216536913897</v>
      </c>
      <c r="C33" s="10">
        <f>B33*Inputs!$B$46</f>
        <v>6661.2173229531118</v>
      </c>
      <c r="D33" s="10">
        <f>B33*(1-Inputs!$B$46)*Inputs!$B$12</f>
        <v>127928.67868731452</v>
      </c>
      <c r="E33" s="12">
        <f>C33*(Inputs!$B$80+Inputs!$B$81)</f>
        <v>484004.0506857732</v>
      </c>
      <c r="F33" s="12">
        <f>D33*Inputs!$B$79</f>
        <v>2289923.3485029298</v>
      </c>
      <c r="G33" s="12">
        <f t="shared" si="3"/>
        <v>2773927.3991887029</v>
      </c>
      <c r="H33" s="12">
        <f>G33/((1+Inputs!$B$3)^($A33-Inputs!$B$5))</f>
        <v>820705.0239157551</v>
      </c>
      <c r="I33" s="12">
        <f>G33/((1+Inputs!$B$4)^($A33-Inputs!$B$5))</f>
        <v>1629389.9962025038</v>
      </c>
      <c r="K33" s="20">
        <f t="shared" si="4"/>
        <v>484004.0506857732</v>
      </c>
      <c r="L33" s="12">
        <f>K33/((1+Inputs!$B$3)^($A33-Inputs!$B$5))</f>
        <v>143199.3339514102</v>
      </c>
      <c r="M33" s="12">
        <f>K33/((1+Inputs!$B$4)^($A33-Inputs!$B$5))</f>
        <v>284301.36943726119</v>
      </c>
    </row>
    <row r="34" spans="1:13">
      <c r="A34" s="110">
        <f t="shared" si="5"/>
        <v>2039</v>
      </c>
      <c r="B34" s="10">
        <f t="shared" si="6"/>
        <v>83265.216536913897</v>
      </c>
      <c r="C34" s="10">
        <f>B34*Inputs!$B$46</f>
        <v>6661.2173229531118</v>
      </c>
      <c r="D34" s="10">
        <f>B34*(1-Inputs!$B$46)*Inputs!$B$12</f>
        <v>127928.67868731452</v>
      </c>
      <c r="E34" s="12">
        <f>C34*(Inputs!$B$80+Inputs!$B$81)</f>
        <v>484004.0506857732</v>
      </c>
      <c r="F34" s="12">
        <f>D34*Inputs!$B$79</f>
        <v>2289923.3485029298</v>
      </c>
      <c r="G34" s="12">
        <f t="shared" si="3"/>
        <v>2773927.3991887029</v>
      </c>
      <c r="H34" s="12">
        <f>G34/((1+Inputs!$B$3)^($A34-Inputs!$B$5))</f>
        <v>767014.04104276176</v>
      </c>
      <c r="I34" s="12">
        <f>G34/((1+Inputs!$B$4)^($A34-Inputs!$B$5))</f>
        <v>1581932.035148062</v>
      </c>
      <c r="K34" s="20">
        <f t="shared" si="4"/>
        <v>484004.0506857732</v>
      </c>
      <c r="L34" s="12">
        <f>K34/((1+Inputs!$B$3)^($A34-Inputs!$B$5))</f>
        <v>133831.15322561702</v>
      </c>
      <c r="M34" s="12">
        <f>K34/((1+Inputs!$B$4)^($A34-Inputs!$B$5))</f>
        <v>276020.74702646717</v>
      </c>
    </row>
    <row r="35" spans="1:13">
      <c r="A35" s="110">
        <f t="shared" si="5"/>
        <v>2040</v>
      </c>
      <c r="B35" s="10">
        <f t="shared" si="6"/>
        <v>83265.216536913897</v>
      </c>
      <c r="C35" s="10">
        <f>B35*Inputs!$B$46</f>
        <v>6661.2173229531118</v>
      </c>
      <c r="D35" s="10">
        <f>B35*(1-Inputs!$B$46)*Inputs!$B$12</f>
        <v>127928.67868731452</v>
      </c>
      <c r="E35" s="12">
        <f>C35*(Inputs!$B$80+Inputs!$B$81)</f>
        <v>484004.0506857732</v>
      </c>
      <c r="F35" s="12">
        <f>D35*Inputs!$B$79</f>
        <v>2289923.3485029298</v>
      </c>
      <c r="G35" s="12">
        <f t="shared" si="3"/>
        <v>2773927.3991887029</v>
      </c>
      <c r="H35" s="12">
        <f>G35/((1+Inputs!$B$3)^($A35-Inputs!$B$5))</f>
        <v>716835.5523764129</v>
      </c>
      <c r="I35" s="12">
        <f>G35/((1+Inputs!$B$4)^($A35-Inputs!$B$5))</f>
        <v>1535856.3448039438</v>
      </c>
      <c r="K35" s="20">
        <f t="shared" si="4"/>
        <v>484004.0506857732</v>
      </c>
      <c r="L35" s="12">
        <f>K35/((1+Inputs!$B$3)^($A35-Inputs!$B$5))</f>
        <v>125075.84413609067</v>
      </c>
      <c r="M35" s="12">
        <f>K35/((1+Inputs!$B$4)^($A35-Inputs!$B$5))</f>
        <v>267981.30779268657</v>
      </c>
    </row>
    <row r="36" spans="1:13">
      <c r="A36" s="110">
        <f t="shared" si="5"/>
        <v>2041</v>
      </c>
      <c r="B36" s="10">
        <f t="shared" si="6"/>
        <v>83265.216536913897</v>
      </c>
      <c r="C36" s="10">
        <f>B36*Inputs!$B$46</f>
        <v>6661.2173229531118</v>
      </c>
      <c r="D36" s="10">
        <f>B36*(1-Inputs!$B$46)*Inputs!$B$12</f>
        <v>127928.67868731452</v>
      </c>
      <c r="E36" s="12">
        <f>C36*(Inputs!$B$80+Inputs!$B$81)</f>
        <v>484004.0506857732</v>
      </c>
      <c r="F36" s="12">
        <f>D36*Inputs!$B$79</f>
        <v>2289923.3485029298</v>
      </c>
      <c r="G36" s="12">
        <f t="shared" si="3"/>
        <v>2773927.3991887029</v>
      </c>
      <c r="H36" s="12">
        <f>G36/((1+Inputs!$B$3)^($A36-Inputs!$B$5))</f>
        <v>669939.76857608673</v>
      </c>
      <c r="I36" s="12">
        <f>G36/((1+Inputs!$B$4)^($A36-Inputs!$B$5))</f>
        <v>1491122.664858198</v>
      </c>
      <c r="K36" s="20">
        <f t="shared" si="4"/>
        <v>484004.0506857732</v>
      </c>
      <c r="L36" s="12">
        <f>K36/((1+Inputs!$B$3)^($A36-Inputs!$B$5))</f>
        <v>116893.31227672024</v>
      </c>
      <c r="M36" s="12">
        <f>K36/((1+Inputs!$B$4)^($A36-Inputs!$B$5))</f>
        <v>260176.02698319088</v>
      </c>
    </row>
    <row r="37" spans="1:13">
      <c r="A37" s="110">
        <f t="shared" si="5"/>
        <v>2042</v>
      </c>
      <c r="B37" s="10">
        <f t="shared" si="6"/>
        <v>83265.216536913897</v>
      </c>
      <c r="C37" s="10">
        <f>B37*Inputs!$B$46</f>
        <v>6661.2173229531118</v>
      </c>
      <c r="D37" s="10">
        <f>B37*(1-Inputs!$B$46)*Inputs!$B$12</f>
        <v>127928.67868731452</v>
      </c>
      <c r="E37" s="12">
        <f>C37*(Inputs!$B$80+Inputs!$B$81)</f>
        <v>484004.0506857732</v>
      </c>
      <c r="F37" s="12">
        <f>D37*Inputs!$B$79</f>
        <v>2289923.3485029298</v>
      </c>
      <c r="G37" s="12">
        <f t="shared" si="3"/>
        <v>2773927.3991887029</v>
      </c>
      <c r="H37" s="12">
        <f>G37/((1+Inputs!$B$3)^($A37-Inputs!$B$5))</f>
        <v>626111.93324867927</v>
      </c>
      <c r="I37" s="12">
        <f>G37/((1+Inputs!$B$4)^($A37-Inputs!$B$5))</f>
        <v>1447691.9076293183</v>
      </c>
      <c r="K37" s="20">
        <f t="shared" si="4"/>
        <v>484004.0506857732</v>
      </c>
      <c r="L37" s="12">
        <f>K37/((1+Inputs!$B$3)^($A37-Inputs!$B$5))</f>
        <v>109246.08623992547</v>
      </c>
      <c r="M37" s="12">
        <f>K37/((1+Inputs!$B$4)^($A37-Inputs!$B$5))</f>
        <v>252598.08444969985</v>
      </c>
    </row>
    <row r="38" spans="1:13">
      <c r="A38" s="110">
        <f t="shared" si="5"/>
        <v>2043</v>
      </c>
      <c r="B38" s="10">
        <f t="shared" si="6"/>
        <v>83265.216536913897</v>
      </c>
      <c r="C38" s="10">
        <f>B38*Inputs!$B$46</f>
        <v>6661.2173229531118</v>
      </c>
      <c r="D38" s="10">
        <f>B38*(1-Inputs!$B$46)*Inputs!$B$12</f>
        <v>127928.67868731452</v>
      </c>
      <c r="E38" s="12">
        <f>C38*(Inputs!$B$80+Inputs!$B$81)</f>
        <v>484004.0506857732</v>
      </c>
      <c r="F38" s="12">
        <f>D38*Inputs!$B$79</f>
        <v>2289923.3485029298</v>
      </c>
      <c r="G38" s="12">
        <f t="shared" si="3"/>
        <v>2773927.3991887029</v>
      </c>
      <c r="H38" s="12">
        <f>G38/((1+Inputs!$B$3)^($A38-Inputs!$B$5))</f>
        <v>585151.33948474692</v>
      </c>
      <c r="I38" s="12">
        <f>G38/((1+Inputs!$B$4)^($A38-Inputs!$B$5))</f>
        <v>1405526.1239119594</v>
      </c>
      <c r="K38" s="20">
        <f t="shared" si="4"/>
        <v>484004.0506857732</v>
      </c>
      <c r="L38" s="12">
        <f>K38/((1+Inputs!$B$3)^($A38-Inputs!$B$5))</f>
        <v>102099.14601862193</v>
      </c>
      <c r="M38" s="12">
        <f>K38/((1+Inputs!$B$4)^($A38-Inputs!$B$5))</f>
        <v>245240.85868902897</v>
      </c>
    </row>
    <row r="39" spans="1:13">
      <c r="A39" s="110">
        <f t="shared" si="5"/>
        <v>2044</v>
      </c>
      <c r="B39" s="10">
        <f t="shared" si="6"/>
        <v>83265.216536913897</v>
      </c>
      <c r="C39" s="10">
        <f>B39*Inputs!$B$46</f>
        <v>6661.2173229531118</v>
      </c>
      <c r="D39" s="10">
        <f>B39*(1-Inputs!$B$46)*Inputs!$B$12</f>
        <v>127928.67868731452</v>
      </c>
      <c r="E39" s="12">
        <f>C39*(Inputs!$B$80+Inputs!$B$81)</f>
        <v>484004.0506857732</v>
      </c>
      <c r="F39" s="12">
        <f>D39*Inputs!$B$79</f>
        <v>2289923.3485029298</v>
      </c>
      <c r="G39" s="12">
        <f t="shared" si="3"/>
        <v>2773927.3991887029</v>
      </c>
      <c r="H39" s="12">
        <f>G39/((1+Inputs!$B$3)^($A39-Inputs!$B$5))</f>
        <v>546870.41073340829</v>
      </c>
      <c r="I39" s="12">
        <f>G39/((1+Inputs!$B$4)^($A39-Inputs!$B$5))</f>
        <v>1364588.4698174365</v>
      </c>
      <c r="K39" s="20">
        <f t="shared" si="4"/>
        <v>484004.0506857732</v>
      </c>
      <c r="L39" s="12">
        <f>K39/((1+Inputs!$B$3)^($A39-Inputs!$B$5))</f>
        <v>95419.762634226092</v>
      </c>
      <c r="M39" s="12">
        <f>K39/((1+Inputs!$B$4)^($A39-Inputs!$B$5))</f>
        <v>238097.92105730972</v>
      </c>
    </row>
    <row r="40" spans="1:13">
      <c r="A40" s="110">
        <f t="shared" si="5"/>
        <v>2045</v>
      </c>
      <c r="B40" s="10">
        <f t="shared" si="6"/>
        <v>83265.216536913897</v>
      </c>
      <c r="C40" s="10">
        <f>B40*Inputs!$B$46</f>
        <v>6661.2173229531118</v>
      </c>
      <c r="D40" s="10">
        <f>B40*(1-Inputs!$B$46)*Inputs!$B$12</f>
        <v>127928.67868731452</v>
      </c>
      <c r="E40" s="12">
        <f>C40*(Inputs!$B$80+Inputs!$B$81)</f>
        <v>484004.0506857732</v>
      </c>
      <c r="F40" s="12">
        <f>D40*Inputs!$B$79</f>
        <v>2289923.3485029298</v>
      </c>
      <c r="G40" s="12">
        <f t="shared" si="3"/>
        <v>2773927.3991887029</v>
      </c>
      <c r="H40" s="12">
        <f>G40/((1+Inputs!$B$3)^($A40-Inputs!$B$5))</f>
        <v>511093.84180692368</v>
      </c>
      <c r="I40" s="12">
        <f>G40/((1+Inputs!$B$4)^($A40-Inputs!$B$5))</f>
        <v>1324843.1745800355</v>
      </c>
      <c r="K40" s="20">
        <f t="shared" si="4"/>
        <v>484004.0506857732</v>
      </c>
      <c r="L40" s="12">
        <f>K40/((1+Inputs!$B$3)^($A40-Inputs!$B$5))</f>
        <v>89177.348256286074</v>
      </c>
      <c r="M40" s="12">
        <f>K40/((1+Inputs!$B$4)^($A40-Inputs!$B$5))</f>
        <v>231163.03015272788</v>
      </c>
    </row>
    <row r="41" spans="1:13">
      <c r="A41" s="110">
        <f t="shared" si="5"/>
        <v>2046</v>
      </c>
      <c r="B41" s="10">
        <f t="shared" si="6"/>
        <v>83265.216536913897</v>
      </c>
      <c r="C41" s="10">
        <f>B41*Inputs!$B$46</f>
        <v>6661.2173229531118</v>
      </c>
      <c r="D41" s="10">
        <f>B41*(1-Inputs!$B$46)*Inputs!$B$12</f>
        <v>127928.67868731452</v>
      </c>
      <c r="E41" s="12">
        <f>C41*(Inputs!$B$80+Inputs!$B$81)</f>
        <v>484004.0506857732</v>
      </c>
      <c r="F41" s="12">
        <f>D41*Inputs!$B$79</f>
        <v>2289923.3485029298</v>
      </c>
      <c r="G41" s="12">
        <f t="shared" si="3"/>
        <v>2773927.3991887029</v>
      </c>
      <c r="H41" s="12">
        <f>G41/((1+Inputs!$B$3)^($A41-Inputs!$B$5))</f>
        <v>477657.79608123709</v>
      </c>
      <c r="I41" s="12">
        <f>G41/((1+Inputs!$B$4)^($A41-Inputs!$B$5))</f>
        <v>1286255.5093010052</v>
      </c>
      <c r="K41" s="20">
        <f t="shared" si="4"/>
        <v>484004.0506857732</v>
      </c>
      <c r="L41" s="12">
        <f>K41/((1+Inputs!$B$3)^($A41-Inputs!$B$5))</f>
        <v>83343.31612737017</v>
      </c>
      <c r="M41" s="12">
        <f>K41/((1+Inputs!$B$4)^($A41-Inputs!$B$5))</f>
        <v>224430.12636187169</v>
      </c>
    </row>
    <row r="42" spans="1:13" s="416" customFormat="1">
      <c r="A42" s="110">
        <f t="shared" si="5"/>
        <v>2047</v>
      </c>
      <c r="B42" s="10">
        <f t="shared" ref="B42" si="7">B41</f>
        <v>83265.216536913897</v>
      </c>
      <c r="C42" s="10">
        <f>B42*Inputs!$B$46</f>
        <v>6661.2173229531118</v>
      </c>
      <c r="D42" s="10">
        <f>B42*(1-Inputs!$B$46)*Inputs!$B$12</f>
        <v>127928.67868731452</v>
      </c>
      <c r="E42" s="12">
        <f>C42*(Inputs!$B$80+Inputs!$B$81)</f>
        <v>484004.0506857732</v>
      </c>
      <c r="F42" s="12">
        <f>D42*Inputs!$B$79</f>
        <v>2289923.3485029298</v>
      </c>
      <c r="G42" s="638">
        <f>SUM(E42:F42)*(1-Inputs!$B$8)</f>
        <v>1155803.0829952927</v>
      </c>
      <c r="H42" s="12">
        <f>G42/((1+Inputs!$B$3)^($A42-Inputs!$B$5))</f>
        <v>186003.81467337886</v>
      </c>
      <c r="I42" s="12">
        <f>G42/((1+Inputs!$B$4)^($A42-Inputs!$B$5))</f>
        <v>520329.89858454902</v>
      </c>
      <c r="K42" s="638">
        <f>E42*(1-Inputs!$B$8)</f>
        <v>201668.35445240547</v>
      </c>
      <c r="L42" s="12">
        <f>K42/((1+Inputs!$B$3)^($A42-Inputs!$B$5))</f>
        <v>32454.562354894912</v>
      </c>
      <c r="M42" s="12">
        <f>K42/((1+Inputs!$B$4)^($A42-Inputs!$B$5))</f>
        <v>90788.886068718319</v>
      </c>
    </row>
    <row r="43" spans="1:13">
      <c r="A43" s="34" t="s">
        <v>4</v>
      </c>
      <c r="B43" s="383"/>
      <c r="C43" s="383"/>
      <c r="D43" s="383"/>
      <c r="E43" s="164">
        <f>SUM(E22:E42)</f>
        <v>10164085.064401239</v>
      </c>
      <c r="F43" s="164">
        <f t="shared" ref="F43:I43" si="8">SUM(F22:F42)</f>
        <v>48088390.318561509</v>
      </c>
      <c r="G43" s="164">
        <f t="shared" si="8"/>
        <v>55478547.983774088</v>
      </c>
      <c r="H43" s="164">
        <f t="shared" si="8"/>
        <v>19048044.254493188</v>
      </c>
      <c r="I43" s="164">
        <f t="shared" si="8"/>
        <v>34142723.446448892</v>
      </c>
      <c r="K43" s="164">
        <f t="shared" ref="K43" si="9">SUM(K22:K42)</f>
        <v>9680081.0137154646</v>
      </c>
      <c r="L43" s="164">
        <f t="shared" ref="L43" si="10">SUM(L22:L42)</f>
        <v>3323565.9229989117</v>
      </c>
      <c r="M43" s="164">
        <f t="shared" ref="M43" si="11">SUM(M22:M42)</f>
        <v>5957335.6009095842</v>
      </c>
    </row>
    <row r="45" spans="1:13" s="416" customFormat="1">
      <c r="A45" s="416" t="s">
        <v>291</v>
      </c>
      <c r="D45" s="300"/>
      <c r="L45" s="300"/>
      <c r="M45" s="300"/>
    </row>
    <row r="46" spans="1:13" s="416" customFormat="1" ht="90">
      <c r="A46" s="422" t="s">
        <v>1</v>
      </c>
      <c r="B46" s="583" t="s">
        <v>976</v>
      </c>
      <c r="C46" s="583" t="s">
        <v>751</v>
      </c>
      <c r="D46" s="583" t="s">
        <v>752</v>
      </c>
      <c r="E46" s="583" t="s">
        <v>817</v>
      </c>
      <c r="F46" s="583" t="s">
        <v>753</v>
      </c>
      <c r="G46" s="583" t="s">
        <v>754</v>
      </c>
      <c r="H46" s="582" t="s">
        <v>759</v>
      </c>
      <c r="I46" s="582" t="s">
        <v>760</v>
      </c>
      <c r="K46" s="388" t="s">
        <v>762</v>
      </c>
      <c r="L46" s="388" t="s">
        <v>13</v>
      </c>
      <c r="M46" s="388" t="s">
        <v>14</v>
      </c>
    </row>
    <row r="47" spans="1:13" s="416" customFormat="1">
      <c r="A47" s="110">
        <f>Inputs!B9</f>
        <v>2024</v>
      </c>
      <c r="B47" s="10">
        <f>SUM(M16:M17)</f>
        <v>5643.4880943293256</v>
      </c>
      <c r="C47" s="10">
        <f>B47*Inputs!$B$46</f>
        <v>451.47904754634607</v>
      </c>
      <c r="D47" s="10">
        <f>B47*(1-Inputs!$B$46)*Inputs!$B$12</f>
        <v>8670.6551081275757</v>
      </c>
      <c r="E47" s="12">
        <f>C47*(Inputs!$B$80+Inputs!$B$81)</f>
        <v>32804.467594717513</v>
      </c>
      <c r="F47" s="12">
        <f>D47*Inputs!$B$79</f>
        <v>155204.72643548358</v>
      </c>
      <c r="G47" s="638">
        <f>SUM(E47:F47)*Inputs!B10</f>
        <v>62669.731343400359</v>
      </c>
      <c r="H47" s="12">
        <f>G47/((1+Inputs!$B$3)^($A47-Inputs!$B$5))</f>
        <v>47810.437982184856</v>
      </c>
      <c r="I47" s="12">
        <f>G47/((1+Inputs!$B$4)^($A47-Inputs!$B$5))</f>
        <v>55681.244594967109</v>
      </c>
      <c r="K47" s="638">
        <f>E47*Inputs!B10</f>
        <v>10934.822531572503</v>
      </c>
      <c r="L47" s="12">
        <f>K47/((1+Inputs!$B$3)^($A47-Inputs!$B$5))</f>
        <v>8342.1237539260619</v>
      </c>
      <c r="M47" s="12">
        <f>K47/((1+Inputs!$B$4)^($A47-Inputs!$B$5))</f>
        <v>9715.4481905588145</v>
      </c>
    </row>
    <row r="48" spans="1:13" s="416" customFormat="1">
      <c r="A48" s="110">
        <f>A47+1</f>
        <v>2025</v>
      </c>
      <c r="B48" s="10">
        <f>B47</f>
        <v>5643.4880943293256</v>
      </c>
      <c r="C48" s="10">
        <f>B48*Inputs!$B$46</f>
        <v>451.47904754634607</v>
      </c>
      <c r="D48" s="10">
        <f>B48*(1-Inputs!$B$46)*Inputs!$B$12</f>
        <v>8670.6551081275757</v>
      </c>
      <c r="E48" s="12">
        <f>C48*(Inputs!$B$80+Inputs!$B$81)</f>
        <v>32804.467594717513</v>
      </c>
      <c r="F48" s="12">
        <f>D48*Inputs!$B$79</f>
        <v>155204.72643548358</v>
      </c>
      <c r="G48" s="12">
        <f t="shared" ref="G48:G66" si="12">SUM(E48:F48)</f>
        <v>188009.19403020109</v>
      </c>
      <c r="H48" s="12">
        <f>G48/((1+Inputs!$B$3)^($A48-Inputs!$B$5))</f>
        <v>134047.95695939678</v>
      </c>
      <c r="I48" s="12">
        <f>G48/((1+Inputs!$B$4)^($A48-Inputs!$B$5))</f>
        <v>162178.38231543821</v>
      </c>
      <c r="K48" s="20">
        <f t="shared" ref="K48:K66" si="13">E48</f>
        <v>32804.467594717513</v>
      </c>
      <c r="L48" s="12">
        <f>K48/((1+Inputs!$B$3)^($A48-Inputs!$B$5))</f>
        <v>23389.132020353441</v>
      </c>
      <c r="M48" s="12">
        <f>K48/((1+Inputs!$B$4)^($A48-Inputs!$B$5))</f>
        <v>28297.421914248978</v>
      </c>
    </row>
    <row r="49" spans="1:13" s="416" customFormat="1">
      <c r="A49" s="110">
        <f t="shared" ref="A49:A67" si="14">A48+1</f>
        <v>2026</v>
      </c>
      <c r="B49" s="10">
        <f t="shared" ref="B49:B66" si="15">B48</f>
        <v>5643.4880943293256</v>
      </c>
      <c r="C49" s="10">
        <f>B49*Inputs!$B$46</f>
        <v>451.47904754634607</v>
      </c>
      <c r="D49" s="10">
        <f>B49*(1-Inputs!$B$46)*Inputs!$B$12</f>
        <v>8670.6551081275757</v>
      </c>
      <c r="E49" s="12">
        <f>C49*(Inputs!$B$80+Inputs!$B$81)</f>
        <v>32804.467594717513</v>
      </c>
      <c r="F49" s="12">
        <f>D49*Inputs!$B$79</f>
        <v>155204.72643548358</v>
      </c>
      <c r="G49" s="12">
        <f t="shared" si="12"/>
        <v>188009.19403020109</v>
      </c>
      <c r="H49" s="12">
        <f>G49/((1+Inputs!$B$3)^($A49-Inputs!$B$5))</f>
        <v>125278.46444803438</v>
      </c>
      <c r="I49" s="12">
        <f>G49/((1+Inputs!$B$4)^($A49-Inputs!$B$5))</f>
        <v>157454.74011207593</v>
      </c>
      <c r="K49" s="20">
        <f t="shared" si="13"/>
        <v>32804.467594717513</v>
      </c>
      <c r="L49" s="12">
        <f>K49/((1+Inputs!$B$3)^($A49-Inputs!$B$5))</f>
        <v>21859.001888180788</v>
      </c>
      <c r="M49" s="12">
        <f>K49/((1+Inputs!$B$4)^($A49-Inputs!$B$5))</f>
        <v>27473.225159465026</v>
      </c>
    </row>
    <row r="50" spans="1:13" s="416" customFormat="1">
      <c r="A50" s="110">
        <f t="shared" si="14"/>
        <v>2027</v>
      </c>
      <c r="B50" s="10">
        <f t="shared" si="15"/>
        <v>5643.4880943293256</v>
      </c>
      <c r="C50" s="10">
        <f>B50*Inputs!$B$46</f>
        <v>451.47904754634607</v>
      </c>
      <c r="D50" s="10">
        <f>B50*(1-Inputs!$B$46)*Inputs!$B$12</f>
        <v>8670.6551081275757</v>
      </c>
      <c r="E50" s="12">
        <f>C50*(Inputs!$B$80+Inputs!$B$81)</f>
        <v>32804.467594717513</v>
      </c>
      <c r="F50" s="12">
        <f>D50*Inputs!$B$79</f>
        <v>155204.72643548358</v>
      </c>
      <c r="G50" s="12">
        <f t="shared" si="12"/>
        <v>188009.19403020109</v>
      </c>
      <c r="H50" s="12">
        <f>G50/((1+Inputs!$B$3)^($A50-Inputs!$B$5))</f>
        <v>117082.67705423773</v>
      </c>
      <c r="I50" s="12">
        <f>G50/((1+Inputs!$B$4)^($A50-Inputs!$B$5))</f>
        <v>152868.67972046204</v>
      </c>
      <c r="K50" s="20">
        <f t="shared" si="13"/>
        <v>32804.467594717513</v>
      </c>
      <c r="L50" s="12">
        <f>K50/((1+Inputs!$B$3)^($A50-Inputs!$B$5))</f>
        <v>20428.973727271765</v>
      </c>
      <c r="M50" s="12">
        <f>K50/((1+Inputs!$B$4)^($A50-Inputs!$B$5))</f>
        <v>26673.034135402937</v>
      </c>
    </row>
    <row r="51" spans="1:13" s="416" customFormat="1">
      <c r="A51" s="110">
        <f t="shared" si="14"/>
        <v>2028</v>
      </c>
      <c r="B51" s="10">
        <f t="shared" si="15"/>
        <v>5643.4880943293256</v>
      </c>
      <c r="C51" s="10">
        <f>B51*Inputs!$B$46</f>
        <v>451.47904754634607</v>
      </c>
      <c r="D51" s="10">
        <f>B51*(1-Inputs!$B$46)*Inputs!$B$12</f>
        <v>8670.6551081275757</v>
      </c>
      <c r="E51" s="12">
        <f>C51*(Inputs!$B$80+Inputs!$B$81)</f>
        <v>32804.467594717513</v>
      </c>
      <c r="F51" s="12">
        <f>D51*Inputs!$B$79</f>
        <v>155204.72643548358</v>
      </c>
      <c r="G51" s="12">
        <f t="shared" si="12"/>
        <v>188009.19403020109</v>
      </c>
      <c r="H51" s="12">
        <f>G51/((1+Inputs!$B$3)^($A51-Inputs!$B$5))</f>
        <v>109423.06266751191</v>
      </c>
      <c r="I51" s="12">
        <f>G51/((1+Inputs!$B$4)^($A51-Inputs!$B$5))</f>
        <v>148416.19390336124</v>
      </c>
      <c r="K51" s="20">
        <f t="shared" si="13"/>
        <v>32804.467594717513</v>
      </c>
      <c r="L51" s="12">
        <f>K51/((1+Inputs!$B$3)^($A51-Inputs!$B$5))</f>
        <v>19092.498810534358</v>
      </c>
      <c r="M51" s="12">
        <f>K51/((1+Inputs!$B$4)^($A51-Inputs!$B$5))</f>
        <v>25896.14964602227</v>
      </c>
    </row>
    <row r="52" spans="1:13" s="416" customFormat="1">
      <c r="A52" s="110">
        <f t="shared" si="14"/>
        <v>2029</v>
      </c>
      <c r="B52" s="10">
        <f t="shared" si="15"/>
        <v>5643.4880943293256</v>
      </c>
      <c r="C52" s="10">
        <f>B52*Inputs!$B$46</f>
        <v>451.47904754634607</v>
      </c>
      <c r="D52" s="10">
        <f>B52*(1-Inputs!$B$46)*Inputs!$B$12</f>
        <v>8670.6551081275757</v>
      </c>
      <c r="E52" s="12">
        <f>C52*(Inputs!$B$80+Inputs!$B$81)</f>
        <v>32804.467594717513</v>
      </c>
      <c r="F52" s="12">
        <f>D52*Inputs!$B$79</f>
        <v>155204.72643548358</v>
      </c>
      <c r="G52" s="12">
        <f t="shared" si="12"/>
        <v>188009.19403020109</v>
      </c>
      <c r="H52" s="12">
        <f>G52/((1+Inputs!$B$3)^($A52-Inputs!$B$5))</f>
        <v>102264.54454907654</v>
      </c>
      <c r="I52" s="12">
        <f>G52/((1+Inputs!$B$4)^($A52-Inputs!$B$5))</f>
        <v>144093.39213918566</v>
      </c>
      <c r="K52" s="20">
        <f t="shared" si="13"/>
        <v>32804.467594717513</v>
      </c>
      <c r="L52" s="12">
        <f>K52/((1+Inputs!$B$3)^($A52-Inputs!$B$5))</f>
        <v>17843.4568322751</v>
      </c>
      <c r="M52" s="12">
        <f>K52/((1+Inputs!$B$4)^($A52-Inputs!$B$5))</f>
        <v>25141.892860215794</v>
      </c>
    </row>
    <row r="53" spans="1:13" s="416" customFormat="1">
      <c r="A53" s="110">
        <f t="shared" si="14"/>
        <v>2030</v>
      </c>
      <c r="B53" s="10">
        <f t="shared" si="15"/>
        <v>5643.4880943293256</v>
      </c>
      <c r="C53" s="10">
        <f>B53*Inputs!$B$46</f>
        <v>451.47904754634607</v>
      </c>
      <c r="D53" s="10">
        <f>B53*(1-Inputs!$B$46)*Inputs!$B$12</f>
        <v>8670.6551081275757</v>
      </c>
      <c r="E53" s="12">
        <f>C53*(Inputs!$B$80+Inputs!$B$81)</f>
        <v>32804.467594717513</v>
      </c>
      <c r="F53" s="12">
        <f>D53*Inputs!$B$79</f>
        <v>155204.72643548358</v>
      </c>
      <c r="G53" s="12">
        <f t="shared" si="12"/>
        <v>188009.19403020109</v>
      </c>
      <c r="H53" s="12">
        <f>G53/((1+Inputs!$B$3)^($A53-Inputs!$B$5))</f>
        <v>95574.340700071538</v>
      </c>
      <c r="I53" s="12">
        <f>G53/((1+Inputs!$B$4)^($A53-Inputs!$B$5))</f>
        <v>139896.49722251034</v>
      </c>
      <c r="K53" s="20">
        <f t="shared" si="13"/>
        <v>32804.467594717513</v>
      </c>
      <c r="L53" s="12">
        <f>K53/((1+Inputs!$B$3)^($A53-Inputs!$B$5))</f>
        <v>16676.127880630935</v>
      </c>
      <c r="M53" s="12">
        <f>K53/((1+Inputs!$B$4)^($A53-Inputs!$B$5))</f>
        <v>24409.604718656112</v>
      </c>
    </row>
    <row r="54" spans="1:13" s="416" customFormat="1">
      <c r="A54" s="110">
        <f t="shared" si="14"/>
        <v>2031</v>
      </c>
      <c r="B54" s="10">
        <f t="shared" si="15"/>
        <v>5643.4880943293256</v>
      </c>
      <c r="C54" s="10">
        <f>B54*Inputs!$B$46</f>
        <v>451.47904754634607</v>
      </c>
      <c r="D54" s="10">
        <f>B54*(1-Inputs!$B$46)*Inputs!$B$12</f>
        <v>8670.6551081275757</v>
      </c>
      <c r="E54" s="12">
        <f>C54*(Inputs!$B$80+Inputs!$B$81)</f>
        <v>32804.467594717513</v>
      </c>
      <c r="F54" s="12">
        <f>D54*Inputs!$B$79</f>
        <v>155204.72643548358</v>
      </c>
      <c r="G54" s="12">
        <f t="shared" si="12"/>
        <v>188009.19403020109</v>
      </c>
      <c r="H54" s="12">
        <f>G54/((1+Inputs!$B$3)^($A54-Inputs!$B$5))</f>
        <v>89321.813738384604</v>
      </c>
      <c r="I54" s="12">
        <f>G54/((1+Inputs!$B$4)^($A54-Inputs!$B$5))</f>
        <v>135821.84196360226</v>
      </c>
      <c r="K54" s="20">
        <f t="shared" si="13"/>
        <v>32804.467594717513</v>
      </c>
      <c r="L54" s="12">
        <f>K54/((1+Inputs!$B$3)^($A54-Inputs!$B$5))</f>
        <v>15585.166243580312</v>
      </c>
      <c r="M54" s="12">
        <f>K54/((1+Inputs!$B$4)^($A54-Inputs!$B$5))</f>
        <v>23698.645357918555</v>
      </c>
    </row>
    <row r="55" spans="1:13" s="416" customFormat="1">
      <c r="A55" s="110">
        <f t="shared" si="14"/>
        <v>2032</v>
      </c>
      <c r="B55" s="10">
        <f t="shared" si="15"/>
        <v>5643.4880943293256</v>
      </c>
      <c r="C55" s="10">
        <f>B55*Inputs!$B$46</f>
        <v>451.47904754634607</v>
      </c>
      <c r="D55" s="10">
        <f>B55*(1-Inputs!$B$46)*Inputs!$B$12</f>
        <v>8670.6551081275757</v>
      </c>
      <c r="E55" s="12">
        <f>C55*(Inputs!$B$80+Inputs!$B$81)</f>
        <v>32804.467594717513</v>
      </c>
      <c r="F55" s="12">
        <f>D55*Inputs!$B$79</f>
        <v>155204.72643548358</v>
      </c>
      <c r="G55" s="12">
        <f t="shared" si="12"/>
        <v>188009.19403020109</v>
      </c>
      <c r="H55" s="12">
        <f>G55/((1+Inputs!$B$3)^($A55-Inputs!$B$5))</f>
        <v>83478.330596621134</v>
      </c>
      <c r="I55" s="12">
        <f>G55/((1+Inputs!$B$4)^($A55-Inputs!$B$5))</f>
        <v>131865.86598407989</v>
      </c>
      <c r="K55" s="20">
        <f t="shared" si="13"/>
        <v>32804.467594717513</v>
      </c>
      <c r="L55" s="12">
        <f>K55/((1+Inputs!$B$3)^($A55-Inputs!$B$5))</f>
        <v>14565.575928579734</v>
      </c>
      <c r="M55" s="12">
        <f>K55/((1+Inputs!$B$4)^($A55-Inputs!$B$5))</f>
        <v>23008.393551377241</v>
      </c>
    </row>
    <row r="56" spans="1:13" s="416" customFormat="1">
      <c r="A56" s="110">
        <f t="shared" si="14"/>
        <v>2033</v>
      </c>
      <c r="B56" s="10">
        <f t="shared" si="15"/>
        <v>5643.4880943293256</v>
      </c>
      <c r="C56" s="10">
        <f>B56*Inputs!$B$46</f>
        <v>451.47904754634607</v>
      </c>
      <c r="D56" s="10">
        <f>B56*(1-Inputs!$B$46)*Inputs!$B$12</f>
        <v>8670.6551081275757</v>
      </c>
      <c r="E56" s="12">
        <f>C56*(Inputs!$B$80+Inputs!$B$81)</f>
        <v>32804.467594717513</v>
      </c>
      <c r="F56" s="12">
        <f>D56*Inputs!$B$79</f>
        <v>155204.72643548358</v>
      </c>
      <c r="G56" s="12">
        <f t="shared" si="12"/>
        <v>188009.19403020109</v>
      </c>
      <c r="H56" s="12">
        <f>G56/((1+Inputs!$B$3)^($A56-Inputs!$B$5))</f>
        <v>78017.131398711339</v>
      </c>
      <c r="I56" s="12">
        <f>G56/((1+Inputs!$B$4)^($A56-Inputs!$B$5))</f>
        <v>128025.11260590282</v>
      </c>
      <c r="K56" s="20">
        <f t="shared" si="13"/>
        <v>32804.467594717513</v>
      </c>
      <c r="L56" s="12">
        <f>K56/((1+Inputs!$B$3)^($A56-Inputs!$B$5))</f>
        <v>13612.687783719377</v>
      </c>
      <c r="M56" s="12">
        <f>K56/((1+Inputs!$B$4)^($A56-Inputs!$B$5))</f>
        <v>22338.246166385674</v>
      </c>
    </row>
    <row r="57" spans="1:13" s="416" customFormat="1">
      <c r="A57" s="110">
        <f t="shared" si="14"/>
        <v>2034</v>
      </c>
      <c r="B57" s="10">
        <f t="shared" si="15"/>
        <v>5643.4880943293256</v>
      </c>
      <c r="C57" s="10">
        <f>B57*Inputs!$B$46</f>
        <v>451.47904754634607</v>
      </c>
      <c r="D57" s="10">
        <f>B57*(1-Inputs!$B$46)*Inputs!$B$12</f>
        <v>8670.6551081275757</v>
      </c>
      <c r="E57" s="12">
        <f>C57*(Inputs!$B$80+Inputs!$B$81)</f>
        <v>32804.467594717513</v>
      </c>
      <c r="F57" s="12">
        <f>D57*Inputs!$B$79</f>
        <v>155204.72643548358</v>
      </c>
      <c r="G57" s="12">
        <f t="shared" si="12"/>
        <v>188009.19403020109</v>
      </c>
      <c r="H57" s="12">
        <f>G57/((1+Inputs!$B$3)^($A57-Inputs!$B$5))</f>
        <v>72913.206914683498</v>
      </c>
      <c r="I57" s="12">
        <f>G57/((1+Inputs!$B$4)^($A57-Inputs!$B$5))</f>
        <v>124296.22583097359</v>
      </c>
      <c r="K57" s="20">
        <f t="shared" si="13"/>
        <v>32804.467594717513</v>
      </c>
      <c r="L57" s="12">
        <f>K57/((1+Inputs!$B$3)^($A57-Inputs!$B$5))</f>
        <v>12722.138115625587</v>
      </c>
      <c r="M57" s="12">
        <f>K57/((1+Inputs!$B$4)^($A57-Inputs!$B$5))</f>
        <v>21687.617637267642</v>
      </c>
    </row>
    <row r="58" spans="1:13" s="416" customFormat="1">
      <c r="A58" s="110">
        <f t="shared" si="14"/>
        <v>2035</v>
      </c>
      <c r="B58" s="10">
        <f t="shared" si="15"/>
        <v>5643.4880943293256</v>
      </c>
      <c r="C58" s="10">
        <f>B58*Inputs!$B$46</f>
        <v>451.47904754634607</v>
      </c>
      <c r="D58" s="10">
        <f>B58*(1-Inputs!$B$46)*Inputs!$B$12</f>
        <v>8670.6551081275757</v>
      </c>
      <c r="E58" s="12">
        <f>C58*(Inputs!$B$80+Inputs!$B$81)</f>
        <v>32804.467594717513</v>
      </c>
      <c r="F58" s="12">
        <f>D58*Inputs!$B$79</f>
        <v>155204.72643548358</v>
      </c>
      <c r="G58" s="12">
        <f t="shared" si="12"/>
        <v>188009.19403020109</v>
      </c>
      <c r="H58" s="12">
        <f>G58/((1+Inputs!$B$3)^($A58-Inputs!$B$5))</f>
        <v>68143.184032414472</v>
      </c>
      <c r="I58" s="12">
        <f>G58/((1+Inputs!$B$4)^($A58-Inputs!$B$5))</f>
        <v>120675.94740871222</v>
      </c>
      <c r="K58" s="20">
        <f t="shared" si="13"/>
        <v>32804.467594717513</v>
      </c>
      <c r="L58" s="12">
        <f>K58/((1+Inputs!$B$3)^($A58-Inputs!$B$5))</f>
        <v>11889.848706192135</v>
      </c>
      <c r="M58" s="12">
        <f>K58/((1+Inputs!$B$4)^($A58-Inputs!$B$5))</f>
        <v>21055.939453657902</v>
      </c>
    </row>
    <row r="59" spans="1:13" s="416" customFormat="1">
      <c r="A59" s="110">
        <f t="shared" si="14"/>
        <v>2036</v>
      </c>
      <c r="B59" s="10">
        <f t="shared" si="15"/>
        <v>5643.4880943293256</v>
      </c>
      <c r="C59" s="10">
        <f>B59*Inputs!$B$46</f>
        <v>451.47904754634607</v>
      </c>
      <c r="D59" s="10">
        <f>B59*(1-Inputs!$B$46)*Inputs!$B$12</f>
        <v>8670.6551081275757</v>
      </c>
      <c r="E59" s="12">
        <f>C59*(Inputs!$B$80+Inputs!$B$81)</f>
        <v>32804.467594717513</v>
      </c>
      <c r="F59" s="12">
        <f>D59*Inputs!$B$79</f>
        <v>155204.72643548358</v>
      </c>
      <c r="G59" s="12">
        <f t="shared" si="12"/>
        <v>188009.19403020109</v>
      </c>
      <c r="H59" s="12">
        <f>G59/((1+Inputs!$B$3)^($A59-Inputs!$B$5))</f>
        <v>63685.218721882695</v>
      </c>
      <c r="I59" s="12">
        <f>G59/((1+Inputs!$B$4)^($A59-Inputs!$B$5))</f>
        <v>117161.11398904101</v>
      </c>
      <c r="K59" s="20">
        <f t="shared" si="13"/>
        <v>32804.467594717513</v>
      </c>
      <c r="L59" s="12">
        <f>K59/((1+Inputs!$B$3)^($A59-Inputs!$B$5))</f>
        <v>11112.008136628165</v>
      </c>
      <c r="M59" s="12">
        <f>K59/((1+Inputs!$B$4)^($A59-Inputs!$B$5))</f>
        <v>20442.65966374554</v>
      </c>
    </row>
    <row r="60" spans="1:13" s="416" customFormat="1">
      <c r="A60" s="110">
        <f t="shared" si="14"/>
        <v>2037</v>
      </c>
      <c r="B60" s="10">
        <f t="shared" si="15"/>
        <v>5643.4880943293256</v>
      </c>
      <c r="C60" s="10">
        <f>B60*Inputs!$B$46</f>
        <v>451.47904754634607</v>
      </c>
      <c r="D60" s="10">
        <f>B60*(1-Inputs!$B$46)*Inputs!$B$12</f>
        <v>8670.6551081275757</v>
      </c>
      <c r="E60" s="12">
        <f>C60*(Inputs!$B$80+Inputs!$B$81)</f>
        <v>32804.467594717513</v>
      </c>
      <c r="F60" s="12">
        <f>D60*Inputs!$B$79</f>
        <v>155204.72643548358</v>
      </c>
      <c r="G60" s="12">
        <f t="shared" si="12"/>
        <v>188009.19403020109</v>
      </c>
      <c r="H60" s="12">
        <f>G60/((1+Inputs!$B$3)^($A60-Inputs!$B$5))</f>
        <v>59518.896001759531</v>
      </c>
      <c r="I60" s="12">
        <f>G60/((1+Inputs!$B$4)^($A60-Inputs!$B$5))</f>
        <v>113748.65435829225</v>
      </c>
      <c r="K60" s="20">
        <f t="shared" si="13"/>
        <v>32804.467594717513</v>
      </c>
      <c r="L60" s="12">
        <f>K60/((1+Inputs!$B$3)^($A60-Inputs!$B$5))</f>
        <v>10385.05433329735</v>
      </c>
      <c r="M60" s="12">
        <f>K60/((1+Inputs!$B$4)^($A60-Inputs!$B$5))</f>
        <v>19847.242391985961</v>
      </c>
    </row>
    <row r="61" spans="1:13" s="416" customFormat="1">
      <c r="A61" s="110">
        <f t="shared" si="14"/>
        <v>2038</v>
      </c>
      <c r="B61" s="10">
        <f t="shared" si="15"/>
        <v>5643.4880943293256</v>
      </c>
      <c r="C61" s="10">
        <f>B61*Inputs!$B$46</f>
        <v>451.47904754634607</v>
      </c>
      <c r="D61" s="10">
        <f>B61*(1-Inputs!$B$46)*Inputs!$B$12</f>
        <v>8670.6551081275757</v>
      </c>
      <c r="E61" s="12">
        <f>C61*(Inputs!$B$80+Inputs!$B$81)</f>
        <v>32804.467594717513</v>
      </c>
      <c r="F61" s="12">
        <f>D61*Inputs!$B$79</f>
        <v>155204.72643548358</v>
      </c>
      <c r="G61" s="12">
        <f t="shared" si="12"/>
        <v>188009.19403020109</v>
      </c>
      <c r="H61" s="12">
        <f>G61/((1+Inputs!$B$3)^($A61-Inputs!$B$5))</f>
        <v>55625.136450242549</v>
      </c>
      <c r="I61" s="12">
        <f>G61/((1+Inputs!$B$4)^($A61-Inputs!$B$5))</f>
        <v>110435.58675562353</v>
      </c>
      <c r="K61" s="20">
        <f t="shared" si="13"/>
        <v>32804.467594717513</v>
      </c>
      <c r="L61" s="12">
        <f>K61/((1+Inputs!$B$3)^($A61-Inputs!$B$5))</f>
        <v>9705.6582554180841</v>
      </c>
      <c r="M61" s="12">
        <f>K61/((1+Inputs!$B$4)^($A61-Inputs!$B$5))</f>
        <v>19269.167370860156</v>
      </c>
    </row>
    <row r="62" spans="1:13" s="416" customFormat="1">
      <c r="A62" s="110">
        <f t="shared" si="14"/>
        <v>2039</v>
      </c>
      <c r="B62" s="10">
        <f t="shared" si="15"/>
        <v>5643.4880943293256</v>
      </c>
      <c r="C62" s="10">
        <f>B62*Inputs!$B$46</f>
        <v>451.47904754634607</v>
      </c>
      <c r="D62" s="10">
        <f>B62*(1-Inputs!$B$46)*Inputs!$B$12</f>
        <v>8670.6551081275757</v>
      </c>
      <c r="E62" s="12">
        <f>C62*(Inputs!$B$80+Inputs!$B$81)</f>
        <v>32804.467594717513</v>
      </c>
      <c r="F62" s="12">
        <f>D62*Inputs!$B$79</f>
        <v>155204.72643548358</v>
      </c>
      <c r="G62" s="12">
        <f t="shared" si="12"/>
        <v>188009.19403020109</v>
      </c>
      <c r="H62" s="12">
        <f>G62/((1+Inputs!$B$3)^($A62-Inputs!$B$5))</f>
        <v>51986.108832002377</v>
      </c>
      <c r="I62" s="12">
        <f>G62/((1+Inputs!$B$4)^($A62-Inputs!$B$5))</f>
        <v>107219.01626759567</v>
      </c>
      <c r="K62" s="20">
        <f t="shared" si="13"/>
        <v>32804.467594717513</v>
      </c>
      <c r="L62" s="12">
        <f>K62/((1+Inputs!$B$3)^($A62-Inputs!$B$5))</f>
        <v>9070.7086499234429</v>
      </c>
      <c r="M62" s="12">
        <f>K62/((1+Inputs!$B$4)^($A62-Inputs!$B$5))</f>
        <v>18707.929486271998</v>
      </c>
    </row>
    <row r="63" spans="1:13" s="416" customFormat="1">
      <c r="A63" s="110">
        <f t="shared" si="14"/>
        <v>2040</v>
      </c>
      <c r="B63" s="10">
        <f t="shared" si="15"/>
        <v>5643.4880943293256</v>
      </c>
      <c r="C63" s="10">
        <f>B63*Inputs!$B$46</f>
        <v>451.47904754634607</v>
      </c>
      <c r="D63" s="10">
        <f>B63*(1-Inputs!$B$46)*Inputs!$B$12</f>
        <v>8670.6551081275757</v>
      </c>
      <c r="E63" s="12">
        <f>C63*(Inputs!$B$80+Inputs!$B$81)</f>
        <v>32804.467594717513</v>
      </c>
      <c r="F63" s="12">
        <f>D63*Inputs!$B$79</f>
        <v>155204.72643548358</v>
      </c>
      <c r="G63" s="12">
        <f t="shared" si="12"/>
        <v>188009.19403020109</v>
      </c>
      <c r="H63" s="12">
        <f>G63/((1+Inputs!$B$3)^($A63-Inputs!$B$5))</f>
        <v>48585.148441123725</v>
      </c>
      <c r="I63" s="12">
        <f>G63/((1+Inputs!$B$4)^($A63-Inputs!$B$5))</f>
        <v>104096.13229863657</v>
      </c>
      <c r="K63" s="20">
        <f t="shared" si="13"/>
        <v>32804.467594717513</v>
      </c>
      <c r="L63" s="12">
        <f>K63/((1+Inputs!$B$3)^($A63-Inputs!$B$5))</f>
        <v>8477.2978036667701</v>
      </c>
      <c r="M63" s="12">
        <f>K63/((1+Inputs!$B$4)^($A63-Inputs!$B$5))</f>
        <v>18163.038336186404</v>
      </c>
    </row>
    <row r="64" spans="1:13" s="416" customFormat="1">
      <c r="A64" s="110">
        <f t="shared" si="14"/>
        <v>2041</v>
      </c>
      <c r="B64" s="10">
        <f t="shared" si="15"/>
        <v>5643.4880943293256</v>
      </c>
      <c r="C64" s="10">
        <f>B64*Inputs!$B$46</f>
        <v>451.47904754634607</v>
      </c>
      <c r="D64" s="10">
        <f>B64*(1-Inputs!$B$46)*Inputs!$B$12</f>
        <v>8670.6551081275757</v>
      </c>
      <c r="E64" s="12">
        <f>C64*(Inputs!$B$80+Inputs!$B$81)</f>
        <v>32804.467594717513</v>
      </c>
      <c r="F64" s="12">
        <f>D64*Inputs!$B$79</f>
        <v>155204.72643548358</v>
      </c>
      <c r="G64" s="12">
        <f t="shared" si="12"/>
        <v>188009.19403020109</v>
      </c>
      <c r="H64" s="12">
        <f>G64/((1+Inputs!$B$3)^($A64-Inputs!$B$5))</f>
        <v>45406.680786096935</v>
      </c>
      <c r="I64" s="12">
        <f>G64/((1+Inputs!$B$4)^($A64-Inputs!$B$5))</f>
        <v>101064.20611518115</v>
      </c>
      <c r="K64" s="20">
        <f t="shared" si="13"/>
        <v>32804.467594717513</v>
      </c>
      <c r="L64" s="12">
        <f>K64/((1+Inputs!$B$3)^($A64-Inputs!$B$5))</f>
        <v>7922.7082277259524</v>
      </c>
      <c r="M64" s="12">
        <f>K64/((1+Inputs!$B$4)^($A64-Inputs!$B$5))</f>
        <v>17634.017802122726</v>
      </c>
    </row>
    <row r="65" spans="1:17" s="416" customFormat="1">
      <c r="A65" s="110">
        <f t="shared" si="14"/>
        <v>2042</v>
      </c>
      <c r="B65" s="10">
        <f t="shared" si="15"/>
        <v>5643.4880943293256</v>
      </c>
      <c r="C65" s="10">
        <f>B65*Inputs!$B$46</f>
        <v>451.47904754634607</v>
      </c>
      <c r="D65" s="10">
        <f>B65*(1-Inputs!$B$46)*Inputs!$B$12</f>
        <v>8670.6551081275757</v>
      </c>
      <c r="E65" s="12">
        <f>C65*(Inputs!$B$80+Inputs!$B$81)</f>
        <v>32804.467594717513</v>
      </c>
      <c r="F65" s="12">
        <f>D65*Inputs!$B$79</f>
        <v>155204.72643548358</v>
      </c>
      <c r="G65" s="12">
        <f t="shared" si="12"/>
        <v>188009.19403020109</v>
      </c>
      <c r="H65" s="12">
        <f>G65/((1+Inputs!$B$3)^($A65-Inputs!$B$5))</f>
        <v>42436.150267380312</v>
      </c>
      <c r="I65" s="12">
        <f>G65/((1+Inputs!$B$4)^($A65-Inputs!$B$5))</f>
        <v>98120.588461340914</v>
      </c>
      <c r="K65" s="20">
        <f t="shared" si="13"/>
        <v>32804.467594717513</v>
      </c>
      <c r="L65" s="12">
        <f>K65/((1+Inputs!$B$3)^($A65-Inputs!$B$5))</f>
        <v>7404.4002128279926</v>
      </c>
      <c r="M65" s="12">
        <f>K65/((1+Inputs!$B$4)^($A65-Inputs!$B$5))</f>
        <v>17120.405633128859</v>
      </c>
    </row>
    <row r="66" spans="1:17" s="416" customFormat="1">
      <c r="A66" s="110">
        <f t="shared" si="14"/>
        <v>2043</v>
      </c>
      <c r="B66" s="10">
        <f t="shared" si="15"/>
        <v>5643.4880943293256</v>
      </c>
      <c r="C66" s="10">
        <f>B66*Inputs!$B$46</f>
        <v>451.47904754634607</v>
      </c>
      <c r="D66" s="10">
        <f>B66*(1-Inputs!$B$46)*Inputs!$B$12</f>
        <v>8670.6551081275757</v>
      </c>
      <c r="E66" s="12">
        <f>C66*(Inputs!$B$80+Inputs!$B$81)</f>
        <v>32804.467594717513</v>
      </c>
      <c r="F66" s="12">
        <f>D66*Inputs!$B$79</f>
        <v>155204.72643548358</v>
      </c>
      <c r="G66" s="12">
        <f t="shared" si="12"/>
        <v>188009.19403020109</v>
      </c>
      <c r="H66" s="12">
        <f>G66/((1+Inputs!$B$3)^($A66-Inputs!$B$5))</f>
        <v>39659.953520916177</v>
      </c>
      <c r="I66" s="12">
        <f>G66/((1+Inputs!$B$4)^($A66-Inputs!$B$5))</f>
        <v>95262.707244020305</v>
      </c>
      <c r="K66" s="20">
        <f t="shared" si="13"/>
        <v>32804.467594717513</v>
      </c>
      <c r="L66" s="12">
        <f>K66/((1+Inputs!$B$3)^($A66-Inputs!$B$5))</f>
        <v>6920.0001989046659</v>
      </c>
      <c r="M66" s="12">
        <f>K66/((1+Inputs!$B$4)^($A66-Inputs!$B$5))</f>
        <v>16621.753041872678</v>
      </c>
    </row>
    <row r="67" spans="1:17" s="416" customFormat="1">
      <c r="A67" s="110">
        <f t="shared" si="14"/>
        <v>2044</v>
      </c>
      <c r="B67" s="10">
        <f t="shared" ref="B67" si="16">B66</f>
        <v>5643.4880943293256</v>
      </c>
      <c r="C67" s="10">
        <f>B67*Inputs!$B$46</f>
        <v>451.47904754634607</v>
      </c>
      <c r="D67" s="10">
        <f>B67*(1-Inputs!$B$46)*Inputs!$B$12</f>
        <v>8670.6551081275757</v>
      </c>
      <c r="E67" s="12">
        <f>C67*(Inputs!$B$80+Inputs!$B$81)</f>
        <v>32804.467594717513</v>
      </c>
      <c r="F67" s="12">
        <f>D67*Inputs!$B$79</f>
        <v>155204.72643548358</v>
      </c>
      <c r="G67" s="638">
        <f>SUM(E67:F67)*(1-Inputs!B10)</f>
        <v>125339.46268680075</v>
      </c>
      <c r="H67" s="12">
        <f>G67/((1+Inputs!$B$3)^($A67-Inputs!$B$5))</f>
        <v>24710.251414901049</v>
      </c>
      <c r="I67" s="12">
        <f>G67/((1+Inputs!$B$4)^($A67-Inputs!$B$5))</f>
        <v>61658.710190304424</v>
      </c>
      <c r="K67" s="638">
        <f>E67*(1-Inputs!B10)</f>
        <v>21869.64506314501</v>
      </c>
      <c r="L67" s="12">
        <f>K67/((1+Inputs!$B$3)^($A67-Inputs!$B$5))</f>
        <v>4311.5266036789199</v>
      </c>
      <c r="M67" s="12">
        <f>K67/((1+Inputs!$B$4)^($A67-Inputs!$B$5))</f>
        <v>10758.416208331832</v>
      </c>
    </row>
    <row r="68" spans="1:17" s="416" customFormat="1">
      <c r="A68" s="34" t="s">
        <v>4</v>
      </c>
      <c r="B68" s="163"/>
      <c r="C68" s="163"/>
      <c r="D68" s="163"/>
      <c r="E68" s="163"/>
      <c r="F68" s="164">
        <f>SUM(F47:F67)</f>
        <v>3259299.2551451544</v>
      </c>
      <c r="G68" s="164">
        <f t="shared" ref="G68" si="17">SUM(G47:G67)</f>
        <v>3760183.8806040217</v>
      </c>
      <c r="H68" s="164">
        <f t="shared" ref="H68" si="18">SUM(H47:H67)</f>
        <v>1554968.6954776344</v>
      </c>
      <c r="I68" s="164">
        <f t="shared" ref="I68" si="19">SUM(I47:I67)</f>
        <v>2510040.8394813072</v>
      </c>
      <c r="K68" s="164">
        <f t="shared" ref="K68" si="20">SUM(K47:K67)</f>
        <v>656089.35189435026</v>
      </c>
      <c r="L68" s="164">
        <f t="shared" ref="L68" si="21">SUM(L47:L67)</f>
        <v>271316.09411294101</v>
      </c>
      <c r="M68" s="164">
        <f t="shared" ref="M68" si="22">SUM(M47:M67)</f>
        <v>437960.24872568314</v>
      </c>
    </row>
    <row r="69" spans="1:17" hidden="1">
      <c r="A69" s="384" t="s">
        <v>4</v>
      </c>
      <c r="B69" s="385"/>
      <c r="C69" s="385"/>
      <c r="D69" s="385"/>
      <c r="E69" s="385"/>
      <c r="F69" s="386">
        <f t="shared" ref="F69:I69" si="23">SUM(F48:F68)</f>
        <v>6363393.7838548254</v>
      </c>
      <c r="G69" s="386">
        <f t="shared" si="23"/>
        <v>7457698.0298646428</v>
      </c>
      <c r="H69" s="386">
        <f t="shared" si="23"/>
        <v>3062126.9529730836</v>
      </c>
      <c r="I69" s="387">
        <f t="shared" si="23"/>
        <v>4964400.4343676474</v>
      </c>
      <c r="J69" s="416"/>
      <c r="K69" s="416"/>
      <c r="L69" s="300"/>
      <c r="M69" s="300"/>
      <c r="O69" s="164">
        <f>SUM(K48:K68)</f>
        <v>1301243.881257128</v>
      </c>
      <c r="P69" s="164">
        <f>SUM(L48:L68)</f>
        <v>534290.06447195588</v>
      </c>
      <c r="Q69" s="164">
        <f>SUM(M48:M68)</f>
        <v>866205.04926080746</v>
      </c>
    </row>
    <row r="70" spans="1:17">
      <c r="J70" s="416"/>
      <c r="K70" s="416"/>
      <c r="L70" s="300"/>
      <c r="M70" s="300"/>
    </row>
    <row r="71" spans="1:17">
      <c r="J71" s="416"/>
      <c r="K71" s="416"/>
      <c r="L71" s="300"/>
      <c r="M71" s="300"/>
    </row>
  </sheetData>
  <sheetProtection algorithmName="SHA-512" hashValue="g+je5CgiGL5mjpQfbYeFydjOIfQxqxkjNWuxjAkUnvJS1mprlmKmJJ6esnBcD56lSJlkKMPYsFy1NKChXKSHDA==" saltValue="lx6g5IofF0lqRf9UIE9lHw==" spinCount="100000" sheet="1" objects="1" scenarios="1"/>
  <phoneticPr fontId="177"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6" tint="0.59999389629810485"/>
  </sheetPr>
  <dimension ref="A1:Z41"/>
  <sheetViews>
    <sheetView zoomScale="85" zoomScaleNormal="85" workbookViewId="0">
      <selection activeCell="C36" sqref="C36"/>
    </sheetView>
  </sheetViews>
  <sheetFormatPr defaultColWidth="8.85546875" defaultRowHeight="15"/>
  <cols>
    <col min="1" max="2" width="12" style="148" customWidth="1"/>
    <col min="3" max="6" width="14.28515625" style="148" customWidth="1"/>
    <col min="7" max="7" width="14.7109375" style="148" customWidth="1"/>
    <col min="8" max="8" width="12.28515625" style="148" bestFit="1" customWidth="1"/>
    <col min="9" max="12" width="12" style="148" customWidth="1"/>
    <col min="13" max="13" width="12.140625" style="148" customWidth="1"/>
    <col min="14" max="14" width="8.85546875" style="148" customWidth="1"/>
    <col min="15" max="17" width="8.85546875" style="52"/>
    <col min="18" max="18" width="11.28515625" style="52" bestFit="1" customWidth="1"/>
    <col min="19" max="19" width="10.28515625" style="52" bestFit="1" customWidth="1"/>
    <col min="20" max="20" width="11.28515625" style="52" bestFit="1" customWidth="1"/>
    <col min="21" max="22" width="12.28515625" style="52" bestFit="1" customWidth="1"/>
    <col min="23" max="23" width="8.85546875" style="52"/>
    <col min="24" max="26" width="11.28515625" style="52" bestFit="1" customWidth="1"/>
    <col min="27" max="16384" width="8.85546875" style="52"/>
  </cols>
  <sheetData>
    <row r="1" spans="1:14" ht="18.75">
      <c r="A1" s="83" t="s">
        <v>69</v>
      </c>
    </row>
    <row r="3" spans="1:14">
      <c r="E3" s="33"/>
      <c r="F3" s="33"/>
      <c r="H3" s="500"/>
      <c r="I3" s="17"/>
    </row>
    <row r="4" spans="1:14" s="77" customFormat="1">
      <c r="A4" s="148">
        <f>Inputs!B13</f>
        <v>280</v>
      </c>
      <c r="B4" s="148" t="s">
        <v>482</v>
      </c>
      <c r="C4" s="148"/>
      <c r="D4" s="148"/>
      <c r="E4" s="33"/>
      <c r="F4" s="33"/>
      <c r="G4" s="148"/>
      <c r="H4" s="500"/>
      <c r="I4" s="17"/>
      <c r="J4" s="148"/>
      <c r="K4" s="148"/>
      <c r="L4" s="148"/>
      <c r="M4" s="148"/>
      <c r="N4" s="148"/>
    </row>
    <row r="5" spans="1:14" s="77" customFormat="1">
      <c r="A5" s="112">
        <f>Inputs!B79</f>
        <v>17.899999999999999</v>
      </c>
      <c r="B5" s="112" t="str">
        <f>Inputs!A79</f>
        <v>Value of Time All Purposes (2019$)</v>
      </c>
      <c r="C5" s="148"/>
      <c r="D5" s="148"/>
      <c r="E5" s="148">
        <f>Inputs!B12</f>
        <v>1.67</v>
      </c>
      <c r="F5" s="148" t="str">
        <f>Inputs!A12</f>
        <v>Auto Occupancy</v>
      </c>
      <c r="G5" s="148"/>
      <c r="H5" s="500"/>
      <c r="I5" s="17"/>
      <c r="J5" s="148"/>
      <c r="K5" s="148"/>
      <c r="L5" s="148"/>
      <c r="M5" s="148"/>
      <c r="N5" s="148"/>
    </row>
    <row r="6" spans="1:14" s="77" customFormat="1">
      <c r="A6" s="112">
        <f>Inputs!B80</f>
        <v>30.8</v>
      </c>
      <c r="B6" s="148" t="str">
        <f>Inputs!A80</f>
        <v>Value of Time Truck (2019$)</v>
      </c>
      <c r="C6" s="148"/>
      <c r="D6" s="148"/>
      <c r="E6" s="148"/>
      <c r="F6" s="148"/>
      <c r="G6" s="148"/>
      <c r="H6" s="500"/>
      <c r="I6" s="17"/>
      <c r="J6" s="148"/>
      <c r="K6" s="148"/>
      <c r="L6" s="148"/>
      <c r="M6" s="148"/>
      <c r="N6" s="148"/>
    </row>
    <row r="7" spans="1:14" s="77" customFormat="1">
      <c r="A7" s="112"/>
      <c r="B7" s="148"/>
      <c r="C7" s="148"/>
      <c r="D7" s="148"/>
      <c r="E7" s="148"/>
      <c r="F7" s="148"/>
      <c r="G7" s="148"/>
      <c r="H7" s="148"/>
      <c r="I7" s="148"/>
      <c r="J7" s="148"/>
      <c r="K7" s="148"/>
      <c r="L7" s="148"/>
      <c r="M7" s="148"/>
      <c r="N7" s="148"/>
    </row>
    <row r="8" spans="1:14" s="77" customFormat="1">
      <c r="A8" s="148" t="s">
        <v>229</v>
      </c>
      <c r="B8" s="148"/>
      <c r="C8" s="148"/>
      <c r="D8" s="148"/>
      <c r="E8" s="148"/>
      <c r="F8" s="148"/>
      <c r="G8" s="148"/>
      <c r="H8" s="148"/>
      <c r="I8" s="148"/>
      <c r="J8" s="148"/>
      <c r="K8" s="148"/>
      <c r="L8" s="148"/>
      <c r="M8" s="148"/>
      <c r="N8" s="148"/>
    </row>
    <row r="9" spans="1:14" ht="45">
      <c r="A9" s="182" t="s">
        <v>1</v>
      </c>
      <c r="B9" s="183" t="s">
        <v>857</v>
      </c>
      <c r="C9" s="183" t="s">
        <v>858</v>
      </c>
      <c r="D9" s="183" t="s">
        <v>859</v>
      </c>
      <c r="E9" s="183" t="s">
        <v>860</v>
      </c>
      <c r="F9" s="183" t="s">
        <v>89</v>
      </c>
      <c r="G9" s="182" t="s">
        <v>239</v>
      </c>
      <c r="H9" s="182" t="s">
        <v>240</v>
      </c>
      <c r="J9" s="183" t="s">
        <v>749</v>
      </c>
      <c r="K9" s="182" t="s">
        <v>239</v>
      </c>
      <c r="L9" s="182" t="s">
        <v>240</v>
      </c>
    </row>
    <row r="10" spans="1:14" s="416" customFormat="1" hidden="1">
      <c r="A10" s="249">
        <v>2019</v>
      </c>
      <c r="B10" s="501">
        <f>-'Overall TTS'!AD5*Inputs!$B$13</f>
        <v>62552.000000000407</v>
      </c>
      <c r="C10" s="501">
        <f>-'Overall TTS'!AE5*Inputs!$B$13</f>
        <v>24443.999999999924</v>
      </c>
      <c r="D10" s="183"/>
      <c r="E10" s="183"/>
      <c r="F10" s="183"/>
      <c r="G10" s="182"/>
      <c r="H10" s="182"/>
      <c r="I10" s="148"/>
      <c r="J10" s="183"/>
      <c r="K10" s="182"/>
      <c r="L10" s="182"/>
      <c r="N10" s="148"/>
    </row>
    <row r="11" spans="1:14" s="416" customFormat="1" hidden="1">
      <c r="A11" s="249">
        <f>A10+1</f>
        <v>2020</v>
      </c>
      <c r="B11" s="501">
        <f>-'Overall TTS'!AD6*Inputs!$B$13</f>
        <v>199824.15384615422</v>
      </c>
      <c r="C11" s="501">
        <f>-'Overall TTS'!AE6*Inputs!$B$13</f>
        <v>31931.846153846109</v>
      </c>
      <c r="D11" s="183"/>
      <c r="E11" s="183"/>
      <c r="F11" s="183"/>
      <c r="G11" s="182"/>
      <c r="H11" s="182"/>
      <c r="I11" s="148"/>
      <c r="J11" s="183"/>
      <c r="K11" s="182"/>
      <c r="L11" s="182"/>
      <c r="N11" s="148"/>
    </row>
    <row r="12" spans="1:14" s="416" customFormat="1" hidden="1">
      <c r="A12" s="249">
        <f t="shared" ref="A12:A18" si="0">A11+1</f>
        <v>2021</v>
      </c>
      <c r="B12" s="501">
        <f>-'Overall TTS'!AD7*Inputs!$B$13</f>
        <v>337096.30769230903</v>
      </c>
      <c r="C12" s="501">
        <f>-'Overall TTS'!AE7*Inputs!$B$13</f>
        <v>39419.692307692167</v>
      </c>
      <c r="D12" s="183"/>
      <c r="E12" s="183"/>
      <c r="F12" s="183"/>
      <c r="G12" s="182"/>
      <c r="H12" s="182"/>
      <c r="I12" s="148"/>
      <c r="J12" s="183"/>
      <c r="K12" s="182"/>
      <c r="L12" s="182"/>
      <c r="N12" s="148"/>
    </row>
    <row r="13" spans="1:14" s="416" customFormat="1" hidden="1">
      <c r="A13" s="249">
        <f t="shared" si="0"/>
        <v>2022</v>
      </c>
      <c r="B13" s="501">
        <f>-'Overall TTS'!AD8*Inputs!$B$13</f>
        <v>474368.46153846185</v>
      </c>
      <c r="C13" s="501">
        <f>-'Overall TTS'!AE8*Inputs!$B$13</f>
        <v>46907.538461538483</v>
      </c>
      <c r="D13" s="183"/>
      <c r="E13" s="183"/>
      <c r="F13" s="183"/>
      <c r="G13" s="182"/>
      <c r="H13" s="182"/>
      <c r="I13" s="148"/>
      <c r="J13" s="183"/>
      <c r="K13" s="182"/>
      <c r="L13" s="182"/>
      <c r="N13" s="148"/>
    </row>
    <row r="14" spans="1:14" s="416" customFormat="1" hidden="1">
      <c r="A14" s="249">
        <f t="shared" si="0"/>
        <v>2023</v>
      </c>
      <c r="B14" s="501">
        <f>-'Overall TTS'!AD9*Inputs!$B$13</f>
        <v>611640.61538461572</v>
      </c>
      <c r="C14" s="501">
        <f>-'Overall TTS'!AE9*Inputs!$B$13</f>
        <v>54395.384615384537</v>
      </c>
      <c r="D14" s="183"/>
      <c r="E14" s="183"/>
      <c r="F14" s="183"/>
      <c r="G14" s="182"/>
      <c r="H14" s="182"/>
      <c r="I14" s="148"/>
      <c r="J14" s="183"/>
      <c r="K14" s="182"/>
      <c r="L14" s="182"/>
      <c r="N14" s="148"/>
    </row>
    <row r="15" spans="1:14" s="416" customFormat="1" hidden="1">
      <c r="A15" s="249">
        <f t="shared" si="0"/>
        <v>2024</v>
      </c>
      <c r="B15" s="501">
        <f>-'Overall TTS'!AD10*Inputs!$B$13</f>
        <v>748912.76923076739</v>
      </c>
      <c r="C15" s="501">
        <f>-'Overall TTS'!AE10*Inputs!$B$13</f>
        <v>61883.230769230722</v>
      </c>
      <c r="D15" s="183"/>
      <c r="E15" s="183"/>
      <c r="F15" s="183"/>
      <c r="G15" s="182"/>
      <c r="H15" s="182"/>
      <c r="I15" s="148"/>
      <c r="J15" s="183"/>
      <c r="K15" s="182"/>
      <c r="L15" s="182"/>
      <c r="N15" s="148"/>
    </row>
    <row r="16" spans="1:14" s="416" customFormat="1" hidden="1">
      <c r="A16" s="249">
        <f t="shared" si="0"/>
        <v>2025</v>
      </c>
      <c r="B16" s="501">
        <f>-'Overall TTS'!AD11*Inputs!$B$13</f>
        <v>886184.92307692324</v>
      </c>
      <c r="C16" s="501">
        <f>-'Overall TTS'!AE11*Inputs!$B$13</f>
        <v>69371.076923076907</v>
      </c>
      <c r="D16" s="183"/>
      <c r="E16" s="183"/>
      <c r="F16" s="183"/>
      <c r="G16" s="182"/>
      <c r="H16" s="182"/>
      <c r="I16" s="148"/>
      <c r="J16" s="183"/>
      <c r="K16" s="182"/>
      <c r="L16" s="182"/>
      <c r="N16" s="148"/>
    </row>
    <row r="17" spans="1:14" s="416" customFormat="1" hidden="1">
      <c r="A17" s="249">
        <f t="shared" si="0"/>
        <v>2026</v>
      </c>
      <c r="B17" s="501">
        <f>-'Overall TTS'!AD12*Inputs!$B$13</f>
        <v>1023457.0769230771</v>
      </c>
      <c r="C17" s="501">
        <f>-'Overall TTS'!AE12*Inputs!$B$13</f>
        <v>76858.923076922962</v>
      </c>
      <c r="D17" s="183"/>
      <c r="E17" s="183"/>
      <c r="F17" s="183"/>
      <c r="G17" s="182"/>
      <c r="H17" s="182"/>
      <c r="I17" s="148"/>
      <c r="J17" s="183"/>
      <c r="K17" s="182"/>
      <c r="L17" s="182"/>
      <c r="N17" s="148"/>
    </row>
    <row r="18" spans="1:14" s="416" customFormat="1" hidden="1">
      <c r="A18" s="249">
        <f t="shared" si="0"/>
        <v>2027</v>
      </c>
      <c r="B18" s="501">
        <f>-'Overall TTS'!AD13*Inputs!$B$13</f>
        <v>1160729.2307692289</v>
      </c>
      <c r="C18" s="501">
        <f>-'Overall TTS'!AE13*Inputs!$B$13</f>
        <v>84346.769230769147</v>
      </c>
      <c r="D18" s="183"/>
      <c r="E18" s="183"/>
      <c r="F18" s="183"/>
      <c r="G18" s="182"/>
      <c r="H18" s="182"/>
      <c r="I18" s="148"/>
      <c r="J18" s="183"/>
      <c r="K18" s="182"/>
      <c r="L18" s="182"/>
      <c r="N18" s="148"/>
    </row>
    <row r="19" spans="1:14">
      <c r="A19" s="249">
        <f>Inputs!$B$7</f>
        <v>2027</v>
      </c>
      <c r="B19" s="501">
        <f>-'Overall TTS'!AD14*Inputs!$B$13</f>
        <v>1298001.3846153847</v>
      </c>
      <c r="C19" s="501">
        <f>-'Overall TTS'!AE14*Inputs!$B$13</f>
        <v>91834.615384615332</v>
      </c>
      <c r="D19" s="20">
        <f>B19*$A$5</f>
        <v>23234224.784615386</v>
      </c>
      <c r="E19" s="20">
        <f>C19*$A$6</f>
        <v>2828506.1538461521</v>
      </c>
      <c r="F19" s="639">
        <f>SUM(D19:E19)*Inputs!$B$8</f>
        <v>15203259.714102564</v>
      </c>
      <c r="G19" s="20">
        <f>F19/(1+Inputs!$B$3)^(A19-Inputs!$B$5)</f>
        <v>9467826.0627617743</v>
      </c>
      <c r="H19" s="20">
        <f>F19/(1+Inputs!$B$4)^(A19-Inputs!$B$5)</f>
        <v>12361641.418285178</v>
      </c>
      <c r="J19" s="639">
        <f>E19*Inputs!$B$8</f>
        <v>1649961.9230769221</v>
      </c>
      <c r="K19" s="20">
        <f>J19/(1+Inputs!$B$3)^(A19-Inputs!$B$5)</f>
        <v>1027513.3617155568</v>
      </c>
      <c r="L19" s="20">
        <f>J19/(1+Inputs!$B$4)^(A19-Inputs!$B$5)</f>
        <v>1341570.0336936009</v>
      </c>
    </row>
    <row r="20" spans="1:14">
      <c r="A20" s="249">
        <f t="shared" ref="A20:A39" si="1">A19+1</f>
        <v>2028</v>
      </c>
      <c r="B20" s="501">
        <f>-'Overall TTS'!AD15*Inputs!$B$13</f>
        <v>1435273.5384615385</v>
      </c>
      <c r="C20" s="501">
        <f>-'Overall TTS'!AE15*Inputs!$B$13</f>
        <v>99322.461538461517</v>
      </c>
      <c r="D20" s="20">
        <f t="shared" ref="D20:D38" si="2">B20*$A$5</f>
        <v>25691396.338461537</v>
      </c>
      <c r="E20" s="20">
        <f t="shared" ref="E20:E38" si="3">C20*$A$6</f>
        <v>3059131.8153846147</v>
      </c>
      <c r="F20" s="85">
        <f t="shared" ref="F20:F38" si="4">SUM(D20:E20)</f>
        <v>28750528.153846152</v>
      </c>
      <c r="G20" s="20">
        <f>F20/(1+Inputs!$B$3)^(A20-Inputs!$B$5)</f>
        <v>16733069.146591926</v>
      </c>
      <c r="H20" s="20">
        <f>F20/(1+Inputs!$B$4)^(A20-Inputs!$B$5)</f>
        <v>22695932.416048944</v>
      </c>
      <c r="J20" s="85">
        <f t="shared" ref="J20:J38" si="5">E20</f>
        <v>3059131.8153846147</v>
      </c>
      <c r="K20" s="20">
        <f>J20/(1+Inputs!$B$3)^(A20-Inputs!$B$5)</f>
        <v>1780442.56861842</v>
      </c>
      <c r="L20" s="20">
        <f>J20/(1+Inputs!$B$4)^(A20-Inputs!$B$5)</f>
        <v>2414906.904048169</v>
      </c>
    </row>
    <row r="21" spans="1:14">
      <c r="A21" s="249">
        <f t="shared" si="1"/>
        <v>2029</v>
      </c>
      <c r="B21" s="501">
        <f>-'Overall TTS'!AD16*Inputs!$B$13</f>
        <v>1572545.6923076925</v>
      </c>
      <c r="C21" s="501">
        <f>-'Overall TTS'!AE16*Inputs!$B$13</f>
        <v>106810.30769230757</v>
      </c>
      <c r="D21" s="20">
        <f t="shared" si="2"/>
        <v>28148567.892307695</v>
      </c>
      <c r="E21" s="20">
        <f t="shared" si="3"/>
        <v>3289757.4769230732</v>
      </c>
      <c r="F21" s="85">
        <f t="shared" si="4"/>
        <v>31438325.36923077</v>
      </c>
      <c r="G21" s="20">
        <f>F21/(1+Inputs!$B$3)^(A21-Inputs!$B$5)</f>
        <v>17100365.978663858</v>
      </c>
      <c r="H21" s="20">
        <f>F21/(1+Inputs!$B$4)^(A21-Inputs!$B$5)</f>
        <v>24094858.599841595</v>
      </c>
      <c r="J21" s="85">
        <f t="shared" si="5"/>
        <v>3289757.4769230732</v>
      </c>
      <c r="K21" s="20">
        <f>J21/(1+Inputs!$B$3)^(A21-Inputs!$B$5)</f>
        <v>1789410.0966169511</v>
      </c>
      <c r="L21" s="20">
        <f>J21/(1+Inputs!$B$4)^(A21-Inputs!$B$5)</f>
        <v>2521325.1756663965</v>
      </c>
    </row>
    <row r="22" spans="1:14">
      <c r="A22" s="249">
        <f t="shared" si="1"/>
        <v>2030</v>
      </c>
      <c r="B22" s="501">
        <f>-'Overall TTS'!AD17*Inputs!$B$13</f>
        <v>1709817.8461538462</v>
      </c>
      <c r="C22" s="501">
        <f>-'Overall TTS'!AE17*Inputs!$B$13</f>
        <v>114298.15384615376</v>
      </c>
      <c r="D22" s="20">
        <f t="shared" si="2"/>
        <v>30605739.446153846</v>
      </c>
      <c r="E22" s="20">
        <f t="shared" si="3"/>
        <v>3520383.1384615358</v>
      </c>
      <c r="F22" s="85">
        <f t="shared" si="4"/>
        <v>34126122.58461538</v>
      </c>
      <c r="G22" s="20">
        <f>F22/(1+Inputs!$B$3)^(A22-Inputs!$B$5)</f>
        <v>17347990.259191833</v>
      </c>
      <c r="H22" s="20">
        <f>F22/(1+Inputs!$B$4)^(A22-Inputs!$B$5)</f>
        <v>25393040.154232007</v>
      </c>
      <c r="J22" s="85">
        <f t="shared" si="5"/>
        <v>3520383.1384615358</v>
      </c>
      <c r="K22" s="20">
        <f>J22/(1+Inputs!$B$3)^(A22-Inputs!$B$5)</f>
        <v>1789584.276479918</v>
      </c>
      <c r="L22" s="20">
        <f>J22/(1+Inputs!$B$4)^(A22-Inputs!$B$5)</f>
        <v>2619495.6714342642</v>
      </c>
    </row>
    <row r="23" spans="1:14">
      <c r="A23" s="249">
        <f t="shared" si="1"/>
        <v>2031</v>
      </c>
      <c r="B23" s="501">
        <f>-'Overall TTS'!AD18*Inputs!$B$13</f>
        <v>1847090</v>
      </c>
      <c r="C23" s="501">
        <f>-'Overall TTS'!AE18*Inputs!$B$13</f>
        <v>121785.99999999994</v>
      </c>
      <c r="D23" s="20">
        <f t="shared" si="2"/>
        <v>33062910.999999996</v>
      </c>
      <c r="E23" s="20">
        <f t="shared" si="3"/>
        <v>3751008.7999999984</v>
      </c>
      <c r="F23" s="85">
        <f t="shared" si="4"/>
        <v>36813919.799999997</v>
      </c>
      <c r="G23" s="20">
        <f>F23/(1+Inputs!$B$3)^(A23-Inputs!$B$5)</f>
        <v>17490028.103770345</v>
      </c>
      <c r="H23" s="20">
        <f>F23/(1+Inputs!$B$4)^(A23-Inputs!$B$5)</f>
        <v>26595158.93852045</v>
      </c>
      <c r="J23" s="85">
        <f t="shared" si="5"/>
        <v>3751008.7999999984</v>
      </c>
      <c r="K23" s="20">
        <f>J23/(1+Inputs!$B$3)^(A23-Inputs!$B$5)</f>
        <v>1782077.260066445</v>
      </c>
      <c r="L23" s="20">
        <f>J23/(1+Inputs!$B$4)^(A23-Inputs!$B$5)</f>
        <v>2709808.5658291904</v>
      </c>
    </row>
    <row r="24" spans="1:14">
      <c r="A24" s="249">
        <f t="shared" si="1"/>
        <v>2032</v>
      </c>
      <c r="B24" s="501">
        <f>-'Overall TTS'!AD19*Inputs!$B$13</f>
        <v>1984362.1538461517</v>
      </c>
      <c r="C24" s="501">
        <f>-'Overall TTS'!AE19*Inputs!$B$13</f>
        <v>129273.84615384613</v>
      </c>
      <c r="D24" s="20">
        <f t="shared" si="2"/>
        <v>35520082.553846113</v>
      </c>
      <c r="E24" s="20">
        <f t="shared" si="3"/>
        <v>3981634.4615384606</v>
      </c>
      <c r="F24" s="85">
        <f t="shared" si="4"/>
        <v>39501717.015384577</v>
      </c>
      <c r="G24" s="20">
        <f>F24/(1+Inputs!$B$3)^(A24-Inputs!$B$5)</f>
        <v>17539234.765373997</v>
      </c>
      <c r="H24" s="20">
        <f>F24/(1+Inputs!$B$4)^(A24-Inputs!$B$5)</f>
        <v>27705709.547667164</v>
      </c>
      <c r="J24" s="85">
        <f t="shared" si="5"/>
        <v>3981634.4615384606</v>
      </c>
      <c r="K24" s="20">
        <f>J24/(1+Inputs!$B$3)^(A24-Inputs!$B$5)</f>
        <v>1767893.318248122</v>
      </c>
      <c r="L24" s="20">
        <f>J24/(1+Inputs!$B$4)^(A24-Inputs!$B$5)</f>
        <v>2792638.3016060591</v>
      </c>
    </row>
    <row r="25" spans="1:14">
      <c r="A25" s="249">
        <f t="shared" si="1"/>
        <v>2033</v>
      </c>
      <c r="B25" s="501">
        <f>-'Overall TTS'!AD20*Inputs!$B$13</f>
        <v>2121634.3076923075</v>
      </c>
      <c r="C25" s="501">
        <f>-'Overall TTS'!AE20*Inputs!$B$13</f>
        <v>136761.69230769231</v>
      </c>
      <c r="D25" s="20">
        <f t="shared" si="2"/>
        <v>37977254.107692301</v>
      </c>
      <c r="E25" s="20">
        <f t="shared" si="3"/>
        <v>4212260.1230769232</v>
      </c>
      <c r="F25" s="85">
        <f t="shared" si="4"/>
        <v>42189514.230769224</v>
      </c>
      <c r="G25" s="20">
        <f>F25/(1+Inputs!$B$3)^(A25-Inputs!$B$5)</f>
        <v>17507148.479456753</v>
      </c>
      <c r="H25" s="20">
        <f>F25/(1+Inputs!$B$4)^(A25-Inputs!$B$5)</f>
        <v>28729006.249103554</v>
      </c>
      <c r="J25" s="85">
        <f t="shared" si="5"/>
        <v>4212260.1230769232</v>
      </c>
      <c r="K25" s="20">
        <f>J25/(1+Inputs!$B$3)^(A25-Inputs!$B$5)</f>
        <v>1747938.196335519</v>
      </c>
      <c r="L25" s="20">
        <f>J25/(1+Inputs!$B$4)^(A25-Inputs!$B$5)</f>
        <v>2868344.1752090594</v>
      </c>
    </row>
    <row r="26" spans="1:14">
      <c r="A26" s="249">
        <f t="shared" si="1"/>
        <v>2034</v>
      </c>
      <c r="B26" s="501">
        <f>-'Overall TTS'!AD21*Inputs!$B$13</f>
        <v>2258906.4615384615</v>
      </c>
      <c r="C26" s="501">
        <f>-'Overall TTS'!AE21*Inputs!$B$13</f>
        <v>144249.53846153838</v>
      </c>
      <c r="D26" s="20">
        <f t="shared" si="2"/>
        <v>40434425.661538459</v>
      </c>
      <c r="E26" s="20">
        <f t="shared" si="3"/>
        <v>4442885.7846153826</v>
      </c>
      <c r="F26" s="85">
        <f t="shared" si="4"/>
        <v>44877311.446153842</v>
      </c>
      <c r="G26" s="20">
        <f>F26/(1+Inputs!$B$3)^(A26-Inputs!$B$5)</f>
        <v>17404195.109322596</v>
      </c>
      <c r="H26" s="20">
        <f>F26/(1+Inputs!$B$4)^(A26-Inputs!$B$5)</f>
        <v>29669189.674320035</v>
      </c>
      <c r="J26" s="85">
        <f t="shared" si="5"/>
        <v>4442885.7846153826</v>
      </c>
      <c r="K26" s="20">
        <f>J26/(1+Inputs!$B$3)^(A26-Inputs!$B$5)</f>
        <v>1723027.7071446304</v>
      </c>
      <c r="L26" s="20">
        <f>J26/(1+Inputs!$B$4)^(A26-Inputs!$B$5)</f>
        <v>2937270.9014276564</v>
      </c>
    </row>
    <row r="27" spans="1:14">
      <c r="A27" s="249">
        <f t="shared" si="1"/>
        <v>2035</v>
      </c>
      <c r="B27" s="501">
        <f>-'Overall TTS'!AD22*Inputs!$B$13</f>
        <v>2396178.615384615</v>
      </c>
      <c r="C27" s="501">
        <f>-'Overall TTS'!AE22*Inputs!$B$13</f>
        <v>151737.38461538457</v>
      </c>
      <c r="D27" s="20">
        <f t="shared" si="2"/>
        <v>42891597.215384603</v>
      </c>
      <c r="E27" s="20">
        <f t="shared" si="3"/>
        <v>4673511.4461538447</v>
      </c>
      <c r="F27" s="85">
        <f t="shared" si="4"/>
        <v>47565108.661538444</v>
      </c>
      <c r="G27" s="20">
        <f>F27/(1+Inputs!$B$3)^(A27-Inputs!$B$5)</f>
        <v>17239784.308230937</v>
      </c>
      <c r="H27" s="20">
        <f>F27/(1+Inputs!$B$4)^(A27-Inputs!$B$5)</f>
        <v>30530233.27363155</v>
      </c>
      <c r="J27" s="85">
        <f t="shared" si="5"/>
        <v>4673511.4461538447</v>
      </c>
      <c r="K27" s="20">
        <f>J27/(1+Inputs!$B$3)^(A27-Inputs!$B$5)</f>
        <v>1693895.6214114691</v>
      </c>
      <c r="L27" s="20">
        <f>J27/(1+Inputs!$B$4)^(A27-Inputs!$B$5)</f>
        <v>2999749.1580091571</v>
      </c>
    </row>
    <row r="28" spans="1:14">
      <c r="A28" s="249">
        <f t="shared" si="1"/>
        <v>2036</v>
      </c>
      <c r="B28" s="501">
        <f>-'Overall TTS'!AD23*Inputs!$B$13</f>
        <v>2533450.7692307709</v>
      </c>
      <c r="C28" s="501">
        <f>-'Overall TTS'!AE23*Inputs!$B$13</f>
        <v>159225.23076923063</v>
      </c>
      <c r="D28" s="20">
        <f t="shared" si="2"/>
        <v>45348768.769230798</v>
      </c>
      <c r="E28" s="20">
        <f t="shared" si="3"/>
        <v>4904137.1076923041</v>
      </c>
      <c r="F28" s="85">
        <f t="shared" si="4"/>
        <v>50252905.876923099</v>
      </c>
      <c r="G28" s="20">
        <f>F28/(1+Inputs!$B$3)^(A28-Inputs!$B$5)</f>
        <v>17022397.860329837</v>
      </c>
      <c r="H28" s="20">
        <f>F28/(1+Inputs!$B$4)^(A28-Inputs!$B$5)</f>
        <v>31315949.542238664</v>
      </c>
      <c r="J28" s="85">
        <f t="shared" si="5"/>
        <v>4904137.1076923041</v>
      </c>
      <c r="K28" s="20">
        <f>J28/(1+Inputs!$B$3)^(A28-Inputs!$B$5)</f>
        <v>1661200.9107135234</v>
      </c>
      <c r="L28" s="20">
        <f>J28/(1+Inputs!$B$4)^(A28-Inputs!$B$5)</f>
        <v>3056096.1109163975</v>
      </c>
    </row>
    <row r="29" spans="1:14">
      <c r="A29" s="249">
        <f t="shared" si="1"/>
        <v>2037</v>
      </c>
      <c r="B29" s="501">
        <f>-'Overall TTS'!AD24*Inputs!$B$13</f>
        <v>2670722.923076923</v>
      </c>
      <c r="C29" s="501">
        <f>-'Overall TTS'!AE24*Inputs!$B$13</f>
        <v>166713.07692307694</v>
      </c>
      <c r="D29" s="20">
        <f t="shared" si="2"/>
        <v>47805940.323076919</v>
      </c>
      <c r="E29" s="20">
        <f t="shared" si="3"/>
        <v>5134762.7692307699</v>
      </c>
      <c r="F29" s="85">
        <f t="shared" si="4"/>
        <v>52940703.092307687</v>
      </c>
      <c r="G29" s="20">
        <f>F29/(1+Inputs!$B$3)^(A29-Inputs!$B$5)</f>
        <v>16759670.812188737</v>
      </c>
      <c r="H29" s="20">
        <f>F29/(1+Inputs!$B$4)^(A29-Inputs!$B$5)</f>
        <v>32029996.025431287</v>
      </c>
      <c r="J29" s="85">
        <f t="shared" si="5"/>
        <v>5134762.7692307699</v>
      </c>
      <c r="K29" s="20">
        <f>J29/(1+Inputs!$B$3)^(A29-Inputs!$B$5)</f>
        <v>1625534.3938470373</v>
      </c>
      <c r="L29" s="20">
        <f>J29/(1+Inputs!$B$4)^(A29-Inputs!$B$5)</f>
        <v>3106615.9208960556</v>
      </c>
    </row>
    <row r="30" spans="1:14">
      <c r="A30" s="249">
        <f t="shared" si="1"/>
        <v>2038</v>
      </c>
      <c r="B30" s="501">
        <f>-'Overall TTS'!AD25*Inputs!$B$13</f>
        <v>2807995.0769230765</v>
      </c>
      <c r="C30" s="501">
        <f>-'Overall TTS'!AE25*Inputs!$B$13</f>
        <v>174200.92307692324</v>
      </c>
      <c r="D30" s="20">
        <f t="shared" si="2"/>
        <v>50263111.876923069</v>
      </c>
      <c r="E30" s="20">
        <f t="shared" si="3"/>
        <v>5365388.4307692358</v>
      </c>
      <c r="F30" s="85">
        <f t="shared" si="4"/>
        <v>55628500.307692304</v>
      </c>
      <c r="G30" s="20">
        <f>F30/(1+Inputs!$B$3)^(A30-Inputs!$B$5)</f>
        <v>16458465.960131079</v>
      </c>
      <c r="H30" s="20">
        <f>F30/(1+Inputs!$B$4)^(A30-Inputs!$B$5)</f>
        <v>32675881.110519186</v>
      </c>
      <c r="J30" s="85">
        <f t="shared" si="5"/>
        <v>5365388.4307692358</v>
      </c>
      <c r="K30" s="20">
        <f>J30/(1+Inputs!$B$3)^(A30-Inputs!$B$5)</f>
        <v>1587424.8337139806</v>
      </c>
      <c r="L30" s="20">
        <f>J30/(1+Inputs!$B$4)^(A30-Inputs!$B$5)</f>
        <v>3151600.2320006383</v>
      </c>
    </row>
    <row r="31" spans="1:14">
      <c r="A31" s="249">
        <f t="shared" si="1"/>
        <v>2039</v>
      </c>
      <c r="B31" s="501">
        <f>-'Overall TTS'!AD26*Inputs!$B$13</f>
        <v>2945267.2307692305</v>
      </c>
      <c r="C31" s="501">
        <f>-'Overall TTS'!AE26*Inputs!$B$13</f>
        <v>181688.76923076919</v>
      </c>
      <c r="D31" s="20">
        <f t="shared" si="2"/>
        <v>52720283.43076922</v>
      </c>
      <c r="E31" s="20">
        <f t="shared" si="3"/>
        <v>5596014.0923076915</v>
      </c>
      <c r="F31" s="85">
        <f t="shared" si="4"/>
        <v>58316297.523076914</v>
      </c>
      <c r="G31" s="20">
        <f>F31/(1+Inputs!$B$3)^(A31-Inputs!$B$5)</f>
        <v>16124942.215470145</v>
      </c>
      <c r="H31" s="20">
        <f>F31/(1+Inputs!$B$4)^(A31-Inputs!$B$5)</f>
        <v>33256969.612817638</v>
      </c>
      <c r="J31" s="85">
        <f t="shared" si="5"/>
        <v>5596014.0923076915</v>
      </c>
      <c r="K31" s="20">
        <f>J31/(1+Inputs!$B$3)^(A31-Inputs!$B$5)</f>
        <v>1547344.5281691658</v>
      </c>
      <c r="L31" s="20">
        <f>J31/(1+Inputs!$B$4)^(A31-Inputs!$B$5)</f>
        <v>3191328.6426856942</v>
      </c>
    </row>
    <row r="32" spans="1:14">
      <c r="A32" s="249">
        <f t="shared" si="1"/>
        <v>2040</v>
      </c>
      <c r="B32" s="501">
        <f>-'Overall TTS'!AD27*Inputs!$B$13</f>
        <v>3082539.3846153845</v>
      </c>
      <c r="C32" s="501">
        <f>-'Overall TTS'!AE27*Inputs!$B$13</f>
        <v>189176.61538461511</v>
      </c>
      <c r="D32" s="20">
        <f t="shared" si="2"/>
        <v>55177454.984615378</v>
      </c>
      <c r="E32" s="20">
        <f t="shared" si="3"/>
        <v>5826639.7538461452</v>
      </c>
      <c r="F32" s="85">
        <f t="shared" si="4"/>
        <v>61004094.738461524</v>
      </c>
      <c r="G32" s="20">
        <f>F32/(1+Inputs!$B$3)^(A32-Inputs!$B$5)</f>
        <v>15764617.329876002</v>
      </c>
      <c r="H32" s="20">
        <f>F32/(1+Inputs!$B$4)^(A32-Inputs!$B$5)</f>
        <v>33776488.162772313</v>
      </c>
      <c r="J32" s="85">
        <f t="shared" si="5"/>
        <v>5826639.7538461452</v>
      </c>
      <c r="K32" s="20">
        <f>J32/(1+Inputs!$B$3)^(A32-Inputs!$B$5)</f>
        <v>1505714.4349445663</v>
      </c>
      <c r="L32" s="20">
        <f>J32/(1+Inputs!$B$4)^(A32-Inputs!$B$5)</f>
        <v>3226069.1600828455</v>
      </c>
    </row>
    <row r="33" spans="1:26">
      <c r="A33" s="249">
        <f t="shared" si="1"/>
        <v>2041</v>
      </c>
      <c r="B33" s="501">
        <f>-'Overall TTS'!AD28*Inputs!$B$13</f>
        <v>3219811.538461538</v>
      </c>
      <c r="C33" s="501">
        <f>-'Overall TTS'!AE28*Inputs!$B$13</f>
        <v>196664.46153846156</v>
      </c>
      <c r="D33" s="20">
        <f t="shared" si="2"/>
        <v>57634626.538461529</v>
      </c>
      <c r="E33" s="20">
        <f t="shared" si="3"/>
        <v>6057265.4153846158</v>
      </c>
      <c r="F33" s="85">
        <f t="shared" si="4"/>
        <v>63691891.953846142</v>
      </c>
      <c r="G33" s="20">
        <f>F33/(1+Inputs!$B$3)^(A33-Inputs!$B$5)</f>
        <v>15382425.42620709</v>
      </c>
      <c r="H33" s="20">
        <f>F33/(1+Inputs!$B$4)^(A33-Inputs!$B$5)</f>
        <v>34237530.401068278</v>
      </c>
      <c r="J33" s="85">
        <f t="shared" si="5"/>
        <v>6057265.4153846158</v>
      </c>
      <c r="K33" s="20">
        <f>J33/(1+Inputs!$B$3)^(A33-Inputs!$B$5)</f>
        <v>1462908.8676846977</v>
      </c>
      <c r="L33" s="20">
        <f>J33/(1+Inputs!$B$4)^(A33-Inputs!$B$5)</f>
        <v>3256078.638029011</v>
      </c>
    </row>
    <row r="34" spans="1:26">
      <c r="A34" s="249">
        <f t="shared" si="1"/>
        <v>2042</v>
      </c>
      <c r="B34" s="501">
        <f>-'Overall TTS'!AD29*Inputs!$B$13</f>
        <v>3357083.6923076939</v>
      </c>
      <c r="C34" s="501">
        <f>-'Overall TTS'!AE29*Inputs!$B$13</f>
        <v>204152.30769230775</v>
      </c>
      <c r="D34" s="20">
        <f t="shared" si="2"/>
        <v>60091798.092307717</v>
      </c>
      <c r="E34" s="20">
        <f t="shared" si="3"/>
        <v>6287891.0769230789</v>
      </c>
      <c r="F34" s="85">
        <f t="shared" si="4"/>
        <v>66379689.169230796</v>
      </c>
      <c r="G34" s="20">
        <f>F34/(1+Inputs!$B$3)^(A34-Inputs!$B$5)</f>
        <v>14982769.74601029</v>
      </c>
      <c r="H34" s="20">
        <f>F34/(1+Inputs!$B$4)^(A34-Inputs!$B$5)</f>
        <v>34643061.988338538</v>
      </c>
      <c r="J34" s="85">
        <f t="shared" si="5"/>
        <v>6287891.0769230789</v>
      </c>
      <c r="K34" s="20">
        <f>J34/(1+Inputs!$B$3)^(A34-Inputs!$B$5)</f>
        <v>1419259.7972754694</v>
      </c>
      <c r="L34" s="20">
        <f>J34/(1+Inputs!$B$4)^(A34-Inputs!$B$5)</f>
        <v>3281603.1994126798</v>
      </c>
    </row>
    <row r="35" spans="1:26">
      <c r="A35" s="249">
        <f t="shared" si="1"/>
        <v>2043</v>
      </c>
      <c r="B35" s="501">
        <f>-'Overall TTS'!AD30*Inputs!$B$13</f>
        <v>3494355.846153846</v>
      </c>
      <c r="C35" s="501">
        <f>-'Overall TTS'!AE30*Inputs!$B$13</f>
        <v>211640.15384615393</v>
      </c>
      <c r="D35" s="20">
        <f t="shared" si="2"/>
        <v>62548969.646153837</v>
      </c>
      <c r="E35" s="20">
        <f t="shared" si="3"/>
        <v>6518516.738461541</v>
      </c>
      <c r="F35" s="85">
        <f t="shared" si="4"/>
        <v>69067486.384615377</v>
      </c>
      <c r="G35" s="20">
        <f>F35/(1+Inputs!$B$3)^(A35-Inputs!$B$5)</f>
        <v>14569570.993322486</v>
      </c>
      <c r="H35" s="20">
        <f>F35/(1+Inputs!$B$4)^(A35-Inputs!$B$5)</f>
        <v>34995925.435864896</v>
      </c>
      <c r="J35" s="85">
        <f t="shared" si="5"/>
        <v>6518516.738461541</v>
      </c>
      <c r="K35" s="20">
        <f>J35/(1+Inputs!$B$3)^(A35-Inputs!$B$5)</f>
        <v>1375060.7900120593</v>
      </c>
      <c r="L35" s="20">
        <f>J35/(1+Inputs!$B$4)^(A35-Inputs!$B$5)</f>
        <v>3302878.6433793087</v>
      </c>
    </row>
    <row r="36" spans="1:26">
      <c r="A36" s="249">
        <f t="shared" si="1"/>
        <v>2044</v>
      </c>
      <c r="B36" s="501">
        <f>-'Overall TTS'!AD31*Inputs!$B$13</f>
        <v>3631627.9999999995</v>
      </c>
      <c r="C36" s="501">
        <f>-'Overall TTS'!AE31*Inputs!$B$13</f>
        <v>219127.99999999997</v>
      </c>
      <c r="D36" s="20">
        <f t="shared" si="2"/>
        <v>65006141.199999988</v>
      </c>
      <c r="E36" s="20">
        <f t="shared" si="3"/>
        <v>6749142.3999999994</v>
      </c>
      <c r="F36" s="85">
        <f t="shared" si="4"/>
        <v>71755283.599999994</v>
      </c>
      <c r="G36" s="20">
        <f>F36/(1+Inputs!$B$3)^(A36-Inputs!$B$5)</f>
        <v>14146311.625207299</v>
      </c>
      <c r="H36" s="20">
        <f>F36/(1+Inputs!$B$4)^(A36-Inputs!$B$5)</f>
        <v>35298844.763449125</v>
      </c>
      <c r="J36" s="85">
        <f t="shared" si="5"/>
        <v>6749142.3999999994</v>
      </c>
      <c r="K36" s="20">
        <f>J36/(1+Inputs!$B$3)^(A36-Inputs!$B$5)</f>
        <v>1330570.6117131072</v>
      </c>
      <c r="L36" s="20">
        <f>J36/(1+Inputs!$B$4)^(A36-Inputs!$B$5)</f>
        <v>3320130.8379194038</v>
      </c>
    </row>
    <row r="37" spans="1:26">
      <c r="A37" s="249">
        <f t="shared" si="1"/>
        <v>2045</v>
      </c>
      <c r="B37" s="501">
        <f>-'Overall TTS'!AD32*Inputs!$B$13</f>
        <v>3631627.9999999995</v>
      </c>
      <c r="C37" s="501">
        <f>-'Overall TTS'!AE32*Inputs!$B$13</f>
        <v>219127.99999999997</v>
      </c>
      <c r="D37" s="20">
        <f t="shared" si="2"/>
        <v>65006141.199999988</v>
      </c>
      <c r="E37" s="20">
        <f t="shared" si="3"/>
        <v>6749142.3999999994</v>
      </c>
      <c r="F37" s="85">
        <f t="shared" si="4"/>
        <v>71755283.599999994</v>
      </c>
      <c r="G37" s="20">
        <f>F37/(1+Inputs!$B$3)^(A37-Inputs!$B$5)</f>
        <v>13220851.986175045</v>
      </c>
      <c r="H37" s="20">
        <f>F37/(1+Inputs!$B$4)^(A37-Inputs!$B$5)</f>
        <v>34270723.071309827</v>
      </c>
      <c r="J37" s="85">
        <f t="shared" si="5"/>
        <v>6749142.3999999994</v>
      </c>
      <c r="K37" s="20">
        <f>J37/(1+Inputs!$B$3)^(A37-Inputs!$B$5)</f>
        <v>1243523.936180474</v>
      </c>
      <c r="L37" s="20">
        <f>J37/(1+Inputs!$B$4)^(A37-Inputs!$B$5)</f>
        <v>3223427.9979800037</v>
      </c>
    </row>
    <row r="38" spans="1:26">
      <c r="A38" s="249">
        <f t="shared" si="1"/>
        <v>2046</v>
      </c>
      <c r="B38" s="501">
        <f>B37</f>
        <v>3631627.9999999995</v>
      </c>
      <c r="C38" s="501">
        <f>C37</f>
        <v>219127.99999999997</v>
      </c>
      <c r="D38" s="20">
        <f t="shared" si="2"/>
        <v>65006141.199999988</v>
      </c>
      <c r="E38" s="20">
        <f t="shared" si="3"/>
        <v>6749142.3999999994</v>
      </c>
      <c r="F38" s="85">
        <f t="shared" si="4"/>
        <v>71755283.599999994</v>
      </c>
      <c r="G38" s="20">
        <f>F38/(1+Inputs!$B$3)^(A38-Inputs!$B$5)</f>
        <v>12355936.435677614</v>
      </c>
      <c r="H38" s="20">
        <f>F38/(1+Inputs!$B$4)^(A38-Inputs!$B$5)</f>
        <v>33272546.671174586</v>
      </c>
      <c r="J38" s="85">
        <f t="shared" si="5"/>
        <v>6749142.3999999994</v>
      </c>
      <c r="K38" s="20">
        <f>J38/(1+Inputs!$B$3)^(A38-Inputs!$B$5)</f>
        <v>1162171.9029724058</v>
      </c>
      <c r="L38" s="20">
        <f>J38/(1+Inputs!$B$4)^(A38-Inputs!$B$5)</f>
        <v>3129541.7456116537</v>
      </c>
    </row>
    <row r="39" spans="1:26" s="416" customFormat="1">
      <c r="A39" s="249">
        <f t="shared" si="1"/>
        <v>2047</v>
      </c>
      <c r="B39" s="501">
        <f>B38</f>
        <v>3631627.9999999995</v>
      </c>
      <c r="C39" s="501">
        <f>C38</f>
        <v>219127.99999999997</v>
      </c>
      <c r="D39" s="20">
        <f t="shared" ref="D39" si="6">B39*$A$5</f>
        <v>65006141.199999988</v>
      </c>
      <c r="E39" s="20">
        <f t="shared" ref="E39" si="7">C39*$A$6</f>
        <v>6749142.3999999994</v>
      </c>
      <c r="F39" s="639">
        <f>SUM(D39:E39)*(1-Inputs!$B$8)</f>
        <v>29898034.833333328</v>
      </c>
      <c r="G39" s="20">
        <f>F39/(1+Inputs!$B$3)^(A39-Inputs!$B$5)</f>
        <v>4811501.7272887891</v>
      </c>
      <c r="H39" s="20">
        <f>F39/(1+Inputs!$B$4)^(A39-Inputs!$B$5)</f>
        <v>13459768.070863506</v>
      </c>
      <c r="I39" s="148"/>
      <c r="J39" s="639">
        <f>E39*(1-Inputs!$B$8)</f>
        <v>2812142.666666666</v>
      </c>
      <c r="K39" s="20">
        <f>J39/(1+Inputs!$B$3)^(A39-Inputs!$B$5)</f>
        <v>452559.15224782139</v>
      </c>
      <c r="L39" s="20">
        <f>J39/(1+Inputs!$B$4)^(A39-Inputs!$B$5)</f>
        <v>1265995.8517846495</v>
      </c>
      <c r="M39" s="148"/>
      <c r="N39" s="148"/>
    </row>
    <row r="40" spans="1:26">
      <c r="A40" s="155" t="s">
        <v>4</v>
      </c>
      <c r="G40" s="502">
        <f>SUM(G19:G39)</f>
        <v>319429104.3312484</v>
      </c>
      <c r="H40" s="502">
        <f>SUM(H19:H39)</f>
        <v>611008455.12749839</v>
      </c>
      <c r="J40" s="502">
        <f>SUM(J19:J39)</f>
        <v>101330720.22051282</v>
      </c>
      <c r="K40" s="502">
        <f>SUM(K19:K39)</f>
        <v>31475056.566111337</v>
      </c>
      <c r="L40" s="184">
        <f>SUM(L19:L38)</f>
        <v>58450480.015837252</v>
      </c>
    </row>
    <row r="41" spans="1:26">
      <c r="O41" s="416"/>
      <c r="P41" s="416"/>
      <c r="Q41" s="416"/>
      <c r="R41" s="416"/>
      <c r="S41" s="416"/>
      <c r="T41" s="416"/>
      <c r="U41" s="416"/>
      <c r="V41" s="416"/>
      <c r="W41" s="416"/>
      <c r="X41" s="416"/>
      <c r="Y41" s="416"/>
      <c r="Z41" s="416"/>
    </row>
  </sheetData>
  <sheetProtection algorithmName="SHA-512" hashValue="WRzEtxRNGC3aJhW1E4zBqvGjxsOVuAnoL0o5mODUg57V2BPDVuADYtoKtBLI7EomsfuLwNp4NpZ9XRo/SoQqNg==" saltValue="TDImQCAAoLi9Hou4z76qY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sheetPr>
  <dimension ref="A1:Q36"/>
  <sheetViews>
    <sheetView zoomScale="85" zoomScaleNormal="85" workbookViewId="0">
      <selection activeCell="C36" sqref="C36"/>
    </sheetView>
  </sheetViews>
  <sheetFormatPr defaultRowHeight="15"/>
  <cols>
    <col min="2" max="2" width="11.7109375" customWidth="1"/>
    <col min="4" max="4" width="11.7109375" customWidth="1"/>
    <col min="5" max="5" width="11.42578125" customWidth="1"/>
    <col min="7" max="7" width="13.85546875" customWidth="1"/>
    <col min="8" max="8" width="10.140625" bestFit="1" customWidth="1"/>
    <col min="9" max="9" width="12.42578125" bestFit="1" customWidth="1"/>
    <col min="10" max="10" width="12.7109375" bestFit="1" customWidth="1"/>
    <col min="11" max="11" width="11.85546875" bestFit="1" customWidth="1"/>
    <col min="12" max="12" width="12.42578125" customWidth="1"/>
    <col min="13" max="13" width="12.7109375" customWidth="1"/>
    <col min="15" max="15" width="13.140625" customWidth="1"/>
    <col min="16" max="17" width="12" customWidth="1"/>
  </cols>
  <sheetData>
    <row r="1" spans="1:17">
      <c r="A1" t="s">
        <v>507</v>
      </c>
    </row>
    <row r="3" spans="1:17">
      <c r="A3" s="206"/>
    </row>
    <row r="4" spans="1:17">
      <c r="A4" s="206" t="s">
        <v>505</v>
      </c>
      <c r="B4" s="206"/>
      <c r="C4" s="206"/>
      <c r="D4" s="206"/>
      <c r="E4" s="206"/>
      <c r="F4" s="206"/>
      <c r="G4" s="206"/>
      <c r="H4" s="206"/>
      <c r="I4" s="206"/>
      <c r="J4" s="206"/>
      <c r="K4" s="206"/>
      <c r="L4" s="206"/>
      <c r="M4" s="206"/>
    </row>
    <row r="5" spans="1:17">
      <c r="A5" s="206">
        <f>Inputs!B13</f>
        <v>280</v>
      </c>
      <c r="B5" s="206" t="s">
        <v>497</v>
      </c>
      <c r="C5" s="206"/>
      <c r="D5" s="206"/>
      <c r="E5" s="206"/>
      <c r="F5" s="206"/>
      <c r="G5" s="206"/>
      <c r="H5" s="206"/>
      <c r="I5" s="206"/>
      <c r="J5" s="206"/>
      <c r="K5" s="206"/>
      <c r="L5" s="206"/>
      <c r="M5" s="206"/>
    </row>
    <row r="6" spans="1:17">
      <c r="A6" s="5">
        <f>Inputs!B34</f>
        <v>22770</v>
      </c>
      <c r="B6" s="206" t="s">
        <v>522</v>
      </c>
      <c r="C6" s="206"/>
      <c r="D6" s="206"/>
      <c r="E6" s="206"/>
      <c r="F6" s="206"/>
      <c r="G6" s="206"/>
      <c r="H6" s="206"/>
      <c r="I6" s="206"/>
      <c r="J6" s="206"/>
      <c r="K6" s="206"/>
      <c r="L6" s="206"/>
      <c r="M6" s="206"/>
    </row>
    <row r="7" spans="1:17">
      <c r="A7" s="78">
        <f>Inputs!B45</f>
        <v>3.3379682469616645E-2</v>
      </c>
      <c r="B7" s="206" t="s">
        <v>506</v>
      </c>
      <c r="C7" s="206"/>
      <c r="D7" s="206"/>
      <c r="E7" s="206"/>
      <c r="F7" s="206"/>
      <c r="G7" s="206"/>
      <c r="H7" s="206"/>
      <c r="I7" s="206"/>
      <c r="J7" s="206"/>
      <c r="K7" s="206"/>
      <c r="L7" s="206"/>
      <c r="M7" s="206"/>
    </row>
    <row r="8" spans="1:17">
      <c r="A8" s="206">
        <v>1</v>
      </c>
      <c r="B8" s="206" t="s">
        <v>491</v>
      </c>
      <c r="C8" s="206"/>
      <c r="D8" s="206"/>
      <c r="E8" s="206"/>
      <c r="F8" s="206"/>
      <c r="G8" s="206"/>
      <c r="H8" s="206"/>
      <c r="I8" s="206"/>
      <c r="J8" s="206"/>
      <c r="K8" s="206"/>
      <c r="L8" s="206"/>
      <c r="M8" s="206"/>
    </row>
    <row r="9" spans="1:17">
      <c r="A9" s="206">
        <v>65</v>
      </c>
      <c r="B9" s="206" t="s">
        <v>502</v>
      </c>
      <c r="C9" s="206"/>
      <c r="D9" s="206"/>
      <c r="E9" s="206"/>
      <c r="F9" s="206"/>
      <c r="G9" s="206"/>
      <c r="H9" s="206"/>
      <c r="I9" s="206"/>
      <c r="J9" s="206"/>
      <c r="K9" s="206"/>
      <c r="L9" s="206"/>
      <c r="M9" s="206"/>
    </row>
    <row r="10" spans="1:17">
      <c r="A10" s="206">
        <v>55</v>
      </c>
      <c r="B10" s="206" t="s">
        <v>498</v>
      </c>
      <c r="C10" s="206"/>
      <c r="D10" s="206"/>
      <c r="E10" s="206"/>
      <c r="F10" s="206"/>
      <c r="G10" s="206"/>
      <c r="H10" s="206"/>
      <c r="I10" s="206"/>
      <c r="J10" s="206"/>
      <c r="K10" s="206"/>
      <c r="L10" s="206"/>
      <c r="M10" s="206"/>
    </row>
    <row r="11" spans="1:17">
      <c r="A11" s="206"/>
      <c r="B11" s="206"/>
      <c r="C11" s="206"/>
      <c r="D11" s="206"/>
      <c r="E11" s="206"/>
      <c r="F11" s="206"/>
      <c r="G11" s="206"/>
      <c r="H11" s="206"/>
      <c r="I11" s="206"/>
      <c r="J11" s="206"/>
      <c r="K11" s="206"/>
      <c r="L11" s="206"/>
      <c r="M11" s="206"/>
    </row>
    <row r="12" spans="1:17" s="1" customFormat="1" ht="60">
      <c r="A12" s="34"/>
      <c r="B12" s="389" t="s">
        <v>500</v>
      </c>
      <c r="C12" s="389" t="s">
        <v>503</v>
      </c>
      <c r="D12" s="389" t="s">
        <v>499</v>
      </c>
      <c r="E12" s="389" t="s">
        <v>501</v>
      </c>
      <c r="F12" s="389" t="s">
        <v>492</v>
      </c>
      <c r="G12" s="389" t="s">
        <v>493</v>
      </c>
      <c r="H12" s="389" t="s">
        <v>494</v>
      </c>
      <c r="I12" s="389" t="s">
        <v>495</v>
      </c>
      <c r="J12" s="389" t="s">
        <v>504</v>
      </c>
      <c r="K12" s="389" t="s">
        <v>496</v>
      </c>
      <c r="L12" s="389" t="s">
        <v>13</v>
      </c>
      <c r="M12" s="389" t="s">
        <v>14</v>
      </c>
      <c r="O12" s="388" t="s">
        <v>742</v>
      </c>
      <c r="P12" s="388" t="s">
        <v>13</v>
      </c>
      <c r="Q12" s="388" t="s">
        <v>14</v>
      </c>
    </row>
    <row r="13" spans="1:17">
      <c r="A13" s="18">
        <f>Costs!B10</f>
        <v>2022</v>
      </c>
      <c r="B13" s="168">
        <f t="shared" ref="B13:B18" si="0">$A$6*((1+$A$7)^(A13-2019))*$A$5</f>
        <v>7035594.7721749702</v>
      </c>
      <c r="C13" s="212">
        <f t="shared" ref="C13:C18" si="1">$A$8/$A$9</f>
        <v>1.5384615384615385E-2</v>
      </c>
      <c r="D13" s="212">
        <f t="shared" ref="D13:D18" si="2">$A$8/$A$10</f>
        <v>1.8181818181818181E-2</v>
      </c>
      <c r="E13" s="212">
        <f t="shared" ref="E13:E18" si="3">D13-C13</f>
        <v>2.7972027972027955E-3</v>
      </c>
      <c r="F13" s="213">
        <f t="shared" ref="F13:F18" si="4">E13*B13</f>
        <v>19679.98537671319</v>
      </c>
      <c r="G13" s="168">
        <f>F13*(1-Inputs!$B$46)</f>
        <v>18105.586546576134</v>
      </c>
      <c r="H13" s="168">
        <f>F13*Inputs!$B$46</f>
        <v>1574.3988301370553</v>
      </c>
      <c r="I13" s="12">
        <f>G13*Inputs!$B$79*Inputs!$B$12</f>
        <v>541230.29863680026</v>
      </c>
      <c r="J13" s="12">
        <f>H13*(Inputs!$B$80+Inputs!$B$81)</f>
        <v>114395.81899775846</v>
      </c>
      <c r="K13" s="12">
        <f t="shared" ref="K13:K17" si="5">SUM(I13:J13)</f>
        <v>655626.1176345587</v>
      </c>
      <c r="L13" s="12">
        <f>I13/(1+Inputs!$B$3)^(A13-Inputs!$B$5)</f>
        <v>472731.50374425738</v>
      </c>
      <c r="M13" s="12">
        <f>I13/(1+Inputs!$B$4)^(A13-Inputs!$B$5)</f>
        <v>510161.46539428813</v>
      </c>
      <c r="O13" s="20">
        <f>J13</f>
        <v>114395.81899775846</v>
      </c>
      <c r="P13" s="12">
        <f>O13/(1+Inputs!$B$3)^(A13-Inputs!$B$5)</f>
        <v>99917.738665174649</v>
      </c>
      <c r="Q13" s="12">
        <f>O13/(1+Inputs!$B$4)^(A13-Inputs!$B$5)</f>
        <v>107829.03100929255</v>
      </c>
    </row>
    <row r="14" spans="1:17">
      <c r="A14" s="18">
        <f>A13+1</f>
        <v>2023</v>
      </c>
      <c r="B14" s="168">
        <f t="shared" si="0"/>
        <v>7270440.6916550649</v>
      </c>
      <c r="C14" s="212">
        <f t="shared" si="1"/>
        <v>1.5384615384615385E-2</v>
      </c>
      <c r="D14" s="212">
        <f t="shared" si="2"/>
        <v>1.8181818181818181E-2</v>
      </c>
      <c r="E14" s="212">
        <f t="shared" si="3"/>
        <v>2.7972027972027955E-3</v>
      </c>
      <c r="F14" s="213">
        <f t="shared" si="4"/>
        <v>20336.897039594576</v>
      </c>
      <c r="G14" s="168">
        <f>F14*(1-Inputs!$B$46)</f>
        <v>18709.94527642701</v>
      </c>
      <c r="H14" s="168">
        <f>F14*Inputs!$B$46</f>
        <v>1626.9517631675662</v>
      </c>
      <c r="I14" s="12">
        <f>G14*Inputs!$B$79*Inputs!$B$12</f>
        <v>559296.39414823253</v>
      </c>
      <c r="J14" s="12">
        <f>H14*(Inputs!$B$80+Inputs!$B$81)</f>
        <v>118214.31511175538</v>
      </c>
      <c r="K14" s="12">
        <f t="shared" si="5"/>
        <v>677510.70925998793</v>
      </c>
      <c r="L14" s="12">
        <f>I14/(1+Inputs!$B$3)^(A14-Inputs!$B$5)</f>
        <v>456552.4590959113</v>
      </c>
      <c r="M14" s="12">
        <f>I14/(1+Inputs!$B$4)^(A14-Inputs!$B$5)</f>
        <v>511835.4302110523</v>
      </c>
      <c r="O14" s="20">
        <f t="shared" ref="O14:O17" si="6">J14</f>
        <v>118214.31511175538</v>
      </c>
      <c r="P14" s="12">
        <f>O14/(1+Inputs!$B$3)^(A14-Inputs!$B$5)</f>
        <v>96498.094443832073</v>
      </c>
      <c r="Q14" s="12">
        <f>O14/(1+Inputs!$B$4)^(A14-Inputs!$B$5)</f>
        <v>108182.8444906691</v>
      </c>
    </row>
    <row r="15" spans="1:17">
      <c r="A15" s="18">
        <f>A14+1</f>
        <v>2024</v>
      </c>
      <c r="B15" s="168">
        <f t="shared" si="0"/>
        <v>7513125.6933566919</v>
      </c>
      <c r="C15" s="212">
        <f t="shared" si="1"/>
        <v>1.5384615384615385E-2</v>
      </c>
      <c r="D15" s="212">
        <f t="shared" si="2"/>
        <v>1.8181818181818181E-2</v>
      </c>
      <c r="E15" s="212">
        <f t="shared" si="3"/>
        <v>2.7972027972027955E-3</v>
      </c>
      <c r="F15" s="213">
        <f t="shared" si="4"/>
        <v>21015.736205193531</v>
      </c>
      <c r="G15" s="168">
        <f>F15*(1-Inputs!$B$46)</f>
        <v>19334.477308778049</v>
      </c>
      <c r="H15" s="168">
        <f>F15*Inputs!$B$46</f>
        <v>1681.2588964154825</v>
      </c>
      <c r="I15" s="12">
        <f>G15*Inputs!$B$79*Inputs!$B$12</f>
        <v>577965.53019130218</v>
      </c>
      <c r="J15" s="12">
        <f>H15*(Inputs!$B$80+Inputs!$B$81)</f>
        <v>122160.27141354898</v>
      </c>
      <c r="K15" s="12">
        <f t="shared" si="5"/>
        <v>700125.80160485115</v>
      </c>
      <c r="L15" s="12">
        <f>I15/(1+Inputs!$B$3)^(A15-Inputs!$B$5)</f>
        <v>440927.1357114538</v>
      </c>
      <c r="M15" s="12">
        <f>I15/(1+Inputs!$B$4)^(A15-Inputs!$B$5)</f>
        <v>513514.88771669607</v>
      </c>
      <c r="O15" s="20">
        <f t="shared" si="6"/>
        <v>122160.27141354898</v>
      </c>
      <c r="P15" s="12">
        <f>O15/(1+Inputs!$B$3)^(A15-Inputs!$B$5)</f>
        <v>93195.486163822687</v>
      </c>
      <c r="Q15" s="12">
        <f>O15/(1+Inputs!$B$4)^(A15-Inputs!$B$5)</f>
        <v>108537.81892080346</v>
      </c>
    </row>
    <row r="16" spans="1:17" s="206" customFormat="1">
      <c r="A16" s="18">
        <f>A15+1</f>
        <v>2025</v>
      </c>
      <c r="B16" s="168">
        <f t="shared" si="0"/>
        <v>7763911.4433552548</v>
      </c>
      <c r="C16" s="212">
        <f t="shared" si="1"/>
        <v>1.5384615384615385E-2</v>
      </c>
      <c r="D16" s="212">
        <f t="shared" si="2"/>
        <v>1.8181818181818181E-2</v>
      </c>
      <c r="E16" s="212">
        <f t="shared" si="3"/>
        <v>2.7972027972027955E-3</v>
      </c>
      <c r="F16" s="213">
        <f t="shared" si="4"/>
        <v>21717.234806588112</v>
      </c>
      <c r="G16" s="168">
        <f>F16*(1-Inputs!$B$46)</f>
        <v>19979.856022061063</v>
      </c>
      <c r="H16" s="168">
        <f>F16*Inputs!$B$46</f>
        <v>1737.378784527049</v>
      </c>
      <c r="I16" s="12">
        <f>G16*Inputs!$B$79*Inputs!$B$12</f>
        <v>597257.8360674713</v>
      </c>
      <c r="J16" s="12">
        <f>H16*(Inputs!$B$80+Inputs!$B$81)</f>
        <v>126237.9424837354</v>
      </c>
      <c r="K16" s="12">
        <f t="shared" si="5"/>
        <v>723495.77855120669</v>
      </c>
      <c r="L16" s="12">
        <f>I16/(1+Inputs!$B$3)^(A16-Inputs!$B$5)</f>
        <v>425836.58270442946</v>
      </c>
      <c r="M16" s="12">
        <f>I16/(1+Inputs!$B$4)^(A16-Inputs!$B$5)</f>
        <v>515199.85593407776</v>
      </c>
      <c r="O16" s="20">
        <f t="shared" si="6"/>
        <v>126237.9424837354</v>
      </c>
      <c r="P16" s="12">
        <f>O16/(1+Inputs!$B$3)^(A16-Inputs!$B$5)</f>
        <v>90005.908317357578</v>
      </c>
      <c r="Q16" s="12">
        <f>O16/(1+Inputs!$B$4)^(A16-Inputs!$B$5)</f>
        <v>108893.95810905303</v>
      </c>
    </row>
    <row r="17" spans="1:17">
      <c r="A17" s="18">
        <f>A16+1</f>
        <v>2026</v>
      </c>
      <c r="B17" s="168">
        <f t="shared" si="0"/>
        <v>8023068.3420566767</v>
      </c>
      <c r="C17" s="212">
        <f t="shared" si="1"/>
        <v>1.5384615384615385E-2</v>
      </c>
      <c r="D17" s="212">
        <f t="shared" si="2"/>
        <v>1.8181818181818181E-2</v>
      </c>
      <c r="E17" s="212">
        <f t="shared" si="3"/>
        <v>2.7972027972027955E-3</v>
      </c>
      <c r="F17" s="213">
        <f t="shared" si="4"/>
        <v>22442.14920855013</v>
      </c>
      <c r="G17" s="168">
        <f>F17*(1-Inputs!$B$46)</f>
        <v>20646.777271866122</v>
      </c>
      <c r="H17" s="168">
        <f>F17*Inputs!$B$46</f>
        <v>1795.3719366840105</v>
      </c>
      <c r="I17" s="12">
        <f>G17*Inputs!$B$79*Inputs!$B$12</f>
        <v>617194.11298789387</v>
      </c>
      <c r="J17" s="12">
        <f>H17*(Inputs!$B$80+Inputs!$B$81)</f>
        <v>130451.72491946022</v>
      </c>
      <c r="K17" s="12">
        <f t="shared" si="5"/>
        <v>747645.83790735411</v>
      </c>
      <c r="L17" s="12">
        <f>I17/(1+Inputs!$B$3)^(A17-Inputs!$B$5)</f>
        <v>411262.49777481309</v>
      </c>
      <c r="M17" s="12">
        <f>I17/(1+Inputs!$B$4)^(A17-Inputs!$B$5)</f>
        <v>516890.35294519371</v>
      </c>
      <c r="O17" s="20">
        <f t="shared" si="6"/>
        <v>130451.72491946022</v>
      </c>
      <c r="P17" s="12">
        <f>O17/(1+Inputs!$B$3)^(A17-Inputs!$B$5)</f>
        <v>86925.492483533089</v>
      </c>
      <c r="Q17" s="12">
        <f>O17/(1+Inputs!$B$4)^(A17-Inputs!$B$5)</f>
        <v>109251.26587727469</v>
      </c>
    </row>
    <row r="18" spans="1:17" s="206" customFormat="1">
      <c r="A18" s="18">
        <f>A17+1</f>
        <v>2027</v>
      </c>
      <c r="B18" s="168">
        <f t="shared" si="0"/>
        <v>8290875.8157465607</v>
      </c>
      <c r="C18" s="212">
        <f t="shared" si="1"/>
        <v>1.5384615384615385E-2</v>
      </c>
      <c r="D18" s="212">
        <f t="shared" si="2"/>
        <v>1.8181818181818181E-2</v>
      </c>
      <c r="E18" s="212">
        <f t="shared" si="3"/>
        <v>2.7972027972027955E-3</v>
      </c>
      <c r="F18" s="213">
        <f t="shared" si="4"/>
        <v>23191.261023067287</v>
      </c>
      <c r="G18" s="168">
        <f>F18*(1-Inputs!$B$46)</f>
        <v>21335.960141221905</v>
      </c>
      <c r="H18" s="168">
        <f>F18*Inputs!$B$46</f>
        <v>1855.3008818453829</v>
      </c>
      <c r="I18" s="12">
        <f>G18*Inputs!$B$79*Inputs!$B$12</f>
        <v>637795.85650154634</v>
      </c>
      <c r="J18" s="12">
        <f>H18*(Inputs!$B$80+Inputs!$B$81)</f>
        <v>134806.16207488553</v>
      </c>
      <c r="K18" s="638">
        <f>SUM(I18:J18)*Inputs!B8</f>
        <v>450684.51083625195</v>
      </c>
      <c r="L18" s="12">
        <f>I18/(1+Inputs!$B$3)^(A18-Inputs!$B$5)</f>
        <v>397187.2050113997</v>
      </c>
      <c r="M18" s="12">
        <f>I18/(1+Inputs!$B$4)^(A18-Inputs!$B$5)</f>
        <v>518586.39689137111</v>
      </c>
      <c r="O18" s="638">
        <f>J18*Inputs!B8</f>
        <v>78636.927877016569</v>
      </c>
      <c r="P18" s="12">
        <f>O18/(1+Inputs!$B$3)^(A18-Inputs!$B$5)</f>
        <v>48971.126538009274</v>
      </c>
      <c r="Q18" s="12">
        <f>O18/(1+Inputs!$B$4)^(A18-Inputs!$B$5)</f>
        <v>63939.018534921706</v>
      </c>
    </row>
    <row r="19" spans="1:17">
      <c r="A19" s="18" t="s">
        <v>0</v>
      </c>
      <c r="B19" s="209"/>
      <c r="C19" s="209"/>
      <c r="D19" s="209"/>
      <c r="E19" s="209"/>
      <c r="F19" s="213"/>
      <c r="G19" s="214"/>
      <c r="H19" s="209"/>
      <c r="I19" s="209"/>
      <c r="J19" s="209"/>
      <c r="K19" s="209"/>
      <c r="L19" s="12">
        <f>SUM(L13:L18)</f>
        <v>2604497.3840422649</v>
      </c>
      <c r="M19" s="12">
        <f>SUM(M13:M18)</f>
        <v>3086188.3890926791</v>
      </c>
      <c r="O19" s="12">
        <f>SUM(O13:O18)</f>
        <v>690097.00080327503</v>
      </c>
      <c r="P19" s="12">
        <f>SUM(P13:P18)</f>
        <v>515513.84661172936</v>
      </c>
      <c r="Q19" s="12">
        <f>SUM(Q13:Q18)</f>
        <v>606633.93694201461</v>
      </c>
    </row>
    <row r="20" spans="1:17">
      <c r="A20" s="148" t="s">
        <v>513</v>
      </c>
    </row>
    <row r="21" spans="1:17">
      <c r="A21" s="148"/>
    </row>
    <row r="22" spans="1:17">
      <c r="A22" s="148"/>
    </row>
    <row r="23" spans="1:17">
      <c r="A23" s="148" t="s">
        <v>291</v>
      </c>
      <c r="B23" s="206"/>
      <c r="C23" s="206"/>
      <c r="D23" s="206"/>
      <c r="E23" s="206"/>
      <c r="F23" s="206"/>
      <c r="G23" s="206"/>
      <c r="H23" s="206"/>
      <c r="I23" s="206"/>
      <c r="J23" s="206"/>
      <c r="K23" s="206"/>
      <c r="L23" s="206"/>
      <c r="M23" s="206"/>
    </row>
    <row r="24" spans="1:17">
      <c r="A24" s="148">
        <f>A5</f>
        <v>280</v>
      </c>
      <c r="B24" s="206" t="s">
        <v>497</v>
      </c>
      <c r="C24" s="206"/>
      <c r="D24" s="206"/>
      <c r="E24" s="206"/>
      <c r="F24" s="206"/>
      <c r="G24" s="206"/>
      <c r="H24" s="206"/>
      <c r="I24" s="206"/>
      <c r="J24" s="206"/>
      <c r="K24" s="206"/>
      <c r="L24" s="206"/>
      <c r="M24" s="206"/>
    </row>
    <row r="25" spans="1:17">
      <c r="A25" s="296">
        <f>Inputs!B57</f>
        <v>11411.111111111111</v>
      </c>
      <c r="B25" s="206" t="s">
        <v>523</v>
      </c>
      <c r="C25" s="206"/>
      <c r="D25" s="206"/>
      <c r="E25" s="206"/>
      <c r="F25" s="206"/>
      <c r="G25" s="206"/>
      <c r="H25" s="206"/>
      <c r="I25" s="206"/>
      <c r="J25" s="206"/>
      <c r="K25" s="206"/>
      <c r="L25" s="206"/>
      <c r="M25" s="206"/>
    </row>
    <row r="26" spans="1:17">
      <c r="A26" s="228">
        <f>Inputs!B67</f>
        <v>1.3474376412227596E-2</v>
      </c>
      <c r="B26" s="206" t="s">
        <v>830</v>
      </c>
      <c r="C26" s="206"/>
      <c r="D26" s="206"/>
      <c r="E26" s="206"/>
      <c r="F26" s="206"/>
      <c r="G26" s="206"/>
      <c r="H26" s="206"/>
      <c r="I26" s="206"/>
      <c r="J26" s="206"/>
      <c r="K26" s="206"/>
      <c r="L26" s="206"/>
      <c r="M26" s="206"/>
    </row>
    <row r="27" spans="1:17">
      <c r="A27" s="148">
        <v>1</v>
      </c>
      <c r="B27" s="206" t="s">
        <v>491</v>
      </c>
      <c r="C27" s="206"/>
      <c r="D27" s="206"/>
      <c r="E27" s="206"/>
      <c r="F27" s="206"/>
      <c r="G27" s="206"/>
      <c r="H27" s="206"/>
      <c r="I27" s="206"/>
      <c r="J27" s="206"/>
      <c r="K27" s="206"/>
      <c r="L27" s="206"/>
      <c r="M27" s="206"/>
    </row>
    <row r="28" spans="1:17">
      <c r="A28" s="148">
        <v>55</v>
      </c>
      <c r="B28" s="206" t="s">
        <v>502</v>
      </c>
      <c r="C28" s="206"/>
      <c r="D28" s="206"/>
      <c r="E28" s="206"/>
      <c r="F28" s="206"/>
      <c r="G28" s="206"/>
      <c r="H28" s="206"/>
      <c r="I28" s="206"/>
      <c r="J28" s="206"/>
      <c r="K28" s="206"/>
      <c r="L28" s="206"/>
      <c r="M28" s="206"/>
    </row>
    <row r="29" spans="1:17">
      <c r="A29" s="148">
        <v>45</v>
      </c>
      <c r="B29" s="206" t="s">
        <v>498</v>
      </c>
      <c r="C29" s="206"/>
      <c r="D29" s="206"/>
      <c r="E29" s="206"/>
      <c r="F29" s="206"/>
      <c r="G29" s="206"/>
      <c r="H29" s="206"/>
      <c r="I29" s="206"/>
      <c r="J29" s="206"/>
      <c r="K29" s="206"/>
      <c r="L29" s="206"/>
      <c r="M29" s="206"/>
    </row>
    <row r="30" spans="1:17">
      <c r="A30" s="148"/>
      <c r="B30" s="206"/>
      <c r="C30" s="206"/>
      <c r="D30" s="206"/>
      <c r="E30" s="206"/>
      <c r="F30" s="206"/>
      <c r="G30" s="206"/>
      <c r="H30" s="206"/>
      <c r="I30" s="206"/>
      <c r="J30" s="206"/>
      <c r="K30" s="206"/>
      <c r="L30" s="206"/>
      <c r="M30" s="206"/>
    </row>
    <row r="31" spans="1:17" s="1" customFormat="1" ht="60">
      <c r="A31" s="390"/>
      <c r="B31" s="389" t="s">
        <v>500</v>
      </c>
      <c r="C31" s="389" t="s">
        <v>503</v>
      </c>
      <c r="D31" s="389" t="s">
        <v>499</v>
      </c>
      <c r="E31" s="389" t="s">
        <v>501</v>
      </c>
      <c r="F31" s="389" t="s">
        <v>492</v>
      </c>
      <c r="G31" s="389" t="s">
        <v>493</v>
      </c>
      <c r="H31" s="389" t="s">
        <v>494</v>
      </c>
      <c r="I31" s="389" t="s">
        <v>495</v>
      </c>
      <c r="J31" s="389" t="s">
        <v>504</v>
      </c>
      <c r="K31" s="389" t="s">
        <v>496</v>
      </c>
      <c r="L31" s="389" t="s">
        <v>13</v>
      </c>
      <c r="M31" s="389" t="s">
        <v>14</v>
      </c>
      <c r="O31" s="388" t="s">
        <v>742</v>
      </c>
      <c r="P31" s="388" t="s">
        <v>13</v>
      </c>
      <c r="Q31" s="388" t="s">
        <v>14</v>
      </c>
    </row>
    <row r="32" spans="1:17" s="1" customFormat="1">
      <c r="A32" s="21">
        <v>2022</v>
      </c>
      <c r="B32" s="168">
        <f>$A$25*((1+$A$26)^(A32-2018))*$A$24</f>
        <v>3370831.6051818118</v>
      </c>
      <c r="C32" s="212">
        <f>$A$27/$A$28</f>
        <v>1.8181818181818181E-2</v>
      </c>
      <c r="D32" s="212">
        <f>$A$27/$A$29</f>
        <v>2.2222222222222223E-2</v>
      </c>
      <c r="E32" s="212">
        <f>D32-C32</f>
        <v>4.0404040404040421E-3</v>
      </c>
      <c r="F32" s="213">
        <f>E32*B32</f>
        <v>13619.521637098236</v>
      </c>
      <c r="G32" s="168">
        <f>F32*(1-Inputs!$B$46)</f>
        <v>12529.959906130378</v>
      </c>
      <c r="H32" s="168">
        <f>F32*Inputs!$B$46</f>
        <v>1089.5617309678589</v>
      </c>
      <c r="I32" s="12">
        <f>G32*Inputs!$B$79*Inputs!$B$12</f>
        <v>374558.09147395537</v>
      </c>
      <c r="J32" s="12">
        <f>H32*(Inputs!$B$80+Inputs!$B$81)</f>
        <v>79167.55537212464</v>
      </c>
      <c r="K32" s="12">
        <f>SUM(I32:J32)</f>
        <v>453725.64684608002</v>
      </c>
      <c r="L32" s="12">
        <f>K32/(1+Inputs!$B$3)^(A32-Inputs!$B$5)</f>
        <v>396301.55196618044</v>
      </c>
      <c r="M32" s="12">
        <f>K32/(1+Inputs!$B$4)^(A32-Inputs!$B$5)</f>
        <v>427679.93858618161</v>
      </c>
      <c r="O32" s="20">
        <f t="shared" ref="O32" si="7">J32</f>
        <v>79167.55537212464</v>
      </c>
      <c r="P32" s="12">
        <f>O32/(1+Inputs!$B$3)^(A32-Inputs!$B$5)</f>
        <v>69148.008884727606</v>
      </c>
      <c r="Q32" s="12">
        <f>O32/(1+Inputs!$B$4)^(A32-Inputs!$B$5)</f>
        <v>74623.013829884672</v>
      </c>
    </row>
    <row r="33" spans="1:17">
      <c r="A33" s="18">
        <f>A32+1</f>
        <v>2023</v>
      </c>
      <c r="B33" s="168">
        <f>$A$25*((1+$A$26)^(A33-2018))*$A$24</f>
        <v>3416251.4590522647</v>
      </c>
      <c r="C33" s="212">
        <f>$A$27/$A$28</f>
        <v>1.8181818181818181E-2</v>
      </c>
      <c r="D33" s="212">
        <f>$A$27/$A$29</f>
        <v>2.2222222222222223E-2</v>
      </c>
      <c r="E33" s="212">
        <f>D33-C33</f>
        <v>4.0404040404040421E-3</v>
      </c>
      <c r="F33" s="213">
        <f>E33*B33</f>
        <v>13803.036198190974</v>
      </c>
      <c r="G33" s="168">
        <f>F33*(1-Inputs!$B$46)</f>
        <v>12698.793302335696</v>
      </c>
      <c r="H33" s="168">
        <f>F33*Inputs!$B$46</f>
        <v>1104.242895855278</v>
      </c>
      <c r="I33" s="12">
        <f>G33*Inputs!$B$79*Inputs!$B$12</f>
        <v>379605.02818672091</v>
      </c>
      <c r="J33" s="12">
        <f>H33*(Inputs!$B$80+Inputs!$B$81)</f>
        <v>80234.288812844505</v>
      </c>
      <c r="K33" s="12">
        <f>SUM(I33:J33)</f>
        <v>459839.3169995654</v>
      </c>
      <c r="L33" s="12">
        <f>K33/(1+Inputs!$B$3)^(A33-Inputs!$B$5)</f>
        <v>375365.85817768465</v>
      </c>
      <c r="M33" s="12">
        <f>K33/(1+Inputs!$B$4)^(A33-Inputs!$B$5)</f>
        <v>420818.11559480586</v>
      </c>
      <c r="O33" s="20">
        <f t="shared" ref="O33" si="8">J33</f>
        <v>80234.288812844505</v>
      </c>
      <c r="P33" s="12">
        <f>O33/(1+Inputs!$B$3)^(A33-Inputs!$B$5)</f>
        <v>65495.079611772402</v>
      </c>
      <c r="Q33" s="12">
        <f>O33/(1+Inputs!$B$4)^(A33-Inputs!$B$5)</f>
        <v>73425.740201207169</v>
      </c>
    </row>
    <row r="34" spans="1:17">
      <c r="A34" s="18">
        <f>A33+1</f>
        <v>2024</v>
      </c>
      <c r="B34" s="168">
        <f>$A$25*((1+$A$26)^(A34-2018))*$A$24</f>
        <v>3462283.317130357</v>
      </c>
      <c r="C34" s="212">
        <f>$A$27/$A$28</f>
        <v>1.8181818181818181E-2</v>
      </c>
      <c r="D34" s="212">
        <f>$A$27/$A$29</f>
        <v>2.2222222222222223E-2</v>
      </c>
      <c r="E34" s="212">
        <f>D34-C34</f>
        <v>4.0404040404040421E-3</v>
      </c>
      <c r="F34" s="213">
        <f>E34*B34</f>
        <v>13989.023503557004</v>
      </c>
      <c r="G34" s="168">
        <f>F34*(1-Inputs!$B$46)</f>
        <v>12869.901623272444</v>
      </c>
      <c r="H34" s="168">
        <f>F34*Inputs!$B$46</f>
        <v>1119.1218802845603</v>
      </c>
      <c r="I34" s="12">
        <f>G34*Inputs!$B$79*Inputs!$B$12</f>
        <v>384719.96922448312</v>
      </c>
      <c r="J34" s="12">
        <f>H34*(Inputs!$B$80+Inputs!$B$81)</f>
        <v>81315.395821476166</v>
      </c>
      <c r="K34" s="638">
        <f>SUM(I34:J34)*Inputs!B10</f>
        <v>155345.12168198643</v>
      </c>
      <c r="L34" s="12">
        <f>K34/(1+Inputs!$B$3)^(A34-Inputs!$B$5)</f>
        <v>118512.04954612764</v>
      </c>
      <c r="M34" s="12">
        <f>K34/(1+Inputs!$B$4)^(A34-Inputs!$B$5)</f>
        <v>138022.12857133162</v>
      </c>
      <c r="O34" s="638">
        <f>J34*Inputs!B10</f>
        <v>27105.131940492054</v>
      </c>
      <c r="P34" s="12">
        <f>O34/(1+Inputs!$B$3)^(A34-Inputs!$B$5)</f>
        <v>20678.375379317833</v>
      </c>
      <c r="Q34" s="12">
        <f>O34/(1+Inputs!$B$4)^(A34-Inputs!$B$5)</f>
        <v>24082.558661173036</v>
      </c>
    </row>
    <row r="35" spans="1:17">
      <c r="A35" s="18" t="s">
        <v>0</v>
      </c>
      <c r="B35" s="209"/>
      <c r="C35" s="209"/>
      <c r="D35" s="209"/>
      <c r="E35" s="209"/>
      <c r="F35" s="213"/>
      <c r="G35" s="214"/>
      <c r="H35" s="209"/>
      <c r="I35" s="209"/>
      <c r="J35" s="209"/>
      <c r="K35" s="209"/>
      <c r="L35" s="12">
        <f>SUM(L32:L34)</f>
        <v>890179.45968999271</v>
      </c>
      <c r="M35" s="12">
        <f>SUM(M32:M34)</f>
        <v>986520.18275231903</v>
      </c>
      <c r="O35" s="12">
        <f>SUM(O32:O34)</f>
        <v>186506.97612546119</v>
      </c>
      <c r="P35" s="12">
        <f>SUM(P32:P34)</f>
        <v>155321.46387581783</v>
      </c>
      <c r="Q35" s="12">
        <f>SUM(Q32:Q34)</f>
        <v>172131.31269226488</v>
      </c>
    </row>
    <row r="36" spans="1:17">
      <c r="A36" s="206" t="s">
        <v>513</v>
      </c>
      <c r="B36" s="206"/>
      <c r="C36" s="206"/>
      <c r="D36" s="206"/>
      <c r="E36" s="206"/>
      <c r="F36" s="206"/>
      <c r="G36" s="206"/>
      <c r="H36" s="206"/>
      <c r="I36" s="206"/>
      <c r="J36" s="206"/>
      <c r="K36" s="206"/>
      <c r="L36" s="206"/>
      <c r="M36" s="206"/>
    </row>
  </sheetData>
  <sheetProtection algorithmName="SHA-512" hashValue="qiZnHVgUehk3mHgd44KTXflPiIP5gcxiAvlYNlhQIE4g4N91z5QzSTV+NaDtgqmzQFFDZht8x0Mj13kYQErxTA==" saltValue="cxpllKP0LBgroLmTc62xDA=="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tint="0.59999389629810485"/>
  </sheetPr>
  <dimension ref="A1:E29"/>
  <sheetViews>
    <sheetView zoomScale="85" zoomScaleNormal="85" workbookViewId="0">
      <selection activeCell="C36" sqref="C36"/>
    </sheetView>
  </sheetViews>
  <sheetFormatPr defaultColWidth="9.140625" defaultRowHeight="15"/>
  <cols>
    <col min="1" max="1" width="23" style="52" bestFit="1" customWidth="1"/>
    <col min="2" max="2" width="14.140625" style="52" customWidth="1"/>
    <col min="3" max="3" width="14.85546875" style="52" bestFit="1" customWidth="1"/>
    <col min="4" max="4" width="17.85546875" style="52" customWidth="1"/>
    <col min="5" max="5" width="16.7109375" style="52" customWidth="1"/>
    <col min="6" max="6" width="21.28515625" style="52" customWidth="1"/>
    <col min="7" max="19" width="15" style="52" bestFit="1" customWidth="1"/>
    <col min="20" max="39" width="12.5703125" style="52" customWidth="1"/>
    <col min="40" max="16384" width="9.140625" style="52"/>
  </cols>
  <sheetData>
    <row r="1" spans="1:5">
      <c r="A1" s="1" t="s">
        <v>1060</v>
      </c>
      <c r="D1" s="188"/>
    </row>
    <row r="2" spans="1:5">
      <c r="A2" s="1"/>
      <c r="D2" s="188"/>
      <c r="E2" s="167"/>
    </row>
    <row r="3" spans="1:5">
      <c r="A3" s="63">
        <f>Inputs!B81</f>
        <v>41.860000000000007</v>
      </c>
      <c r="B3" s="52" t="str">
        <f>Inputs!A81</f>
        <v>Truck operating savings per hour (2019$)</v>
      </c>
      <c r="D3" s="188"/>
      <c r="E3" s="167"/>
    </row>
    <row r="4" spans="1:5" s="77" customFormat="1">
      <c r="A4" s="124"/>
      <c r="B4" s="77" t="s">
        <v>1059</v>
      </c>
      <c r="D4" s="188"/>
      <c r="E4" s="167"/>
    </row>
    <row r="5" spans="1:5" s="77" customFormat="1">
      <c r="A5" s="124"/>
      <c r="B5" s="206"/>
      <c r="D5" s="33"/>
    </row>
    <row r="6" spans="1:5" s="77" customFormat="1">
      <c r="A6" s="77" t="s">
        <v>229</v>
      </c>
      <c r="B6" s="60"/>
      <c r="D6" s="33"/>
    </row>
    <row r="7" spans="1:5" ht="45">
      <c r="A7" s="159" t="s">
        <v>1</v>
      </c>
      <c r="B7" s="160" t="s">
        <v>91</v>
      </c>
      <c r="C7" s="159" t="s">
        <v>92</v>
      </c>
      <c r="D7" s="159" t="s">
        <v>268</v>
      </c>
      <c r="E7" s="159" t="s">
        <v>269</v>
      </c>
    </row>
    <row r="8" spans="1:5">
      <c r="A8" s="110">
        <f>Inputs!$B$7</f>
        <v>2027</v>
      </c>
      <c r="B8" s="10">
        <f>'Travel Time Savings'!C19</f>
        <v>91834.615384615332</v>
      </c>
      <c r="C8" s="638">
        <f>B8*$A$3*Inputs!B8</f>
        <v>2242448.2499999995</v>
      </c>
      <c r="D8" s="12">
        <f>C8/((1+Inputs!$B$3)^($A8-Inputs!$B$5))</f>
        <v>1396484.0688770527</v>
      </c>
      <c r="E8" s="12">
        <f>C8/((1+Inputs!$B$4)^($A8-Inputs!$B$5))</f>
        <v>1823315.6367017585</v>
      </c>
    </row>
    <row r="9" spans="1:5">
      <c r="A9" s="110">
        <f t="shared" ref="A9:A28" si="0">A8+1</f>
        <v>2028</v>
      </c>
      <c r="B9" s="10">
        <f>'Travel Time Savings'!C20</f>
        <v>99322.461538461517</v>
      </c>
      <c r="C9" s="12">
        <f t="shared" ref="C9:C21" si="1">B9*$A$3</f>
        <v>4157638.2399999998</v>
      </c>
      <c r="D9" s="12">
        <f>C9/((1+Inputs!$B$3)^($A9-Inputs!$B$5))</f>
        <v>2419783.3091677623</v>
      </c>
      <c r="E9" s="12">
        <f>C9/((1+Inputs!$B$4)^($A9-Inputs!$B$5))</f>
        <v>3282078.0195927392</v>
      </c>
    </row>
    <row r="10" spans="1:5">
      <c r="A10" s="110">
        <f t="shared" si="0"/>
        <v>2029</v>
      </c>
      <c r="B10" s="10">
        <f>'Travel Time Savings'!C21</f>
        <v>106810.30769230757</v>
      </c>
      <c r="C10" s="12">
        <f t="shared" si="1"/>
        <v>4471079.4799999958</v>
      </c>
      <c r="D10" s="12">
        <f>C10/((1+Inputs!$B$3)^($A10-Inputs!$B$5))</f>
        <v>2431970.9949475839</v>
      </c>
      <c r="E10" s="12">
        <f>C10/((1+Inputs!$B$4)^($A10-Inputs!$B$5))</f>
        <v>3426710.1251102397</v>
      </c>
    </row>
    <row r="11" spans="1:5">
      <c r="A11" s="110">
        <f t="shared" si="0"/>
        <v>2030</v>
      </c>
      <c r="B11" s="10">
        <f>'Travel Time Savings'!C22</f>
        <v>114298.15384615376</v>
      </c>
      <c r="C11" s="12">
        <f t="shared" si="1"/>
        <v>4784520.7199999969</v>
      </c>
      <c r="D11" s="12">
        <f>C11/((1+Inputs!$B$3)^($A11-Inputs!$B$5))</f>
        <v>2432207.7212158889</v>
      </c>
      <c r="E11" s="12">
        <f>C11/((1+Inputs!$B$4)^($A11-Inputs!$B$5))</f>
        <v>3560132.7534492961</v>
      </c>
    </row>
    <row r="12" spans="1:5">
      <c r="A12" s="110">
        <f t="shared" si="0"/>
        <v>2031</v>
      </c>
      <c r="B12" s="10">
        <f>'Travel Time Savings'!C23</f>
        <v>121785.99999999994</v>
      </c>
      <c r="C12" s="12">
        <f t="shared" si="1"/>
        <v>5097961.9599999981</v>
      </c>
      <c r="D12" s="12">
        <f>C12/((1+Inputs!$B$3)^($A12-Inputs!$B$5))</f>
        <v>2422005.0034539411</v>
      </c>
      <c r="E12" s="12">
        <f>C12/((1+Inputs!$B$4)^($A12-Inputs!$B$5))</f>
        <v>3682876.1871951269</v>
      </c>
    </row>
    <row r="13" spans="1:5">
      <c r="A13" s="110">
        <f t="shared" si="0"/>
        <v>2032</v>
      </c>
      <c r="B13" s="10">
        <f>'Travel Time Savings'!C24</f>
        <v>129273.84615384613</v>
      </c>
      <c r="C13" s="12">
        <f t="shared" si="1"/>
        <v>5411403.1999999993</v>
      </c>
      <c r="D13" s="12">
        <f>C13/((1+Inputs!$B$3)^($A13-Inputs!$B$5))</f>
        <v>2402727.737073584</v>
      </c>
      <c r="E13" s="12">
        <f>C13/((1+Inputs!$B$4)^($A13-Inputs!$B$5))</f>
        <v>3795449.3280918715</v>
      </c>
    </row>
    <row r="14" spans="1:5">
      <c r="A14" s="110">
        <f t="shared" si="0"/>
        <v>2033</v>
      </c>
      <c r="B14" s="10">
        <f>'Travel Time Savings'!C25</f>
        <v>136761.69230769231</v>
      </c>
      <c r="C14" s="12">
        <f t="shared" si="1"/>
        <v>5724844.4400000013</v>
      </c>
      <c r="D14" s="12">
        <f>C14/((1+Inputs!$B$3)^($A14-Inputs!$B$5))</f>
        <v>2375606.912292365</v>
      </c>
      <c r="E14" s="12">
        <f>C14/((1+Inputs!$B$4)^($A14-Inputs!$B$5))</f>
        <v>3898340.4926704951</v>
      </c>
    </row>
    <row r="15" spans="1:5">
      <c r="A15" s="110">
        <f t="shared" si="0"/>
        <v>2034</v>
      </c>
      <c r="B15" s="10">
        <f>'Travel Time Savings'!C26</f>
        <v>144249.53846153838</v>
      </c>
      <c r="C15" s="12">
        <f t="shared" si="1"/>
        <v>6038285.6799999978</v>
      </c>
      <c r="D15" s="12">
        <f>C15/((1+Inputs!$B$3)^($A15-Inputs!$B$5))</f>
        <v>2341751.2928920207</v>
      </c>
      <c r="E15" s="12">
        <f>C15/((1+Inputs!$B$4)^($A15-Inputs!$B$5))</f>
        <v>3992018.1796675879</v>
      </c>
    </row>
    <row r="16" spans="1:5">
      <c r="A16" s="110">
        <f t="shared" si="0"/>
        <v>2035</v>
      </c>
      <c r="B16" s="10">
        <f>'Travel Time Savings'!C27</f>
        <v>151737.38461538457</v>
      </c>
      <c r="C16" s="12">
        <f t="shared" si="1"/>
        <v>6351726.919999999</v>
      </c>
      <c r="D16" s="12">
        <f>C16/((1+Inputs!$B$3)^($A16-Inputs!$B$5))</f>
        <v>2302158.1400092244</v>
      </c>
      <c r="E16" s="12">
        <f>C16/((1+Inputs!$B$4)^($A16-Inputs!$B$5))</f>
        <v>4076931.8102033548</v>
      </c>
    </row>
    <row r="17" spans="1:5">
      <c r="A17" s="110">
        <f t="shared" si="0"/>
        <v>2036</v>
      </c>
      <c r="B17" s="10">
        <f>'Travel Time Savings'!C28</f>
        <v>159225.23076923063</v>
      </c>
      <c r="C17" s="12">
        <f t="shared" si="1"/>
        <v>6665168.1599999955</v>
      </c>
      <c r="D17" s="12">
        <f>C17/((1+Inputs!$B$3)^($A17-Inputs!$B$5))</f>
        <v>2257723.0559242889</v>
      </c>
      <c r="E17" s="12">
        <f>C17/((1+Inputs!$B$4)^($A17-Inputs!$B$5))</f>
        <v>4153512.4416545588</v>
      </c>
    </row>
    <row r="18" spans="1:5">
      <c r="A18" s="110">
        <f t="shared" si="0"/>
        <v>2037</v>
      </c>
      <c r="B18" s="10">
        <f>'Travel Time Savings'!C29</f>
        <v>166713.07692307694</v>
      </c>
      <c r="C18" s="12">
        <f t="shared" si="1"/>
        <v>6978609.4000000013</v>
      </c>
      <c r="D18" s="12">
        <f>C18/((1+Inputs!$B$3)^($A18-Inputs!$B$5))</f>
        <v>2209249.0170921101</v>
      </c>
      <c r="E18" s="12">
        <f>C18/((1+Inputs!$B$4)^($A18-Inputs!$B$5))</f>
        <v>4222173.4561269125</v>
      </c>
    </row>
    <row r="19" spans="1:5">
      <c r="A19" s="110">
        <f t="shared" si="0"/>
        <v>2038</v>
      </c>
      <c r="B19" s="10">
        <f>'Travel Time Savings'!C30</f>
        <v>174200.92307692324</v>
      </c>
      <c r="C19" s="12">
        <f t="shared" si="1"/>
        <v>7292050.640000008</v>
      </c>
      <c r="D19" s="12">
        <f>C19/((1+Inputs!$B$3)^($A19-Inputs!$B$5))</f>
        <v>2157454.6603658195</v>
      </c>
      <c r="E19" s="12">
        <f>C19/((1+Inputs!$B$4)^($A19-Inputs!$B$5))</f>
        <v>4283311.2244008677</v>
      </c>
    </row>
    <row r="20" spans="1:5">
      <c r="A20" s="110">
        <f t="shared" si="0"/>
        <v>2039</v>
      </c>
      <c r="B20" s="10">
        <f>'Travel Time Savings'!C31</f>
        <v>181688.76923076919</v>
      </c>
      <c r="C20" s="12">
        <f t="shared" si="1"/>
        <v>7605491.8799999999</v>
      </c>
      <c r="D20" s="12">
        <f>C20/((1+Inputs!$B$3)^($A20-Inputs!$B$5))</f>
        <v>2102981.8814662755</v>
      </c>
      <c r="E20" s="12">
        <f>C20/((1+Inputs!$B$4)^($A20-Inputs!$B$5))</f>
        <v>4337305.7461955575</v>
      </c>
    </row>
    <row r="21" spans="1:5">
      <c r="A21" s="110">
        <f t="shared" si="0"/>
        <v>2040</v>
      </c>
      <c r="B21" s="10">
        <f>'Travel Time Savings'!C32</f>
        <v>189176.61538461511</v>
      </c>
      <c r="C21" s="12">
        <f t="shared" si="1"/>
        <v>7918933.1199999899</v>
      </c>
      <c r="D21" s="12">
        <f>C21/((1+Inputs!$B$3)^($A21-Inputs!$B$5))</f>
        <v>2046402.8002201153</v>
      </c>
      <c r="E21" s="12">
        <f>C21/((1+Inputs!$B$4)^($A21-Inputs!$B$5))</f>
        <v>4384521.267567141</v>
      </c>
    </row>
    <row r="22" spans="1:5" s="77" customFormat="1">
      <c r="A22" s="110">
        <f t="shared" si="0"/>
        <v>2041</v>
      </c>
      <c r="B22" s="10">
        <f>'Travel Time Savings'!C33</f>
        <v>196664.46153846156</v>
      </c>
      <c r="C22" s="12">
        <f t="shared" ref="C22:C27" si="2">B22*$A$3</f>
        <v>8232374.3600000022</v>
      </c>
      <c r="D22" s="12">
        <f>C22/((1+Inputs!$B$3)^($A22-Inputs!$B$5))</f>
        <v>1988226.1428987486</v>
      </c>
      <c r="E22" s="12">
        <f>C22/((1+Inputs!$B$4)^($A22-Inputs!$B$5))</f>
        <v>4425306.8762303386</v>
      </c>
    </row>
    <row r="23" spans="1:5" s="77" customFormat="1">
      <c r="A23" s="110">
        <f t="shared" si="0"/>
        <v>2042</v>
      </c>
      <c r="B23" s="10">
        <f>'Travel Time Savings'!C34</f>
        <v>204152.30769230775</v>
      </c>
      <c r="C23" s="12">
        <f t="shared" si="2"/>
        <v>8545815.6000000034</v>
      </c>
      <c r="D23" s="12">
        <f>C23/((1+Inputs!$B$3)^($A23-Inputs!$B$5))</f>
        <v>1928903.0881152973</v>
      </c>
      <c r="E23" s="12">
        <f>C23/((1+Inputs!$B$4)^($A23-Inputs!$B$5))</f>
        <v>4459997.0755654145</v>
      </c>
    </row>
    <row r="24" spans="1:5" s="77" customFormat="1">
      <c r="A24" s="110">
        <f t="shared" si="0"/>
        <v>2043</v>
      </c>
      <c r="B24" s="10">
        <f>'Travel Time Savings'!C35</f>
        <v>211640.15384615393</v>
      </c>
      <c r="C24" s="12">
        <f t="shared" si="2"/>
        <v>8859256.8400000054</v>
      </c>
      <c r="D24" s="12">
        <f>C24/((1+Inputs!$B$3)^($A24-Inputs!$B$5))</f>
        <v>1868832.6191527536</v>
      </c>
      <c r="E24" s="12">
        <f>C24/((1+Inputs!$B$4)^($A24-Inputs!$B$5))</f>
        <v>4488912.338047334</v>
      </c>
    </row>
    <row r="25" spans="1:5" s="77" customFormat="1">
      <c r="A25" s="110">
        <f t="shared" si="0"/>
        <v>2044</v>
      </c>
      <c r="B25" s="10">
        <f>'Travel Time Savings'!C36</f>
        <v>219127.99999999997</v>
      </c>
      <c r="C25" s="12">
        <f t="shared" si="2"/>
        <v>9172698.0800000001</v>
      </c>
      <c r="D25" s="12">
        <f>C25/((1+Inputs!$B$3)^($A25-Inputs!$B$5))</f>
        <v>1808366.422282814</v>
      </c>
      <c r="E25" s="12">
        <f>C25/((1+Inputs!$B$4)^($A25-Inputs!$B$5))</f>
        <v>4512359.6388086444</v>
      </c>
    </row>
    <row r="26" spans="1:5" s="77" customFormat="1">
      <c r="A26" s="110">
        <f t="shared" si="0"/>
        <v>2045</v>
      </c>
      <c r="B26" s="10">
        <f>'Travel Time Savings'!C37</f>
        <v>219127.99999999997</v>
      </c>
      <c r="C26" s="12">
        <f t="shared" si="2"/>
        <v>9172698.0800000001</v>
      </c>
      <c r="D26" s="12">
        <f>C26/((1+Inputs!$B$3)^($A26-Inputs!$B$5))</f>
        <v>1690062.0768998261</v>
      </c>
      <c r="E26" s="12">
        <f>C26/((1+Inputs!$B$4)^($A26-Inputs!$B$5))</f>
        <v>4380931.6881637331</v>
      </c>
    </row>
    <row r="27" spans="1:5" s="77" customFormat="1">
      <c r="A27" s="110">
        <f t="shared" si="0"/>
        <v>2046</v>
      </c>
      <c r="B27" s="10">
        <f>'Travel Time Savings'!C38</f>
        <v>219127.99999999997</v>
      </c>
      <c r="C27" s="12">
        <f t="shared" si="2"/>
        <v>9172698.0800000001</v>
      </c>
      <c r="D27" s="12">
        <f>C27/((1+Inputs!$B$3)^($A27-Inputs!$B$5))</f>
        <v>1579497.2681306787</v>
      </c>
      <c r="E27" s="12">
        <f>C27/((1+Inputs!$B$4)^($A27-Inputs!$B$5))</f>
        <v>4253331.7360812929</v>
      </c>
    </row>
    <row r="28" spans="1:5" s="416" customFormat="1">
      <c r="A28" s="110">
        <f t="shared" si="0"/>
        <v>2047</v>
      </c>
      <c r="B28" s="10">
        <f>'Travel Time Savings'!C39</f>
        <v>219127.99999999997</v>
      </c>
      <c r="C28" s="638">
        <f>B28*$A$3*(1-Inputs!B8)</f>
        <v>3821957.5333333332</v>
      </c>
      <c r="D28" s="12">
        <f>C28/((1+Inputs!$B$3)^($A28-Inputs!$B$5))</f>
        <v>615069.0296459028</v>
      </c>
      <c r="E28" s="12">
        <f>C28/((1+Inputs!$B$4)^($A28-Inputs!$B$5))</f>
        <v>1720603.4531073193</v>
      </c>
    </row>
    <row r="29" spans="1:5">
      <c r="A29" s="34" t="s">
        <v>4</v>
      </c>
      <c r="B29" s="189"/>
      <c r="C29" s="170">
        <f>SUM(C8:C28)</f>
        <v>137717660.66333333</v>
      </c>
      <c r="D29" s="170">
        <f>SUM(D8:D28)</f>
        <v>42777463.242124066</v>
      </c>
      <c r="E29" s="170">
        <f>SUM(E8:E28)</f>
        <v>81160119.474631563</v>
      </c>
    </row>
  </sheetData>
  <sheetProtection algorithmName="SHA-512" hashValue="YIuJMlPJ0OSR5TKVd4UHwmtryZiXz8prto6YZ5tIvtoyj82ZDVBd2134/Gyapw5EqHOrwGPW8XP6dnobdN92xA==" saltValue="MbviGMcukc6Avocv6Ra9Gg==" spinCount="100000" sheet="1" objects="1" scenarios="1"/>
  <pageMargins left="0.7" right="0.7" top="0.75" bottom="0.75" header="0.3" footer="0.3"/>
  <pageSetup paperSize="23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tabColor theme="6" tint="0.59999389629810485"/>
  </sheetPr>
  <dimension ref="A1:BK28"/>
  <sheetViews>
    <sheetView zoomScaleNormal="100" workbookViewId="0">
      <selection activeCell="C36" sqref="C36"/>
    </sheetView>
  </sheetViews>
  <sheetFormatPr defaultRowHeight="15"/>
  <cols>
    <col min="1" max="1" width="9.140625" style="140"/>
    <col min="2" max="2" width="9.140625" style="143"/>
    <col min="3" max="3" width="12.7109375" style="5" customWidth="1"/>
    <col min="4" max="5" width="10.140625" customWidth="1"/>
    <col min="6" max="7" width="10.140625" style="142" customWidth="1"/>
    <col min="8" max="11" width="10.140625" style="8" customWidth="1"/>
    <col min="12" max="12" width="10.140625" customWidth="1"/>
    <col min="13" max="14" width="10.140625" style="206" customWidth="1"/>
    <col min="15" max="15" width="11.42578125" style="206" customWidth="1"/>
    <col min="16" max="19" width="11.42578125" style="416" customWidth="1"/>
    <col min="20" max="21" width="11.28515625" style="416" customWidth="1"/>
    <col min="24" max="24" width="10.42578125" customWidth="1"/>
    <col min="25" max="26" width="10.140625" style="206" customWidth="1"/>
    <col min="27" max="28" width="10.140625" style="142" customWidth="1"/>
    <col min="29" max="32" width="10.140625" style="208" customWidth="1"/>
    <col min="33" max="35" width="10.140625" style="206" customWidth="1"/>
    <col min="36" max="36" width="11.42578125" style="206" customWidth="1"/>
    <col min="37" max="40" width="11.42578125" style="416" customWidth="1"/>
    <col min="41" max="42" width="11.28515625" style="206" customWidth="1"/>
    <col min="45" max="45" width="10.28515625" customWidth="1"/>
    <col min="46" max="47" width="10.140625" style="206" customWidth="1"/>
    <col min="48" max="49" width="10.140625" style="142" customWidth="1"/>
    <col min="50" max="53" width="10.140625" style="208" customWidth="1"/>
    <col min="54" max="56" width="10.140625" style="206" customWidth="1"/>
    <col min="57" max="57" width="11.42578125" style="206" customWidth="1"/>
    <col min="58" max="58" width="11.42578125" style="416" customWidth="1"/>
    <col min="59" max="59" width="11.28515625" style="416" customWidth="1"/>
    <col min="60" max="63" width="11.28515625" style="206" customWidth="1"/>
  </cols>
  <sheetData>
    <row r="1" spans="1:63" s="3" customFormat="1">
      <c r="A1" s="140"/>
      <c r="B1" s="3" t="s">
        <v>222</v>
      </c>
      <c r="C1" s="5"/>
      <c r="F1" s="142"/>
      <c r="G1" s="142"/>
      <c r="H1" s="8"/>
      <c r="I1" s="8"/>
      <c r="J1" s="8"/>
      <c r="K1" s="8"/>
      <c r="M1" s="206"/>
      <c r="N1" s="206"/>
      <c r="O1" s="206"/>
      <c r="P1" s="416"/>
      <c r="Q1" s="416"/>
      <c r="R1" s="416"/>
      <c r="S1" s="416"/>
      <c r="T1" s="416"/>
      <c r="U1" s="416"/>
      <c r="Y1" s="206"/>
      <c r="Z1" s="206"/>
      <c r="AA1" s="142"/>
      <c r="AB1" s="142"/>
      <c r="AC1" s="208"/>
      <c r="AD1" s="208"/>
      <c r="AE1" s="208"/>
      <c r="AF1" s="208"/>
      <c r="AG1" s="206"/>
      <c r="AH1" s="206"/>
      <c r="AI1" s="206"/>
      <c r="AJ1" s="206"/>
      <c r="AK1" s="416"/>
      <c r="AL1" s="416"/>
      <c r="AM1" s="416"/>
      <c r="AN1" s="416"/>
      <c r="AO1" s="206"/>
      <c r="AP1" s="206"/>
      <c r="AT1" s="206"/>
      <c r="AU1" s="206"/>
      <c r="AV1" s="142"/>
      <c r="AW1" s="142"/>
      <c r="AX1" s="208"/>
      <c r="AY1" s="208"/>
      <c r="AZ1" s="208"/>
      <c r="BA1" s="208"/>
      <c r="BB1" s="206"/>
      <c r="BC1" s="206"/>
      <c r="BD1" s="206"/>
      <c r="BE1" s="206"/>
      <c r="BF1" s="416"/>
      <c r="BG1" s="416"/>
      <c r="BH1" s="206"/>
      <c r="BI1" s="206"/>
      <c r="BJ1" s="206"/>
      <c r="BK1" s="206"/>
    </row>
    <row r="2" spans="1:63" s="77" customFormat="1">
      <c r="A2" s="140"/>
      <c r="C2" s="5"/>
      <c r="F2" s="142"/>
      <c r="G2" s="142"/>
      <c r="H2" s="8"/>
      <c r="I2" s="8"/>
      <c r="J2" s="8"/>
      <c r="K2" s="8"/>
      <c r="M2" s="206"/>
      <c r="N2" s="206"/>
      <c r="O2" s="206"/>
      <c r="P2" s="416"/>
      <c r="Q2" s="416"/>
      <c r="R2" s="416"/>
      <c r="S2" s="416"/>
      <c r="T2" s="416"/>
      <c r="U2" s="416"/>
      <c r="Y2" s="206"/>
      <c r="Z2" s="206"/>
      <c r="AA2" s="142"/>
      <c r="AB2" s="142"/>
      <c r="AC2" s="208"/>
      <c r="AD2" s="208"/>
      <c r="AE2" s="208"/>
      <c r="AF2" s="208"/>
      <c r="AG2" s="206"/>
      <c r="AH2" s="206"/>
      <c r="AI2" s="206"/>
      <c r="AJ2" s="206"/>
      <c r="AK2" s="416"/>
      <c r="AL2" s="416"/>
      <c r="AM2" s="416"/>
      <c r="AN2" s="416"/>
      <c r="AO2" s="206"/>
      <c r="AP2" s="206"/>
      <c r="AT2" s="206"/>
      <c r="AU2" s="206"/>
      <c r="AV2" s="142"/>
      <c r="AW2" s="142"/>
      <c r="AX2" s="208"/>
      <c r="AY2" s="208"/>
      <c r="AZ2" s="208"/>
      <c r="BA2" s="208"/>
      <c r="BB2" s="206"/>
      <c r="BC2" s="206"/>
      <c r="BD2" s="206"/>
      <c r="BE2" s="206"/>
      <c r="BF2" s="416"/>
      <c r="BG2" s="416"/>
      <c r="BH2" s="206"/>
      <c r="BI2" s="206"/>
      <c r="BJ2" s="206"/>
      <c r="BK2" s="206"/>
    </row>
    <row r="3" spans="1:63" s="77" customFormat="1">
      <c r="A3" s="140"/>
      <c r="B3" s="69" t="s">
        <v>229</v>
      </c>
      <c r="C3" s="5"/>
      <c r="F3" s="142"/>
      <c r="G3" s="142"/>
      <c r="H3" s="8"/>
      <c r="I3" s="8"/>
      <c r="J3" s="8"/>
      <c r="K3" s="8"/>
      <c r="M3" s="206"/>
      <c r="N3" s="206"/>
      <c r="O3" s="206"/>
      <c r="P3" s="416"/>
      <c r="Q3" s="416"/>
      <c r="R3" s="416"/>
      <c r="S3" s="416"/>
      <c r="T3" s="416"/>
      <c r="U3" s="416"/>
      <c r="Y3" s="206"/>
      <c r="Z3" s="206"/>
      <c r="AA3" s="142"/>
      <c r="AB3" s="142"/>
      <c r="AC3" s="208"/>
      <c r="AD3" s="208"/>
      <c r="AE3" s="208"/>
      <c r="AF3" s="208"/>
      <c r="AG3" s="206"/>
      <c r="AH3" s="206"/>
      <c r="AI3" s="206"/>
      <c r="AJ3" s="206"/>
      <c r="AK3" s="416"/>
      <c r="AL3" s="416"/>
      <c r="AM3" s="416"/>
      <c r="AN3" s="416"/>
      <c r="AO3" s="206"/>
      <c r="AP3" s="206"/>
      <c r="AT3" s="206"/>
      <c r="AU3" s="206"/>
      <c r="AV3" s="142"/>
      <c r="AW3" s="142"/>
      <c r="AX3" s="208"/>
      <c r="AY3" s="208"/>
      <c r="AZ3" s="208"/>
      <c r="BA3" s="208"/>
      <c r="BB3" s="206"/>
      <c r="BC3" s="206"/>
      <c r="BD3" s="206"/>
      <c r="BE3" s="206"/>
      <c r="BF3" s="416"/>
      <c r="BG3" s="416"/>
      <c r="BH3" s="206"/>
      <c r="BI3" s="206"/>
      <c r="BJ3" s="206"/>
      <c r="BK3" s="206"/>
    </row>
    <row r="4" spans="1:63" s="69" customFormat="1" ht="15" customHeight="1">
      <c r="A4" s="140"/>
      <c r="B4" s="762" t="s">
        <v>1</v>
      </c>
      <c r="C4" s="763" t="s">
        <v>217</v>
      </c>
      <c r="D4" s="764" t="s">
        <v>718</v>
      </c>
      <c r="E4" s="765"/>
      <c r="F4" s="765"/>
      <c r="G4" s="766"/>
      <c r="H4" s="767" t="s">
        <v>719</v>
      </c>
      <c r="I4" s="768"/>
      <c r="J4" s="768"/>
      <c r="K4" s="769"/>
      <c r="L4" s="770" t="s">
        <v>6</v>
      </c>
      <c r="M4" s="771"/>
      <c r="N4" s="771"/>
      <c r="O4" s="771"/>
      <c r="P4" s="771"/>
      <c r="Q4" s="771"/>
      <c r="R4" s="771"/>
      <c r="S4" s="771"/>
      <c r="T4" s="771"/>
      <c r="U4" s="772"/>
      <c r="W4" s="758" t="s">
        <v>1</v>
      </c>
      <c r="X4" s="759" t="s">
        <v>217</v>
      </c>
      <c r="Y4" s="743" t="s">
        <v>718</v>
      </c>
      <c r="Z4" s="744"/>
      <c r="AA4" s="744"/>
      <c r="AB4" s="745"/>
      <c r="AC4" s="746" t="s">
        <v>719</v>
      </c>
      <c r="AD4" s="747"/>
      <c r="AE4" s="747"/>
      <c r="AF4" s="748"/>
      <c r="AG4" s="749" t="s">
        <v>6</v>
      </c>
      <c r="AH4" s="750"/>
      <c r="AI4" s="750"/>
      <c r="AJ4" s="750"/>
      <c r="AK4" s="750"/>
      <c r="AL4" s="750"/>
      <c r="AM4" s="750"/>
      <c r="AN4" s="750"/>
      <c r="AO4" s="750"/>
      <c r="AP4" s="751"/>
      <c r="AQ4" s="167"/>
      <c r="AR4" s="760" t="s">
        <v>1</v>
      </c>
      <c r="AS4" s="761" t="s">
        <v>217</v>
      </c>
      <c r="AT4" s="752" t="s">
        <v>718</v>
      </c>
      <c r="AU4" s="753"/>
      <c r="AV4" s="753"/>
      <c r="AW4" s="754"/>
      <c r="AX4" s="755" t="s">
        <v>719</v>
      </c>
      <c r="AY4" s="756"/>
      <c r="AZ4" s="756"/>
      <c r="BA4" s="757"/>
      <c r="BB4" s="740" t="s">
        <v>6</v>
      </c>
      <c r="BC4" s="741"/>
      <c r="BD4" s="741"/>
      <c r="BE4" s="741"/>
      <c r="BF4" s="741"/>
      <c r="BG4" s="741"/>
      <c r="BH4" s="741"/>
      <c r="BI4" s="741"/>
      <c r="BJ4" s="741"/>
      <c r="BK4" s="742"/>
    </row>
    <row r="5" spans="1:63" s="69" customFormat="1" ht="60">
      <c r="A5" s="140"/>
      <c r="B5" s="762"/>
      <c r="C5" s="763"/>
      <c r="D5" s="342" t="s">
        <v>720</v>
      </c>
      <c r="E5" s="342" t="s">
        <v>721</v>
      </c>
      <c r="F5" s="342" t="s">
        <v>722</v>
      </c>
      <c r="G5" s="342" t="s">
        <v>723</v>
      </c>
      <c r="H5" s="342" t="s">
        <v>720</v>
      </c>
      <c r="I5" s="342" t="s">
        <v>721</v>
      </c>
      <c r="J5" s="342" t="s">
        <v>722</v>
      </c>
      <c r="K5" s="342" t="s">
        <v>723</v>
      </c>
      <c r="L5" s="342" t="s">
        <v>720</v>
      </c>
      <c r="M5" s="342" t="s">
        <v>721</v>
      </c>
      <c r="N5" s="342" t="s">
        <v>722</v>
      </c>
      <c r="O5" s="342" t="s">
        <v>723</v>
      </c>
      <c r="P5" s="674" t="s">
        <v>1043</v>
      </c>
      <c r="Q5" s="671" t="s">
        <v>1044</v>
      </c>
      <c r="R5" s="671" t="s">
        <v>1045</v>
      </c>
      <c r="S5" s="674" t="s">
        <v>796</v>
      </c>
      <c r="T5" s="510" t="s">
        <v>22</v>
      </c>
      <c r="U5" s="510" t="s">
        <v>23</v>
      </c>
      <c r="W5" s="758"/>
      <c r="X5" s="759"/>
      <c r="Y5" s="344" t="s">
        <v>720</v>
      </c>
      <c r="Z5" s="344" t="s">
        <v>721</v>
      </c>
      <c r="AA5" s="344" t="s">
        <v>722</v>
      </c>
      <c r="AB5" s="344" t="s">
        <v>723</v>
      </c>
      <c r="AC5" s="344" t="s">
        <v>720</v>
      </c>
      <c r="AD5" s="344" t="s">
        <v>721</v>
      </c>
      <c r="AE5" s="344" t="s">
        <v>722</v>
      </c>
      <c r="AF5" s="344" t="s">
        <v>723</v>
      </c>
      <c r="AG5" s="344" t="s">
        <v>720</v>
      </c>
      <c r="AH5" s="344" t="s">
        <v>721</v>
      </c>
      <c r="AI5" s="344" t="s">
        <v>722</v>
      </c>
      <c r="AJ5" s="344" t="s">
        <v>723</v>
      </c>
      <c r="AK5" s="673" t="s">
        <v>1043</v>
      </c>
      <c r="AL5" s="669" t="s">
        <v>1044</v>
      </c>
      <c r="AM5" s="669" t="s">
        <v>1045</v>
      </c>
      <c r="AN5" s="673" t="s">
        <v>796</v>
      </c>
      <c r="AO5" s="192" t="s">
        <v>22</v>
      </c>
      <c r="AP5" s="192" t="s">
        <v>23</v>
      </c>
      <c r="AQ5" s="167"/>
      <c r="AR5" s="760"/>
      <c r="AS5" s="761"/>
      <c r="AT5" s="346" t="s">
        <v>720</v>
      </c>
      <c r="AU5" s="346" t="s">
        <v>721</v>
      </c>
      <c r="AV5" s="346" t="s">
        <v>722</v>
      </c>
      <c r="AW5" s="346" t="s">
        <v>723</v>
      </c>
      <c r="AX5" s="346" t="s">
        <v>720</v>
      </c>
      <c r="AY5" s="346" t="s">
        <v>721</v>
      </c>
      <c r="AZ5" s="346" t="s">
        <v>722</v>
      </c>
      <c r="BA5" s="346" t="s">
        <v>723</v>
      </c>
      <c r="BB5" s="346" t="s">
        <v>720</v>
      </c>
      <c r="BC5" s="346" t="s">
        <v>721</v>
      </c>
      <c r="BD5" s="346" t="s">
        <v>722</v>
      </c>
      <c r="BE5" s="346" t="s">
        <v>723</v>
      </c>
      <c r="BF5" s="408" t="s">
        <v>1043</v>
      </c>
      <c r="BG5" s="195" t="s">
        <v>1044</v>
      </c>
      <c r="BH5" s="195" t="s">
        <v>1045</v>
      </c>
      <c r="BI5" s="408" t="s">
        <v>796</v>
      </c>
      <c r="BJ5" s="195" t="s">
        <v>22</v>
      </c>
      <c r="BK5" s="195" t="s">
        <v>23</v>
      </c>
    </row>
    <row r="6" spans="1:63" s="69" customFormat="1">
      <c r="A6" s="140"/>
      <c r="B6" s="248">
        <f>Inputs!$B$7</f>
        <v>2027</v>
      </c>
      <c r="C6" s="10">
        <f>'Travel Time Savings'!B19</f>
        <v>1298001.3846153847</v>
      </c>
      <c r="D6" s="24">
        <f>Inputs!$B$97</f>
        <v>9.1554999999999997E-2</v>
      </c>
      <c r="E6" s="24">
        <f>Inputs!$B$98</f>
        <v>0</v>
      </c>
      <c r="F6" s="24">
        <f>Inputs!$B$99</f>
        <v>0</v>
      </c>
      <c r="G6" s="24">
        <f>Inputs!$B$100</f>
        <v>41.065240000000003</v>
      </c>
      <c r="H6" s="16">
        <f>$C6*60*D6/1000000</f>
        <v>7.1303110061076929</v>
      </c>
      <c r="I6" s="16">
        <f>$C6*60*E6/1000000</f>
        <v>0</v>
      </c>
      <c r="J6" s="16">
        <f>$C6*60*F6/1000000</f>
        <v>0</v>
      </c>
      <c r="K6" s="16">
        <f>$C6*60*G6/1000000</f>
        <v>3198.164302773785</v>
      </c>
      <c r="L6" s="12">
        <f>H6*Inputs!$B116</f>
        <v>123354.38040566309</v>
      </c>
      <c r="M6" s="12">
        <f>I6*Inputs!$C116</f>
        <v>0</v>
      </c>
      <c r="N6" s="12">
        <f>J6*Inputs!$D116</f>
        <v>0</v>
      </c>
      <c r="O6" s="12">
        <f>K6*Inputs!$E116</f>
        <v>185493.52956087954</v>
      </c>
      <c r="P6" s="640">
        <f>O6*(1-VLOOKUP(B6,'Transportation Electrification'!$O$7:$P$35,2,FALSE))*Inputs!$B$8</f>
        <v>101403.12949328084</v>
      </c>
      <c r="Q6" s="12">
        <f>P6/((1+Inputs!$B$4)^(B6-Inputs!$B$5))</f>
        <v>82450.02381463752</v>
      </c>
      <c r="R6" s="12">
        <f>SUM(L6:N6)</f>
        <v>123354.38040566309</v>
      </c>
      <c r="S6" s="640">
        <f>R6*(1-VLOOKUP(B6,'Transportation Electrification'!$O$7:$P$35,2,FALSE))*Inputs!$B$8</f>
        <v>67433.727955095834</v>
      </c>
      <c r="T6" s="12">
        <f>S6/((1+Inputs!$B$3)^(B6-Inputs!$B$5))+Q6</f>
        <v>124444.36049298919</v>
      </c>
      <c r="U6" s="12">
        <f>S6/((1+Inputs!$B$4)^(B6-Inputs!$B$5))+Q6</f>
        <v>137279.81559316296</v>
      </c>
      <c r="W6" s="248">
        <f>Inputs!$B$7</f>
        <v>2027</v>
      </c>
      <c r="X6" s="10">
        <f>'I-87 DetourSavings'!F12/Inputs!$B$12</f>
        <v>174.90547669232873</v>
      </c>
      <c r="Y6" s="24">
        <f>Inputs!$B$97</f>
        <v>9.1554999999999997E-2</v>
      </c>
      <c r="Z6" s="24">
        <f>Inputs!$B$98</f>
        <v>0</v>
      </c>
      <c r="AA6" s="24">
        <f>Inputs!$B$99</f>
        <v>0</v>
      </c>
      <c r="AB6" s="24">
        <f>Inputs!$B$100</f>
        <v>41.065240000000003</v>
      </c>
      <c r="AC6" s="16">
        <f>$X6*60*Y6/1000000</f>
        <v>9.608082551139694E-4</v>
      </c>
      <c r="AD6" s="16">
        <f t="shared" ref="AD6:AF21" si="0">$X6*60*Z6/1000000</f>
        <v>0</v>
      </c>
      <c r="AE6" s="16">
        <f t="shared" si="0"/>
        <v>0</v>
      </c>
      <c r="AF6" s="16">
        <f t="shared" si="0"/>
        <v>0.43095212266109317</v>
      </c>
      <c r="AG6" s="12">
        <f>AC6*Inputs!$B116</f>
        <v>16.621982813471671</v>
      </c>
      <c r="AH6" s="12">
        <f>AD6*Inputs!$C116</f>
        <v>0</v>
      </c>
      <c r="AI6" s="12">
        <f>AE6*Inputs!$D116</f>
        <v>0</v>
      </c>
      <c r="AJ6" s="12">
        <f>AF6*Inputs!$E116</f>
        <v>24.995223114343403</v>
      </c>
      <c r="AK6" s="640">
        <f>AJ6*(1-VLOOKUP(W6,'Transportation Electrification'!$O$7:$P$35,2,FALSE))*Inputs!$B$8</f>
        <v>13.664055302507727</v>
      </c>
      <c r="AL6" s="12">
        <f>AK6/((1+Inputs!$B$4)^(W6-Inputs!$B$5))</f>
        <v>11.110127376995175</v>
      </c>
      <c r="AM6" s="12">
        <f>SUM(AG6:AI6)</f>
        <v>16.621982813471671</v>
      </c>
      <c r="AN6" s="640">
        <f>AM6*(1-VLOOKUP(W6,'Transportation Electrification'!$O$7:$P$35,2,FALSE))*Inputs!$B$8</f>
        <v>9.0866839380311806</v>
      </c>
      <c r="AO6" s="12">
        <f>AN6/((1+Inputs!$B$3)^(W6-Inputs!$B$5))+AL6</f>
        <v>16.768857453990954</v>
      </c>
      <c r="AP6" s="12">
        <f>AN6/((1+Inputs!$B$4)^(W6-Inputs!$B$5))+AL6</f>
        <v>18.498432953268324</v>
      </c>
      <c r="AQ6" s="167"/>
      <c r="AR6" s="248">
        <f>Inputs!$B$7</f>
        <v>2027</v>
      </c>
      <c r="AS6" s="10">
        <f>'I-87 DetourSavings'!N12/Inputs!$B$12</f>
        <v>1749.0547669232874</v>
      </c>
      <c r="AT6" s="24">
        <f>Inputs!$B$97</f>
        <v>9.1554999999999997E-2</v>
      </c>
      <c r="AU6" s="24">
        <f>Inputs!$B$98</f>
        <v>0</v>
      </c>
      <c r="AV6" s="24">
        <f>Inputs!$B$99</f>
        <v>0</v>
      </c>
      <c r="AW6" s="24">
        <f>Inputs!$B$100</f>
        <v>41.065240000000003</v>
      </c>
      <c r="AX6" s="16">
        <f>$AS6*60*AT6/1000000</f>
        <v>9.6080825511396951E-3</v>
      </c>
      <c r="AY6" s="16">
        <f t="shared" ref="AY6:BA21" si="1">$AS6*60*AU6/1000000</f>
        <v>0</v>
      </c>
      <c r="AZ6" s="16">
        <f t="shared" si="1"/>
        <v>0</v>
      </c>
      <c r="BA6" s="16">
        <f t="shared" si="1"/>
        <v>4.309521226610932</v>
      </c>
      <c r="BB6" s="12">
        <f>AX6*Inputs!$B116</f>
        <v>166.21982813471672</v>
      </c>
      <c r="BC6" s="12">
        <f>AY6*Inputs!$C116</f>
        <v>0</v>
      </c>
      <c r="BD6" s="12">
        <f>AZ6*Inputs!$D116</f>
        <v>0</v>
      </c>
      <c r="BE6" s="12">
        <f>BA6*Inputs!$E116</f>
        <v>249.95223114343406</v>
      </c>
      <c r="BF6" s="640">
        <f>BE6*(1-VLOOKUP(AR6,'Transportation Electrification'!$O$7:$P$35,2,FALSE))*Inputs!$B$8</f>
        <v>136.64055302507728</v>
      </c>
      <c r="BG6" s="12">
        <f>BF6/((1+Inputs!$B$4)^(AR6-Inputs!$B$5))</f>
        <v>111.10127376995176</v>
      </c>
      <c r="BH6" s="12">
        <f>SUM(BB6:BD6)</f>
        <v>166.21982813471672</v>
      </c>
      <c r="BI6" s="640">
        <f>BH6*(1-VLOOKUP(AR6,'Transportation Electrification'!$O$7:$P$35,2,FALSE))*Inputs!$B$8</f>
        <v>90.866839380311816</v>
      </c>
      <c r="BJ6" s="12">
        <f>BI6/((1+Inputs!$B$3)^(AR6-Inputs!$B$5))+BG6</f>
        <v>167.68857453990955</v>
      </c>
      <c r="BK6" s="12">
        <f>BI6/((1+Inputs!$B$4)^(AR6-Inputs!$B$5))+BG6</f>
        <v>184.98432953268326</v>
      </c>
    </row>
    <row r="7" spans="1:63" s="69" customFormat="1">
      <c r="A7" s="140"/>
      <c r="B7" s="161">
        <f>B6+1</f>
        <v>2028</v>
      </c>
      <c r="C7" s="10">
        <f>'Travel Time Savings'!B20</f>
        <v>1435273.5384615385</v>
      </c>
      <c r="D7" s="24">
        <f>Inputs!$B$97</f>
        <v>9.1554999999999997E-2</v>
      </c>
      <c r="E7" s="24">
        <f>Inputs!$B$98</f>
        <v>0</v>
      </c>
      <c r="F7" s="24">
        <f>Inputs!$B$99</f>
        <v>0</v>
      </c>
      <c r="G7" s="24">
        <f>Inputs!$B$100</f>
        <v>41.065240000000003</v>
      </c>
      <c r="H7" s="16">
        <f t="shared" ref="H7:H24" si="2">$C7*60*D7/1000000</f>
        <v>7.8843881288307687</v>
      </c>
      <c r="I7" s="16">
        <f t="shared" ref="I7:I24" si="3">$C7*60*E7/1000000</f>
        <v>0</v>
      </c>
      <c r="J7" s="16">
        <f t="shared" ref="J7:J24" si="4">$C7*60*F7/1000000</f>
        <v>0</v>
      </c>
      <c r="K7" s="16">
        <f t="shared" ref="K7:K24" si="5">$C7*60*G7/1000000</f>
        <v>3536.3911393543385</v>
      </c>
      <c r="L7" s="12">
        <f>H7*Inputs!$B117</f>
        <v>137976.79225453845</v>
      </c>
      <c r="M7" s="12">
        <f>I7*Inputs!$C117</f>
        <v>0</v>
      </c>
      <c r="N7" s="12">
        <f>J7*Inputs!$D117</f>
        <v>0</v>
      </c>
      <c r="O7" s="12">
        <f>K7*Inputs!$E117</f>
        <v>208647.07722190599</v>
      </c>
      <c r="P7" s="406">
        <f>O7*(1-VLOOKUP(B7,'Transportation Electrification'!$O$7:$P$35,2,FALSE))</f>
        <v>193743.71456319842</v>
      </c>
      <c r="Q7" s="12">
        <f>P7/((1+Inputs!$B$4)^(B7-Inputs!$B$5))</f>
        <v>152943.07736647219</v>
      </c>
      <c r="R7" s="12">
        <f t="shared" ref="R7:R26" si="6">SUM(L7:N7)</f>
        <v>137976.79225453845</v>
      </c>
      <c r="S7" s="406">
        <f>R7*(1-VLOOKUP(B7,'Transportation Electrification'!$O$7:$P$35,2,FALSE))</f>
        <v>128121.3070935</v>
      </c>
      <c r="T7" s="12">
        <f>S7/((1+Inputs!$B$3)^(B7-Inputs!$B$5))+Q7</f>
        <v>227510.84458366243</v>
      </c>
      <c r="U7" s="12">
        <f>S7/((1+Inputs!$B$4)^(B7-Inputs!$B$5))+Q7</f>
        <v>254083.22029845265</v>
      </c>
      <c r="W7" s="161">
        <f t="shared" ref="W7:W26" si="7">B7</f>
        <v>2028</v>
      </c>
      <c r="X7" s="10">
        <f>'I-87 DetourSavings'!F13/Inputs!$B$12</f>
        <v>180.74376596651558</v>
      </c>
      <c r="Y7" s="24">
        <f>Inputs!$B$97</f>
        <v>9.1554999999999997E-2</v>
      </c>
      <c r="Z7" s="24">
        <f>Inputs!$B$98</f>
        <v>0</v>
      </c>
      <c r="AA7" s="24">
        <f>Inputs!$B$99</f>
        <v>0</v>
      </c>
      <c r="AB7" s="24">
        <f>Inputs!$B$100</f>
        <v>41.065240000000003</v>
      </c>
      <c r="AC7" s="16">
        <f t="shared" ref="AC7:AC24" si="8">$X7*60*Y7/1000000</f>
        <v>9.9287972958386002E-4</v>
      </c>
      <c r="AD7" s="16">
        <f t="shared" si="0"/>
        <v>0</v>
      </c>
      <c r="AE7" s="16">
        <f t="shared" si="0"/>
        <v>0</v>
      </c>
      <c r="AF7" s="16">
        <f t="shared" si="0"/>
        <v>0.44533716767512771</v>
      </c>
      <c r="AG7" s="12">
        <f>AC7*Inputs!$B117</f>
        <v>17.37539526771755</v>
      </c>
      <c r="AH7" s="12">
        <f>AD7*Inputs!$C117</f>
        <v>0</v>
      </c>
      <c r="AI7" s="12">
        <f>AE7*Inputs!$D117</f>
        <v>0</v>
      </c>
      <c r="AJ7" s="12">
        <f>AF7*Inputs!$E117</f>
        <v>26.274892892832536</v>
      </c>
      <c r="AK7" s="406">
        <f>AJ7*(1-VLOOKUP(W7,'Transportation Electrification'!$O$7:$P$35,2,FALSE))</f>
        <v>24.398114829058784</v>
      </c>
      <c r="AL7" s="12">
        <f>AK7/((1+Inputs!$B$4)^(W7-Inputs!$B$5))</f>
        <v>19.260097145910777</v>
      </c>
      <c r="AM7" s="12">
        <f t="shared" ref="AM7:AM26" si="9">SUM(AG7:AI7)</f>
        <v>17.37539526771755</v>
      </c>
      <c r="AN7" s="406">
        <f>AM7*(1-VLOOKUP(W7,'Transportation Electrification'!$O$7:$P$35,2,FALSE))</f>
        <v>16.134295605737726</v>
      </c>
      <c r="AO7" s="12">
        <f>AN7/((1+Inputs!$B$3)^(W7-Inputs!$B$5))+AL7</f>
        <v>28.650404084193823</v>
      </c>
      <c r="AP7" s="12">
        <f>AN7/((1+Inputs!$B$4)^(W7-Inputs!$B$5))+AL7</f>
        <v>31.996659086230892</v>
      </c>
      <c r="AQ7" s="167"/>
      <c r="AR7" s="161">
        <f t="shared" ref="AR7:AR26" si="10">W7</f>
        <v>2028</v>
      </c>
      <c r="AS7" s="10">
        <f>'I-87 DetourSavings'!N13/Inputs!$B$12</f>
        <v>1807.4376596651559</v>
      </c>
      <c r="AT7" s="24">
        <f>Inputs!$B$97</f>
        <v>9.1554999999999997E-2</v>
      </c>
      <c r="AU7" s="24">
        <f>Inputs!$B$98</f>
        <v>0</v>
      </c>
      <c r="AV7" s="24">
        <f>Inputs!$B$99</f>
        <v>0</v>
      </c>
      <c r="AW7" s="24">
        <f>Inputs!$B$100</f>
        <v>41.065240000000003</v>
      </c>
      <c r="AX7" s="16">
        <f t="shared" ref="AX7:AX24" si="11">$AS7*60*AT7/1000000</f>
        <v>9.9287972958385998E-3</v>
      </c>
      <c r="AY7" s="16">
        <f t="shared" si="1"/>
        <v>0</v>
      </c>
      <c r="AZ7" s="16">
        <f t="shared" si="1"/>
        <v>0</v>
      </c>
      <c r="BA7" s="16">
        <f t="shared" si="1"/>
        <v>4.453371676751277</v>
      </c>
      <c r="BB7" s="12">
        <f>AX7*Inputs!$B117</f>
        <v>173.7539526771755</v>
      </c>
      <c r="BC7" s="12">
        <f>AY7*Inputs!$C117</f>
        <v>0</v>
      </c>
      <c r="BD7" s="12">
        <f>AZ7*Inputs!$D117</f>
        <v>0</v>
      </c>
      <c r="BE7" s="12">
        <f>BA7*Inputs!$E117</f>
        <v>262.74892892832537</v>
      </c>
      <c r="BF7" s="406">
        <f>BE7*(1-VLOOKUP(AR7,'Transportation Electrification'!$O$7:$P$35,2,FALSE))</f>
        <v>243.98114829058784</v>
      </c>
      <c r="BG7" s="12">
        <f>BF7/((1+Inputs!$B$4)^(AR7-Inputs!$B$5))</f>
        <v>192.60097145910777</v>
      </c>
      <c r="BH7" s="12">
        <f t="shared" ref="BH7:BH26" si="12">SUM(BB7:BD7)</f>
        <v>173.7539526771755</v>
      </c>
      <c r="BI7" s="406">
        <f>BH7*(1-VLOOKUP(AR7,'Transportation Electrification'!$O$7:$P$35,2,FALSE))</f>
        <v>161.34295605737725</v>
      </c>
      <c r="BJ7" s="12">
        <f>BI7/((1+Inputs!$B$3)^(AR7-Inputs!$B$5))+BG7</f>
        <v>286.50404084193826</v>
      </c>
      <c r="BK7" s="12">
        <f>BI7/((1+Inputs!$B$4)^(AR7-Inputs!$B$5))+BG7</f>
        <v>319.96659086230892</v>
      </c>
    </row>
    <row r="8" spans="1:63" s="69" customFormat="1">
      <c r="A8" s="140"/>
      <c r="B8" s="161">
        <f t="shared" ref="B8:B26" si="13">B7+1</f>
        <v>2029</v>
      </c>
      <c r="C8" s="10">
        <f>'Travel Time Savings'!B21</f>
        <v>1572545.6923076925</v>
      </c>
      <c r="D8" s="24">
        <f>Inputs!$B$97</f>
        <v>9.1554999999999997E-2</v>
      </c>
      <c r="E8" s="24">
        <f>Inputs!$B$98</f>
        <v>0</v>
      </c>
      <c r="F8" s="24">
        <f>Inputs!$B$99</f>
        <v>0</v>
      </c>
      <c r="G8" s="24">
        <f>Inputs!$B$100</f>
        <v>41.065240000000003</v>
      </c>
      <c r="H8" s="16">
        <f t="shared" si="2"/>
        <v>8.6384652515538463</v>
      </c>
      <c r="I8" s="16">
        <f t="shared" si="3"/>
        <v>0</v>
      </c>
      <c r="J8" s="16">
        <f t="shared" si="4"/>
        <v>0</v>
      </c>
      <c r="K8" s="16">
        <f t="shared" si="5"/>
        <v>3874.6179759348929</v>
      </c>
      <c r="L8" s="12">
        <f>H8*Inputs!$B118</f>
        <v>152900.83495250306</v>
      </c>
      <c r="M8" s="12">
        <f>I8*Inputs!$C118</f>
        <v>0</v>
      </c>
      <c r="N8" s="12">
        <f>J8*Inputs!$D118</f>
        <v>0</v>
      </c>
      <c r="O8" s="12">
        <f>K8*Inputs!$E118</f>
        <v>232477.07855609356</v>
      </c>
      <c r="P8" s="406">
        <f>O8*(1-VLOOKUP(B8,'Transportation Electrification'!$O$7:$P$35,2,FALSE))</f>
        <v>213878.91227160607</v>
      </c>
      <c r="Q8" s="12">
        <f>P8/((1+Inputs!$B$4)^(B8-Inputs!$B$5))</f>
        <v>163920.37706041356</v>
      </c>
      <c r="R8" s="12">
        <f t="shared" si="6"/>
        <v>152900.83495250306</v>
      </c>
      <c r="S8" s="406">
        <f>R8*(1-VLOOKUP(B8,'Transportation Electrification'!$O$7:$P$35,2,FALSE))</f>
        <v>140668.7681563028</v>
      </c>
      <c r="T8" s="12">
        <f>S8/((1+Inputs!$B$3)^(B8-Inputs!$B$5))+Q8</f>
        <v>240434.86658837317</v>
      </c>
      <c r="U8" s="12">
        <f>S8/((1+Inputs!$B$4)^(B8-Inputs!$B$5))+Q8</f>
        <v>271731.27469357039</v>
      </c>
      <c r="W8" s="161">
        <f t="shared" si="7"/>
        <v>2029</v>
      </c>
      <c r="X8" s="10">
        <f>'I-87 DetourSavings'!F14/Inputs!$B$12</f>
        <v>186.77693548284057</v>
      </c>
      <c r="Y8" s="24">
        <f>Inputs!$B$97</f>
        <v>9.1554999999999997E-2</v>
      </c>
      <c r="Z8" s="24">
        <f>Inputs!$B$98</f>
        <v>0</v>
      </c>
      <c r="AA8" s="24">
        <f>Inputs!$B$99</f>
        <v>0</v>
      </c>
      <c r="AB8" s="24">
        <f>Inputs!$B$100</f>
        <v>41.065240000000003</v>
      </c>
      <c r="AC8" s="16">
        <f t="shared" si="8"/>
        <v>1.0260217396878882E-3</v>
      </c>
      <c r="AD8" s="16">
        <f t="shared" si="0"/>
        <v>0</v>
      </c>
      <c r="AE8" s="16">
        <f t="shared" si="0"/>
        <v>0</v>
      </c>
      <c r="AF8" s="16">
        <f t="shared" si="0"/>
        <v>0.46020238092404187</v>
      </c>
      <c r="AG8" s="12">
        <f>AC8*Inputs!$B118</f>
        <v>18.160584792475621</v>
      </c>
      <c r="AH8" s="12">
        <f>AD8*Inputs!$C118</f>
        <v>0</v>
      </c>
      <c r="AI8" s="12">
        <f>AE8*Inputs!$D118</f>
        <v>0</v>
      </c>
      <c r="AJ8" s="12">
        <f>AF8*Inputs!$E118</f>
        <v>27.612142855442514</v>
      </c>
      <c r="AK8" s="406">
        <f>AJ8*(1-VLOOKUP(W8,'Transportation Electrification'!$O$7:$P$35,2,FALSE))</f>
        <v>25.403171427007109</v>
      </c>
      <c r="AL8" s="12">
        <f>AK8/((1+Inputs!$B$4)^(W8-Inputs!$B$5))</f>
        <v>19.469415636251778</v>
      </c>
      <c r="AM8" s="12">
        <f t="shared" si="9"/>
        <v>18.160584792475621</v>
      </c>
      <c r="AN8" s="406">
        <f>AM8*(1-VLOOKUP(W8,'Transportation Electrification'!$O$7:$P$35,2,FALSE))</f>
        <v>16.70773800907757</v>
      </c>
      <c r="AO8" s="12">
        <f>AN8/((1+Inputs!$B$3)^(W8-Inputs!$B$5))+AL8</f>
        <v>28.557318101644761</v>
      </c>
      <c r="AP8" s="12">
        <f>AN8/((1+Inputs!$B$4)^(W8-Inputs!$B$5))+AL8</f>
        <v>32.274505606022423</v>
      </c>
      <c r="AQ8" s="167"/>
      <c r="AR8" s="161">
        <f t="shared" si="10"/>
        <v>2029</v>
      </c>
      <c r="AS8" s="10">
        <f>'I-87 DetourSavings'!N14/Inputs!$B$12</f>
        <v>1867.7693548284058</v>
      </c>
      <c r="AT8" s="24">
        <f>Inputs!$B$97</f>
        <v>9.1554999999999997E-2</v>
      </c>
      <c r="AU8" s="24">
        <f>Inputs!$B$98</f>
        <v>0</v>
      </c>
      <c r="AV8" s="24">
        <f>Inputs!$B$99</f>
        <v>0</v>
      </c>
      <c r="AW8" s="24">
        <f>Inputs!$B$100</f>
        <v>41.065240000000003</v>
      </c>
      <c r="AX8" s="16">
        <f t="shared" si="11"/>
        <v>1.0260217396878881E-2</v>
      </c>
      <c r="AY8" s="16">
        <f t="shared" si="1"/>
        <v>0</v>
      </c>
      <c r="AZ8" s="16">
        <f t="shared" si="1"/>
        <v>0</v>
      </c>
      <c r="BA8" s="16">
        <f t="shared" si="1"/>
        <v>4.6020238092404195</v>
      </c>
      <c r="BB8" s="12">
        <f>AX8*Inputs!$B118</f>
        <v>181.60584792475618</v>
      </c>
      <c r="BC8" s="12">
        <f>AY8*Inputs!$C118</f>
        <v>0</v>
      </c>
      <c r="BD8" s="12">
        <f>AZ8*Inputs!$D118</f>
        <v>0</v>
      </c>
      <c r="BE8" s="12">
        <f>BA8*Inputs!$E118</f>
        <v>276.12142855442517</v>
      </c>
      <c r="BF8" s="406">
        <f>BE8*(1-VLOOKUP(AR8,'Transportation Electrification'!$O$7:$P$35,2,FALSE))</f>
        <v>254.03171427007112</v>
      </c>
      <c r="BG8" s="12">
        <f>BF8/((1+Inputs!$B$4)^(AR8-Inputs!$B$5))</f>
        <v>194.69415636251782</v>
      </c>
      <c r="BH8" s="12">
        <f t="shared" si="12"/>
        <v>181.60584792475618</v>
      </c>
      <c r="BI8" s="406">
        <f>BH8*(1-VLOOKUP(AR8,'Transportation Electrification'!$O$7:$P$35,2,FALSE))</f>
        <v>167.07738009077568</v>
      </c>
      <c r="BJ8" s="12">
        <f>BI8/((1+Inputs!$B$3)^(AR8-Inputs!$B$5))+BG8</f>
        <v>285.57318101644762</v>
      </c>
      <c r="BK8" s="12">
        <f>BI8/((1+Inputs!$B$4)^(AR8-Inputs!$B$5))+BG8</f>
        <v>322.74505606022427</v>
      </c>
    </row>
    <row r="9" spans="1:63" s="69" customFormat="1">
      <c r="A9" s="140"/>
      <c r="B9" s="161">
        <f t="shared" si="13"/>
        <v>2030</v>
      </c>
      <c r="C9" s="10">
        <f>'Travel Time Savings'!B22</f>
        <v>1709817.8461538462</v>
      </c>
      <c r="D9" s="24">
        <f>Inputs!$B$97</f>
        <v>9.1554999999999997E-2</v>
      </c>
      <c r="E9" s="24">
        <f>Inputs!$B$98</f>
        <v>0</v>
      </c>
      <c r="F9" s="24">
        <f>Inputs!$B$99</f>
        <v>0</v>
      </c>
      <c r="G9" s="24">
        <f>Inputs!$B$100</f>
        <v>41.065240000000003</v>
      </c>
      <c r="H9" s="16">
        <f t="shared" si="2"/>
        <v>9.392542374276923</v>
      </c>
      <c r="I9" s="16">
        <f t="shared" si="3"/>
        <v>0</v>
      </c>
      <c r="J9" s="16">
        <f t="shared" si="4"/>
        <v>0</v>
      </c>
      <c r="K9" s="16">
        <f t="shared" si="5"/>
        <v>4212.8448125154464</v>
      </c>
      <c r="L9" s="12">
        <f>H9*Inputs!$B119</f>
        <v>169065.76273698462</v>
      </c>
      <c r="M9" s="12">
        <f>I9*Inputs!$C119</f>
        <v>0</v>
      </c>
      <c r="N9" s="12">
        <f>J9*Inputs!$D119</f>
        <v>0</v>
      </c>
      <c r="O9" s="12">
        <f>K9*Inputs!$E119</f>
        <v>256983.53356344224</v>
      </c>
      <c r="P9" s="406">
        <f>O9*(1-VLOOKUP(B9,'Transportation Electrification'!$O$7:$P$35,2,FALSE))</f>
        <v>234222.13487639447</v>
      </c>
      <c r="Q9" s="12">
        <f>P9/((1+Inputs!$B$4)^(B9-Inputs!$B$5))</f>
        <v>174283.26529564516</v>
      </c>
      <c r="R9" s="12">
        <f t="shared" si="6"/>
        <v>169065.76273698462</v>
      </c>
      <c r="S9" s="406">
        <f>R9*(1-VLOOKUP(B9,'Transportation Electrification'!$O$7:$P$35,2,FALSE))</f>
        <v>154091.36660885168</v>
      </c>
      <c r="T9" s="12">
        <f>S9/((1+Inputs!$B$3)^(B9-Inputs!$B$5))+Q9</f>
        <v>252615.5024353262</v>
      </c>
      <c r="U9" s="12">
        <f>S9/((1+Inputs!$B$4)^(B9-Inputs!$B$5))+Q9</f>
        <v>288941.71352741215</v>
      </c>
      <c r="W9" s="161">
        <f t="shared" si="7"/>
        <v>2030</v>
      </c>
      <c r="X9" s="10">
        <f>'I-87 DetourSavings'!F15/Inputs!$B$12</f>
        <v>193.01149028190588</v>
      </c>
      <c r="Y9" s="24">
        <f>Inputs!$B$97</f>
        <v>9.1554999999999997E-2</v>
      </c>
      <c r="Z9" s="24">
        <f>Inputs!$B$98</f>
        <v>0</v>
      </c>
      <c r="AA9" s="24">
        <f>Inputs!$B$99</f>
        <v>0</v>
      </c>
      <c r="AB9" s="24">
        <f>Inputs!$B$100</f>
        <v>41.065240000000003</v>
      </c>
      <c r="AC9" s="16">
        <f t="shared" si="8"/>
        <v>1.0602700195655934E-3</v>
      </c>
      <c r="AD9" s="16">
        <f t="shared" si="0"/>
        <v>0</v>
      </c>
      <c r="AE9" s="16">
        <f t="shared" si="0"/>
        <v>0</v>
      </c>
      <c r="AF9" s="16">
        <f t="shared" si="0"/>
        <v>0.47556379027104795</v>
      </c>
      <c r="AG9" s="12">
        <f>AC9*Inputs!$B119</f>
        <v>19.08486035218068</v>
      </c>
      <c r="AH9" s="12">
        <f>AD9*Inputs!$C119</f>
        <v>0</v>
      </c>
      <c r="AI9" s="12">
        <f>AE9*Inputs!$D119</f>
        <v>0</v>
      </c>
      <c r="AJ9" s="12">
        <f>AF9*Inputs!$E119</f>
        <v>29.009391206533923</v>
      </c>
      <c r="AK9" s="406">
        <f>AJ9*(1-VLOOKUP(W9,'Transportation Electrification'!$O$7:$P$35,2,FALSE))</f>
        <v>26.439987985383773</v>
      </c>
      <c r="AL9" s="12">
        <f>AK9/((1+Inputs!$B$4)^(W9-Inputs!$B$5))</f>
        <v>19.673834169866591</v>
      </c>
      <c r="AM9" s="12">
        <f t="shared" si="9"/>
        <v>19.08486035218068</v>
      </c>
      <c r="AN9" s="406">
        <f>AM9*(1-VLOOKUP(W9,'Transportation Electrification'!$O$7:$P$35,2,FALSE))</f>
        <v>17.394487006701819</v>
      </c>
      <c r="AO9" s="12">
        <f>AN9/((1+Inputs!$B$3)^(W9-Inputs!$B$5))+AL9</f>
        <v>28.516309326770006</v>
      </c>
      <c r="AP9" s="12">
        <f>AN9/((1+Inputs!$B$4)^(W9-Inputs!$B$5))+AL9</f>
        <v>32.616966104303565</v>
      </c>
      <c r="AQ9" s="167"/>
      <c r="AR9" s="161">
        <f t="shared" si="10"/>
        <v>2030</v>
      </c>
      <c r="AS9" s="10">
        <f>'I-87 DetourSavings'!N15/Inputs!$B$12</f>
        <v>1930.1149028190591</v>
      </c>
      <c r="AT9" s="24">
        <f>Inputs!$B$97</f>
        <v>9.1554999999999997E-2</v>
      </c>
      <c r="AU9" s="24">
        <f>Inputs!$B$98</f>
        <v>0</v>
      </c>
      <c r="AV9" s="24">
        <f>Inputs!$B$99</f>
        <v>0</v>
      </c>
      <c r="AW9" s="24">
        <f>Inputs!$B$100</f>
        <v>41.065240000000003</v>
      </c>
      <c r="AX9" s="16">
        <f t="shared" si="11"/>
        <v>1.0602700195655937E-2</v>
      </c>
      <c r="AY9" s="16">
        <f t="shared" si="1"/>
        <v>0</v>
      </c>
      <c r="AZ9" s="16">
        <f t="shared" si="1"/>
        <v>0</v>
      </c>
      <c r="BA9" s="16">
        <f t="shared" si="1"/>
        <v>4.7556379027104807</v>
      </c>
      <c r="BB9" s="12">
        <f>AX9*Inputs!$B119</f>
        <v>190.84860352180687</v>
      </c>
      <c r="BC9" s="12">
        <f>AY9*Inputs!$C119</f>
        <v>0</v>
      </c>
      <c r="BD9" s="12">
        <f>AZ9*Inputs!$D119</f>
        <v>0</v>
      </c>
      <c r="BE9" s="12">
        <f>BA9*Inputs!$E119</f>
        <v>290.09391206533934</v>
      </c>
      <c r="BF9" s="406">
        <f>BE9*(1-VLOOKUP(AR9,'Transportation Electrification'!$O$7:$P$35,2,FALSE))</f>
        <v>264.39987985383783</v>
      </c>
      <c r="BG9" s="12">
        <f>BF9/((1+Inputs!$B$4)^(AR9-Inputs!$B$5))</f>
        <v>196.73834169866598</v>
      </c>
      <c r="BH9" s="12">
        <f t="shared" si="12"/>
        <v>190.84860352180687</v>
      </c>
      <c r="BI9" s="406">
        <f>BH9*(1-VLOOKUP(AR9,'Transportation Electrification'!$O$7:$P$35,2,FALSE))</f>
        <v>173.94487006701826</v>
      </c>
      <c r="BJ9" s="12">
        <f>BI9/((1+Inputs!$B$3)^(AR9-Inputs!$B$5))+BG9</f>
        <v>285.16309326770016</v>
      </c>
      <c r="BK9" s="12">
        <f>BI9/((1+Inputs!$B$4)^(AR9-Inputs!$B$5))+BG9</f>
        <v>326.16966104303577</v>
      </c>
    </row>
    <row r="10" spans="1:63" s="69" customFormat="1">
      <c r="A10" s="140"/>
      <c r="B10" s="161">
        <f t="shared" si="13"/>
        <v>2031</v>
      </c>
      <c r="C10" s="10">
        <f>'Travel Time Savings'!B23</f>
        <v>1847090</v>
      </c>
      <c r="D10" s="24">
        <f>Inputs!$B$97</f>
        <v>9.1554999999999997E-2</v>
      </c>
      <c r="E10" s="24">
        <f>Inputs!$B$98</f>
        <v>0</v>
      </c>
      <c r="F10" s="24">
        <f>Inputs!$B$99</f>
        <v>0</v>
      </c>
      <c r="G10" s="24">
        <f>Inputs!$B$100</f>
        <v>41.065240000000003</v>
      </c>
      <c r="H10" s="16">
        <f t="shared" si="2"/>
        <v>10.146619497</v>
      </c>
      <c r="I10" s="16">
        <f t="shared" si="3"/>
        <v>0</v>
      </c>
      <c r="J10" s="16">
        <f t="shared" si="4"/>
        <v>0</v>
      </c>
      <c r="K10" s="16">
        <f t="shared" si="5"/>
        <v>4551.0716490960003</v>
      </c>
      <c r="L10" s="12">
        <f>H10*Inputs!$B120</f>
        <v>182639.15094599998</v>
      </c>
      <c r="M10" s="12">
        <f>I10*Inputs!$C120</f>
        <v>0</v>
      </c>
      <c r="N10" s="12">
        <f>J10*Inputs!$D120</f>
        <v>0</v>
      </c>
      <c r="O10" s="12">
        <f>K10*Inputs!$E120</f>
        <v>282166.44224395201</v>
      </c>
      <c r="P10" s="406">
        <f>O10*(1-VLOOKUP(B10,'Transportation Electrification'!$O$7:$P$35,2,FALSE))</f>
        <v>254755.9878545395</v>
      </c>
      <c r="Q10" s="12">
        <f>P10/((1+Inputs!$B$4)^(B10-Inputs!$B$5))</f>
        <v>184041.1459670552</v>
      </c>
      <c r="R10" s="12">
        <f t="shared" si="6"/>
        <v>182639.15094599998</v>
      </c>
      <c r="S10" s="406">
        <f>R10*(1-VLOOKUP(B10,'Transportation Electrification'!$O$7:$P$35,2,FALSE))</f>
        <v>164897.06199695996</v>
      </c>
      <c r="T10" s="12">
        <f>S10/((1+Inputs!$B$3)^(B10-Inputs!$B$5))+Q10</f>
        <v>262382.55226728815</v>
      </c>
      <c r="U10" s="12">
        <f>S10/((1+Inputs!$B$4)^(B10-Inputs!$B$5))+Q10</f>
        <v>303166.29200228426</v>
      </c>
      <c r="W10" s="161">
        <f t="shared" si="7"/>
        <v>2031</v>
      </c>
      <c r="X10" s="10">
        <f>'I-87 DetourSavings'!F16/Inputs!$B$12</f>
        <v>199.45415254050337</v>
      </c>
      <c r="Y10" s="24">
        <f>Inputs!$B$97</f>
        <v>9.1554999999999997E-2</v>
      </c>
      <c r="Z10" s="24">
        <f>Inputs!$B$98</f>
        <v>0</v>
      </c>
      <c r="AA10" s="24">
        <f>Inputs!$B$99</f>
        <v>0</v>
      </c>
      <c r="AB10" s="24">
        <f>Inputs!$B$100</f>
        <v>41.065240000000003</v>
      </c>
      <c r="AC10" s="16">
        <f t="shared" si="8"/>
        <v>1.0956614961507472E-3</v>
      </c>
      <c r="AD10" s="16">
        <f t="shared" si="0"/>
        <v>0</v>
      </c>
      <c r="AE10" s="16">
        <f t="shared" si="0"/>
        <v>0</v>
      </c>
      <c r="AF10" s="16">
        <f t="shared" si="0"/>
        <v>0.49143795858434286</v>
      </c>
      <c r="AG10" s="12">
        <f>AC10*Inputs!$B120</f>
        <v>19.721906930713448</v>
      </c>
      <c r="AH10" s="12">
        <f>AD10*Inputs!$C120</f>
        <v>0</v>
      </c>
      <c r="AI10" s="12">
        <f>AE10*Inputs!$D120</f>
        <v>0</v>
      </c>
      <c r="AJ10" s="12">
        <f>AF10*Inputs!$E120</f>
        <v>30.469153432229259</v>
      </c>
      <c r="AK10" s="406">
        <f>AJ10*(1-VLOOKUP(W10,'Transportation Electrification'!$O$7:$P$35,2,FALSE))</f>
        <v>27.509292813098416</v>
      </c>
      <c r="AL10" s="12">
        <f>AK10/((1+Inputs!$B$4)^(W10-Inputs!$B$5))</f>
        <v>19.873298432367715</v>
      </c>
      <c r="AM10" s="12">
        <f t="shared" si="9"/>
        <v>19.721906930713448</v>
      </c>
      <c r="AN10" s="406">
        <f>AM10*(1-VLOOKUP(W10,'Transportation Electrification'!$O$7:$P$35,2,FALSE))</f>
        <v>17.806064543158428</v>
      </c>
      <c r="AO10" s="12">
        <f>AN10/((1+Inputs!$B$3)^(W10-Inputs!$B$5))+AL10</f>
        <v>28.332831428834709</v>
      </c>
      <c r="AP10" s="12">
        <f>AN10/((1+Inputs!$B$4)^(W10-Inputs!$B$5))+AL10</f>
        <v>32.736778310836186</v>
      </c>
      <c r="AQ10" s="167"/>
      <c r="AR10" s="161">
        <f t="shared" si="10"/>
        <v>2031</v>
      </c>
      <c r="AS10" s="10">
        <f>'I-87 DetourSavings'!N16/Inputs!$B$12</f>
        <v>1994.5415254050336</v>
      </c>
      <c r="AT10" s="24">
        <f>Inputs!$B$97</f>
        <v>9.1554999999999997E-2</v>
      </c>
      <c r="AU10" s="24">
        <f>Inputs!$B$98</f>
        <v>0</v>
      </c>
      <c r="AV10" s="24">
        <f>Inputs!$B$99</f>
        <v>0</v>
      </c>
      <c r="AW10" s="24">
        <f>Inputs!$B$100</f>
        <v>41.065240000000003</v>
      </c>
      <c r="AX10" s="16">
        <f t="shared" si="11"/>
        <v>1.0956614961507471E-2</v>
      </c>
      <c r="AY10" s="16">
        <f t="shared" si="1"/>
        <v>0</v>
      </c>
      <c r="AZ10" s="16">
        <f t="shared" si="1"/>
        <v>0</v>
      </c>
      <c r="BA10" s="16">
        <f t="shared" si="1"/>
        <v>4.9143795858434283</v>
      </c>
      <c r="BB10" s="12">
        <f>AX10*Inputs!$B120</f>
        <v>197.21906930713448</v>
      </c>
      <c r="BC10" s="12">
        <f>AY10*Inputs!$C120</f>
        <v>0</v>
      </c>
      <c r="BD10" s="12">
        <f>AZ10*Inputs!$D120</f>
        <v>0</v>
      </c>
      <c r="BE10" s="12">
        <f>BA10*Inputs!$E120</f>
        <v>304.69153432229257</v>
      </c>
      <c r="BF10" s="406">
        <f>BE10*(1-VLOOKUP(AR10,'Transportation Electrification'!$O$7:$P$35,2,FALSE))</f>
        <v>275.09292813098415</v>
      </c>
      <c r="BG10" s="12">
        <f>BF10/((1+Inputs!$B$4)^(AR10-Inputs!$B$5))</f>
        <v>198.73298432367713</v>
      </c>
      <c r="BH10" s="12">
        <f t="shared" si="12"/>
        <v>197.21906930713448</v>
      </c>
      <c r="BI10" s="406">
        <f>BH10*(1-VLOOKUP(AR10,'Transportation Electrification'!$O$7:$P$35,2,FALSE))</f>
        <v>178.06064543158425</v>
      </c>
      <c r="BJ10" s="12">
        <f>BI10/((1+Inputs!$B$3)^(AR10-Inputs!$B$5))+BG10</f>
        <v>283.32831428834703</v>
      </c>
      <c r="BK10" s="12">
        <f>BI10/((1+Inputs!$B$4)^(AR10-Inputs!$B$5))+BG10</f>
        <v>327.36778310836178</v>
      </c>
    </row>
    <row r="11" spans="1:63" s="69" customFormat="1">
      <c r="A11" s="140"/>
      <c r="B11" s="161">
        <f t="shared" si="13"/>
        <v>2032</v>
      </c>
      <c r="C11" s="10">
        <f>'Travel Time Savings'!B24</f>
        <v>1984362.1538461517</v>
      </c>
      <c r="D11" s="24">
        <f>Inputs!$B$97</f>
        <v>9.1554999999999997E-2</v>
      </c>
      <c r="E11" s="24">
        <f>Inputs!$B$98</f>
        <v>0</v>
      </c>
      <c r="F11" s="24">
        <f>Inputs!$B$99</f>
        <v>0</v>
      </c>
      <c r="G11" s="24">
        <f>Inputs!$B$100</f>
        <v>41.065240000000003</v>
      </c>
      <c r="H11" s="16">
        <f t="shared" si="2"/>
        <v>10.900696619723066</v>
      </c>
      <c r="I11" s="16">
        <f t="shared" si="3"/>
        <v>0</v>
      </c>
      <c r="J11" s="16">
        <f t="shared" si="4"/>
        <v>0</v>
      </c>
      <c r="K11" s="16">
        <f t="shared" si="5"/>
        <v>4889.2984856765488</v>
      </c>
      <c r="L11" s="12">
        <f>H11*Inputs!$B121</f>
        <v>196212.53915501517</v>
      </c>
      <c r="M11" s="12">
        <f>I11*Inputs!$C121</f>
        <v>0</v>
      </c>
      <c r="N11" s="12">
        <f>J11*Inputs!$D121</f>
        <v>0</v>
      </c>
      <c r="O11" s="12">
        <f>K11*Inputs!$E121</f>
        <v>308025.8045976226</v>
      </c>
      <c r="P11" s="406">
        <f>O11*(1-VLOOKUP(B11,'Transportation Electrification'!$O$7:$P$35,2,FALSE))</f>
        <v>275463.07668301678</v>
      </c>
      <c r="Q11" s="12">
        <f>P11/((1+Inputs!$B$4)^(B11-Inputs!$B$5))</f>
        <v>193204.2597215221</v>
      </c>
      <c r="R11" s="12">
        <f t="shared" si="6"/>
        <v>196212.53915501517</v>
      </c>
      <c r="S11" s="406">
        <f>R11*(1-VLOOKUP(B11,'Transportation Electrification'!$O$7:$P$35,2,FALSE))</f>
        <v>175470.07073005641</v>
      </c>
      <c r="T11" s="12">
        <f>S11/((1+Inputs!$B$3)^(B11-Inputs!$B$5))+Q11</f>
        <v>271115.06961448485</v>
      </c>
      <c r="U11" s="12">
        <f>S11/((1+Inputs!$B$4)^(B11-Inputs!$B$5))+Q11</f>
        <v>316275.43690762162</v>
      </c>
      <c r="W11" s="161">
        <f t="shared" si="7"/>
        <v>2032</v>
      </c>
      <c r="X11" s="10">
        <f>'I-87 DetourSavings'!F17/Inputs!$B$12</f>
        <v>206.11186881955192</v>
      </c>
      <c r="Y11" s="24">
        <f>Inputs!$B$97</f>
        <v>9.1554999999999997E-2</v>
      </c>
      <c r="Z11" s="24">
        <f>Inputs!$B$98</f>
        <v>0</v>
      </c>
      <c r="AA11" s="24">
        <f>Inputs!$B$99</f>
        <v>0</v>
      </c>
      <c r="AB11" s="24">
        <f>Inputs!$B$100</f>
        <v>41.065240000000003</v>
      </c>
      <c r="AC11" s="16">
        <f t="shared" si="8"/>
        <v>1.1322343289864446E-3</v>
      </c>
      <c r="AD11" s="16">
        <f t="shared" si="0"/>
        <v>0</v>
      </c>
      <c r="AE11" s="16">
        <f t="shared" si="0"/>
        <v>0</v>
      </c>
      <c r="AF11" s="16">
        <f t="shared" si="0"/>
        <v>0.50784200159540493</v>
      </c>
      <c r="AG11" s="12">
        <f>AC11*Inputs!$B121</f>
        <v>20.380217921756003</v>
      </c>
      <c r="AH11" s="12">
        <f>AD11*Inputs!$C121</f>
        <v>0</v>
      </c>
      <c r="AI11" s="12">
        <f>AE11*Inputs!$D121</f>
        <v>0</v>
      </c>
      <c r="AJ11" s="12">
        <f>AF11*Inputs!$E121</f>
        <v>31.994046100510509</v>
      </c>
      <c r="AK11" s="406">
        <f>AJ11*(1-VLOOKUP(W11,'Transportation Electrification'!$O$7:$P$35,2,FALSE))</f>
        <v>28.611818369885111</v>
      </c>
      <c r="AL11" s="12">
        <f>AK11/((1+Inputs!$B$4)^(W11-Inputs!$B$5))</f>
        <v>20.067753740373128</v>
      </c>
      <c r="AM11" s="12">
        <f t="shared" si="9"/>
        <v>20.380217921756003</v>
      </c>
      <c r="AN11" s="406">
        <f>AM11*(1-VLOOKUP(W11,'Transportation Electrification'!$O$7:$P$35,2,FALSE))</f>
        <v>18.225737741456083</v>
      </c>
      <c r="AO11" s="12">
        <f>AN11/((1+Inputs!$B$3)^(W11-Inputs!$B$5))+AL11</f>
        <v>28.160199263564856</v>
      </c>
      <c r="AP11" s="12">
        <f>AN11/((1+Inputs!$B$4)^(W11-Inputs!$B$5))+AL11</f>
        <v>32.850919493904144</v>
      </c>
      <c r="AQ11" s="167"/>
      <c r="AR11" s="161">
        <f t="shared" si="10"/>
        <v>2032</v>
      </c>
      <c r="AS11" s="10">
        <f>'I-87 DetourSavings'!N17/Inputs!$B$12</f>
        <v>2061.1186881955191</v>
      </c>
      <c r="AT11" s="24">
        <f>Inputs!$B$97</f>
        <v>9.1554999999999997E-2</v>
      </c>
      <c r="AU11" s="24">
        <f>Inputs!$B$98</f>
        <v>0</v>
      </c>
      <c r="AV11" s="24">
        <f>Inputs!$B$99</f>
        <v>0</v>
      </c>
      <c r="AW11" s="24">
        <f>Inputs!$B$100</f>
        <v>41.065240000000003</v>
      </c>
      <c r="AX11" s="16">
        <f t="shared" si="11"/>
        <v>1.1322343289864445E-2</v>
      </c>
      <c r="AY11" s="16">
        <f t="shared" si="1"/>
        <v>0</v>
      </c>
      <c r="AZ11" s="16">
        <f t="shared" si="1"/>
        <v>0</v>
      </c>
      <c r="BA11" s="16">
        <f t="shared" si="1"/>
        <v>5.07842001595405</v>
      </c>
      <c r="BB11" s="12">
        <f>AX11*Inputs!$B121</f>
        <v>203.80217921756002</v>
      </c>
      <c r="BC11" s="12">
        <f>AY11*Inputs!$C121</f>
        <v>0</v>
      </c>
      <c r="BD11" s="12">
        <f>AZ11*Inputs!$D121</f>
        <v>0</v>
      </c>
      <c r="BE11" s="12">
        <f>BA11*Inputs!$E121</f>
        <v>319.94046100510513</v>
      </c>
      <c r="BF11" s="406">
        <f>BE11*(1-VLOOKUP(AR11,'Transportation Electrification'!$O$7:$P$35,2,FALSE))</f>
        <v>286.11818369885117</v>
      </c>
      <c r="BG11" s="12">
        <f>BF11/((1+Inputs!$B$4)^(AR11-Inputs!$B$5))</f>
        <v>200.67753740373132</v>
      </c>
      <c r="BH11" s="12">
        <f t="shared" si="12"/>
        <v>203.80217921756002</v>
      </c>
      <c r="BI11" s="406">
        <f>BH11*(1-VLOOKUP(AR11,'Transportation Electrification'!$O$7:$P$35,2,FALSE))</f>
        <v>182.25737741456081</v>
      </c>
      <c r="BJ11" s="12">
        <f>BI11/((1+Inputs!$B$3)^(AR11-Inputs!$B$5))+BG11</f>
        <v>281.60199263564857</v>
      </c>
      <c r="BK11" s="12">
        <f>BI11/((1+Inputs!$B$4)^(AR11-Inputs!$B$5))+BG11</f>
        <v>328.50919493904149</v>
      </c>
    </row>
    <row r="12" spans="1:63" s="69" customFormat="1">
      <c r="A12" s="140"/>
      <c r="B12" s="161">
        <f t="shared" si="13"/>
        <v>2033</v>
      </c>
      <c r="C12" s="10">
        <f>'Travel Time Savings'!B25</f>
        <v>2121634.3076923075</v>
      </c>
      <c r="D12" s="24">
        <f>Inputs!$B$97</f>
        <v>9.1554999999999997E-2</v>
      </c>
      <c r="E12" s="24">
        <f>Inputs!$B$98</f>
        <v>0</v>
      </c>
      <c r="F12" s="24">
        <f>Inputs!$B$99</f>
        <v>0</v>
      </c>
      <c r="G12" s="24">
        <f>Inputs!$B$100</f>
        <v>41.065240000000003</v>
      </c>
      <c r="H12" s="16">
        <f t="shared" si="2"/>
        <v>11.654773742446153</v>
      </c>
      <c r="I12" s="16">
        <f t="shared" si="3"/>
        <v>0</v>
      </c>
      <c r="J12" s="16">
        <f t="shared" si="4"/>
        <v>0</v>
      </c>
      <c r="K12" s="16">
        <f t="shared" si="5"/>
        <v>5227.5253222571073</v>
      </c>
      <c r="L12" s="12">
        <f>H12*Inputs!$B122</f>
        <v>209785.92736403077</v>
      </c>
      <c r="M12" s="12">
        <f>I12*Inputs!$C122</f>
        <v>0</v>
      </c>
      <c r="N12" s="12">
        <f>J12*Inputs!$D122</f>
        <v>0</v>
      </c>
      <c r="O12" s="12">
        <f>K12*Inputs!$E122</f>
        <v>334561.62062445487</v>
      </c>
      <c r="P12" s="406">
        <f>O12*(1-VLOOKUP(B12,'Transportation Electrification'!$O$7:$P$35,2,FALSE))</f>
        <v>296326.00683880289</v>
      </c>
      <c r="Q12" s="12">
        <f>P12/((1+Inputs!$B$4)^(B12-Inputs!$B$5))</f>
        <v>201783.59143171043</v>
      </c>
      <c r="R12" s="12">
        <f t="shared" si="6"/>
        <v>209785.92736403077</v>
      </c>
      <c r="S12" s="406">
        <f>R12*(1-VLOOKUP(B12,'Transportation Electrification'!$O$7:$P$35,2,FALSE))</f>
        <v>185810.39280814154</v>
      </c>
      <c r="T12" s="12">
        <f>S12/((1+Inputs!$B$3)^(B12-Inputs!$B$5))+Q12</f>
        <v>278888.29849529319</v>
      </c>
      <c r="U12" s="12">
        <f>S12/((1+Inputs!$B$4)^(B12-Inputs!$B$5))+Q12</f>
        <v>328311.42739907315</v>
      </c>
      <c r="W12" s="161">
        <f t="shared" si="7"/>
        <v>2033</v>
      </c>
      <c r="X12" s="10">
        <f>'I-87 DetourSavings'!F18/Inputs!$B$12</f>
        <v>212.99181755396779</v>
      </c>
      <c r="Y12" s="24">
        <f>Inputs!$B$97</f>
        <v>9.1554999999999997E-2</v>
      </c>
      <c r="Z12" s="24">
        <f>Inputs!$B$98</f>
        <v>0</v>
      </c>
      <c r="AA12" s="24">
        <f>Inputs!$B$99</f>
        <v>0</v>
      </c>
      <c r="AB12" s="24">
        <f>Inputs!$B$100</f>
        <v>41.065240000000003</v>
      </c>
      <c r="AC12" s="16">
        <f t="shared" si="8"/>
        <v>1.1700279513692112E-3</v>
      </c>
      <c r="AD12" s="16">
        <f t="shared" si="0"/>
        <v>0</v>
      </c>
      <c r="AE12" s="16">
        <f t="shared" si="0"/>
        <v>0</v>
      </c>
      <c r="AF12" s="16">
        <f t="shared" si="0"/>
        <v>0.524793606353394</v>
      </c>
      <c r="AG12" s="12">
        <f>AC12*Inputs!$B122</f>
        <v>21.060503124645802</v>
      </c>
      <c r="AH12" s="12">
        <f>AD12*Inputs!$C122</f>
        <v>0</v>
      </c>
      <c r="AI12" s="12">
        <f>AE12*Inputs!$D122</f>
        <v>0</v>
      </c>
      <c r="AJ12" s="12">
        <f>AF12*Inputs!$E122</f>
        <v>33.586790806617216</v>
      </c>
      <c r="AK12" s="406">
        <f>AJ12*(1-VLOOKUP(W12,'Transportation Electrification'!$O$7:$P$35,2,FALSE))</f>
        <v>29.748300428718103</v>
      </c>
      <c r="AL12" s="12">
        <f>AK12/((1+Inputs!$B$4)^(W12-Inputs!$B$5))</f>
        <v>20.257145039455221</v>
      </c>
      <c r="AM12" s="12">
        <f t="shared" si="9"/>
        <v>21.060503124645802</v>
      </c>
      <c r="AN12" s="406">
        <f>AM12*(1-VLOOKUP(W12,'Transportation Electrification'!$O$7:$P$35,2,FALSE))</f>
        <v>18.653588481829139</v>
      </c>
      <c r="AO12" s="12">
        <f>AN12/((1+Inputs!$B$3)^(W12-Inputs!$B$5))+AL12</f>
        <v>27.997721084957433</v>
      </c>
      <c r="AP12" s="12">
        <f>AN12/((1+Inputs!$B$4)^(W12-Inputs!$B$5))+AL12</f>
        <v>32.959331111838083</v>
      </c>
      <c r="AQ12" s="167"/>
      <c r="AR12" s="161">
        <f t="shared" si="10"/>
        <v>2033</v>
      </c>
      <c r="AS12" s="10">
        <f>'I-87 DetourSavings'!N18/Inputs!$B$12</f>
        <v>2129.918175539678</v>
      </c>
      <c r="AT12" s="24">
        <f>Inputs!$B$97</f>
        <v>9.1554999999999997E-2</v>
      </c>
      <c r="AU12" s="24">
        <f>Inputs!$B$98</f>
        <v>0</v>
      </c>
      <c r="AV12" s="24">
        <f>Inputs!$B$99</f>
        <v>0</v>
      </c>
      <c r="AW12" s="24">
        <f>Inputs!$B$100</f>
        <v>41.065240000000003</v>
      </c>
      <c r="AX12" s="16">
        <f t="shared" si="11"/>
        <v>1.1700279513692112E-2</v>
      </c>
      <c r="AY12" s="16">
        <f t="shared" si="1"/>
        <v>0</v>
      </c>
      <c r="AZ12" s="16">
        <f t="shared" si="1"/>
        <v>0</v>
      </c>
      <c r="BA12" s="16">
        <f t="shared" si="1"/>
        <v>5.24793606353394</v>
      </c>
      <c r="BB12" s="12">
        <f>AX12*Inputs!$B122</f>
        <v>210.60503124645803</v>
      </c>
      <c r="BC12" s="12">
        <f>AY12*Inputs!$C122</f>
        <v>0</v>
      </c>
      <c r="BD12" s="12">
        <f>AZ12*Inputs!$D122</f>
        <v>0</v>
      </c>
      <c r="BE12" s="12">
        <f>BA12*Inputs!$E122</f>
        <v>335.86790806617216</v>
      </c>
      <c r="BF12" s="406">
        <f>BE12*(1-VLOOKUP(AR12,'Transportation Electrification'!$O$7:$P$35,2,FALSE))</f>
        <v>297.48300428718102</v>
      </c>
      <c r="BG12" s="12">
        <f>BF12/((1+Inputs!$B$4)^(AR12-Inputs!$B$5))</f>
        <v>202.57145039455222</v>
      </c>
      <c r="BH12" s="12">
        <f t="shared" si="12"/>
        <v>210.60503124645803</v>
      </c>
      <c r="BI12" s="406">
        <f>BH12*(1-VLOOKUP(AR12,'Transportation Electrification'!$O$7:$P$35,2,FALSE))</f>
        <v>186.53588481829138</v>
      </c>
      <c r="BJ12" s="12">
        <f>BI12/((1+Inputs!$B$3)^(AR12-Inputs!$B$5))+BG12</f>
        <v>279.97721084957436</v>
      </c>
      <c r="BK12" s="12">
        <f>BI12/((1+Inputs!$B$4)^(AR12-Inputs!$B$5))+BG12</f>
        <v>329.59331111838083</v>
      </c>
    </row>
    <row r="13" spans="1:63" s="69" customFormat="1">
      <c r="A13" s="140"/>
      <c r="B13" s="161">
        <f t="shared" si="13"/>
        <v>2034</v>
      </c>
      <c r="C13" s="10">
        <f>'Travel Time Savings'!B26</f>
        <v>2258906.4615384615</v>
      </c>
      <c r="D13" s="24">
        <f>Inputs!$B$97</f>
        <v>9.1554999999999997E-2</v>
      </c>
      <c r="E13" s="24">
        <f>Inputs!$B$98</f>
        <v>0</v>
      </c>
      <c r="F13" s="24">
        <f>Inputs!$B$99</f>
        <v>0</v>
      </c>
      <c r="G13" s="24">
        <f>Inputs!$B$100</f>
        <v>41.065240000000003</v>
      </c>
      <c r="H13" s="16">
        <f t="shared" si="2"/>
        <v>12.40885086516923</v>
      </c>
      <c r="I13" s="16">
        <f t="shared" si="3"/>
        <v>0</v>
      </c>
      <c r="J13" s="16">
        <f t="shared" si="4"/>
        <v>0</v>
      </c>
      <c r="K13" s="16">
        <f t="shared" si="5"/>
        <v>5565.7521588376621</v>
      </c>
      <c r="L13" s="12">
        <f>H13*Inputs!$B123</f>
        <v>223359.31557304613</v>
      </c>
      <c r="M13" s="12">
        <f>I13*Inputs!$C123</f>
        <v>0</v>
      </c>
      <c r="N13" s="12">
        <f>J13*Inputs!$D123</f>
        <v>0</v>
      </c>
      <c r="O13" s="12">
        <f>K13*Inputs!$E123</f>
        <v>367339.64248328569</v>
      </c>
      <c r="P13" s="406">
        <f>O13*(1-VLOOKUP(B13,'Transportation Electrification'!$O$7:$P$35,2,FALSE))</f>
        <v>322209.34354962484</v>
      </c>
      <c r="Q13" s="12">
        <f>P13/((1+Inputs!$B$4)^(B13-Inputs!$B$5))</f>
        <v>213018.33422178566</v>
      </c>
      <c r="R13" s="12">
        <f t="shared" si="6"/>
        <v>223359.31557304613</v>
      </c>
      <c r="S13" s="406">
        <f>R13*(1-VLOOKUP(B13,'Transportation Electrification'!$O$7:$P$35,2,FALSE))</f>
        <v>195918.02823121473</v>
      </c>
      <c r="T13" s="12">
        <f>S13/((1+Inputs!$B$3)^(B13-Inputs!$B$5))+Q13</f>
        <v>288998.72339596972</v>
      </c>
      <c r="U13" s="12">
        <f>S13/((1+Inputs!$B$4)^(B13-Inputs!$B$5))+Q13</f>
        <v>342543.23116631666</v>
      </c>
      <c r="W13" s="161">
        <f t="shared" si="7"/>
        <v>2034</v>
      </c>
      <c r="X13" s="10">
        <f>'I-87 DetourSavings'!F19/Inputs!$B$12</f>
        <v>220.10141679254579</v>
      </c>
      <c r="Y13" s="24">
        <f>Inputs!$B$97</f>
        <v>9.1554999999999997E-2</v>
      </c>
      <c r="Z13" s="24">
        <f>Inputs!$B$98</f>
        <v>0</v>
      </c>
      <c r="AA13" s="24">
        <f>Inputs!$B$99</f>
        <v>0</v>
      </c>
      <c r="AB13" s="24">
        <f>Inputs!$B$100</f>
        <v>41.065240000000003</v>
      </c>
      <c r="AC13" s="16">
        <f t="shared" si="8"/>
        <v>1.2090831128664919E-3</v>
      </c>
      <c r="AD13" s="16">
        <f t="shared" si="0"/>
        <v>0</v>
      </c>
      <c r="AE13" s="16">
        <f t="shared" si="0"/>
        <v>0</v>
      </c>
      <c r="AF13" s="16">
        <f t="shared" si="0"/>
        <v>0.54231105029555537</v>
      </c>
      <c r="AG13" s="12">
        <f>AC13*Inputs!$B123</f>
        <v>21.763496031596855</v>
      </c>
      <c r="AH13" s="12">
        <f>AD13*Inputs!$C123</f>
        <v>0</v>
      </c>
      <c r="AI13" s="12">
        <f>AE13*Inputs!$D123</f>
        <v>0</v>
      </c>
      <c r="AJ13" s="12">
        <f>AF13*Inputs!$E123</f>
        <v>35.792529319506656</v>
      </c>
      <c r="AK13" s="406">
        <f>AJ13*(1-VLOOKUP(W13,'Transportation Electrification'!$O$7:$P$35,2,FALSE))</f>
        <v>31.395161431681551</v>
      </c>
      <c r="AL13" s="12">
        <f>AK13/((1+Inputs!$B$4)^(W13-Inputs!$B$5))</f>
        <v>20.755900239034649</v>
      </c>
      <c r="AM13" s="12">
        <f t="shared" si="9"/>
        <v>21.763496031596855</v>
      </c>
      <c r="AN13" s="406">
        <f>AM13*(1-VLOOKUP(W13,'Transportation Electrification'!$O$7:$P$35,2,FALSE))</f>
        <v>19.089695090572096</v>
      </c>
      <c r="AO13" s="12">
        <f>AN13/((1+Inputs!$B$3)^(W13-Inputs!$B$5))+AL13</f>
        <v>28.159213120922292</v>
      </c>
      <c r="AP13" s="12">
        <f>AN13/((1+Inputs!$B$4)^(W13-Inputs!$B$5))+AL13</f>
        <v>33.376437571060137</v>
      </c>
      <c r="AQ13" s="167"/>
      <c r="AR13" s="161">
        <f t="shared" si="10"/>
        <v>2034</v>
      </c>
      <c r="AS13" s="10">
        <f>'I-87 DetourSavings'!N19/Inputs!$B$12</f>
        <v>2201.014167925458</v>
      </c>
      <c r="AT13" s="24">
        <f>Inputs!$B$97</f>
        <v>9.1554999999999997E-2</v>
      </c>
      <c r="AU13" s="24">
        <f>Inputs!$B$98</f>
        <v>0</v>
      </c>
      <c r="AV13" s="24">
        <f>Inputs!$B$99</f>
        <v>0</v>
      </c>
      <c r="AW13" s="24">
        <f>Inputs!$B$100</f>
        <v>41.065240000000003</v>
      </c>
      <c r="AX13" s="16">
        <f t="shared" si="11"/>
        <v>1.2090831128664917E-2</v>
      </c>
      <c r="AY13" s="16">
        <f t="shared" si="1"/>
        <v>0</v>
      </c>
      <c r="AZ13" s="16">
        <f t="shared" si="1"/>
        <v>0</v>
      </c>
      <c r="BA13" s="16">
        <f t="shared" si="1"/>
        <v>5.423110502955554</v>
      </c>
      <c r="BB13" s="12">
        <f>AX13*Inputs!$B123</f>
        <v>217.6349603159685</v>
      </c>
      <c r="BC13" s="12">
        <f>AY13*Inputs!$C123</f>
        <v>0</v>
      </c>
      <c r="BD13" s="12">
        <f>AZ13*Inputs!$D123</f>
        <v>0</v>
      </c>
      <c r="BE13" s="12">
        <f>BA13*Inputs!$E123</f>
        <v>357.92529319506656</v>
      </c>
      <c r="BF13" s="406">
        <f>BE13*(1-VLOOKUP(AR13,'Transportation Electrification'!$O$7:$P$35,2,FALSE))</f>
        <v>313.95161431681549</v>
      </c>
      <c r="BG13" s="12">
        <f>BF13/((1+Inputs!$B$4)^(AR13-Inputs!$B$5))</f>
        <v>207.55900239034648</v>
      </c>
      <c r="BH13" s="12">
        <f t="shared" si="12"/>
        <v>217.6349603159685</v>
      </c>
      <c r="BI13" s="406">
        <f>BH13*(1-VLOOKUP(AR13,'Transportation Electrification'!$O$7:$P$35,2,FALSE))</f>
        <v>190.89695090572093</v>
      </c>
      <c r="BJ13" s="12">
        <f>BI13/((1+Inputs!$B$3)^(AR13-Inputs!$B$5))+BG13</f>
        <v>281.59213120922288</v>
      </c>
      <c r="BK13" s="12">
        <f>BI13/((1+Inputs!$B$4)^(AR13-Inputs!$B$5))+BG13</f>
        <v>333.76437571060137</v>
      </c>
    </row>
    <row r="14" spans="1:63" s="69" customFormat="1">
      <c r="A14" s="140"/>
      <c r="B14" s="161">
        <f t="shared" si="13"/>
        <v>2035</v>
      </c>
      <c r="C14" s="10">
        <f>'Travel Time Savings'!B27</f>
        <v>2396178.615384615</v>
      </c>
      <c r="D14" s="24">
        <f>Inputs!$B$97</f>
        <v>9.1554999999999997E-2</v>
      </c>
      <c r="E14" s="24">
        <f>Inputs!$B$98</f>
        <v>0</v>
      </c>
      <c r="F14" s="24">
        <f>Inputs!$B$99</f>
        <v>0</v>
      </c>
      <c r="G14" s="24">
        <f>Inputs!$B$100</f>
        <v>41.065240000000003</v>
      </c>
      <c r="H14" s="16">
        <f t="shared" si="2"/>
        <v>13.162927987892305</v>
      </c>
      <c r="I14" s="16">
        <f t="shared" si="3"/>
        <v>0</v>
      </c>
      <c r="J14" s="16">
        <f t="shared" si="4"/>
        <v>0</v>
      </c>
      <c r="K14" s="16">
        <f t="shared" si="5"/>
        <v>5903.9789954182152</v>
      </c>
      <c r="L14" s="12">
        <f>H14*Inputs!$B124</f>
        <v>236932.70378206149</v>
      </c>
      <c r="M14" s="12">
        <f>I14*Inputs!$C124</f>
        <v>0</v>
      </c>
      <c r="N14" s="12">
        <f>J14*Inputs!$D124</f>
        <v>0</v>
      </c>
      <c r="O14" s="12">
        <f>K14*Inputs!$E124</f>
        <v>395566.59269302042</v>
      </c>
      <c r="P14" s="406">
        <f>O14*(1-VLOOKUP(B14,'Transportation Electrification'!$O$7:$P$35,2,FALSE))</f>
        <v>343577.84051050915</v>
      </c>
      <c r="Q14" s="12">
        <f>P14/((1+Inputs!$B$4)^(B14-Inputs!$B$5))</f>
        <v>220529.54179243429</v>
      </c>
      <c r="R14" s="12">
        <f t="shared" si="6"/>
        <v>236932.70378206149</v>
      </c>
      <c r="S14" s="406">
        <f>R14*(1-VLOOKUP(B14,'Transportation Electrification'!$O$7:$P$35,2,FALSE))</f>
        <v>205792.97699927626</v>
      </c>
      <c r="T14" s="12">
        <f>S14/((1+Inputs!$B$3)^(B14-Inputs!$B$5))+Q14</f>
        <v>295118.38717617362</v>
      </c>
      <c r="U14" s="12">
        <f>S14/((1+Inputs!$B$4)^(B14-Inputs!$B$5))+Q14</f>
        <v>352620.22276975767</v>
      </c>
      <c r="W14" s="161">
        <f t="shared" si="7"/>
        <v>2035</v>
      </c>
      <c r="X14" s="10">
        <f>'I-87 DetourSavings'!F20/Inputs!$B$12</f>
        <v>227.4483321961936</v>
      </c>
      <c r="Y14" s="24">
        <f>Inputs!$B$97</f>
        <v>9.1554999999999997E-2</v>
      </c>
      <c r="Z14" s="24">
        <f>Inputs!$B$98</f>
        <v>0</v>
      </c>
      <c r="AA14" s="24">
        <f>Inputs!$B$99</f>
        <v>0</v>
      </c>
      <c r="AB14" s="24">
        <f>Inputs!$B$100</f>
        <v>41.065240000000003</v>
      </c>
      <c r="AC14" s="16">
        <f t="shared" si="8"/>
        <v>1.2494419232533503E-3</v>
      </c>
      <c r="AD14" s="16">
        <f t="shared" si="0"/>
        <v>0</v>
      </c>
      <c r="AE14" s="16">
        <f t="shared" si="0"/>
        <v>0</v>
      </c>
      <c r="AF14" s="16">
        <f t="shared" si="0"/>
        <v>0.56041322095418511</v>
      </c>
      <c r="AG14" s="12">
        <f>AC14*Inputs!$B124</f>
        <v>22.489954618560304</v>
      </c>
      <c r="AH14" s="12">
        <f>AD14*Inputs!$C124</f>
        <v>0</v>
      </c>
      <c r="AI14" s="12">
        <f>AE14*Inputs!$D124</f>
        <v>0</v>
      </c>
      <c r="AJ14" s="12">
        <f>AF14*Inputs!$E124</f>
        <v>37.547685803930399</v>
      </c>
      <c r="AK14" s="406">
        <f>AJ14*(1-VLOOKUP(W14,'Transportation Electrification'!$O$7:$P$35,2,FALSE))</f>
        <v>32.612847098270976</v>
      </c>
      <c r="AL14" s="12">
        <f>AK14/((1+Inputs!$B$4)^(W14-Inputs!$B$5))</f>
        <v>20.932945548647602</v>
      </c>
      <c r="AM14" s="12">
        <f t="shared" si="9"/>
        <v>22.489954618560304</v>
      </c>
      <c r="AN14" s="406">
        <f>AM14*(1-VLOOKUP(W14,'Transportation Electrification'!$O$7:$P$35,2,FALSE))</f>
        <v>19.53413201154952</v>
      </c>
      <c r="AO14" s="12">
        <f>AN14/((1+Inputs!$B$3)^(W14-Inputs!$B$5))+AL14</f>
        <v>28.013013943402125</v>
      </c>
      <c r="AP14" s="12">
        <f>AN14/((1+Inputs!$B$4)^(W14-Inputs!$B$5))+AL14</f>
        <v>33.471161562285339</v>
      </c>
      <c r="AQ14" s="167"/>
      <c r="AR14" s="161">
        <f t="shared" si="10"/>
        <v>2035</v>
      </c>
      <c r="AS14" s="10">
        <f>'I-87 DetourSavings'!N20/Inputs!$B$12</f>
        <v>2274.4833219619359</v>
      </c>
      <c r="AT14" s="24">
        <f>Inputs!$B$97</f>
        <v>9.1554999999999997E-2</v>
      </c>
      <c r="AU14" s="24">
        <f>Inputs!$B$98</f>
        <v>0</v>
      </c>
      <c r="AV14" s="24">
        <f>Inputs!$B$99</f>
        <v>0</v>
      </c>
      <c r="AW14" s="24">
        <f>Inputs!$B$100</f>
        <v>41.065240000000003</v>
      </c>
      <c r="AX14" s="16">
        <f t="shared" si="11"/>
        <v>1.2494419232533503E-2</v>
      </c>
      <c r="AY14" s="16">
        <f t="shared" si="1"/>
        <v>0</v>
      </c>
      <c r="AZ14" s="16">
        <f t="shared" si="1"/>
        <v>0</v>
      </c>
      <c r="BA14" s="16">
        <f t="shared" si="1"/>
        <v>5.6041322095418504</v>
      </c>
      <c r="BB14" s="12">
        <f>AX14*Inputs!$B124</f>
        <v>224.89954618560304</v>
      </c>
      <c r="BC14" s="12">
        <f>AY14*Inputs!$C124</f>
        <v>0</v>
      </c>
      <c r="BD14" s="12">
        <f>AZ14*Inputs!$D124</f>
        <v>0</v>
      </c>
      <c r="BE14" s="12">
        <f>BA14*Inputs!$E124</f>
        <v>375.47685803930398</v>
      </c>
      <c r="BF14" s="406">
        <f>BE14*(1-VLOOKUP(AR14,'Transportation Electrification'!$O$7:$P$35,2,FALSE))</f>
        <v>326.12847098270976</v>
      </c>
      <c r="BG14" s="12">
        <f>BF14/((1+Inputs!$B$4)^(AR14-Inputs!$B$5))</f>
        <v>209.32945548647601</v>
      </c>
      <c r="BH14" s="12">
        <f t="shared" si="12"/>
        <v>224.89954618560304</v>
      </c>
      <c r="BI14" s="406">
        <f>BH14*(1-VLOOKUP(AR14,'Transportation Electrification'!$O$7:$P$35,2,FALSE))</f>
        <v>195.34132011549522</v>
      </c>
      <c r="BJ14" s="12">
        <f>BI14/((1+Inputs!$B$3)^(AR14-Inputs!$B$5))+BG14</f>
        <v>280.13013943402126</v>
      </c>
      <c r="BK14" s="12">
        <f>BI14/((1+Inputs!$B$4)^(AR14-Inputs!$B$5))+BG14</f>
        <v>334.7116156228534</v>
      </c>
    </row>
    <row r="15" spans="1:63" s="69" customFormat="1">
      <c r="A15" s="140"/>
      <c r="B15" s="161">
        <f t="shared" si="13"/>
        <v>2036</v>
      </c>
      <c r="C15" s="10">
        <f>'Travel Time Savings'!B28</f>
        <v>2533450.7692307709</v>
      </c>
      <c r="D15" s="24">
        <f>Inputs!$B$97</f>
        <v>9.1554999999999997E-2</v>
      </c>
      <c r="E15" s="24">
        <f>Inputs!$B$98</f>
        <v>0</v>
      </c>
      <c r="F15" s="24">
        <f>Inputs!$B$99</f>
        <v>0</v>
      </c>
      <c r="G15" s="24">
        <f>Inputs!$B$100</f>
        <v>41.065240000000003</v>
      </c>
      <c r="H15" s="16">
        <f t="shared" si="2"/>
        <v>13.917005110615396</v>
      </c>
      <c r="I15" s="16">
        <f t="shared" si="3"/>
        <v>0</v>
      </c>
      <c r="J15" s="16">
        <f t="shared" si="4"/>
        <v>0</v>
      </c>
      <c r="K15" s="16">
        <f t="shared" si="5"/>
        <v>6242.2058319987746</v>
      </c>
      <c r="L15" s="12">
        <f>H15*Inputs!$B125</f>
        <v>250506.09199107712</v>
      </c>
      <c r="M15" s="12">
        <f>I15*Inputs!$C125</f>
        <v>0</v>
      </c>
      <c r="N15" s="12">
        <f>J15*Inputs!$D125</f>
        <v>0</v>
      </c>
      <c r="O15" s="12">
        <f>K15*Inputs!$E125</f>
        <v>424469.99657591665</v>
      </c>
      <c r="P15" s="406">
        <f>O15*(1-VLOOKUP(B15,'Transportation Electrification'!$O$7:$P$35,2,FALSE))</f>
        <v>365044.1970552883</v>
      </c>
      <c r="Q15" s="12">
        <f>P15/((1+Inputs!$B$4)^(B15-Inputs!$B$5))</f>
        <v>227483.47495900831</v>
      </c>
      <c r="R15" s="12">
        <f t="shared" si="6"/>
        <v>250506.09199107712</v>
      </c>
      <c r="S15" s="406">
        <f>R15*(1-VLOOKUP(B15,'Transportation Electrification'!$O$7:$P$35,2,FALSE))</f>
        <v>215435.23911232632</v>
      </c>
      <c r="T15" s="12">
        <f>S15/((1+Inputs!$B$3)^(B15-Inputs!$B$5))+Q15</f>
        <v>300458.84403093607</v>
      </c>
      <c r="U15" s="12">
        <f>S15/((1+Inputs!$B$4)^(B15-Inputs!$B$5))+Q15</f>
        <v>361735.59351679019</v>
      </c>
      <c r="W15" s="161">
        <f t="shared" si="7"/>
        <v>2036</v>
      </c>
      <c r="X15" s="10">
        <f>'I-87 DetourSavings'!F21/Inputs!$B$12</f>
        <v>235.0404853031464</v>
      </c>
      <c r="Y15" s="24">
        <f>Inputs!$B$97</f>
        <v>9.1554999999999997E-2</v>
      </c>
      <c r="Z15" s="24">
        <f>Inputs!$B$98</f>
        <v>0</v>
      </c>
      <c r="AA15" s="24">
        <f>Inputs!$B$99</f>
        <v>0</v>
      </c>
      <c r="AB15" s="24">
        <f>Inputs!$B$100</f>
        <v>41.065240000000003</v>
      </c>
      <c r="AC15" s="16">
        <f t="shared" si="8"/>
        <v>1.2911478979157742E-3</v>
      </c>
      <c r="AD15" s="16">
        <f t="shared" si="0"/>
        <v>0</v>
      </c>
      <c r="AE15" s="16">
        <f t="shared" si="0"/>
        <v>0</v>
      </c>
      <c r="AF15" s="16">
        <f t="shared" si="0"/>
        <v>0.57911963632141072</v>
      </c>
      <c r="AG15" s="12">
        <f>AC15*Inputs!$B125</f>
        <v>23.240662162483936</v>
      </c>
      <c r="AH15" s="12">
        <f>AD15*Inputs!$C125</f>
        <v>0</v>
      </c>
      <c r="AI15" s="12">
        <f>AE15*Inputs!$D125</f>
        <v>0</v>
      </c>
      <c r="AJ15" s="12">
        <f>AF15*Inputs!$E125</f>
        <v>39.380135269855927</v>
      </c>
      <c r="AK15" s="406">
        <f>AJ15*(1-VLOOKUP(W15,'Transportation Electrification'!$O$7:$P$35,2,FALSE))</f>
        <v>33.866916332076094</v>
      </c>
      <c r="AL15" s="12">
        <f>AK15/((1+Inputs!$B$4)^(W15-Inputs!$B$5))</f>
        <v>21.104742591483561</v>
      </c>
      <c r="AM15" s="12">
        <f t="shared" si="9"/>
        <v>23.240662162483936</v>
      </c>
      <c r="AN15" s="406">
        <f>AM15*(1-VLOOKUP(W15,'Transportation Electrification'!$O$7:$P$35,2,FALSE))</f>
        <v>19.986969459736184</v>
      </c>
      <c r="AO15" s="12">
        <f>AN15/((1+Inputs!$B$3)^(W15-Inputs!$B$5))+AL15</f>
        <v>27.875020652600181</v>
      </c>
      <c r="AP15" s="12">
        <f>AN15/((1+Inputs!$B$4)^(W15-Inputs!$B$5))+AL15</f>
        <v>33.559961173993258</v>
      </c>
      <c r="AQ15" s="167"/>
      <c r="AR15" s="161">
        <f t="shared" si="10"/>
        <v>2036</v>
      </c>
      <c r="AS15" s="10">
        <f>'I-87 DetourSavings'!N21/Inputs!$B$12</f>
        <v>2350.404853031464</v>
      </c>
      <c r="AT15" s="24">
        <f>Inputs!$B$97</f>
        <v>9.1554999999999997E-2</v>
      </c>
      <c r="AU15" s="24">
        <f>Inputs!$B$98</f>
        <v>0</v>
      </c>
      <c r="AV15" s="24">
        <f>Inputs!$B$99</f>
        <v>0</v>
      </c>
      <c r="AW15" s="24">
        <f>Inputs!$B$100</f>
        <v>41.065240000000003</v>
      </c>
      <c r="AX15" s="16">
        <f t="shared" si="11"/>
        <v>1.2911478979157742E-2</v>
      </c>
      <c r="AY15" s="16">
        <f t="shared" si="1"/>
        <v>0</v>
      </c>
      <c r="AZ15" s="16">
        <f t="shared" si="1"/>
        <v>0</v>
      </c>
      <c r="BA15" s="16">
        <f t="shared" si="1"/>
        <v>5.7911963632141079</v>
      </c>
      <c r="BB15" s="12">
        <f>AX15*Inputs!$B125</f>
        <v>232.40662162483935</v>
      </c>
      <c r="BC15" s="12">
        <f>AY15*Inputs!$C125</f>
        <v>0</v>
      </c>
      <c r="BD15" s="12">
        <f>AZ15*Inputs!$D125</f>
        <v>0</v>
      </c>
      <c r="BE15" s="12">
        <f>BA15*Inputs!$E125</f>
        <v>393.80135269855936</v>
      </c>
      <c r="BF15" s="406">
        <f>BE15*(1-VLOOKUP(AR15,'Transportation Electrification'!$O$7:$P$35,2,FALSE))</f>
        <v>338.66916332076102</v>
      </c>
      <c r="BG15" s="12">
        <f>BF15/((1+Inputs!$B$4)^(AR15-Inputs!$B$5))</f>
        <v>211.04742591483566</v>
      </c>
      <c r="BH15" s="12">
        <f t="shared" si="12"/>
        <v>232.40662162483935</v>
      </c>
      <c r="BI15" s="406">
        <f>BH15*(1-VLOOKUP(AR15,'Transportation Electrification'!$O$7:$P$35,2,FALSE))</f>
        <v>199.86969459736184</v>
      </c>
      <c r="BJ15" s="12">
        <f>BI15/((1+Inputs!$B$3)^(AR15-Inputs!$B$5))+BG15</f>
        <v>278.75020652600188</v>
      </c>
      <c r="BK15" s="12">
        <f>BI15/((1+Inputs!$B$4)^(AR15-Inputs!$B$5))+BG15</f>
        <v>335.5996117399327</v>
      </c>
    </row>
    <row r="16" spans="1:63" s="69" customFormat="1">
      <c r="A16" s="140"/>
      <c r="B16" s="161">
        <f t="shared" si="13"/>
        <v>2037</v>
      </c>
      <c r="C16" s="10">
        <f>'Travel Time Savings'!B29</f>
        <v>2670722.923076923</v>
      </c>
      <c r="D16" s="24">
        <f>Inputs!$B$97</f>
        <v>9.1554999999999997E-2</v>
      </c>
      <c r="E16" s="24">
        <f>Inputs!$B$98</f>
        <v>0</v>
      </c>
      <c r="F16" s="24">
        <f>Inputs!$B$99</f>
        <v>0</v>
      </c>
      <c r="G16" s="24">
        <f>Inputs!$B$100</f>
        <v>41.065240000000003</v>
      </c>
      <c r="H16" s="16">
        <f t="shared" si="2"/>
        <v>14.671082233338462</v>
      </c>
      <c r="I16" s="16">
        <f t="shared" si="3"/>
        <v>0</v>
      </c>
      <c r="J16" s="16">
        <f t="shared" si="4"/>
        <v>0</v>
      </c>
      <c r="K16" s="16">
        <f t="shared" si="5"/>
        <v>6580.4326685793239</v>
      </c>
      <c r="L16" s="12">
        <f>H16*Inputs!$B126</f>
        <v>264079.48020009231</v>
      </c>
      <c r="M16" s="12">
        <f>I16*Inputs!$C126</f>
        <v>0</v>
      </c>
      <c r="N16" s="12">
        <f>J16*Inputs!$D126</f>
        <v>0</v>
      </c>
      <c r="O16" s="12">
        <f>K16*Inputs!$E126</f>
        <v>454049.85413197335</v>
      </c>
      <c r="P16" s="406">
        <f>O16*(1-VLOOKUP(B16,'Transportation Electrification'!$O$7:$P$35,2,FALSE))</f>
        <v>386591.01866093732</v>
      </c>
      <c r="Q16" s="12">
        <f>P16/((1+Inputs!$B$4)^(B16-Inputs!$B$5))</f>
        <v>233893.92410574993</v>
      </c>
      <c r="R16" s="12">
        <f t="shared" si="6"/>
        <v>264079.48020009231</v>
      </c>
      <c r="S16" s="406">
        <f>R16*(1-VLOOKUP(B16,'Transportation Electrification'!$O$7:$P$35,2,FALSE))</f>
        <v>224844.81457036431</v>
      </c>
      <c r="T16" s="12">
        <f>S16/((1+Inputs!$B$3)^(B16-Inputs!$B$5))+Q16</f>
        <v>305074.0342273789</v>
      </c>
      <c r="U16" s="12">
        <f>S16/((1+Inputs!$B$4)^(B16-Inputs!$B$5))+Q16</f>
        <v>369928.73468373838</v>
      </c>
      <c r="W16" s="161">
        <f t="shared" si="7"/>
        <v>2037</v>
      </c>
      <c r="X16" s="10">
        <f>'I-87 DetourSavings'!F22/Inputs!$B$12</f>
        <v>242.88606207007007</v>
      </c>
      <c r="Y16" s="24">
        <f>Inputs!$B$97</f>
        <v>9.1554999999999997E-2</v>
      </c>
      <c r="Z16" s="24">
        <f>Inputs!$B$98</f>
        <v>0</v>
      </c>
      <c r="AA16" s="24">
        <f>Inputs!$B$99</f>
        <v>0</v>
      </c>
      <c r="AB16" s="24">
        <f>Inputs!$B$100</f>
        <v>41.065240000000003</v>
      </c>
      <c r="AC16" s="16">
        <f t="shared" si="8"/>
        <v>1.3342460047695158E-3</v>
      </c>
      <c r="AD16" s="16">
        <f t="shared" si="0"/>
        <v>0</v>
      </c>
      <c r="AE16" s="16">
        <f t="shared" si="0"/>
        <v>0</v>
      </c>
      <c r="AF16" s="16">
        <f t="shared" si="0"/>
        <v>0.59845046589373951</v>
      </c>
      <c r="AG16" s="12">
        <f>AC16*Inputs!$B126</f>
        <v>24.016428085851285</v>
      </c>
      <c r="AH16" s="12">
        <f>AD16*Inputs!$C126</f>
        <v>0</v>
      </c>
      <c r="AI16" s="12">
        <f>AE16*Inputs!$D126</f>
        <v>0</v>
      </c>
      <c r="AJ16" s="12">
        <f>AF16*Inputs!$E126</f>
        <v>41.293082146668027</v>
      </c>
      <c r="AK16" s="406">
        <f>AJ16*(1-VLOOKUP(W16,'Transportation Electrification'!$O$7:$P$35,2,FALSE))</f>
        <v>35.158109942020204</v>
      </c>
      <c r="AL16" s="12">
        <f>AK16/((1+Inputs!$B$4)^(W16-Inputs!$B$5))</f>
        <v>21.271234719740779</v>
      </c>
      <c r="AM16" s="12">
        <f t="shared" si="9"/>
        <v>24.016428085851285</v>
      </c>
      <c r="AN16" s="406">
        <f>AM16*(1-VLOOKUP(W16,'Transportation Electrification'!$O$7:$P$35,2,FALSE))</f>
        <v>20.448273055953379</v>
      </c>
      <c r="AO16" s="12">
        <f>AN16/((1+Inputs!$B$3)^(W16-Inputs!$B$5))+AL16</f>
        <v>27.744634298472906</v>
      </c>
      <c r="AP16" s="12">
        <f>AN16/((1+Inputs!$B$4)^(W16-Inputs!$B$5))+AL16</f>
        <v>33.642776207717091</v>
      </c>
      <c r="AQ16" s="167"/>
      <c r="AR16" s="161">
        <f t="shared" si="10"/>
        <v>2037</v>
      </c>
      <c r="AS16" s="10">
        <f>'I-87 DetourSavings'!N22/Inputs!$B$12</f>
        <v>2428.8606207007006</v>
      </c>
      <c r="AT16" s="24">
        <f>Inputs!$B$97</f>
        <v>9.1554999999999997E-2</v>
      </c>
      <c r="AU16" s="24">
        <f>Inputs!$B$98</f>
        <v>0</v>
      </c>
      <c r="AV16" s="24">
        <f>Inputs!$B$99</f>
        <v>0</v>
      </c>
      <c r="AW16" s="24">
        <f>Inputs!$B$100</f>
        <v>41.065240000000003</v>
      </c>
      <c r="AX16" s="16">
        <f t="shared" si="11"/>
        <v>1.3342460047695156E-2</v>
      </c>
      <c r="AY16" s="16">
        <f t="shared" si="1"/>
        <v>0</v>
      </c>
      <c r="AZ16" s="16">
        <f t="shared" si="1"/>
        <v>0</v>
      </c>
      <c r="BA16" s="16">
        <f t="shared" si="1"/>
        <v>5.9845046589373947</v>
      </c>
      <c r="BB16" s="12">
        <f>AX16*Inputs!$B126</f>
        <v>240.1642808585128</v>
      </c>
      <c r="BC16" s="12">
        <f>AY16*Inputs!$C126</f>
        <v>0</v>
      </c>
      <c r="BD16" s="12">
        <f>AZ16*Inputs!$D126</f>
        <v>0</v>
      </c>
      <c r="BE16" s="12">
        <f>BA16*Inputs!$E126</f>
        <v>412.93082146668024</v>
      </c>
      <c r="BF16" s="406">
        <f>BE16*(1-VLOOKUP(AR16,'Transportation Electrification'!$O$7:$P$35,2,FALSE))</f>
        <v>351.58109942020201</v>
      </c>
      <c r="BG16" s="12">
        <f>BF16/((1+Inputs!$B$4)^(AR16-Inputs!$B$5))</f>
        <v>212.71234719740778</v>
      </c>
      <c r="BH16" s="12">
        <f t="shared" si="12"/>
        <v>240.1642808585128</v>
      </c>
      <c r="BI16" s="406">
        <f>BH16*(1-VLOOKUP(AR16,'Transportation Electrification'!$O$7:$P$35,2,FALSE))</f>
        <v>204.48273055953376</v>
      </c>
      <c r="BJ16" s="12">
        <f>BI16/((1+Inputs!$B$3)^(AR16-Inputs!$B$5))+BG16</f>
        <v>277.44634298472909</v>
      </c>
      <c r="BK16" s="12">
        <f>BI16/((1+Inputs!$B$4)^(AR16-Inputs!$B$5))+BG16</f>
        <v>336.42776207717088</v>
      </c>
    </row>
    <row r="17" spans="1:63" s="69" customFormat="1">
      <c r="A17" s="140"/>
      <c r="B17" s="161">
        <f t="shared" si="13"/>
        <v>2038</v>
      </c>
      <c r="C17" s="10">
        <f>'Travel Time Savings'!B30</f>
        <v>2807995.0769230765</v>
      </c>
      <c r="D17" s="24">
        <f>Inputs!$B$97</f>
        <v>9.1554999999999997E-2</v>
      </c>
      <c r="E17" s="24">
        <f>Inputs!$B$98</f>
        <v>0</v>
      </c>
      <c r="F17" s="24">
        <f>Inputs!$B$99</f>
        <v>0</v>
      </c>
      <c r="G17" s="24">
        <f>Inputs!$B$100</f>
        <v>41.065240000000003</v>
      </c>
      <c r="H17" s="16">
        <f t="shared" si="2"/>
        <v>15.425159356061535</v>
      </c>
      <c r="I17" s="16">
        <f t="shared" si="3"/>
        <v>0</v>
      </c>
      <c r="J17" s="16">
        <f t="shared" si="4"/>
        <v>0</v>
      </c>
      <c r="K17" s="16">
        <f t="shared" si="5"/>
        <v>6918.6595051598761</v>
      </c>
      <c r="L17" s="12">
        <f>H17*Inputs!$B127</f>
        <v>277652.86840910761</v>
      </c>
      <c r="M17" s="12">
        <f>I17*Inputs!$C127</f>
        <v>0</v>
      </c>
      <c r="N17" s="12">
        <f>J17*Inputs!$D127</f>
        <v>0</v>
      </c>
      <c r="O17" s="12">
        <f>K17*Inputs!$E127</f>
        <v>484306.16536119132</v>
      </c>
      <c r="P17" s="406">
        <f>O17*(1-VLOOKUP(B17,'Transportation Electrification'!$O$7:$P$35,2,FALSE))</f>
        <v>408200.9108044327</v>
      </c>
      <c r="Q17" s="12">
        <f>P17/((1+Inputs!$B$4)^(B17-Inputs!$B$5))</f>
        <v>239775.01383057897</v>
      </c>
      <c r="R17" s="12">
        <f t="shared" si="6"/>
        <v>277652.86840910761</v>
      </c>
      <c r="S17" s="406">
        <f>R17*(1-VLOOKUP(B17,'Transportation Electrification'!$O$7:$P$35,2,FALSE))</f>
        <v>234021.70337339072</v>
      </c>
      <c r="T17" s="12">
        <f>S17/((1+Inputs!$B$3)^(B17-Inputs!$B$5))+Q17</f>
        <v>309013.59149488172</v>
      </c>
      <c r="U17" s="12">
        <f>S17/((1+Inputs!$B$4)^(B17-Inputs!$B$5))+Q17</f>
        <v>377238.10045728588</v>
      </c>
      <c r="W17" s="161">
        <f t="shared" si="7"/>
        <v>2038</v>
      </c>
      <c r="X17" s="10">
        <f>'I-87 DetourSavings'!F23/Inputs!$B$12</f>
        <v>250.99352169826463</v>
      </c>
      <c r="Y17" s="24">
        <f>Inputs!$B$97</f>
        <v>9.1554999999999997E-2</v>
      </c>
      <c r="Z17" s="24">
        <f>Inputs!$B$98</f>
        <v>0</v>
      </c>
      <c r="AA17" s="24">
        <f>Inputs!$B$99</f>
        <v>0</v>
      </c>
      <c r="AB17" s="24">
        <f>Inputs!$B$100</f>
        <v>41.065240000000003</v>
      </c>
      <c r="AC17" s="16">
        <f t="shared" si="8"/>
        <v>1.3787827127450772E-3</v>
      </c>
      <c r="AD17" s="16">
        <f t="shared" si="0"/>
        <v>0</v>
      </c>
      <c r="AE17" s="16">
        <f t="shared" si="0"/>
        <v>0</v>
      </c>
      <c r="AF17" s="16">
        <f t="shared" si="0"/>
        <v>0.61842655241906674</v>
      </c>
      <c r="AG17" s="12">
        <f>AC17*Inputs!$B127</f>
        <v>24.818088829411391</v>
      </c>
      <c r="AH17" s="12">
        <f>AD17*Inputs!$C127</f>
        <v>0</v>
      </c>
      <c r="AI17" s="12">
        <f>AE17*Inputs!$D127</f>
        <v>0</v>
      </c>
      <c r="AJ17" s="12">
        <f>AF17*Inputs!$E127</f>
        <v>43.28985866933467</v>
      </c>
      <c r="AK17" s="406">
        <f>AJ17*(1-VLOOKUP(W17,'Transportation Electrification'!$O$7:$P$35,2,FALSE))</f>
        <v>36.48716659272494</v>
      </c>
      <c r="AL17" s="12">
        <f>AK17/((1+Inputs!$B$4)^(W17-Inputs!$B$5))</f>
        <v>21.432364903763606</v>
      </c>
      <c r="AM17" s="12">
        <f t="shared" si="9"/>
        <v>24.818088829411391</v>
      </c>
      <c r="AN17" s="406">
        <f>AM17*(1-VLOOKUP(W17,'Transportation Electrification'!$O$7:$P$35,2,FALSE))</f>
        <v>20.918103441932459</v>
      </c>
      <c r="AO17" s="12">
        <f>AN17/((1+Inputs!$B$3)^(W17-Inputs!$B$5))+AL17</f>
        <v>27.621276910114048</v>
      </c>
      <c r="AP17" s="12">
        <f>AN17/((1+Inputs!$B$4)^(W17-Inputs!$B$5))+AL17</f>
        <v>33.719546067114337</v>
      </c>
      <c r="AQ17" s="167"/>
      <c r="AR17" s="161">
        <f t="shared" si="10"/>
        <v>2038</v>
      </c>
      <c r="AS17" s="10">
        <f>'I-87 DetourSavings'!N23/Inputs!$B$12</f>
        <v>2509.9352169826461</v>
      </c>
      <c r="AT17" s="24">
        <f>Inputs!$B$97</f>
        <v>9.1554999999999997E-2</v>
      </c>
      <c r="AU17" s="24">
        <f>Inputs!$B$98</f>
        <v>0</v>
      </c>
      <c r="AV17" s="24">
        <f>Inputs!$B$99</f>
        <v>0</v>
      </c>
      <c r="AW17" s="24">
        <f>Inputs!$B$100</f>
        <v>41.065240000000003</v>
      </c>
      <c r="AX17" s="16">
        <f t="shared" si="11"/>
        <v>1.3787827127450769E-2</v>
      </c>
      <c r="AY17" s="16">
        <f t="shared" si="1"/>
        <v>0</v>
      </c>
      <c r="AZ17" s="16">
        <f t="shared" si="1"/>
        <v>0</v>
      </c>
      <c r="BA17" s="16">
        <f t="shared" si="1"/>
        <v>6.1842655241906668</v>
      </c>
      <c r="BB17" s="12">
        <f>AX17*Inputs!$B127</f>
        <v>248.18088829411386</v>
      </c>
      <c r="BC17" s="12">
        <f>AY17*Inputs!$C127</f>
        <v>0</v>
      </c>
      <c r="BD17" s="12">
        <f>AZ17*Inputs!$D127</f>
        <v>0</v>
      </c>
      <c r="BE17" s="12">
        <f>BA17*Inputs!$E127</f>
        <v>432.89858669334666</v>
      </c>
      <c r="BF17" s="406">
        <f>BE17*(1-VLOOKUP(AR17,'Transportation Electrification'!$O$7:$P$35,2,FALSE))</f>
        <v>364.87166592724935</v>
      </c>
      <c r="BG17" s="12">
        <f>BF17/((1+Inputs!$B$4)^(AR17-Inputs!$B$5))</f>
        <v>214.32364903763605</v>
      </c>
      <c r="BH17" s="12">
        <f t="shared" si="12"/>
        <v>248.18088829411386</v>
      </c>
      <c r="BI17" s="406">
        <f>BH17*(1-VLOOKUP(AR17,'Transportation Electrification'!$O$7:$P$35,2,FALSE))</f>
        <v>209.18103441932453</v>
      </c>
      <c r="BJ17" s="12">
        <f>BI17/((1+Inputs!$B$3)^(AR17-Inputs!$B$5))+BG17</f>
        <v>276.21276910114045</v>
      </c>
      <c r="BK17" s="12">
        <f>BI17/((1+Inputs!$B$4)^(AR17-Inputs!$B$5))+BG17</f>
        <v>337.19546067114334</v>
      </c>
    </row>
    <row r="18" spans="1:63" s="69" customFormat="1">
      <c r="A18" s="140"/>
      <c r="B18" s="161">
        <f t="shared" si="13"/>
        <v>2039</v>
      </c>
      <c r="C18" s="10">
        <f>'Travel Time Savings'!B31</f>
        <v>2945267.2307692305</v>
      </c>
      <c r="D18" s="24">
        <f>Inputs!$B$97</f>
        <v>9.1554999999999997E-2</v>
      </c>
      <c r="E18" s="24">
        <f>Inputs!$B$98</f>
        <v>0</v>
      </c>
      <c r="F18" s="24">
        <f>Inputs!$B$99</f>
        <v>0</v>
      </c>
      <c r="G18" s="24">
        <f>Inputs!$B$100</f>
        <v>41.065240000000003</v>
      </c>
      <c r="H18" s="16">
        <f t="shared" si="2"/>
        <v>16.179236478784613</v>
      </c>
      <c r="I18" s="16">
        <f t="shared" si="3"/>
        <v>0</v>
      </c>
      <c r="J18" s="16">
        <f t="shared" si="4"/>
        <v>0</v>
      </c>
      <c r="K18" s="16">
        <f t="shared" si="5"/>
        <v>7256.8863417404309</v>
      </c>
      <c r="L18" s="12">
        <f>H18*Inputs!$B128</f>
        <v>291226.25661812304</v>
      </c>
      <c r="M18" s="12">
        <f>I18*Inputs!$C128</f>
        <v>0</v>
      </c>
      <c r="N18" s="12">
        <f>J18*Inputs!$D128</f>
        <v>0</v>
      </c>
      <c r="O18" s="12">
        <f>K18*Inputs!$E128</f>
        <v>515238.93026357057</v>
      </c>
      <c r="P18" s="406">
        <f>O18*(1-VLOOKUP(B18,'Transportation Electrification'!$O$7:$P$35,2,FALSE))</f>
        <v>429856.47896275029</v>
      </c>
      <c r="Q18" s="12">
        <f>P18/((1+Inputs!$B$4)^(B18-Inputs!$B$5))</f>
        <v>245141.1434870307</v>
      </c>
      <c r="R18" s="12">
        <f t="shared" si="6"/>
        <v>291226.25661812304</v>
      </c>
      <c r="S18" s="406">
        <f>R18*(1-VLOOKUP(B18,'Transportation Electrification'!$O$7:$P$35,2,FALSE))</f>
        <v>242965.90552140551</v>
      </c>
      <c r="T18" s="12">
        <f>S18/((1+Inputs!$B$3)^(B18-Inputs!$B$5))+Q18</f>
        <v>312323.24100122368</v>
      </c>
      <c r="U18" s="12">
        <f>S18/((1+Inputs!$B$4)^(B18-Inputs!$B$5))+Q18</f>
        <v>383701.20439759456</v>
      </c>
      <c r="W18" s="161">
        <f t="shared" si="7"/>
        <v>2039</v>
      </c>
      <c r="X18" s="10">
        <f>'I-87 DetourSavings'!F24/Inputs!$B$12</f>
        <v>259.37160575448343</v>
      </c>
      <c r="Y18" s="24">
        <f>Inputs!$B$97</f>
        <v>9.1554999999999997E-2</v>
      </c>
      <c r="Z18" s="24">
        <f>Inputs!$B$98</f>
        <v>0</v>
      </c>
      <c r="AA18" s="24">
        <f>Inputs!$B$99</f>
        <v>0</v>
      </c>
      <c r="AB18" s="24">
        <f>Inputs!$B$100</f>
        <v>41.065240000000003</v>
      </c>
      <c r="AC18" s="16">
        <f t="shared" si="8"/>
        <v>1.4248060418911039E-3</v>
      </c>
      <c r="AD18" s="16">
        <f t="shared" si="0"/>
        <v>0</v>
      </c>
      <c r="AE18" s="16">
        <f t="shared" si="0"/>
        <v>0</v>
      </c>
      <c r="AF18" s="16">
        <f t="shared" si="0"/>
        <v>0.63906943436959462</v>
      </c>
      <c r="AG18" s="12">
        <f>AC18*Inputs!$B128</f>
        <v>25.646508754039871</v>
      </c>
      <c r="AH18" s="12">
        <f>AD18*Inputs!$C128</f>
        <v>0</v>
      </c>
      <c r="AI18" s="12">
        <f>AE18*Inputs!$D128</f>
        <v>0</v>
      </c>
      <c r="AJ18" s="12">
        <f>AF18*Inputs!$E128</f>
        <v>45.373929840241217</v>
      </c>
      <c r="AK18" s="406">
        <f>AJ18*(1-VLOOKUP(W18,'Transportation Electrification'!$O$7:$P$35,2,FALSE))</f>
        <v>37.854821466715528</v>
      </c>
      <c r="AL18" s="12">
        <f>AK18/((1+Inputs!$B$4)^(W18-Inputs!$B$5))</f>
        <v>21.588075729927965</v>
      </c>
      <c r="AM18" s="12">
        <f t="shared" si="9"/>
        <v>25.646508754039871</v>
      </c>
      <c r="AN18" s="406">
        <f>AM18*(1-VLOOKUP(W18,'Transportation Electrification'!$O$7:$P$35,2,FALSE))</f>
        <v>21.396515874798979</v>
      </c>
      <c r="AO18" s="12">
        <f>AN18/((1+Inputs!$B$3)^(W18-Inputs!$B$5))+AL18</f>
        <v>27.504390666708595</v>
      </c>
      <c r="AP18" s="12">
        <f>AN18/((1+Inputs!$B$4)^(W18-Inputs!$B$5))+AL18</f>
        <v>33.790209755785355</v>
      </c>
      <c r="AQ18" s="167"/>
      <c r="AR18" s="161">
        <f t="shared" si="10"/>
        <v>2039</v>
      </c>
      <c r="AS18" s="10">
        <f>'I-87 DetourSavings'!N24/Inputs!$B$12</f>
        <v>2593.7160575448343</v>
      </c>
      <c r="AT18" s="24">
        <f>Inputs!$B$97</f>
        <v>9.1554999999999997E-2</v>
      </c>
      <c r="AU18" s="24">
        <f>Inputs!$B$98</f>
        <v>0</v>
      </c>
      <c r="AV18" s="24">
        <f>Inputs!$B$99</f>
        <v>0</v>
      </c>
      <c r="AW18" s="24">
        <f>Inputs!$B$100</f>
        <v>41.065240000000003</v>
      </c>
      <c r="AX18" s="16">
        <f t="shared" si="11"/>
        <v>1.4248060418911036E-2</v>
      </c>
      <c r="AY18" s="16">
        <f t="shared" si="1"/>
        <v>0</v>
      </c>
      <c r="AZ18" s="16">
        <f t="shared" si="1"/>
        <v>0</v>
      </c>
      <c r="BA18" s="16">
        <f t="shared" si="1"/>
        <v>6.3906943436959462</v>
      </c>
      <c r="BB18" s="12">
        <f>AX18*Inputs!$B128</f>
        <v>256.46508754039866</v>
      </c>
      <c r="BC18" s="12">
        <f>AY18*Inputs!$C128</f>
        <v>0</v>
      </c>
      <c r="BD18" s="12">
        <f>AZ18*Inputs!$D128</f>
        <v>0</v>
      </c>
      <c r="BE18" s="12">
        <f>BA18*Inputs!$E128</f>
        <v>453.7392984024122</v>
      </c>
      <c r="BF18" s="406">
        <f>BE18*(1-VLOOKUP(AR18,'Transportation Electrification'!$O$7:$P$35,2,FALSE))</f>
        <v>378.54821466715532</v>
      </c>
      <c r="BG18" s="12">
        <f>BF18/((1+Inputs!$B$4)^(AR18-Inputs!$B$5))</f>
        <v>215.88075729927968</v>
      </c>
      <c r="BH18" s="12">
        <f t="shared" si="12"/>
        <v>256.46508754039866</v>
      </c>
      <c r="BI18" s="406">
        <f>BH18*(1-VLOOKUP(AR18,'Transportation Electrification'!$O$7:$P$35,2,FALSE))</f>
        <v>213.96515874798973</v>
      </c>
      <c r="BJ18" s="12">
        <f>BI18/((1+Inputs!$B$3)^(AR18-Inputs!$B$5))+BG18</f>
        <v>275.04390666708593</v>
      </c>
      <c r="BK18" s="12">
        <f>BI18/((1+Inputs!$B$4)^(AR18-Inputs!$B$5))+BG18</f>
        <v>337.90209755785355</v>
      </c>
    </row>
    <row r="19" spans="1:63" s="69" customFormat="1">
      <c r="A19" s="140"/>
      <c r="B19" s="161">
        <f t="shared" si="13"/>
        <v>2040</v>
      </c>
      <c r="C19" s="10">
        <f>'Travel Time Savings'!B32</f>
        <v>3082539.3846153845</v>
      </c>
      <c r="D19" s="24">
        <f>Inputs!$B$97</f>
        <v>9.1554999999999997E-2</v>
      </c>
      <c r="E19" s="24">
        <f>Inputs!$B$98</f>
        <v>0</v>
      </c>
      <c r="F19" s="24">
        <f>Inputs!$B$99</f>
        <v>0</v>
      </c>
      <c r="G19" s="24">
        <f>Inputs!$B$100</f>
        <v>41.065240000000003</v>
      </c>
      <c r="H19" s="16">
        <f t="shared" si="2"/>
        <v>16.933313601507688</v>
      </c>
      <c r="I19" s="16">
        <f t="shared" si="3"/>
        <v>0</v>
      </c>
      <c r="J19" s="16">
        <f t="shared" si="4"/>
        <v>0</v>
      </c>
      <c r="K19" s="16">
        <f t="shared" si="5"/>
        <v>7595.1131783209848</v>
      </c>
      <c r="L19" s="12">
        <f>H19*Inputs!$B129</f>
        <v>304799.6448271384</v>
      </c>
      <c r="M19" s="12">
        <f>I19*Inputs!$C129</f>
        <v>0</v>
      </c>
      <c r="N19" s="12">
        <f>J19*Inputs!$D129</f>
        <v>0</v>
      </c>
      <c r="O19" s="12">
        <f>K19*Inputs!$E129</f>
        <v>546848.14883911086</v>
      </c>
      <c r="P19" s="406">
        <f>O19*(1-VLOOKUP(B19,'Transportation Electrification'!$O$7:$P$35,2,FALSE))</f>
        <v>451540.32861286582</v>
      </c>
      <c r="Q19" s="12">
        <f>P19/((1+Inputs!$B$4)^(B19-Inputs!$B$5))</f>
        <v>250006.931990274</v>
      </c>
      <c r="R19" s="12">
        <f t="shared" si="6"/>
        <v>304799.6448271384</v>
      </c>
      <c r="S19" s="406">
        <f>R19*(1-VLOOKUP(B19,'Transportation Electrification'!$O$7:$P$35,2,FALSE))</f>
        <v>251677.42101440858</v>
      </c>
      <c r="T19" s="12">
        <f>S19/((1+Inputs!$B$3)^(B19-Inputs!$B$5))+Q19</f>
        <v>315045.16015958367</v>
      </c>
      <c r="U19" s="12">
        <f>S19/((1+Inputs!$B$4)^(B19-Inputs!$B$5))+Q19</f>
        <v>389354.61788209842</v>
      </c>
      <c r="W19" s="161">
        <f t="shared" si="7"/>
        <v>2040</v>
      </c>
      <c r="X19" s="10">
        <f>'I-87 DetourSavings'!F25/Inputs!$B$12</f>
        <v>268.0293475962028</v>
      </c>
      <c r="Y19" s="24">
        <f>Inputs!$B$97</f>
        <v>9.1554999999999997E-2</v>
      </c>
      <c r="Z19" s="24">
        <f>Inputs!$B$98</f>
        <v>0</v>
      </c>
      <c r="AA19" s="24">
        <f>Inputs!$B$99</f>
        <v>0</v>
      </c>
      <c r="AB19" s="24">
        <f>Inputs!$B$100</f>
        <v>41.065240000000003</v>
      </c>
      <c r="AC19" s="16">
        <f t="shared" si="8"/>
        <v>1.4723656151502209E-3</v>
      </c>
      <c r="AD19" s="16">
        <f t="shared" si="0"/>
        <v>0</v>
      </c>
      <c r="AE19" s="16">
        <f t="shared" si="0"/>
        <v>0</v>
      </c>
      <c r="AF19" s="16">
        <f t="shared" si="0"/>
        <v>0.66040136916488956</v>
      </c>
      <c r="AG19" s="12">
        <f>AC19*Inputs!$B129</f>
        <v>26.502581072703975</v>
      </c>
      <c r="AH19" s="12">
        <f>AD19*Inputs!$C129</f>
        <v>0</v>
      </c>
      <c r="AI19" s="12">
        <f>AE19*Inputs!$D129</f>
        <v>0</v>
      </c>
      <c r="AJ19" s="12">
        <f>AF19*Inputs!$E129</f>
        <v>47.548898579872045</v>
      </c>
      <c r="AK19" s="406">
        <f>AJ19*(1-VLOOKUP(W19,'Transportation Electrification'!$O$7:$P$35,2,FALSE))</f>
        <v>39.261804827380061</v>
      </c>
      <c r="AL19" s="12">
        <f>AK19/((1+Inputs!$B$4)^(W19-Inputs!$B$5))</f>
        <v>21.738309398516343</v>
      </c>
      <c r="AM19" s="12">
        <f t="shared" si="9"/>
        <v>26.502581072703975</v>
      </c>
      <c r="AN19" s="406">
        <f>AM19*(1-VLOOKUP(W19,'Transportation Electrification'!$O$7:$P$35,2,FALSE))</f>
        <v>21.88355980003271</v>
      </c>
      <c r="AO19" s="12">
        <f>AN19/((1+Inputs!$B$3)^(W19-Inputs!$B$5))+AL19</f>
        <v>27.39343710005846</v>
      </c>
      <c r="AP19" s="12">
        <f>AN19/((1+Inputs!$B$4)^(W19-Inputs!$B$5))+AL19</f>
        <v>33.854705875081216</v>
      </c>
      <c r="AQ19" s="167"/>
      <c r="AR19" s="161">
        <f t="shared" si="10"/>
        <v>2040</v>
      </c>
      <c r="AS19" s="10">
        <f>'I-87 DetourSavings'!N25/Inputs!$B$12</f>
        <v>2680.2934759620275</v>
      </c>
      <c r="AT19" s="24">
        <f>Inputs!$B$97</f>
        <v>9.1554999999999997E-2</v>
      </c>
      <c r="AU19" s="24">
        <f>Inputs!$B$98</f>
        <v>0</v>
      </c>
      <c r="AV19" s="24">
        <f>Inputs!$B$99</f>
        <v>0</v>
      </c>
      <c r="AW19" s="24">
        <f>Inputs!$B$100</f>
        <v>41.065240000000003</v>
      </c>
      <c r="AX19" s="16">
        <f t="shared" si="11"/>
        <v>1.4723656151502207E-2</v>
      </c>
      <c r="AY19" s="16">
        <f t="shared" si="1"/>
        <v>0</v>
      </c>
      <c r="AZ19" s="16">
        <f t="shared" si="1"/>
        <v>0</v>
      </c>
      <c r="BA19" s="16">
        <f t="shared" si="1"/>
        <v>6.6040136916488938</v>
      </c>
      <c r="BB19" s="12">
        <f>AX19*Inputs!$B129</f>
        <v>265.0258107270397</v>
      </c>
      <c r="BC19" s="12">
        <f>AY19*Inputs!$C129</f>
        <v>0</v>
      </c>
      <c r="BD19" s="12">
        <f>AZ19*Inputs!$D129</f>
        <v>0</v>
      </c>
      <c r="BE19" s="12">
        <f>BA19*Inputs!$E129</f>
        <v>475.48898579872036</v>
      </c>
      <c r="BF19" s="406">
        <f>BE19*(1-VLOOKUP(AR19,'Transportation Electrification'!$O$7:$P$35,2,FALSE))</f>
        <v>392.61804827380053</v>
      </c>
      <c r="BG19" s="12">
        <f>BF19/((1+Inputs!$B$4)^(AR19-Inputs!$B$5))</f>
        <v>217.38309398516338</v>
      </c>
      <c r="BH19" s="12">
        <f t="shared" si="12"/>
        <v>265.0258107270397</v>
      </c>
      <c r="BI19" s="406">
        <f>BH19*(1-VLOOKUP(AR19,'Transportation Electrification'!$O$7:$P$35,2,FALSE))</f>
        <v>218.83559800032708</v>
      </c>
      <c r="BJ19" s="12">
        <f>BI19/((1+Inputs!$B$3)^(AR19-Inputs!$B$5))+BG19</f>
        <v>273.93437100058452</v>
      </c>
      <c r="BK19" s="12">
        <f>BI19/((1+Inputs!$B$4)^(AR19-Inputs!$B$5))+BG19</f>
        <v>338.54705875081208</v>
      </c>
    </row>
    <row r="20" spans="1:63" s="69" customFormat="1">
      <c r="A20" s="140"/>
      <c r="B20" s="161">
        <f t="shared" si="13"/>
        <v>2041</v>
      </c>
      <c r="C20" s="10">
        <f>'Travel Time Savings'!B33</f>
        <v>3219811.538461538</v>
      </c>
      <c r="D20" s="24">
        <f>Inputs!$B$97</f>
        <v>9.1554999999999997E-2</v>
      </c>
      <c r="E20" s="24">
        <f>Inputs!$B$98</f>
        <v>0</v>
      </c>
      <c r="F20" s="24">
        <f>Inputs!$B$99</f>
        <v>0</v>
      </c>
      <c r="G20" s="24">
        <f>Inputs!$B$100</f>
        <v>41.065240000000003</v>
      </c>
      <c r="H20" s="16">
        <f t="shared" si="2"/>
        <v>17.687390724230767</v>
      </c>
      <c r="I20" s="16">
        <f t="shared" si="3"/>
        <v>0</v>
      </c>
      <c r="J20" s="16">
        <f t="shared" si="4"/>
        <v>0</v>
      </c>
      <c r="K20" s="16">
        <f t="shared" si="5"/>
        <v>7933.3400149015379</v>
      </c>
      <c r="L20" s="12">
        <f>H20*Inputs!$B130</f>
        <v>318373.03303615382</v>
      </c>
      <c r="M20" s="12">
        <f>I20*Inputs!$C130</f>
        <v>0</v>
      </c>
      <c r="N20" s="12">
        <f>J20*Inputs!$D130</f>
        <v>0</v>
      </c>
      <c r="O20" s="12">
        <f>K20*Inputs!$E130</f>
        <v>579133.82108781231</v>
      </c>
      <c r="P20" s="406">
        <f>O20*(1-VLOOKUP(B20,'Transportation Electrification'!$O$7:$P$35,2,FALSE))</f>
        <v>473235.0652317552</v>
      </c>
      <c r="Q20" s="12">
        <f>P20/((1+Inputs!$B$4)^(B20-Inputs!$B$5))</f>
        <v>254387.16665010827</v>
      </c>
      <c r="R20" s="12">
        <f t="shared" si="6"/>
        <v>318373.03303615382</v>
      </c>
      <c r="S20" s="406">
        <f>R20*(1-VLOOKUP(B20,'Transportation Electrification'!$O$7:$P$35,2,FALSE))</f>
        <v>260156.24985239998</v>
      </c>
      <c r="T20" s="12">
        <f>S20/((1+Inputs!$B$3)^(B20-Inputs!$B$5))+Q20</f>
        <v>317218.30558716704</v>
      </c>
      <c r="U20" s="12">
        <f>S20/((1+Inputs!$B$4)^(B20-Inputs!$B$5))+Q20</f>
        <v>394233.9703814832</v>
      </c>
      <c r="W20" s="161">
        <f t="shared" si="7"/>
        <v>2041</v>
      </c>
      <c r="X20" s="10">
        <f>'I-87 DetourSavings'!F26/Inputs!$B$12</f>
        <v>276.97608211150254</v>
      </c>
      <c r="Y20" s="24">
        <f>Inputs!$B$97</f>
        <v>9.1554999999999997E-2</v>
      </c>
      <c r="Z20" s="24">
        <f>Inputs!$B$98</f>
        <v>0</v>
      </c>
      <c r="AA20" s="24">
        <f>Inputs!$B$99</f>
        <v>0</v>
      </c>
      <c r="AB20" s="24">
        <f>Inputs!$B$100</f>
        <v>41.065240000000003</v>
      </c>
      <c r="AC20" s="16">
        <f t="shared" si="8"/>
        <v>1.5215127118631169E-3</v>
      </c>
      <c r="AD20" s="16">
        <f t="shared" si="0"/>
        <v>0</v>
      </c>
      <c r="AE20" s="16">
        <f t="shared" si="0"/>
        <v>0</v>
      </c>
      <c r="AF20" s="16">
        <f t="shared" si="0"/>
        <v>0.68244535717011356</v>
      </c>
      <c r="AG20" s="12">
        <f>AC20*Inputs!$B130</f>
        <v>27.387228813536105</v>
      </c>
      <c r="AH20" s="12">
        <f>AD20*Inputs!$C130</f>
        <v>0</v>
      </c>
      <c r="AI20" s="12">
        <f>AE20*Inputs!$D130</f>
        <v>0</v>
      </c>
      <c r="AJ20" s="12">
        <f>AF20*Inputs!$E130</f>
        <v>49.818511073418293</v>
      </c>
      <c r="AK20" s="406">
        <f>AJ20*(1-VLOOKUP(W20,'Transportation Electrification'!$O$7:$P$35,2,FALSE))</f>
        <v>40.708840477136093</v>
      </c>
      <c r="AL20" s="12">
        <f>AK20/((1+Inputs!$B$4)^(W20-Inputs!$B$5))</f>
        <v>21.883007721582068</v>
      </c>
      <c r="AM20" s="12">
        <f t="shared" si="9"/>
        <v>27.387228813536105</v>
      </c>
      <c r="AN20" s="406">
        <f>AM20*(1-VLOOKUP(W20,'Transportation Electrification'!$O$7:$P$35,2,FALSE))</f>
        <v>22.379278401918075</v>
      </c>
      <c r="AO20" s="12">
        <f>AN20/((1+Inputs!$B$3)^(W20-Inputs!$B$5))+AL20</f>
        <v>27.287896327486383</v>
      </c>
      <c r="AP20" s="12">
        <f>AN20/((1+Inputs!$B$4)^(W20-Inputs!$B$5))+AL20</f>
        <v>33.912972621900465</v>
      </c>
      <c r="AQ20" s="167"/>
      <c r="AR20" s="161">
        <f t="shared" si="10"/>
        <v>2041</v>
      </c>
      <c r="AS20" s="10">
        <f>'I-87 DetourSavings'!N26/Inputs!$B$12</f>
        <v>2769.760821115025</v>
      </c>
      <c r="AT20" s="24">
        <f>Inputs!$B$97</f>
        <v>9.1554999999999997E-2</v>
      </c>
      <c r="AU20" s="24">
        <f>Inputs!$B$98</f>
        <v>0</v>
      </c>
      <c r="AV20" s="24">
        <f>Inputs!$B$99</f>
        <v>0</v>
      </c>
      <c r="AW20" s="24">
        <f>Inputs!$B$100</f>
        <v>41.065240000000003</v>
      </c>
      <c r="AX20" s="16">
        <f t="shared" si="11"/>
        <v>1.5215127118631168E-2</v>
      </c>
      <c r="AY20" s="16">
        <f t="shared" si="1"/>
        <v>0</v>
      </c>
      <c r="AZ20" s="16">
        <f t="shared" si="1"/>
        <v>0</v>
      </c>
      <c r="BA20" s="16">
        <f t="shared" si="1"/>
        <v>6.8244535717011354</v>
      </c>
      <c r="BB20" s="12">
        <f>AX20*Inputs!$B130</f>
        <v>273.87228813536103</v>
      </c>
      <c r="BC20" s="12">
        <f>AY20*Inputs!$C130</f>
        <v>0</v>
      </c>
      <c r="BD20" s="12">
        <f>AZ20*Inputs!$D130</f>
        <v>0</v>
      </c>
      <c r="BE20" s="12">
        <f>BA20*Inputs!$E130</f>
        <v>498.1851107341829</v>
      </c>
      <c r="BF20" s="406">
        <f>BE20*(1-VLOOKUP(AR20,'Transportation Electrification'!$O$7:$P$35,2,FALSE))</f>
        <v>407.0884047713609</v>
      </c>
      <c r="BG20" s="12">
        <f>BF20/((1+Inputs!$B$4)^(AR20-Inputs!$B$5))</f>
        <v>218.83007721582067</v>
      </c>
      <c r="BH20" s="12">
        <f t="shared" si="12"/>
        <v>273.87228813536103</v>
      </c>
      <c r="BI20" s="406">
        <f>BH20*(1-VLOOKUP(AR20,'Transportation Electrification'!$O$7:$P$35,2,FALSE))</f>
        <v>223.79278401918074</v>
      </c>
      <c r="BJ20" s="12">
        <f>BI20/((1+Inputs!$B$3)^(AR20-Inputs!$B$5))+BG20</f>
        <v>272.87896327486385</v>
      </c>
      <c r="BK20" s="12">
        <f>BI20/((1+Inputs!$B$4)^(AR20-Inputs!$B$5))+BG20</f>
        <v>339.12972621900462</v>
      </c>
    </row>
    <row r="21" spans="1:63" s="69" customFormat="1">
      <c r="A21" s="140"/>
      <c r="B21" s="161">
        <f t="shared" si="13"/>
        <v>2042</v>
      </c>
      <c r="C21" s="10">
        <f>'Travel Time Savings'!B34</f>
        <v>3357083.6923076939</v>
      </c>
      <c r="D21" s="24">
        <f>Inputs!$B$97</f>
        <v>9.1554999999999997E-2</v>
      </c>
      <c r="E21" s="24">
        <f>Inputs!$B$98</f>
        <v>0</v>
      </c>
      <c r="F21" s="24">
        <f>Inputs!$B$99</f>
        <v>0</v>
      </c>
      <c r="G21" s="24">
        <f>Inputs!$B$100</f>
        <v>41.065240000000003</v>
      </c>
      <c r="H21" s="16">
        <f t="shared" si="2"/>
        <v>18.441467846953852</v>
      </c>
      <c r="I21" s="16">
        <f t="shared" si="3"/>
        <v>0</v>
      </c>
      <c r="J21" s="16">
        <f t="shared" si="4"/>
        <v>0</v>
      </c>
      <c r="K21" s="16">
        <f t="shared" si="5"/>
        <v>8271.5668514820973</v>
      </c>
      <c r="L21" s="12">
        <f>H21*Inputs!$B131</f>
        <v>331946.42124516936</v>
      </c>
      <c r="M21" s="12">
        <f>I21*Inputs!$C131</f>
        <v>0</v>
      </c>
      <c r="N21" s="12">
        <f>J21*Inputs!$D131</f>
        <v>0</v>
      </c>
      <c r="O21" s="12">
        <f>K21*Inputs!$E131</f>
        <v>620367.51386115735</v>
      </c>
      <c r="P21" s="406">
        <f>O21*(1-VLOOKUP(B21,'Transportation Electrification'!$O$7:$P$35,2,FALSE))</f>
        <v>501611.44692202151</v>
      </c>
      <c r="Q21" s="12">
        <f>P21/((1+Inputs!$B$4)^(B21-Inputs!$B$5))</f>
        <v>261787.25250546611</v>
      </c>
      <c r="R21" s="12">
        <f t="shared" si="6"/>
        <v>331946.42124516936</v>
      </c>
      <c r="S21" s="406">
        <f>R21*(1-VLOOKUP(B21,'Transportation Electrification'!$O$7:$P$35,2,FALSE))</f>
        <v>268402.39203537983</v>
      </c>
      <c r="T21" s="12">
        <f>S21/((1+Inputs!$B$3)^(B21-Inputs!$B$5))+Q21</f>
        <v>322369.20595348766</v>
      </c>
      <c r="U21" s="12">
        <f>S21/((1+Inputs!$B$4)^(B21-Inputs!$B$5))+Q21</f>
        <v>401864.44812767865</v>
      </c>
      <c r="W21" s="161">
        <f t="shared" si="7"/>
        <v>2042</v>
      </c>
      <c r="X21" s="10">
        <f>'I-87 DetourSavings'!F27/Inputs!$B$12</f>
        <v>286.22145578406287</v>
      </c>
      <c r="Y21" s="24">
        <f>Inputs!$B$97</f>
        <v>9.1554999999999997E-2</v>
      </c>
      <c r="Z21" s="24">
        <f>Inputs!$B$98</f>
        <v>0</v>
      </c>
      <c r="AA21" s="24">
        <f>Inputs!$B$99</f>
        <v>0</v>
      </c>
      <c r="AB21" s="24">
        <f>Inputs!$B$100</f>
        <v>41.065240000000003</v>
      </c>
      <c r="AC21" s="16">
        <f t="shared" si="8"/>
        <v>1.5723003230585925E-3</v>
      </c>
      <c r="AD21" s="16">
        <f t="shared" si="0"/>
        <v>0</v>
      </c>
      <c r="AE21" s="16">
        <f t="shared" si="0"/>
        <v>0</v>
      </c>
      <c r="AF21" s="16">
        <f t="shared" si="0"/>
        <v>0.70522516649531586</v>
      </c>
      <c r="AG21" s="12">
        <f>AC21*Inputs!$B131</f>
        <v>28.301405815054665</v>
      </c>
      <c r="AH21" s="12">
        <f>AD21*Inputs!$C131</f>
        <v>0</v>
      </c>
      <c r="AI21" s="12">
        <f>AE21*Inputs!$D131</f>
        <v>0</v>
      </c>
      <c r="AJ21" s="12">
        <f>AF21*Inputs!$E131</f>
        <v>52.891887487148686</v>
      </c>
      <c r="AK21" s="406">
        <f>AJ21*(1-VLOOKUP(W21,'Transportation Electrification'!$O$7:$P$35,2,FALSE))</f>
        <v>42.766869025323082</v>
      </c>
      <c r="AL21" s="12">
        <f>AK21/((1+Inputs!$B$4)^(W21-Inputs!$B$5))</f>
        <v>22.319708230543846</v>
      </c>
      <c r="AM21" s="12">
        <f t="shared" si="9"/>
        <v>28.301405815054665</v>
      </c>
      <c r="AN21" s="406">
        <f>AM21*(1-VLOOKUP(W21,'Transportation Electrification'!$O$7:$P$35,2,FALSE))</f>
        <v>22.883708130458487</v>
      </c>
      <c r="AO21" s="12">
        <f>AN21/((1+Inputs!$B$3)^(W21-Inputs!$B$5))+AL21</f>
        <v>27.484862423710673</v>
      </c>
      <c r="AP21" s="12">
        <f>AN21/((1+Inputs!$B$4)^(W21-Inputs!$B$5))+AL21</f>
        <v>34.262543896215981</v>
      </c>
      <c r="AQ21" s="167"/>
      <c r="AR21" s="161">
        <f t="shared" si="10"/>
        <v>2042</v>
      </c>
      <c r="AS21" s="10">
        <f>'I-87 DetourSavings'!N27/Inputs!$B$12</f>
        <v>2862.2145578406285</v>
      </c>
      <c r="AT21" s="24">
        <f>Inputs!$B$97</f>
        <v>9.1554999999999997E-2</v>
      </c>
      <c r="AU21" s="24">
        <f>Inputs!$B$98</f>
        <v>0</v>
      </c>
      <c r="AV21" s="24">
        <f>Inputs!$B$99</f>
        <v>0</v>
      </c>
      <c r="AW21" s="24">
        <f>Inputs!$B$100</f>
        <v>41.065240000000003</v>
      </c>
      <c r="AX21" s="16">
        <f t="shared" si="11"/>
        <v>1.5723003230585925E-2</v>
      </c>
      <c r="AY21" s="16">
        <f t="shared" si="1"/>
        <v>0</v>
      </c>
      <c r="AZ21" s="16">
        <f t="shared" si="1"/>
        <v>0</v>
      </c>
      <c r="BA21" s="16">
        <f t="shared" si="1"/>
        <v>7.0522516649531584</v>
      </c>
      <c r="BB21" s="12">
        <f>AX21*Inputs!$B131</f>
        <v>283.01405815054665</v>
      </c>
      <c r="BC21" s="12">
        <f>AY21*Inputs!$C131</f>
        <v>0</v>
      </c>
      <c r="BD21" s="12">
        <f>AZ21*Inputs!$D131</f>
        <v>0</v>
      </c>
      <c r="BE21" s="12">
        <f>BA21*Inputs!$E131</f>
        <v>528.91887487148688</v>
      </c>
      <c r="BF21" s="406">
        <f>BE21*(1-VLOOKUP(AR21,'Transportation Electrification'!$O$7:$P$35,2,FALSE))</f>
        <v>427.66869025323086</v>
      </c>
      <c r="BG21" s="12">
        <f>BF21/((1+Inputs!$B$4)^(AR21-Inputs!$B$5))</f>
        <v>223.19708230543847</v>
      </c>
      <c r="BH21" s="12">
        <f t="shared" si="12"/>
        <v>283.01405815054665</v>
      </c>
      <c r="BI21" s="406">
        <f>BH21*(1-VLOOKUP(AR21,'Transportation Electrification'!$O$7:$P$35,2,FALSE))</f>
        <v>228.83708130458487</v>
      </c>
      <c r="BJ21" s="12">
        <f>BI21/((1+Inputs!$B$3)^(AR21-Inputs!$B$5))+BG21</f>
        <v>274.84862423710678</v>
      </c>
      <c r="BK21" s="12">
        <f>BI21/((1+Inputs!$B$4)^(AR21-Inputs!$B$5))+BG21</f>
        <v>342.62543896215982</v>
      </c>
    </row>
    <row r="22" spans="1:63" s="69" customFormat="1">
      <c r="A22" s="140"/>
      <c r="B22" s="161">
        <f t="shared" si="13"/>
        <v>2043</v>
      </c>
      <c r="C22" s="10">
        <f>'Travel Time Savings'!B35</f>
        <v>3494355.846153846</v>
      </c>
      <c r="D22" s="24">
        <f>Inputs!$B$97</f>
        <v>9.1554999999999997E-2</v>
      </c>
      <c r="E22" s="24">
        <f>Inputs!$B$98</f>
        <v>0</v>
      </c>
      <c r="F22" s="24">
        <f>Inputs!$B$99</f>
        <v>0</v>
      </c>
      <c r="G22" s="24">
        <f>Inputs!$B$100</f>
        <v>41.065240000000003</v>
      </c>
      <c r="H22" s="16">
        <f t="shared" si="2"/>
        <v>19.19554496967692</v>
      </c>
      <c r="I22" s="16">
        <f t="shared" si="3"/>
        <v>0</v>
      </c>
      <c r="J22" s="16">
        <f t="shared" si="4"/>
        <v>0</v>
      </c>
      <c r="K22" s="16">
        <f t="shared" si="5"/>
        <v>8609.7936880626476</v>
      </c>
      <c r="L22" s="12">
        <f>H22*Inputs!$B132</f>
        <v>345519.80945418455</v>
      </c>
      <c r="M22" s="12">
        <f>I22*Inputs!$C132</f>
        <v>0</v>
      </c>
      <c r="N22" s="12">
        <f>J22*Inputs!$D132</f>
        <v>0</v>
      </c>
      <c r="O22" s="12">
        <f>K22*Inputs!$E132</f>
        <v>654344.3202927612</v>
      </c>
      <c r="P22" s="406">
        <f>O22*(1-VLOOKUP(B22,'Transportation Electrification'!$O$7:$P$35,2,FALSE))</f>
        <v>523475.45623420901</v>
      </c>
      <c r="Q22" s="12">
        <f>P22/((1+Inputs!$B$4)^(B22-Inputs!$B$5))</f>
        <v>265240.69417934347</v>
      </c>
      <c r="R22" s="12">
        <f t="shared" si="6"/>
        <v>345519.80945418455</v>
      </c>
      <c r="S22" s="406">
        <f>R22*(1-VLOOKUP(B22,'Transportation Electrification'!$O$7:$P$35,2,FALSE))</f>
        <v>276415.84756334766</v>
      </c>
      <c r="T22" s="12">
        <f>S22/((1+Inputs!$B$3)^(B22-Inputs!$B$5))+Q22</f>
        <v>323549.7557300569</v>
      </c>
      <c r="U22" s="12">
        <f>S22/((1+Inputs!$B$4)^(B22-Inputs!$B$5))+Q22</f>
        <v>405298.32327489206</v>
      </c>
      <c r="W22" s="161">
        <f t="shared" si="7"/>
        <v>2043</v>
      </c>
      <c r="X22" s="10">
        <f>'I-87 DetourSavings'!F28/Inputs!$B$12</f>
        <v>295.77543709412629</v>
      </c>
      <c r="Y22" s="24">
        <f>Inputs!$B$97</f>
        <v>9.1554999999999997E-2</v>
      </c>
      <c r="Z22" s="24">
        <f>Inputs!$B$98</f>
        <v>0</v>
      </c>
      <c r="AA22" s="24">
        <f>Inputs!$B$99</f>
        <v>0</v>
      </c>
      <c r="AB22" s="24">
        <f>Inputs!$B$100</f>
        <v>41.065240000000003</v>
      </c>
      <c r="AC22" s="16">
        <f t="shared" si="8"/>
        <v>1.6247832085891638E-3</v>
      </c>
      <c r="AD22" s="16">
        <f t="shared" ref="AD22:AF24" si="14">$X22*60*Z22/1000000</f>
        <v>0</v>
      </c>
      <c r="AE22" s="16">
        <f t="shared" si="14"/>
        <v>0</v>
      </c>
      <c r="AF22" s="16">
        <f t="shared" si="14"/>
        <v>0.72876535862251202</v>
      </c>
      <c r="AG22" s="12">
        <f>AC22*Inputs!$B132</f>
        <v>29.24609775460495</v>
      </c>
      <c r="AH22" s="12">
        <f>AD22*Inputs!$C132</f>
        <v>0</v>
      </c>
      <c r="AI22" s="12">
        <f>AE22*Inputs!$D132</f>
        <v>0</v>
      </c>
      <c r="AJ22" s="12">
        <f>AF22*Inputs!$E132</f>
        <v>55.386167255310916</v>
      </c>
      <c r="AK22" s="406">
        <f>AJ22*(1-VLOOKUP(W22,'Transportation Electrification'!$O$7:$P$35,2,FALSE))</f>
        <v>44.308933804248738</v>
      </c>
      <c r="AL22" s="12">
        <f>AK22/((1+Inputs!$B$4)^(W22-Inputs!$B$5))</f>
        <v>22.450971140330395</v>
      </c>
      <c r="AM22" s="12">
        <f t="shared" si="9"/>
        <v>29.24609775460495</v>
      </c>
      <c r="AN22" s="406">
        <f>AM22*(1-VLOOKUP(W22,'Transportation Electrification'!$O$7:$P$35,2,FALSE))</f>
        <v>23.396878203683961</v>
      </c>
      <c r="AO22" s="12">
        <f>AN22/((1+Inputs!$B$3)^(W22-Inputs!$B$5))+AL22</f>
        <v>27.386469677405053</v>
      </c>
      <c r="AP22" s="12">
        <f>AN22/((1+Inputs!$B$4)^(W22-Inputs!$B$5))+AL22</f>
        <v>34.305976265151635</v>
      </c>
      <c r="AQ22" s="167"/>
      <c r="AR22" s="161">
        <f t="shared" si="10"/>
        <v>2043</v>
      </c>
      <c r="AS22" s="10">
        <f>'I-87 DetourSavings'!N28/Inputs!$B$12</f>
        <v>2957.7543709412626</v>
      </c>
      <c r="AT22" s="24">
        <f>Inputs!$B$97</f>
        <v>9.1554999999999997E-2</v>
      </c>
      <c r="AU22" s="24">
        <f>Inputs!$B$98</f>
        <v>0</v>
      </c>
      <c r="AV22" s="24">
        <f>Inputs!$B$99</f>
        <v>0</v>
      </c>
      <c r="AW22" s="24">
        <f>Inputs!$B$100</f>
        <v>41.065240000000003</v>
      </c>
      <c r="AX22" s="16">
        <f t="shared" si="11"/>
        <v>1.6247832085891634E-2</v>
      </c>
      <c r="AY22" s="16">
        <f t="shared" ref="AY22:BA24" si="15">$AS22*60*AU22/1000000</f>
        <v>0</v>
      </c>
      <c r="AZ22" s="16">
        <f t="shared" si="15"/>
        <v>0</v>
      </c>
      <c r="BA22" s="16">
        <f t="shared" si="15"/>
        <v>7.2876535862251188</v>
      </c>
      <c r="BB22" s="12">
        <f>AX22*Inputs!$B132</f>
        <v>292.46097754604943</v>
      </c>
      <c r="BC22" s="12">
        <f>AY22*Inputs!$C132</f>
        <v>0</v>
      </c>
      <c r="BD22" s="12">
        <f>AZ22*Inputs!$D132</f>
        <v>0</v>
      </c>
      <c r="BE22" s="12">
        <f>BA22*Inputs!$E132</f>
        <v>553.86167255310897</v>
      </c>
      <c r="BF22" s="406">
        <f>BE22*(1-VLOOKUP(AR22,'Transportation Electrification'!$O$7:$P$35,2,FALSE))</f>
        <v>443.08933804248721</v>
      </c>
      <c r="BG22" s="12">
        <f>BF22/((1+Inputs!$B$4)^(AR22-Inputs!$B$5))</f>
        <v>224.50971140330387</v>
      </c>
      <c r="BH22" s="12">
        <f t="shared" si="12"/>
        <v>292.46097754604943</v>
      </c>
      <c r="BI22" s="406">
        <f>BH22*(1-VLOOKUP(AR22,'Transportation Electrification'!$O$7:$P$35,2,FALSE))</f>
        <v>233.96878203683957</v>
      </c>
      <c r="BJ22" s="12">
        <f>BI22/((1+Inputs!$B$3)^(AR22-Inputs!$B$5))+BG22</f>
        <v>273.8646967740504</v>
      </c>
      <c r="BK22" s="12">
        <f>BI22/((1+Inputs!$B$4)^(AR22-Inputs!$B$5))+BG22</f>
        <v>343.05976265151628</v>
      </c>
    </row>
    <row r="23" spans="1:63" s="69" customFormat="1">
      <c r="A23" s="140"/>
      <c r="B23" s="161">
        <f t="shared" si="13"/>
        <v>2044</v>
      </c>
      <c r="C23" s="10">
        <f>'Travel Time Savings'!B36</f>
        <v>3631627.9999999995</v>
      </c>
      <c r="D23" s="24">
        <f>Inputs!$B$97</f>
        <v>9.1554999999999997E-2</v>
      </c>
      <c r="E23" s="24">
        <f>Inputs!$B$98</f>
        <v>0</v>
      </c>
      <c r="F23" s="24">
        <f>Inputs!$B$99</f>
        <v>0</v>
      </c>
      <c r="G23" s="24">
        <f>Inputs!$B$100</f>
        <v>41.065240000000003</v>
      </c>
      <c r="H23" s="16">
        <f t="shared" si="2"/>
        <v>19.949622092399995</v>
      </c>
      <c r="I23" s="16">
        <f t="shared" si="3"/>
        <v>0</v>
      </c>
      <c r="J23" s="16">
        <f t="shared" si="4"/>
        <v>0</v>
      </c>
      <c r="K23" s="16">
        <f t="shared" si="5"/>
        <v>8948.0205246431997</v>
      </c>
      <c r="L23" s="12">
        <f>H23*Inputs!$B133</f>
        <v>359093.19766319991</v>
      </c>
      <c r="M23" s="12">
        <f>I23*Inputs!$C133</f>
        <v>0</v>
      </c>
      <c r="N23" s="12">
        <f>J23*Inputs!$D133</f>
        <v>0</v>
      </c>
      <c r="O23" s="12">
        <f>K23*Inputs!$E133</f>
        <v>688997.58039752638</v>
      </c>
      <c r="P23" s="406">
        <f>O23*(1-VLOOKUP(B23,'Transportation Electrification'!$O$7:$P$35,2,FALSE))</f>
        <v>545292.37077175663</v>
      </c>
      <c r="Q23" s="12">
        <f>P23/((1+Inputs!$B$4)^(B23-Inputs!$B$5))</f>
        <v>268247.71335117938</v>
      </c>
      <c r="R23" s="12">
        <f t="shared" si="6"/>
        <v>359093.19766319991</v>
      </c>
      <c r="S23" s="406">
        <f>R23*(1-VLOOKUP(B23,'Transportation Electrification'!$O$7:$P$35,2,FALSE))</f>
        <v>284196.61643630394</v>
      </c>
      <c r="T23" s="12">
        <f>S23/((1+Inputs!$B$3)^(B23-Inputs!$B$5))+Q23</f>
        <v>324276.11568248126</v>
      </c>
      <c r="U23" s="12">
        <f>S23/((1+Inputs!$B$4)^(B23-Inputs!$B$5))+Q23</f>
        <v>408053.61672973679</v>
      </c>
      <c r="W23" s="161">
        <f t="shared" si="7"/>
        <v>2044</v>
      </c>
      <c r="X23" s="10">
        <f>'I-87 DetourSavings'!F29/Inputs!$B$12</f>
        <v>305.64832726664025</v>
      </c>
      <c r="Y23" s="24">
        <f>Inputs!$B$97</f>
        <v>9.1554999999999997E-2</v>
      </c>
      <c r="Z23" s="24">
        <f>Inputs!$B$98</f>
        <v>0</v>
      </c>
      <c r="AA23" s="24">
        <f>Inputs!$B$99</f>
        <v>0</v>
      </c>
      <c r="AB23" s="24">
        <f>Inputs!$B$100</f>
        <v>41.065240000000003</v>
      </c>
      <c r="AC23" s="16">
        <f t="shared" si="8"/>
        <v>1.6790179561738349E-3</v>
      </c>
      <c r="AD23" s="16">
        <f t="shared" si="14"/>
        <v>0</v>
      </c>
      <c r="AE23" s="16">
        <f t="shared" si="14"/>
        <v>0</v>
      </c>
      <c r="AF23" s="16">
        <f t="shared" si="14"/>
        <v>0.7530913148881877</v>
      </c>
      <c r="AG23" s="12">
        <f>AC23*Inputs!$B133</f>
        <v>30.222323211129027</v>
      </c>
      <c r="AH23" s="12">
        <f>AD23*Inputs!$C133</f>
        <v>0</v>
      </c>
      <c r="AI23" s="12">
        <f>AE23*Inputs!$D133</f>
        <v>0</v>
      </c>
      <c r="AJ23" s="12">
        <f>AF23*Inputs!$E133</f>
        <v>57.988031246390456</v>
      </c>
      <c r="AK23" s="406">
        <f>AJ23*(1-VLOOKUP(W23,'Transportation Electrification'!$O$7:$P$35,2,FALSE))</f>
        <v>45.893384729286161</v>
      </c>
      <c r="AL23" s="12">
        <f>AK23/((1+Inputs!$B$4)^(W23-Inputs!$B$5))</f>
        <v>22.576504223144326</v>
      </c>
      <c r="AM23" s="12">
        <f t="shared" si="9"/>
        <v>30.222323211129027</v>
      </c>
      <c r="AN23" s="406">
        <f>AM23*(1-VLOOKUP(W23,'Transportation Electrification'!$O$7:$P$35,2,FALSE))</f>
        <v>23.918810084236402</v>
      </c>
      <c r="AO23" s="12">
        <f>AN23/((1+Inputs!$B$3)^(W23-Inputs!$B$5))+AL23</f>
        <v>27.29201678444872</v>
      </c>
      <c r="AP23" s="12">
        <f>AN23/((1+Inputs!$B$4)^(W23-Inputs!$B$5))+AL23</f>
        <v>34.342973836677878</v>
      </c>
      <c r="AQ23" s="167"/>
      <c r="AR23" s="161">
        <f t="shared" si="10"/>
        <v>2044</v>
      </c>
      <c r="AS23" s="10">
        <f>'I-87 DetourSavings'!N29/Inputs!$B$12</f>
        <v>3056.4832726664026</v>
      </c>
      <c r="AT23" s="24">
        <f>Inputs!$B$97</f>
        <v>9.1554999999999997E-2</v>
      </c>
      <c r="AU23" s="24">
        <f>Inputs!$B$98</f>
        <v>0</v>
      </c>
      <c r="AV23" s="24">
        <f>Inputs!$B$99</f>
        <v>0</v>
      </c>
      <c r="AW23" s="24">
        <f>Inputs!$B$100</f>
        <v>41.065240000000003</v>
      </c>
      <c r="AX23" s="16">
        <f t="shared" si="11"/>
        <v>1.6790179561738349E-2</v>
      </c>
      <c r="AY23" s="16">
        <f t="shared" si="15"/>
        <v>0</v>
      </c>
      <c r="AZ23" s="16">
        <f t="shared" si="15"/>
        <v>0</v>
      </c>
      <c r="BA23" s="16">
        <f t="shared" si="15"/>
        <v>7.5309131488818757</v>
      </c>
      <c r="BB23" s="12">
        <f>AX23*Inputs!$B133</f>
        <v>302.22323211129026</v>
      </c>
      <c r="BC23" s="12">
        <f>AY23*Inputs!$C133</f>
        <v>0</v>
      </c>
      <c r="BD23" s="12">
        <f>AZ23*Inputs!$D133</f>
        <v>0</v>
      </c>
      <c r="BE23" s="12">
        <f>BA23*Inputs!$E133</f>
        <v>579.88031246390437</v>
      </c>
      <c r="BF23" s="406">
        <f>BE23*(1-VLOOKUP(AR23,'Transportation Electrification'!$O$7:$P$35,2,FALSE))</f>
        <v>458.93384729286151</v>
      </c>
      <c r="BG23" s="12">
        <f>BF23/((1+Inputs!$B$4)^(AR23-Inputs!$B$5))</f>
        <v>225.76504223144323</v>
      </c>
      <c r="BH23" s="12">
        <f t="shared" si="12"/>
        <v>302.22323211129026</v>
      </c>
      <c r="BI23" s="406">
        <f>BH23*(1-VLOOKUP(AR23,'Transportation Electrification'!$O$7:$P$35,2,FALSE))</f>
        <v>239.18810084236401</v>
      </c>
      <c r="BJ23" s="12">
        <f>BI23/((1+Inputs!$B$3)^(AR23-Inputs!$B$5))+BG23</f>
        <v>272.92016784448714</v>
      </c>
      <c r="BK23" s="12">
        <f>BI23/((1+Inputs!$B$4)^(AR23-Inputs!$B$5))+BG23</f>
        <v>343.42973836677874</v>
      </c>
    </row>
    <row r="24" spans="1:63" s="140" customFormat="1">
      <c r="B24" s="161">
        <f t="shared" si="13"/>
        <v>2045</v>
      </c>
      <c r="C24" s="10">
        <f>'Travel Time Savings'!B37</f>
        <v>3631627.9999999995</v>
      </c>
      <c r="D24" s="24">
        <f>Inputs!$B$97</f>
        <v>9.1554999999999997E-2</v>
      </c>
      <c r="E24" s="24">
        <f>Inputs!$B$98</f>
        <v>0</v>
      </c>
      <c r="F24" s="24">
        <f>Inputs!$B$99</f>
        <v>0</v>
      </c>
      <c r="G24" s="24">
        <f>Inputs!$B$100</f>
        <v>41.065240000000003</v>
      </c>
      <c r="H24" s="16">
        <f t="shared" si="2"/>
        <v>19.949622092399995</v>
      </c>
      <c r="I24" s="16">
        <f t="shared" si="3"/>
        <v>0</v>
      </c>
      <c r="J24" s="16">
        <f t="shared" si="4"/>
        <v>0</v>
      </c>
      <c r="K24" s="16">
        <f t="shared" si="5"/>
        <v>8948.0205246431997</v>
      </c>
      <c r="L24" s="12">
        <f>H24*Inputs!$B134</f>
        <v>359093.19766319991</v>
      </c>
      <c r="M24" s="12">
        <f>I24*Inputs!$C134</f>
        <v>0</v>
      </c>
      <c r="N24" s="12">
        <f>J24*Inputs!$D134</f>
        <v>0</v>
      </c>
      <c r="O24" s="12">
        <f>K24*Inputs!$E134</f>
        <v>697945.60092216963</v>
      </c>
      <c r="P24" s="406">
        <f>O24*(1-VLOOKUP(B24,'Transportation Electrification'!$O$7:$P$35,2,FALSE))</f>
        <v>546391.69900764141</v>
      </c>
      <c r="Q24" s="12">
        <f>P24/((1+Inputs!$B$4)^(B24-Inputs!$B$5))</f>
        <v>260959.71844438999</v>
      </c>
      <c r="R24" s="12">
        <f t="shared" si="6"/>
        <v>359093.19766319991</v>
      </c>
      <c r="S24" s="406">
        <f>R24*(1-VLOOKUP(B24,'Transportation Electrification'!$O$7:$P$35,2,FALSE))</f>
        <v>281118.67474204797</v>
      </c>
      <c r="T24" s="12">
        <f>S24/((1+Inputs!$B$3)^(B24-Inputs!$B$5))+Q24</f>
        <v>312755.6030517543</v>
      </c>
      <c r="U24" s="12">
        <f>S24/((1+Inputs!$B$4)^(B24-Inputs!$B$5))+Q24</f>
        <v>395223.56312464917</v>
      </c>
      <c r="W24" s="161">
        <f t="shared" si="7"/>
        <v>2045</v>
      </c>
      <c r="X24" s="10">
        <f>'I-87 DetourSavings'!F30/Inputs!$B$12</f>
        <v>315.85077137817018</v>
      </c>
      <c r="Y24" s="24">
        <f>Inputs!$B$97</f>
        <v>9.1554999999999997E-2</v>
      </c>
      <c r="Z24" s="24">
        <f>Inputs!$B$98</f>
        <v>0</v>
      </c>
      <c r="AA24" s="24">
        <f>Inputs!$B$99</f>
        <v>0</v>
      </c>
      <c r="AB24" s="24">
        <f>Inputs!$B$100</f>
        <v>41.065240000000003</v>
      </c>
      <c r="AC24" s="16">
        <f t="shared" si="8"/>
        <v>1.7350630424117024E-3</v>
      </c>
      <c r="AD24" s="16">
        <f t="shared" si="14"/>
        <v>0</v>
      </c>
      <c r="AE24" s="16">
        <f t="shared" si="14"/>
        <v>0</v>
      </c>
      <c r="AF24" s="16">
        <f t="shared" si="14"/>
        <v>0.77822926384978153</v>
      </c>
      <c r="AG24" s="12">
        <f>AC24*Inputs!$B134</f>
        <v>31.231134763410644</v>
      </c>
      <c r="AH24" s="12">
        <f>AD24*Inputs!$C134</f>
        <v>0</v>
      </c>
      <c r="AI24" s="12">
        <f>AE24*Inputs!$D134</f>
        <v>0</v>
      </c>
      <c r="AJ24" s="12">
        <f>AF24*Inputs!$E134</f>
        <v>60.701882580282962</v>
      </c>
      <c r="AK24" s="406">
        <f>AJ24*(1-VLOOKUP(W24,'Transportation Electrification'!$O$7:$P$35,2,FALSE))</f>
        <v>47.520902362850094</v>
      </c>
      <c r="AL24" s="12">
        <f>AK24/((1+Inputs!$B$4)^(W24-Inputs!$B$5))</f>
        <v>22.696247624836769</v>
      </c>
      <c r="AM24" s="12">
        <f t="shared" si="9"/>
        <v>31.231134763410644</v>
      </c>
      <c r="AN24" s="406">
        <f>AM24*(1-VLOOKUP(W24,'Transportation Electrification'!$O$7:$P$35,2,FALSE))</f>
        <v>24.44951692907005</v>
      </c>
      <c r="AO24" s="12">
        <f>AN24/((1+Inputs!$B$3)^(W24-Inputs!$B$5))+AL24</f>
        <v>27.201051009833996</v>
      </c>
      <c r="AP24" s="12">
        <f>AN24/((1+Inputs!$B$4)^(W24-Inputs!$B$5))+AL24</f>
        <v>34.373473075917857</v>
      </c>
      <c r="AQ24" s="167"/>
      <c r="AR24" s="161">
        <f t="shared" si="10"/>
        <v>2045</v>
      </c>
      <c r="AS24" s="10">
        <f>'I-87 DetourSavings'!N30/Inputs!$B$12</f>
        <v>3158.507713781702</v>
      </c>
      <c r="AT24" s="24">
        <f>Inputs!$B$97</f>
        <v>9.1554999999999997E-2</v>
      </c>
      <c r="AU24" s="24">
        <f>Inputs!$B$98</f>
        <v>0</v>
      </c>
      <c r="AV24" s="24">
        <f>Inputs!$B$99</f>
        <v>0</v>
      </c>
      <c r="AW24" s="24">
        <f>Inputs!$B$100</f>
        <v>41.065240000000003</v>
      </c>
      <c r="AX24" s="16">
        <f t="shared" si="11"/>
        <v>1.7350630424117025E-2</v>
      </c>
      <c r="AY24" s="16">
        <f t="shared" si="15"/>
        <v>0</v>
      </c>
      <c r="AZ24" s="16">
        <f t="shared" si="15"/>
        <v>0</v>
      </c>
      <c r="BA24" s="16">
        <f t="shared" si="15"/>
        <v>7.7822926384978155</v>
      </c>
      <c r="BB24" s="12">
        <f>AX24*Inputs!$B134</f>
        <v>312.31134763410643</v>
      </c>
      <c r="BC24" s="12">
        <f>AY24*Inputs!$C134</f>
        <v>0</v>
      </c>
      <c r="BD24" s="12">
        <f>AZ24*Inputs!$D134</f>
        <v>0</v>
      </c>
      <c r="BE24" s="12">
        <f>BA24*Inputs!$E134</f>
        <v>607.01882580282961</v>
      </c>
      <c r="BF24" s="406">
        <f>BE24*(1-VLOOKUP(AR24,'Transportation Electrification'!$O$7:$P$35,2,FALSE))</f>
        <v>475.20902362850092</v>
      </c>
      <c r="BG24" s="12">
        <f>BF24/((1+Inputs!$B$4)^(AR24-Inputs!$B$5))</f>
        <v>226.96247624836766</v>
      </c>
      <c r="BH24" s="12">
        <f t="shared" si="12"/>
        <v>312.31134763410643</v>
      </c>
      <c r="BI24" s="406">
        <f>BH24*(1-VLOOKUP(AR24,'Transportation Electrification'!$O$7:$P$35,2,FALSE))</f>
        <v>244.49516929070049</v>
      </c>
      <c r="BJ24" s="12">
        <f>BI24/((1+Inputs!$B$3)^(AR24-Inputs!$B$5))+BG24</f>
        <v>272.01051009833998</v>
      </c>
      <c r="BK24" s="12">
        <f>BI24/((1+Inputs!$B$4)^(AR24-Inputs!$B$5))+BG24</f>
        <v>343.73473075917855</v>
      </c>
    </row>
    <row r="25" spans="1:63" s="416" customFormat="1">
      <c r="B25" s="161">
        <f t="shared" si="13"/>
        <v>2046</v>
      </c>
      <c r="C25" s="10">
        <f>'Travel Time Savings'!B38</f>
        <v>3631627.9999999995</v>
      </c>
      <c r="D25" s="24">
        <f>Inputs!$B$97</f>
        <v>9.1554999999999997E-2</v>
      </c>
      <c r="E25" s="24">
        <f>Inputs!$B$98</f>
        <v>0</v>
      </c>
      <c r="F25" s="24">
        <f>Inputs!$B$99</f>
        <v>0</v>
      </c>
      <c r="G25" s="24">
        <f>Inputs!$B$100</f>
        <v>41.065240000000003</v>
      </c>
      <c r="H25" s="16">
        <f t="shared" ref="H25:H26" si="16">$C25*60*D25/1000000</f>
        <v>19.949622092399995</v>
      </c>
      <c r="I25" s="16">
        <f t="shared" ref="I25:I26" si="17">$C25*60*E25/1000000</f>
        <v>0</v>
      </c>
      <c r="J25" s="16">
        <f t="shared" ref="J25:J26" si="18">$C25*60*F25/1000000</f>
        <v>0</v>
      </c>
      <c r="K25" s="16">
        <f t="shared" ref="K25:K26" si="19">$C25*60*G25/1000000</f>
        <v>8948.0205246431997</v>
      </c>
      <c r="L25" s="12">
        <f>H25*Inputs!$B135</f>
        <v>359093.19766319991</v>
      </c>
      <c r="M25" s="12">
        <f>I25*Inputs!$C135</f>
        <v>0</v>
      </c>
      <c r="N25" s="12">
        <f>J25*Inputs!$D135</f>
        <v>0</v>
      </c>
      <c r="O25" s="12">
        <f>K25*Inputs!$E135</f>
        <v>706893.62144681276</v>
      </c>
      <c r="P25" s="406">
        <f>O25*(1-VLOOKUP(B25,'Transportation Electrification'!$O$7:$P$35,2,FALSE))</f>
        <v>547337.63260596083</v>
      </c>
      <c r="Q25" s="12">
        <f>P25/((1+Inputs!$B$4)^(B25-Inputs!$B$5))</f>
        <v>253797.57436805731</v>
      </c>
      <c r="R25" s="12">
        <f t="shared" si="6"/>
        <v>359093.19766319991</v>
      </c>
      <c r="S25" s="406">
        <f>R25*(1-VLOOKUP(B25,'Transportation Electrification'!$O$7:$P$35,2,FALSE))</f>
        <v>278040.73304779193</v>
      </c>
      <c r="T25" s="12">
        <f>S25/((1+Inputs!$B$3)^(B25-Inputs!$B$5))+Q25</f>
        <v>301674.93547248369</v>
      </c>
      <c r="U25" s="12">
        <f>S25/((1+Inputs!$B$4)^(B25-Inputs!$B$5))+Q25</f>
        <v>382723.59629545518</v>
      </c>
      <c r="W25" s="161">
        <f t="shared" si="7"/>
        <v>2046</v>
      </c>
      <c r="X25" s="10">
        <f>'I-87 DetourSavings'!F31/Inputs!$B$12</f>
        <v>326.39376983455708</v>
      </c>
      <c r="Y25" s="24">
        <f>Inputs!$B$97</f>
        <v>9.1554999999999997E-2</v>
      </c>
      <c r="Z25" s="24">
        <f>Inputs!$B$98</f>
        <v>0</v>
      </c>
      <c r="AA25" s="24">
        <f>Inputs!$B$99</f>
        <v>0</v>
      </c>
      <c r="AB25" s="24">
        <f>Inputs!$B$100</f>
        <v>41.065240000000003</v>
      </c>
      <c r="AC25" s="16">
        <f t="shared" ref="AC25:AC26" si="20">$X25*60*Y25/1000000</f>
        <v>1.7929788958321723E-3</v>
      </c>
      <c r="AD25" s="16">
        <f t="shared" ref="AD25:AD26" si="21">$X25*60*Z25/1000000</f>
        <v>0</v>
      </c>
      <c r="AE25" s="16">
        <f t="shared" ref="AE25:AE26" si="22">$X25*60*AA25/1000000</f>
        <v>0</v>
      </c>
      <c r="AF25" s="16">
        <f t="shared" ref="AF25:AF26" si="23">$X25*60*AB25/1000000</f>
        <v>0.80420630956565087</v>
      </c>
      <c r="AG25" s="12">
        <f>AC25*Inputs!$B135</f>
        <v>32.273620124979104</v>
      </c>
      <c r="AH25" s="12">
        <f>AD25*Inputs!$C135</f>
        <v>0</v>
      </c>
      <c r="AI25" s="12">
        <f>AE25*Inputs!$D135</f>
        <v>0</v>
      </c>
      <c r="AJ25" s="12">
        <f>AF25*Inputs!$E135</f>
        <v>63.532298455686416</v>
      </c>
      <c r="AK25" s="406">
        <f>AJ25*(1-VLOOKUP(W25,'Transportation Electrification'!$O$7:$P$35,2,FALSE))</f>
        <v>49.192151089974345</v>
      </c>
      <c r="AL25" s="12">
        <f>AK25/((1+Inputs!$B$4)^(W25-Inputs!$B$5))</f>
        <v>22.810141091779386</v>
      </c>
      <c r="AM25" s="12">
        <f t="shared" si="9"/>
        <v>32.273620124979104</v>
      </c>
      <c r="AN25" s="406">
        <f>AM25*(1-VLOOKUP(W25,'Transportation Electrification'!$O$7:$P$35,2,FALSE))</f>
        <v>24.989003011055249</v>
      </c>
      <c r="AO25" s="12">
        <f>AN25/((1+Inputs!$B$3)^(W25-Inputs!$B$5))+AL25</f>
        <v>27.113134785132374</v>
      </c>
      <c r="AP25" s="12">
        <f>AN25/((1+Inputs!$B$4)^(W25-Inputs!$B$5))+AL25</f>
        <v>34.397410031950614</v>
      </c>
      <c r="AR25" s="161">
        <f t="shared" si="10"/>
        <v>2046</v>
      </c>
      <c r="AS25" s="10">
        <f>'I-87 DetourSavings'!N31/Inputs!$B$12</f>
        <v>3263.9376983455713</v>
      </c>
      <c r="AT25" s="24">
        <f>Inputs!$B$97</f>
        <v>9.1554999999999997E-2</v>
      </c>
      <c r="AU25" s="24">
        <f>Inputs!$B$98</f>
        <v>0</v>
      </c>
      <c r="AV25" s="24">
        <f>Inputs!$B$99</f>
        <v>0</v>
      </c>
      <c r="AW25" s="24">
        <f>Inputs!$B$100</f>
        <v>41.065240000000003</v>
      </c>
      <c r="AX25" s="16">
        <f t="shared" ref="AX25:AX26" si="24">$AS25*60*AT25/1000000</f>
        <v>1.7929788958321726E-2</v>
      </c>
      <c r="AY25" s="16">
        <f t="shared" ref="AY25:AY26" si="25">$AS25*60*AU25/1000000</f>
        <v>0</v>
      </c>
      <c r="AZ25" s="16">
        <f t="shared" ref="AZ25:AZ26" si="26">$AS25*60*AV25/1000000</f>
        <v>0</v>
      </c>
      <c r="BA25" s="16">
        <f t="shared" ref="BA25:BA26" si="27">$AS25*60*AW25/1000000</f>
        <v>8.0420630956565091</v>
      </c>
      <c r="BB25" s="12">
        <f>AX25*Inputs!$B135</f>
        <v>322.73620124979107</v>
      </c>
      <c r="BC25" s="12">
        <f>AY25*Inputs!$C135</f>
        <v>0</v>
      </c>
      <c r="BD25" s="12">
        <f>AZ25*Inputs!$D135</f>
        <v>0</v>
      </c>
      <c r="BE25" s="12">
        <f>BA25*Inputs!$E135</f>
        <v>635.32298455686418</v>
      </c>
      <c r="BF25" s="406">
        <f>BE25*(1-VLOOKUP(AR25,'Transportation Electrification'!$O$7:$P$35,2,FALSE))</f>
        <v>491.92151089974345</v>
      </c>
      <c r="BG25" s="12">
        <f>BF25/((1+Inputs!$B$4)^(AR25-Inputs!$B$5))</f>
        <v>228.10141091779383</v>
      </c>
      <c r="BH25" s="12">
        <f t="shared" si="12"/>
        <v>322.73620124979107</v>
      </c>
      <c r="BI25" s="406">
        <f>BH25*(1-VLOOKUP(AR25,'Transportation Electrification'!$O$7:$P$35,2,FALSE))</f>
        <v>249.89003011055254</v>
      </c>
      <c r="BJ25" s="12">
        <f>BI25/((1+Inputs!$B$3)^(AR25-Inputs!$B$5))+BG25</f>
        <v>271.13134785132371</v>
      </c>
      <c r="BK25" s="12">
        <f>BI25/((1+Inputs!$B$4)^(AR25-Inputs!$B$5))+BG25</f>
        <v>343.97410031950619</v>
      </c>
    </row>
    <row r="26" spans="1:63" s="140" customFormat="1">
      <c r="B26" s="161">
        <f t="shared" si="13"/>
        <v>2047</v>
      </c>
      <c r="C26" s="10">
        <f>'Travel Time Savings'!B39</f>
        <v>3631627.9999999995</v>
      </c>
      <c r="D26" s="24">
        <f>Inputs!$B$97</f>
        <v>9.1554999999999997E-2</v>
      </c>
      <c r="E26" s="24">
        <f>Inputs!$B$98</f>
        <v>0</v>
      </c>
      <c r="F26" s="24">
        <f>Inputs!$B$99</f>
        <v>0</v>
      </c>
      <c r="G26" s="24">
        <f>Inputs!$B$100</f>
        <v>41.065240000000003</v>
      </c>
      <c r="H26" s="16">
        <f t="shared" si="16"/>
        <v>19.949622092399995</v>
      </c>
      <c r="I26" s="16">
        <f t="shared" si="17"/>
        <v>0</v>
      </c>
      <c r="J26" s="16">
        <f t="shared" si="18"/>
        <v>0</v>
      </c>
      <c r="K26" s="16">
        <f t="shared" si="19"/>
        <v>8948.0205246431997</v>
      </c>
      <c r="L26" s="12">
        <f>H26*Inputs!$B136</f>
        <v>359093.19766319991</v>
      </c>
      <c r="M26" s="12">
        <f>I26*Inputs!$C136</f>
        <v>0</v>
      </c>
      <c r="N26" s="12">
        <f>J26*Inputs!$D136</f>
        <v>0</v>
      </c>
      <c r="O26" s="12">
        <f>K26*Inputs!$E136</f>
        <v>715841.641971456</v>
      </c>
      <c r="P26" s="640">
        <f>O26*(1-VLOOKUP(B26,'Transportation Electrification'!$O$7:$P$35,2,FALSE))*(1-Inputs!$B$8)</f>
        <v>228387.57148613117</v>
      </c>
      <c r="Q26" s="12">
        <f>P26/((1+Inputs!$B$4)^(B26-Inputs!$B$5))</f>
        <v>102817.58515592579</v>
      </c>
      <c r="R26" s="12">
        <f t="shared" si="6"/>
        <v>359093.19766319991</v>
      </c>
      <c r="S26" s="640">
        <f>R26*(1-VLOOKUP(B26,'Transportation Electrification'!$O$7:$P$35,2,FALSE))*(1-Inputs!$B$8)</f>
        <v>114567.82973063998</v>
      </c>
      <c r="T26" s="12">
        <f>S26/((1+Inputs!$B$3)^(B26-Inputs!$B$5))+Q26</f>
        <v>121255.02807528853</v>
      </c>
      <c r="U26" s="12">
        <f>S26/((1+Inputs!$B$4)^(B26-Inputs!$B$5))+Q26</f>
        <v>154394.76824346956</v>
      </c>
      <c r="V26" s="416"/>
      <c r="W26" s="161">
        <f t="shared" si="7"/>
        <v>2047</v>
      </c>
      <c r="X26" s="10">
        <f>'I-87 DetourSavings'!F32/Inputs!$B$12</f>
        <v>337.28869023169557</v>
      </c>
      <c r="Y26" s="24">
        <f>Inputs!$B$97</f>
        <v>9.1554999999999997E-2</v>
      </c>
      <c r="Z26" s="24">
        <f>Inputs!$B$98</f>
        <v>0</v>
      </c>
      <c r="AA26" s="24">
        <f>Inputs!$B$99</f>
        <v>0</v>
      </c>
      <c r="AB26" s="24">
        <f>Inputs!$B$100</f>
        <v>41.065240000000003</v>
      </c>
      <c r="AC26" s="16">
        <f t="shared" si="20"/>
        <v>1.852827962049773E-3</v>
      </c>
      <c r="AD26" s="16">
        <f t="shared" si="21"/>
        <v>0</v>
      </c>
      <c r="AE26" s="16">
        <f t="shared" si="22"/>
        <v>0</v>
      </c>
      <c r="AF26" s="16">
        <f t="shared" si="23"/>
        <v>0.83105046081901401</v>
      </c>
      <c r="AG26" s="12">
        <f>AC26*Inputs!$B136</f>
        <v>33.350903316895916</v>
      </c>
      <c r="AH26" s="12">
        <f>AD26*Inputs!$C136</f>
        <v>0</v>
      </c>
      <c r="AI26" s="12">
        <f>AE26*Inputs!$D136</f>
        <v>0</v>
      </c>
      <c r="AJ26" s="12">
        <f>AF26*Inputs!$E136</f>
        <v>66.484036865521119</v>
      </c>
      <c r="AK26" s="640">
        <f>AJ26*(1-VLOOKUP(W26,'Transportation Electrification'!$O$7:$P$35,2,FALSE))*(1-Inputs!$B$8)</f>
        <v>21.211573666618644</v>
      </c>
      <c r="AL26" s="12">
        <f>AK26/((1+Inputs!$B$4)^(W26-Inputs!$B$5))</f>
        <v>9.5492183202762053</v>
      </c>
      <c r="AM26" s="12">
        <f t="shared" si="9"/>
        <v>33.350903316895916</v>
      </c>
      <c r="AN26" s="640">
        <f>AM26*(1-VLOOKUP(W26,'Transportation Electrification'!$O$7:$P$35,2,FALSE))*(1-Inputs!$B$8)</f>
        <v>10.640526296342983</v>
      </c>
      <c r="AO26" s="12">
        <f>AN26/((1+Inputs!$B$3)^(W26-Inputs!$B$5))+AL26</f>
        <v>11.261602125416355</v>
      </c>
      <c r="AP26" s="12">
        <f>AN26/((1+Inputs!$B$4)^(W26-Inputs!$B$5))+AL26</f>
        <v>14.339466806475233</v>
      </c>
      <c r="AQ26" s="416"/>
      <c r="AR26" s="161">
        <f t="shared" si="10"/>
        <v>2047</v>
      </c>
      <c r="AS26" s="10">
        <f>'I-87 DetourSavings'!N32/Inputs!$B$12</f>
        <v>3372.8869023169555</v>
      </c>
      <c r="AT26" s="24">
        <f>Inputs!$B$97</f>
        <v>9.1554999999999997E-2</v>
      </c>
      <c r="AU26" s="24">
        <f>Inputs!$B$98</f>
        <v>0</v>
      </c>
      <c r="AV26" s="24">
        <f>Inputs!$B$99</f>
        <v>0</v>
      </c>
      <c r="AW26" s="24">
        <f>Inputs!$B$100</f>
        <v>41.065240000000003</v>
      </c>
      <c r="AX26" s="16">
        <f t="shared" si="24"/>
        <v>1.8528279620497731E-2</v>
      </c>
      <c r="AY26" s="16">
        <f t="shared" si="25"/>
        <v>0</v>
      </c>
      <c r="AZ26" s="16">
        <f t="shared" si="26"/>
        <v>0</v>
      </c>
      <c r="BA26" s="16">
        <f t="shared" si="27"/>
        <v>8.3105046081901399</v>
      </c>
      <c r="BB26" s="12">
        <f>AX26*Inputs!$B136</f>
        <v>333.50903316895915</v>
      </c>
      <c r="BC26" s="12">
        <f>AY26*Inputs!$C136</f>
        <v>0</v>
      </c>
      <c r="BD26" s="12">
        <f>AZ26*Inputs!$D136</f>
        <v>0</v>
      </c>
      <c r="BE26" s="12">
        <f>BA26*Inputs!$E136</f>
        <v>664.84036865521125</v>
      </c>
      <c r="BF26" s="640">
        <f>BE26*(1-VLOOKUP(AR26,'Transportation Electrification'!$O$7:$P$35,2,FALSE))*(1-Inputs!$B$8)</f>
        <v>212.11573666618645</v>
      </c>
      <c r="BG26" s="12">
        <f>BF26/((1+Inputs!$B$4)^(AR26-Inputs!$B$5))</f>
        <v>95.492183202762064</v>
      </c>
      <c r="BH26" s="12">
        <f t="shared" si="12"/>
        <v>333.50903316895915</v>
      </c>
      <c r="BI26" s="640">
        <f>BH26*(1-VLOOKUP(AR26,'Transportation Electrification'!$O$7:$P$35,2,FALSE))*(1-Inputs!$B$8)</f>
        <v>106.40526296342982</v>
      </c>
      <c r="BJ26" s="12">
        <f>BI26/((1+Inputs!$B$3)^(AR26-Inputs!$B$5))+BG26</f>
        <v>112.61602125416356</v>
      </c>
      <c r="BK26" s="12">
        <f>BI26/((1+Inputs!$B$4)^(AR26-Inputs!$B$5))+BG26</f>
        <v>143.39466806475235</v>
      </c>
    </row>
    <row r="27" spans="1:63" s="69" customFormat="1">
      <c r="A27" s="140"/>
      <c r="B27" s="19" t="s">
        <v>4</v>
      </c>
      <c r="C27" s="169">
        <f>SUM(C6:C26)</f>
        <v>55261548.461538471</v>
      </c>
      <c r="D27" s="169"/>
      <c r="E27" s="169"/>
      <c r="F27" s="169"/>
      <c r="G27" s="169"/>
      <c r="H27" s="169">
        <f t="shared" ref="H27:O27" si="28">SUM(H6:H26)</f>
        <v>303.56826416376913</v>
      </c>
      <c r="I27" s="169">
        <f t="shared" si="28"/>
        <v>0</v>
      </c>
      <c r="J27" s="169">
        <f t="shared" si="28"/>
        <v>0</v>
      </c>
      <c r="K27" s="169">
        <f t="shared" si="28"/>
        <v>136159.72502068247</v>
      </c>
      <c r="L27" s="164">
        <f t="shared" si="28"/>
        <v>5452703.8036036892</v>
      </c>
      <c r="M27" s="164">
        <f t="shared" si="28"/>
        <v>0</v>
      </c>
      <c r="N27" s="164">
        <f t="shared" si="28"/>
        <v>0</v>
      </c>
      <c r="O27" s="164">
        <f t="shared" si="28"/>
        <v>9659698.516696116</v>
      </c>
      <c r="P27" s="407">
        <f>SUM(P6:P26)</f>
        <v>7642544.3229967235</v>
      </c>
      <c r="Q27" s="164">
        <f t="shared" ref="Q27" si="29">SUM(Q6:Q26)</f>
        <v>4449711.8096987894</v>
      </c>
      <c r="R27" s="164">
        <f>SUM(R6:R26)</f>
        <v>5452703.8036036892</v>
      </c>
      <c r="S27" s="407">
        <f>SUM(S6:S26)</f>
        <v>4350047.1275792066</v>
      </c>
      <c r="T27" s="164">
        <f t="shared" ref="T27:U27" si="30">SUM(T6:T26)</f>
        <v>5806522.425516285</v>
      </c>
      <c r="U27" s="164">
        <f t="shared" si="30"/>
        <v>7018703.1714725234</v>
      </c>
      <c r="V27" s="206"/>
      <c r="W27" s="19" t="s">
        <v>4</v>
      </c>
      <c r="X27" s="169">
        <f>SUM(X6:X26)</f>
        <v>5202.0208124492756</v>
      </c>
      <c r="Y27" s="169"/>
      <c r="Z27" s="169"/>
      <c r="AA27" s="169"/>
      <c r="AB27" s="169"/>
      <c r="AC27" s="169">
        <f t="shared" ref="AC27:AJ27" si="31">SUM(AC6:AC26)</f>
        <v>2.8576260929027607E-2</v>
      </c>
      <c r="AD27" s="169">
        <f t="shared" si="31"/>
        <v>0</v>
      </c>
      <c r="AE27" s="169">
        <f t="shared" si="31"/>
        <v>0</v>
      </c>
      <c r="AF27" s="169">
        <f t="shared" si="31"/>
        <v>12.817333988893468</v>
      </c>
      <c r="AG27" s="164">
        <f t="shared" si="31"/>
        <v>512.89588455721878</v>
      </c>
      <c r="AH27" s="164">
        <f t="shared" si="31"/>
        <v>0</v>
      </c>
      <c r="AI27" s="164">
        <f t="shared" si="31"/>
        <v>0</v>
      </c>
      <c r="AJ27" s="164">
        <f t="shared" si="31"/>
        <v>900.97057500167716</v>
      </c>
      <c r="AK27" s="407">
        <f>SUM(AK6:AK26)</f>
        <v>714.01422400196543</v>
      </c>
      <c r="AL27" s="164">
        <f t="shared" ref="AL27" si="32">SUM(AL6:AL26)</f>
        <v>422.82104302482793</v>
      </c>
      <c r="AM27" s="164">
        <f>SUM(AM6:AM26)</f>
        <v>512.89588455721878</v>
      </c>
      <c r="AN27" s="407">
        <f>SUM(AN6:AN26)</f>
        <v>409.9235651173326</v>
      </c>
      <c r="AO27" s="164">
        <f t="shared" ref="AO27:AP27" si="33">SUM(AO6:AO26)</f>
        <v>556.32166056966878</v>
      </c>
      <c r="AP27" s="164">
        <f t="shared" si="33"/>
        <v>669.28320741373</v>
      </c>
      <c r="AQ27" s="167"/>
      <c r="AR27" s="19" t="s">
        <v>4</v>
      </c>
      <c r="AS27" s="169">
        <f>SUM(AS6:AS26)</f>
        <v>52020.208124492747</v>
      </c>
      <c r="AT27" s="169"/>
      <c r="AU27" s="169"/>
      <c r="AV27" s="169"/>
      <c r="AW27" s="169"/>
      <c r="AX27" s="169">
        <f t="shared" ref="AX27:BK27" si="34">SUM(AX6:AX26)</f>
        <v>0.28576260929027603</v>
      </c>
      <c r="AY27" s="169">
        <f t="shared" si="34"/>
        <v>0</v>
      </c>
      <c r="AZ27" s="169">
        <f t="shared" si="34"/>
        <v>0</v>
      </c>
      <c r="BA27" s="169">
        <f t="shared" si="34"/>
        <v>128.17333988893472</v>
      </c>
      <c r="BB27" s="164">
        <f t="shared" si="34"/>
        <v>5128.9588455721878</v>
      </c>
      <c r="BC27" s="164">
        <f t="shared" si="34"/>
        <v>0</v>
      </c>
      <c r="BD27" s="164">
        <f t="shared" si="34"/>
        <v>0</v>
      </c>
      <c r="BE27" s="164">
        <f t="shared" si="34"/>
        <v>9009.7057500167703</v>
      </c>
      <c r="BF27" s="407">
        <f>SUM(BF6:BF26)</f>
        <v>7140.1422400196543</v>
      </c>
      <c r="BG27" s="164">
        <f t="shared" ref="BG27" si="35">SUM(BG6:BG26)</f>
        <v>4228.2104302482785</v>
      </c>
      <c r="BH27" s="164">
        <f>SUM(BH6:BH26)</f>
        <v>5128.9588455721878</v>
      </c>
      <c r="BI27" s="407">
        <f>SUM(BI6:BI26)</f>
        <v>4099.2356511733242</v>
      </c>
      <c r="BJ27" s="164">
        <f t="shared" si="34"/>
        <v>5563.2166056966871</v>
      </c>
      <c r="BK27" s="164">
        <f t="shared" si="34"/>
        <v>6692.8320741373009</v>
      </c>
    </row>
    <row r="28" spans="1:63">
      <c r="C28" s="124"/>
    </row>
  </sheetData>
  <sheetProtection algorithmName="SHA-512" hashValue="4LO8T2cBP7PM1TjY7PFX4TewZ7Co+4EY2G+uRbObWfwUtIDrlLm001RGhV3lKD0r+rIofcjAtqzmpLoBCFf2Bg==" saltValue="zb20mKaok9bpB45sN2P4Bg==" spinCount="100000" sheet="1" objects="1" scenarios="1"/>
  <mergeCells count="15">
    <mergeCell ref="W4:W5"/>
    <mergeCell ref="X4:X5"/>
    <mergeCell ref="AR4:AR5"/>
    <mergeCell ref="AS4:AS5"/>
    <mergeCell ref="B4:B5"/>
    <mergeCell ref="C4:C5"/>
    <mergeCell ref="D4:G4"/>
    <mergeCell ref="H4:K4"/>
    <mergeCell ref="L4:U4"/>
    <mergeCell ref="BB4:BK4"/>
    <mergeCell ref="Y4:AB4"/>
    <mergeCell ref="AC4:AF4"/>
    <mergeCell ref="AG4:AP4"/>
    <mergeCell ref="AT4:AW4"/>
    <mergeCell ref="AX4:BA4"/>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6" tint="0.59999389629810485"/>
  </sheetPr>
  <dimension ref="A1:BK28"/>
  <sheetViews>
    <sheetView zoomScale="85" zoomScaleNormal="85" workbookViewId="0">
      <selection activeCell="C36" sqref="C36"/>
    </sheetView>
  </sheetViews>
  <sheetFormatPr defaultColWidth="9.140625" defaultRowHeight="15"/>
  <cols>
    <col min="1" max="1" width="9.140625" style="140"/>
    <col min="2" max="2" width="7.7109375" style="77" customWidth="1"/>
    <col min="3" max="3" width="14.5703125" style="5" customWidth="1"/>
    <col min="4" max="5" width="10.140625" style="206" customWidth="1"/>
    <col min="6" max="7" width="10.140625" style="142" customWidth="1"/>
    <col min="8" max="11" width="10.140625" style="208" customWidth="1"/>
    <col min="12" max="13" width="10.140625" style="206" customWidth="1"/>
    <col min="14" max="14" width="12.28515625" style="206" customWidth="1"/>
    <col min="15" max="15" width="11.42578125" style="206" customWidth="1"/>
    <col min="16" max="17" width="11.42578125" style="416" customWidth="1"/>
    <col min="18" max="19" width="12.28515625" style="416" bestFit="1" customWidth="1"/>
    <col min="20" max="20" width="12.7109375" style="206" bestFit="1" customWidth="1"/>
    <col min="21" max="21" width="12.42578125" style="206" customWidth="1"/>
    <col min="22" max="24" width="9.140625" style="206"/>
    <col min="25" max="26" width="10.140625" style="206" customWidth="1"/>
    <col min="27" max="28" width="10.140625" style="142" customWidth="1"/>
    <col min="29" max="32" width="10.140625" style="208" customWidth="1"/>
    <col min="33" max="35" width="10.140625" style="206" customWidth="1"/>
    <col min="36" max="36" width="11.42578125" style="206" customWidth="1"/>
    <col min="37" max="40" width="11.42578125" style="416" customWidth="1"/>
    <col min="41" max="42" width="11.28515625" style="206" customWidth="1"/>
    <col min="43" max="45" width="9.140625" style="77"/>
    <col min="46" max="47" width="10.140625" style="206" customWidth="1"/>
    <col min="48" max="49" width="10.140625" style="142" customWidth="1"/>
    <col min="50" max="53" width="10.140625" style="208" customWidth="1"/>
    <col min="54" max="56" width="10.140625" style="206" customWidth="1"/>
    <col min="57" max="57" width="11.42578125" style="206" customWidth="1"/>
    <col min="58" max="61" width="11.42578125" style="416" customWidth="1"/>
    <col min="62" max="63" width="11.28515625" style="206" customWidth="1"/>
    <col min="64" max="16384" width="9.140625" style="77"/>
  </cols>
  <sheetData>
    <row r="1" spans="2:63">
      <c r="B1" s="77" t="s">
        <v>223</v>
      </c>
    </row>
    <row r="3" spans="2:63">
      <c r="B3" s="77" t="s">
        <v>229</v>
      </c>
    </row>
    <row r="4" spans="2:63" ht="15.75" customHeight="1">
      <c r="B4" s="762" t="s">
        <v>1</v>
      </c>
      <c r="C4" s="763" t="s">
        <v>218</v>
      </c>
      <c r="D4" s="764" t="s">
        <v>718</v>
      </c>
      <c r="E4" s="765"/>
      <c r="F4" s="765"/>
      <c r="G4" s="766"/>
      <c r="H4" s="767" t="s">
        <v>719</v>
      </c>
      <c r="I4" s="768"/>
      <c r="J4" s="768"/>
      <c r="K4" s="769"/>
      <c r="L4" s="770" t="s">
        <v>6</v>
      </c>
      <c r="M4" s="771"/>
      <c r="N4" s="771"/>
      <c r="O4" s="771"/>
      <c r="P4" s="771"/>
      <c r="Q4" s="771"/>
      <c r="R4" s="771"/>
      <c r="S4" s="771"/>
      <c r="T4" s="771"/>
      <c r="U4" s="772"/>
      <c r="W4" s="773" t="s">
        <v>1</v>
      </c>
      <c r="X4" s="775" t="s">
        <v>218</v>
      </c>
      <c r="Y4" s="743" t="s">
        <v>718</v>
      </c>
      <c r="Z4" s="744"/>
      <c r="AA4" s="744"/>
      <c r="AB4" s="745"/>
      <c r="AC4" s="746" t="s">
        <v>719</v>
      </c>
      <c r="AD4" s="747"/>
      <c r="AE4" s="747"/>
      <c r="AF4" s="748"/>
      <c r="AG4" s="749" t="s">
        <v>6</v>
      </c>
      <c r="AH4" s="750"/>
      <c r="AI4" s="750"/>
      <c r="AJ4" s="750"/>
      <c r="AK4" s="750"/>
      <c r="AL4" s="750"/>
      <c r="AM4" s="750"/>
      <c r="AN4" s="750"/>
      <c r="AO4" s="750"/>
      <c r="AP4" s="751"/>
      <c r="AQ4" s="167"/>
      <c r="AR4" s="760" t="s">
        <v>1</v>
      </c>
      <c r="AS4" s="761" t="s">
        <v>218</v>
      </c>
      <c r="AT4" s="752" t="s">
        <v>718</v>
      </c>
      <c r="AU4" s="753"/>
      <c r="AV4" s="753"/>
      <c r="AW4" s="754"/>
      <c r="AX4" s="755" t="s">
        <v>719</v>
      </c>
      <c r="AY4" s="756"/>
      <c r="AZ4" s="756"/>
      <c r="BA4" s="757"/>
      <c r="BB4" s="740" t="s">
        <v>6</v>
      </c>
      <c r="BC4" s="741"/>
      <c r="BD4" s="741"/>
      <c r="BE4" s="741"/>
      <c r="BF4" s="741"/>
      <c r="BG4" s="741"/>
      <c r="BH4" s="741"/>
      <c r="BI4" s="741"/>
      <c r="BJ4" s="741"/>
      <c r="BK4" s="742"/>
    </row>
    <row r="5" spans="2:63" ht="60">
      <c r="B5" s="762"/>
      <c r="C5" s="763"/>
      <c r="D5" s="342" t="s">
        <v>720</v>
      </c>
      <c r="E5" s="342" t="s">
        <v>721</v>
      </c>
      <c r="F5" s="342" t="s">
        <v>722</v>
      </c>
      <c r="G5" s="342" t="s">
        <v>723</v>
      </c>
      <c r="H5" s="342" t="s">
        <v>720</v>
      </c>
      <c r="I5" s="342" t="s">
        <v>721</v>
      </c>
      <c r="J5" s="342" t="s">
        <v>722</v>
      </c>
      <c r="K5" s="342" t="s">
        <v>723</v>
      </c>
      <c r="L5" s="342" t="s">
        <v>720</v>
      </c>
      <c r="M5" s="342" t="s">
        <v>721</v>
      </c>
      <c r="N5" s="342" t="s">
        <v>722</v>
      </c>
      <c r="O5" s="342" t="s">
        <v>723</v>
      </c>
      <c r="P5" s="674" t="s">
        <v>1043</v>
      </c>
      <c r="Q5" s="671" t="s">
        <v>1044</v>
      </c>
      <c r="R5" s="671" t="s">
        <v>1045</v>
      </c>
      <c r="S5" s="674" t="s">
        <v>796</v>
      </c>
      <c r="T5" s="510" t="s">
        <v>22</v>
      </c>
      <c r="U5" s="510" t="s">
        <v>23</v>
      </c>
      <c r="W5" s="774"/>
      <c r="X5" s="776"/>
      <c r="Y5" s="344" t="s">
        <v>720</v>
      </c>
      <c r="Z5" s="344" t="s">
        <v>721</v>
      </c>
      <c r="AA5" s="344" t="s">
        <v>722</v>
      </c>
      <c r="AB5" s="344" t="s">
        <v>723</v>
      </c>
      <c r="AC5" s="344" t="s">
        <v>720</v>
      </c>
      <c r="AD5" s="344" t="s">
        <v>721</v>
      </c>
      <c r="AE5" s="344" t="s">
        <v>722</v>
      </c>
      <c r="AF5" s="344" t="s">
        <v>723</v>
      </c>
      <c r="AG5" s="344" t="s">
        <v>720</v>
      </c>
      <c r="AH5" s="344" t="s">
        <v>721</v>
      </c>
      <c r="AI5" s="344" t="s">
        <v>722</v>
      </c>
      <c r="AJ5" s="344" t="s">
        <v>723</v>
      </c>
      <c r="AK5" s="673" t="s">
        <v>1043</v>
      </c>
      <c r="AL5" s="669" t="s">
        <v>1044</v>
      </c>
      <c r="AM5" s="669" t="s">
        <v>1045</v>
      </c>
      <c r="AN5" s="673" t="s">
        <v>796</v>
      </c>
      <c r="AO5" s="192" t="s">
        <v>22</v>
      </c>
      <c r="AP5" s="192" t="s">
        <v>23</v>
      </c>
      <c r="AQ5" s="167"/>
      <c r="AR5" s="760"/>
      <c r="AS5" s="761"/>
      <c r="AT5" s="346" t="s">
        <v>720</v>
      </c>
      <c r="AU5" s="346" t="s">
        <v>721</v>
      </c>
      <c r="AV5" s="346" t="s">
        <v>722</v>
      </c>
      <c r="AW5" s="346" t="s">
        <v>723</v>
      </c>
      <c r="AX5" s="346" t="s">
        <v>720</v>
      </c>
      <c r="AY5" s="346" t="s">
        <v>721</v>
      </c>
      <c r="AZ5" s="346" t="s">
        <v>722</v>
      </c>
      <c r="BA5" s="346" t="s">
        <v>723</v>
      </c>
      <c r="BB5" s="346" t="s">
        <v>720</v>
      </c>
      <c r="BC5" s="346" t="s">
        <v>721</v>
      </c>
      <c r="BD5" s="346" t="s">
        <v>722</v>
      </c>
      <c r="BE5" s="346" t="s">
        <v>723</v>
      </c>
      <c r="BF5" s="675" t="s">
        <v>1043</v>
      </c>
      <c r="BG5" s="670" t="s">
        <v>1044</v>
      </c>
      <c r="BH5" s="670" t="s">
        <v>1045</v>
      </c>
      <c r="BI5" s="675" t="s">
        <v>796</v>
      </c>
      <c r="BJ5" s="195" t="s">
        <v>22</v>
      </c>
      <c r="BK5" s="195" t="s">
        <v>23</v>
      </c>
    </row>
    <row r="6" spans="2:63">
      <c r="B6" s="110">
        <f>Inputs!$B$7</f>
        <v>2027</v>
      </c>
      <c r="C6" s="10">
        <f>'Travel Time Savings'!C19</f>
        <v>91834.615384615332</v>
      </c>
      <c r="D6" s="24">
        <f>Inputs!$B$101</f>
        <v>0.27539999999999998</v>
      </c>
      <c r="E6" s="24">
        <f>Inputs!$B$102</f>
        <v>6.9937200000000005E-5</v>
      </c>
      <c r="F6" s="24">
        <f>Inputs!$B$103</f>
        <v>1.0920000000000001</v>
      </c>
      <c r="G6" s="24">
        <f>Inputs!$B$104</f>
        <v>107.41070000000001</v>
      </c>
      <c r="H6" s="16">
        <f t="shared" ref="H6:H24" si="0">$C6*60*D6/1000000</f>
        <v>1.5174751846153836</v>
      </c>
      <c r="I6" s="16">
        <f t="shared" ref="I6:K21" si="1">$C6*60*E6/1000000</f>
        <v>3.8535935178461521E-4</v>
      </c>
      <c r="J6" s="16">
        <f t="shared" si="1"/>
        <v>6.0170039999999974</v>
      </c>
      <c r="K6" s="16">
        <f t="shared" si="1"/>
        <v>591.84121936153815</v>
      </c>
      <c r="L6" s="12">
        <f>H6*Inputs!$B116</f>
        <v>26252.320693846137</v>
      </c>
      <c r="M6" s="12">
        <f>I6*Inputs!$C116</f>
        <v>17.803602052449222</v>
      </c>
      <c r="N6" s="12">
        <f>J6*Inputs!$D116</f>
        <v>4925519.4743999979</v>
      </c>
      <c r="O6" s="12">
        <f>K6*Inputs!$E116</f>
        <v>34326.790722969214</v>
      </c>
      <c r="P6" s="640">
        <f>O6*(1-VLOOKUP(B6,'Transportation Electrification'!$O$7:$P$35,2,FALSE))*Inputs!$B$8</f>
        <v>18765.312261889838</v>
      </c>
      <c r="Q6" s="12">
        <f>P6/((1+Inputs!$B$4)^(B6-Inputs!$B$5))</f>
        <v>15257.916107849976</v>
      </c>
      <c r="R6" s="12">
        <f>SUM(L6:N6)</f>
        <v>4951789.5986958966</v>
      </c>
      <c r="S6" s="640">
        <f>R6*(1-VLOOKUP(B6,'Transportation Electrification'!$O$7:$P$35,2,FALSE))*Inputs!$B$8</f>
        <v>2706978.3139537573</v>
      </c>
      <c r="T6" s="12">
        <f>S6/((1+Inputs!$B$3)^(B6-Inputs!$B$5))+Q6</f>
        <v>1701027.962409738</v>
      </c>
      <c r="U6" s="12">
        <f>S6/((1+Inputs!$B$4)^(B6-Inputs!$B$5))+Q6</f>
        <v>2216279.0045741941</v>
      </c>
      <c r="W6" s="110">
        <f>Inputs!$B$7</f>
        <v>2027</v>
      </c>
      <c r="X6" s="10">
        <f>'I-87 DetourSavings'!G12</f>
        <v>15.209171886289454</v>
      </c>
      <c r="Y6" s="24">
        <f>Inputs!$B$101</f>
        <v>0.27539999999999998</v>
      </c>
      <c r="Z6" s="24">
        <f>Inputs!$B$102</f>
        <v>6.9937200000000005E-5</v>
      </c>
      <c r="AA6" s="24">
        <f>Inputs!$B$103</f>
        <v>1.0920000000000001</v>
      </c>
      <c r="AB6" s="24">
        <f>Inputs!$B$104</f>
        <v>107.41070000000001</v>
      </c>
      <c r="AC6" s="16">
        <f t="shared" ref="AC6:AC24" si="2">$X6*60*Y6/1000000</f>
        <v>2.5131635624904694E-4</v>
      </c>
      <c r="AD6" s="16">
        <f t="shared" ref="AD6:AF21" si="3">$X6*60*Z6/1000000</f>
        <v>6.3821213762748171E-8</v>
      </c>
      <c r="AE6" s="16">
        <f t="shared" si="3"/>
        <v>9.9650494198968509E-4</v>
      </c>
      <c r="AF6" s="16">
        <f t="shared" si="3"/>
        <v>9.8017667923600241E-2</v>
      </c>
      <c r="AG6" s="12">
        <f>AC6*Inputs!$B116</f>
        <v>4.347772963108512</v>
      </c>
      <c r="AH6" s="12">
        <f>AD6*Inputs!$C116</f>
        <v>2.9485400758389657E-3</v>
      </c>
      <c r="AI6" s="12">
        <f>AE6*Inputs!$D116</f>
        <v>815.73894551275623</v>
      </c>
      <c r="AJ6" s="12">
        <f>AF6*Inputs!$E116</f>
        <v>5.6850247395688136</v>
      </c>
      <c r="AK6" s="640">
        <f>AJ6*(1-VLOOKUP(W6,'Transportation Electrification'!$O$7:$P$35,2,FALSE))*Inputs!$B$8</f>
        <v>3.1078135242976184</v>
      </c>
      <c r="AL6" s="12">
        <f>AK6/((1+Inputs!$B$4)^(W6-Inputs!$B$5))</f>
        <v>2.526936795444465</v>
      </c>
      <c r="AM6" s="12">
        <f>SUM(AG6:AI6)</f>
        <v>820.08966701594056</v>
      </c>
      <c r="AN6" s="640">
        <f>AM6*(1-VLOOKUP(W6,'Transportation Electrification'!$O$7:$P$35,2,FALSE))*Inputs!$B$8</f>
        <v>448.31568463538093</v>
      </c>
      <c r="AO6" s="12">
        <f>AN6/((1+Inputs!$B$3)^(W6-Inputs!$B$5))+AL6</f>
        <v>281.71541368494167</v>
      </c>
      <c r="AP6" s="12">
        <f>AN6/((1+Inputs!$B$4)^(W6-Inputs!$B$5))+AL6</f>
        <v>367.04861437455668</v>
      </c>
      <c r="AQ6" s="167"/>
      <c r="AR6" s="110">
        <f>Inputs!$B$7</f>
        <v>2027</v>
      </c>
      <c r="AS6" s="10">
        <f>'I-87 DetourSavings'!O12</f>
        <v>152.09171886289454</v>
      </c>
      <c r="AT6" s="24">
        <f>Inputs!$B$101</f>
        <v>0.27539999999999998</v>
      </c>
      <c r="AU6" s="24">
        <f>Inputs!$B$102</f>
        <v>6.9937200000000005E-5</v>
      </c>
      <c r="AV6" s="24">
        <f>Inputs!$B$103</f>
        <v>1.0920000000000001</v>
      </c>
      <c r="AW6" s="24">
        <f>Inputs!$B$104</f>
        <v>107.41070000000001</v>
      </c>
      <c r="AX6" s="16">
        <f t="shared" ref="AX6:AX24" si="4">$AS6*60*AT6/1000000</f>
        <v>2.5131635624904692E-3</v>
      </c>
      <c r="AY6" s="16">
        <f t="shared" ref="AY6:BA21" si="5">$AS6*60*AU6/1000000</f>
        <v>6.3821213762748176E-7</v>
      </c>
      <c r="AZ6" s="16">
        <f t="shared" si="5"/>
        <v>9.9650494198968501E-3</v>
      </c>
      <c r="BA6" s="16">
        <f t="shared" si="5"/>
        <v>0.98017667923600238</v>
      </c>
      <c r="BB6" s="12">
        <f>AX6*Inputs!$B116</f>
        <v>43.477729631085118</v>
      </c>
      <c r="BC6" s="12">
        <f>AY6*Inputs!$C116</f>
        <v>2.9485400758389659E-2</v>
      </c>
      <c r="BD6" s="12">
        <f>AZ6*Inputs!$D116</f>
        <v>8157.3894551275616</v>
      </c>
      <c r="BE6" s="12">
        <f>BA6*Inputs!$E116</f>
        <v>56.850247395688136</v>
      </c>
      <c r="BF6" s="640">
        <f>BE6*(1-VLOOKUP(AR6,'Transportation Electrification'!$O$7:$P$35,2,FALSE))*Inputs!$B$8</f>
        <v>31.078135242976181</v>
      </c>
      <c r="BG6" s="12">
        <f>BF6/((1+Inputs!$B$4)^(AR6-Inputs!$B$5))</f>
        <v>25.26936795444465</v>
      </c>
      <c r="BH6" s="12">
        <f>SUM(BB6:BD6)</f>
        <v>8200.8966701594054</v>
      </c>
      <c r="BI6" s="640">
        <f>BH6*(1-VLOOKUP(AR6,'Transportation Electrification'!$O$7:$P$35,2,FALSE))*Inputs!$B$8</f>
        <v>4483.1568463538088</v>
      </c>
      <c r="BJ6" s="12">
        <f>BI6/((1+Inputs!$B$3)^(AR6-Inputs!$B$5))+BG6</f>
        <v>2817.1541368494163</v>
      </c>
      <c r="BK6" s="12">
        <f>BI6/((1+Inputs!$B$4)^(AR6-Inputs!$B$5))+BG6</f>
        <v>3670.4861437455666</v>
      </c>
    </row>
    <row r="7" spans="2:63">
      <c r="B7" s="110">
        <f t="shared" ref="B7:B26" si="6">B6+1</f>
        <v>2028</v>
      </c>
      <c r="C7" s="10">
        <f>'Travel Time Savings'!C20</f>
        <v>99322.461538461517</v>
      </c>
      <c r="D7" s="24">
        <f>Inputs!$B$101</f>
        <v>0.27539999999999998</v>
      </c>
      <c r="E7" s="24">
        <f>Inputs!$B$102</f>
        <v>6.9937200000000005E-5</v>
      </c>
      <c r="F7" s="24">
        <f>Inputs!$B$103</f>
        <v>1.0920000000000001</v>
      </c>
      <c r="G7" s="24">
        <f>Inputs!$B$104</f>
        <v>107.41070000000001</v>
      </c>
      <c r="H7" s="16">
        <f t="shared" si="0"/>
        <v>1.641204354461538</v>
      </c>
      <c r="I7" s="16">
        <f t="shared" si="1"/>
        <v>4.1678009142646146E-4</v>
      </c>
      <c r="J7" s="16">
        <f t="shared" si="1"/>
        <v>6.5076076799999987</v>
      </c>
      <c r="K7" s="16">
        <f t="shared" si="1"/>
        <v>640.09770717415381</v>
      </c>
      <c r="L7" s="12">
        <f>H7*Inputs!$B117</f>
        <v>28721.076203076915</v>
      </c>
      <c r="M7" s="12">
        <f>I7*Inputs!$C117</f>
        <v>19.546986287901042</v>
      </c>
      <c r="N7" s="12">
        <f>J7*Inputs!$D117</f>
        <v>5400012.8528639991</v>
      </c>
      <c r="O7" s="12">
        <f>K7*Inputs!$E117</f>
        <v>37765.764723275075</v>
      </c>
      <c r="P7" s="406">
        <f>O7*(1-VLOOKUP(B7,'Transportation Electrification'!$O$7:$P$35,2,FALSE))</f>
        <v>35068.210100183998</v>
      </c>
      <c r="Q7" s="12">
        <f>P7/((1+Inputs!$B$4)^(B7-Inputs!$B$5))</f>
        <v>27683.16888394648</v>
      </c>
      <c r="R7" s="12">
        <f t="shared" ref="R7:R26" si="7">SUM(L7:N7)</f>
        <v>5428753.4760533636</v>
      </c>
      <c r="S7" s="406">
        <f>R7*(1-VLOOKUP(B7,'Transportation Electrification'!$O$7:$P$35,2,FALSE))</f>
        <v>5040985.3706209809</v>
      </c>
      <c r="T7" s="12">
        <f>S7/((1+Inputs!$B$3)^(B7-Inputs!$B$5))+Q7</f>
        <v>2961582.5505645219</v>
      </c>
      <c r="U7" s="12">
        <f>S7/((1+Inputs!$B$4)^(B7-Inputs!$B$5))+Q7</f>
        <v>4007083.5704936064</v>
      </c>
      <c r="W7" s="110">
        <f t="shared" ref="W7:W26" si="8">W6+1</f>
        <v>2028</v>
      </c>
      <c r="X7" s="10">
        <f>'I-87 DetourSavings'!G13</f>
        <v>15.716849214479616</v>
      </c>
      <c r="Y7" s="24">
        <f>Inputs!$B$101</f>
        <v>0.27539999999999998</v>
      </c>
      <c r="Z7" s="24">
        <f>Inputs!$B$102</f>
        <v>6.9937200000000005E-5</v>
      </c>
      <c r="AA7" s="24">
        <f>Inputs!$B$103</f>
        <v>1.0920000000000001</v>
      </c>
      <c r="AB7" s="24">
        <f>Inputs!$B$104</f>
        <v>107.41070000000001</v>
      </c>
      <c r="AC7" s="16">
        <f t="shared" si="2"/>
        <v>2.5970521642006117E-4</v>
      </c>
      <c r="AD7" s="16">
        <f t="shared" si="3"/>
        <v>6.5951545612974223E-8</v>
      </c>
      <c r="AE7" s="16">
        <f t="shared" si="3"/>
        <v>1.0297679605327046E-3</v>
      </c>
      <c r="AF7" s="16">
        <f t="shared" si="3"/>
        <v>0.10128946655530235</v>
      </c>
      <c r="AG7" s="12">
        <f>AC7*Inputs!$B117</f>
        <v>4.5448412873510708</v>
      </c>
      <c r="AH7" s="12">
        <f>AD7*Inputs!$C117</f>
        <v>3.0931274892484909E-3</v>
      </c>
      <c r="AI7" s="12">
        <f>AE7*Inputs!$D117</f>
        <v>854.50145365003823</v>
      </c>
      <c r="AJ7" s="12">
        <f>AF7*Inputs!$E117</f>
        <v>5.9760785267628389</v>
      </c>
      <c r="AK7" s="406">
        <f>AJ7*(1-VLOOKUP(W7,'Transportation Electrification'!$O$7:$P$35,2,FALSE))</f>
        <v>5.5492157748512074</v>
      </c>
      <c r="AL7" s="12">
        <f>AK7/((1+Inputs!$B$4)^(W7-Inputs!$B$5))</f>
        <v>4.3806021758681055</v>
      </c>
      <c r="AM7" s="12">
        <f t="shared" ref="AM7:AM26" si="9">SUM(AG7:AI7)</f>
        <v>859.0493880648786</v>
      </c>
      <c r="AN7" s="406">
        <f>AM7*(1-VLOOKUP(W7,'Transportation Electrification'!$O$7:$P$35,2,FALSE))</f>
        <v>797.68871748881588</v>
      </c>
      <c r="AO7" s="12">
        <f>AN7/((1+Inputs!$B$3)^(W7-Inputs!$B$5))+AL7</f>
        <v>468.64269836316777</v>
      </c>
      <c r="AP7" s="12">
        <f>AN7/((1+Inputs!$B$4)^(W7-Inputs!$B$5))+AL7</f>
        <v>634.0834418695797</v>
      </c>
      <c r="AQ7" s="167"/>
      <c r="AR7" s="110">
        <f t="shared" ref="AR7:AR26" si="10">AR6+1</f>
        <v>2028</v>
      </c>
      <c r="AS7" s="10">
        <f>'I-87 DetourSavings'!O13</f>
        <v>157.16849214479618</v>
      </c>
      <c r="AT7" s="24">
        <f>Inputs!$B$101</f>
        <v>0.27539999999999998</v>
      </c>
      <c r="AU7" s="24">
        <f>Inputs!$B$102</f>
        <v>6.9937200000000005E-5</v>
      </c>
      <c r="AV7" s="24">
        <f>Inputs!$B$103</f>
        <v>1.0920000000000001</v>
      </c>
      <c r="AW7" s="24">
        <f>Inputs!$B$104</f>
        <v>107.41070000000001</v>
      </c>
      <c r="AX7" s="16">
        <f t="shared" si="4"/>
        <v>2.5970521642006113E-3</v>
      </c>
      <c r="AY7" s="16">
        <f t="shared" si="5"/>
        <v>6.5951545612974242E-7</v>
      </c>
      <c r="AZ7" s="16">
        <f t="shared" si="5"/>
        <v>1.0297679605327044E-2</v>
      </c>
      <c r="BA7" s="16">
        <f t="shared" si="5"/>
        <v>1.0128946655530235</v>
      </c>
      <c r="BB7" s="12">
        <f>AX7*Inputs!$B117</f>
        <v>45.448412873510698</v>
      </c>
      <c r="BC7" s="12">
        <f>AY7*Inputs!$C117</f>
        <v>3.0931274892484921E-2</v>
      </c>
      <c r="BD7" s="12">
        <f>AZ7*Inputs!$D117</f>
        <v>8545.0145365003809</v>
      </c>
      <c r="BE7" s="12">
        <f>BA7*Inputs!$E117</f>
        <v>59.760785267628393</v>
      </c>
      <c r="BF7" s="406">
        <f>BE7*(1-VLOOKUP(AR7,'Transportation Electrification'!$O$7:$P$35,2,FALSE))</f>
        <v>55.492157748512078</v>
      </c>
      <c r="BG7" s="12">
        <f>BF7/((1+Inputs!$B$4)^(AR7-Inputs!$B$5))</f>
        <v>43.806021758681055</v>
      </c>
      <c r="BH7" s="12">
        <f t="shared" ref="BH7:BH26" si="11">SUM(BB7:BD7)</f>
        <v>8590.4938806487844</v>
      </c>
      <c r="BI7" s="406">
        <f>BH7*(1-VLOOKUP(AR7,'Transportation Electrification'!$O$7:$P$35,2,FALSE))</f>
        <v>7976.8871748881575</v>
      </c>
      <c r="BJ7" s="12">
        <f>BI7/((1+Inputs!$B$3)^(AR7-Inputs!$B$5))+BG7</f>
        <v>4686.4269836316762</v>
      </c>
      <c r="BK7" s="12">
        <f>BI7/((1+Inputs!$B$4)^(AR7-Inputs!$B$5))+BG7</f>
        <v>6340.8344186957956</v>
      </c>
    </row>
    <row r="8" spans="2:63">
      <c r="B8" s="110">
        <f t="shared" si="6"/>
        <v>2029</v>
      </c>
      <c r="C8" s="10">
        <f>'Travel Time Savings'!C21</f>
        <v>106810.30769230757</v>
      </c>
      <c r="D8" s="24">
        <f>Inputs!$B$101</f>
        <v>0.27539999999999998</v>
      </c>
      <c r="E8" s="24">
        <f>Inputs!$B$102</f>
        <v>6.9937200000000005E-5</v>
      </c>
      <c r="F8" s="24">
        <f>Inputs!$B$103</f>
        <v>1.0920000000000001</v>
      </c>
      <c r="G8" s="24">
        <f>Inputs!$B$104</f>
        <v>107.41070000000001</v>
      </c>
      <c r="H8" s="16">
        <f t="shared" si="0"/>
        <v>1.7649335243076902</v>
      </c>
      <c r="I8" s="16">
        <f t="shared" si="1"/>
        <v>4.4820083106830727E-4</v>
      </c>
      <c r="J8" s="16">
        <f t="shared" si="1"/>
        <v>6.9982113599999929</v>
      </c>
      <c r="K8" s="16">
        <f t="shared" si="1"/>
        <v>688.35419498676845</v>
      </c>
      <c r="L8" s="12">
        <f>H8*Inputs!$B118</f>
        <v>31239.323380246118</v>
      </c>
      <c r="M8" s="12">
        <f>I8*Inputs!$C118</f>
        <v>21.334359558851425</v>
      </c>
      <c r="N8" s="12">
        <f>J8*Inputs!$D118</f>
        <v>5886895.3960319944</v>
      </c>
      <c r="O8" s="12">
        <f>K8*Inputs!$E118</f>
        <v>41301.251699206106</v>
      </c>
      <c r="P8" s="406">
        <f>O8*(1-VLOOKUP(B8,'Transportation Electrification'!$O$7:$P$35,2,FALSE))</f>
        <v>37997.151563269617</v>
      </c>
      <c r="Q8" s="12">
        <f>P8/((1+Inputs!$B$4)^(B8-Inputs!$B$5))</f>
        <v>29121.652739486635</v>
      </c>
      <c r="R8" s="12">
        <f t="shared" si="7"/>
        <v>5918156.0537717994</v>
      </c>
      <c r="S8" s="406">
        <f>R8*(1-VLOOKUP(B8,'Transportation Electrification'!$O$7:$P$35,2,FALSE))</f>
        <v>5444703.5694700554</v>
      </c>
      <c r="T8" s="12">
        <f>S8/((1+Inputs!$B$3)^(B8-Inputs!$B$5))+Q8</f>
        <v>2990679.6425426034</v>
      </c>
      <c r="U8" s="12">
        <f>S8/((1+Inputs!$B$4)^(B8-Inputs!$B$5))+Q8</f>
        <v>4202033.5710324077</v>
      </c>
      <c r="W8" s="110">
        <f t="shared" si="8"/>
        <v>2029</v>
      </c>
      <c r="X8" s="10">
        <f>'I-87 DetourSavings'!G14</f>
        <v>16.241472650681789</v>
      </c>
      <c r="Y8" s="24">
        <f>Inputs!$B$101</f>
        <v>0.27539999999999998</v>
      </c>
      <c r="Z8" s="24">
        <f>Inputs!$B$102</f>
        <v>6.9937200000000005E-5</v>
      </c>
      <c r="AA8" s="24">
        <f>Inputs!$B$103</f>
        <v>1.0920000000000001</v>
      </c>
      <c r="AB8" s="24">
        <f>Inputs!$B$104</f>
        <v>107.41070000000001</v>
      </c>
      <c r="AC8" s="16">
        <f t="shared" si="2"/>
        <v>2.6837409407986585E-4</v>
      </c>
      <c r="AD8" s="16">
        <f t="shared" si="3"/>
        <v>6.8152987263915754E-8</v>
      </c>
      <c r="AE8" s="16">
        <f t="shared" si="3"/>
        <v>1.064141288072671E-3</v>
      </c>
      <c r="AF8" s="16">
        <f t="shared" si="3"/>
        <v>0.10467047678643519</v>
      </c>
      <c r="AG8" s="12">
        <f>AC8*Inputs!$B118</f>
        <v>4.7502214652136256</v>
      </c>
      <c r="AH8" s="12">
        <f>AD8*Inputs!$C118</f>
        <v>3.2440821937623899E-3</v>
      </c>
      <c r="AI8" s="12">
        <f>AE8*Inputs!$D118</f>
        <v>895.15565152673082</v>
      </c>
      <c r="AJ8" s="12">
        <f>AF8*Inputs!$E118</f>
        <v>6.2802286071861113</v>
      </c>
      <c r="AK8" s="406">
        <f>AJ8*(1-VLOOKUP(W8,'Transportation Electrification'!$O$7:$P$35,2,FALSE))</f>
        <v>5.7778103186112215</v>
      </c>
      <c r="AL8" s="12">
        <f>AK8/((1+Inputs!$B$4)^(W8-Inputs!$B$5))</f>
        <v>4.428210504491302</v>
      </c>
      <c r="AM8" s="12">
        <f t="shared" si="9"/>
        <v>899.90911707413818</v>
      </c>
      <c r="AN8" s="406">
        <f>AM8*(1-VLOOKUP(W8,'Transportation Electrification'!$O$7:$P$35,2,FALSE))</f>
        <v>827.91638770820703</v>
      </c>
      <c r="AO8" s="12">
        <f>AN8/((1+Inputs!$B$3)^(W8-Inputs!$B$5))+AL8</f>
        <v>454.75986981736486</v>
      </c>
      <c r="AP8" s="12">
        <f>AN8/((1+Inputs!$B$4)^(W8-Inputs!$B$5))+AL8</f>
        <v>638.95718302555463</v>
      </c>
      <c r="AQ8" s="167"/>
      <c r="AR8" s="110">
        <f t="shared" si="10"/>
        <v>2029</v>
      </c>
      <c r="AS8" s="10">
        <f>'I-87 DetourSavings'!O14</f>
        <v>162.41472650681789</v>
      </c>
      <c r="AT8" s="24">
        <f>Inputs!$B$101</f>
        <v>0.27539999999999998</v>
      </c>
      <c r="AU8" s="24">
        <f>Inputs!$B$102</f>
        <v>6.9937200000000005E-5</v>
      </c>
      <c r="AV8" s="24">
        <f>Inputs!$B$103</f>
        <v>1.0920000000000001</v>
      </c>
      <c r="AW8" s="24">
        <f>Inputs!$B$104</f>
        <v>107.41070000000001</v>
      </c>
      <c r="AX8" s="16">
        <f t="shared" si="4"/>
        <v>2.683740940798659E-3</v>
      </c>
      <c r="AY8" s="16">
        <f t="shared" si="5"/>
        <v>6.8152987263915751E-7</v>
      </c>
      <c r="AZ8" s="16">
        <f t="shared" si="5"/>
        <v>1.064141288072671E-2</v>
      </c>
      <c r="BA8" s="16">
        <f t="shared" si="5"/>
        <v>1.046704767864352</v>
      </c>
      <c r="BB8" s="12">
        <f>AX8*Inputs!$B118</f>
        <v>47.502214652136267</v>
      </c>
      <c r="BC8" s="12">
        <f>AY8*Inputs!$C118</f>
        <v>3.2440821937623897E-2</v>
      </c>
      <c r="BD8" s="12">
        <f>AZ8*Inputs!$D118</f>
        <v>8951.556515267308</v>
      </c>
      <c r="BE8" s="12">
        <f>BA8*Inputs!$E118</f>
        <v>62.802286071861118</v>
      </c>
      <c r="BF8" s="406">
        <f>BE8*(1-VLOOKUP(AR8,'Transportation Electrification'!$O$7:$P$35,2,FALSE))</f>
        <v>57.778103186112226</v>
      </c>
      <c r="BG8" s="12">
        <f>BF8/((1+Inputs!$B$4)^(AR8-Inputs!$B$5))</f>
        <v>44.282105044913031</v>
      </c>
      <c r="BH8" s="12">
        <f t="shared" si="11"/>
        <v>8999.0911707413816</v>
      </c>
      <c r="BI8" s="406">
        <f>BH8*(1-VLOOKUP(AR8,'Transportation Electrification'!$O$7:$P$35,2,FALSE))</f>
        <v>8279.16387708207</v>
      </c>
      <c r="BJ8" s="12">
        <f>BI8/((1+Inputs!$B$3)^(AR8-Inputs!$B$5))+BG8</f>
        <v>4547.5986981736487</v>
      </c>
      <c r="BK8" s="12">
        <f>BI8/((1+Inputs!$B$4)^(AR8-Inputs!$B$5))+BG8</f>
        <v>6389.571830255546</v>
      </c>
    </row>
    <row r="9" spans="2:63">
      <c r="B9" s="110">
        <f t="shared" si="6"/>
        <v>2030</v>
      </c>
      <c r="C9" s="10">
        <f>'Travel Time Savings'!C22</f>
        <v>114298.15384615376</v>
      </c>
      <c r="D9" s="24">
        <f>Inputs!$B$101</f>
        <v>0.27539999999999998</v>
      </c>
      <c r="E9" s="24">
        <f>Inputs!$B$102</f>
        <v>6.9937200000000005E-5</v>
      </c>
      <c r="F9" s="24">
        <f>Inputs!$B$103</f>
        <v>1.0920000000000001</v>
      </c>
      <c r="G9" s="24">
        <f>Inputs!$B$104</f>
        <v>107.41070000000001</v>
      </c>
      <c r="H9" s="16">
        <f t="shared" si="0"/>
        <v>1.8886626941538447</v>
      </c>
      <c r="I9" s="16">
        <f t="shared" si="1"/>
        <v>4.7962157071015351E-4</v>
      </c>
      <c r="J9" s="16">
        <f t="shared" si="1"/>
        <v>7.4888150399999942</v>
      </c>
      <c r="K9" s="16">
        <f t="shared" si="1"/>
        <v>736.61068279938411</v>
      </c>
      <c r="L9" s="12">
        <f>H9*Inputs!$B119</f>
        <v>33995.928494769207</v>
      </c>
      <c r="M9" s="12">
        <f>I9*Inputs!$C119</f>
        <v>23.1177597082294</v>
      </c>
      <c r="N9" s="12">
        <f>J9*Inputs!$D119</f>
        <v>6385712.5846079951</v>
      </c>
      <c r="O9" s="12">
        <f>K9*Inputs!$E119</f>
        <v>44933.251650762431</v>
      </c>
      <c r="P9" s="406">
        <f>O9*(1-VLOOKUP(B9,'Transportation Electrification'!$O$7:$P$35,2,FALSE))</f>
        <v>40953.449361694897</v>
      </c>
      <c r="Q9" s="12">
        <f>P9/((1+Inputs!$B$4)^(B9-Inputs!$B$5))</f>
        <v>30473.212464068347</v>
      </c>
      <c r="R9" s="12">
        <f t="shared" si="7"/>
        <v>6419731.6308624726</v>
      </c>
      <c r="S9" s="406">
        <f>R9*(1-VLOOKUP(B9,'Transportation Electrification'!$O$7:$P$35,2,FALSE))</f>
        <v>5851126.8292717962</v>
      </c>
      <c r="T9" s="12">
        <f>S9/((1+Inputs!$B$3)^(B9-Inputs!$B$5))+Q9</f>
        <v>3004889.3943148418</v>
      </c>
      <c r="U9" s="12">
        <f>S9/((1+Inputs!$B$4)^(B9-Inputs!$B$5))+Q9</f>
        <v>4384261.0814141817</v>
      </c>
      <c r="W9" s="110">
        <f t="shared" si="8"/>
        <v>2030</v>
      </c>
      <c r="X9" s="10">
        <f>'I-87 DetourSavings'!G15</f>
        <v>16.783607850600514</v>
      </c>
      <c r="Y9" s="24">
        <f>Inputs!$B$101</f>
        <v>0.27539999999999998</v>
      </c>
      <c r="Z9" s="24">
        <f>Inputs!$B$102</f>
        <v>6.9937200000000005E-5</v>
      </c>
      <c r="AA9" s="24">
        <f>Inputs!$B$103</f>
        <v>1.0920000000000001</v>
      </c>
      <c r="AB9" s="24">
        <f>Inputs!$B$104</f>
        <v>107.41070000000001</v>
      </c>
      <c r="AC9" s="16">
        <f t="shared" si="2"/>
        <v>2.7733233612332289E-4</v>
      </c>
      <c r="AD9" s="16">
        <f t="shared" si="3"/>
        <v>7.042791233814111E-8</v>
      </c>
      <c r="AE9" s="16">
        <f t="shared" si="3"/>
        <v>1.0996619863713458E-3</v>
      </c>
      <c r="AF9" s="16">
        <f t="shared" si="3"/>
        <v>0.10816434406550982</v>
      </c>
      <c r="AG9" s="12">
        <f>AC9*Inputs!$B119</f>
        <v>4.9919820502198125</v>
      </c>
      <c r="AH9" s="12">
        <f>AD9*Inputs!$C119</f>
        <v>3.3946253746984017E-3</v>
      </c>
      <c r="AI9" s="12">
        <f>AE9*Inputs!$D119</f>
        <v>937.68177577884649</v>
      </c>
      <c r="AJ9" s="12">
        <f>AF9*Inputs!$E119</f>
        <v>6.5980249879960988</v>
      </c>
      <c r="AK9" s="406">
        <f>AJ9*(1-VLOOKUP(W9,'Transportation Electrification'!$O$7:$P$35,2,FALSE))</f>
        <v>6.0136284890593013</v>
      </c>
      <c r="AL9" s="12">
        <f>AK9/((1+Inputs!$B$4)^(W9-Inputs!$B$5))</f>
        <v>4.4747043651586136</v>
      </c>
      <c r="AM9" s="12">
        <f t="shared" si="9"/>
        <v>942.67715245444094</v>
      </c>
      <c r="AN9" s="406">
        <f>AM9*(1-VLOOKUP(W9,'Transportation Electrification'!$O$7:$P$35,2,FALSE))</f>
        <v>859.18289037990473</v>
      </c>
      <c r="AO9" s="12">
        <f>AN9/((1+Inputs!$B$3)^(W9-Inputs!$B$5))+AL9</f>
        <v>441.23971850404405</v>
      </c>
      <c r="AP9" s="12">
        <f>AN9/((1+Inputs!$B$4)^(W9-Inputs!$B$5))+AL9</f>
        <v>643.7874648802258</v>
      </c>
      <c r="AQ9" s="167"/>
      <c r="AR9" s="110">
        <f t="shared" si="10"/>
        <v>2030</v>
      </c>
      <c r="AS9" s="10">
        <f>'I-87 DetourSavings'!O15</f>
        <v>167.83607850600515</v>
      </c>
      <c r="AT9" s="24">
        <f>Inputs!$B$101</f>
        <v>0.27539999999999998</v>
      </c>
      <c r="AU9" s="24">
        <f>Inputs!$B$102</f>
        <v>6.9937200000000005E-5</v>
      </c>
      <c r="AV9" s="24">
        <f>Inputs!$B$103</f>
        <v>1.0920000000000001</v>
      </c>
      <c r="AW9" s="24">
        <f>Inputs!$B$104</f>
        <v>107.41070000000001</v>
      </c>
      <c r="AX9" s="16">
        <f t="shared" si="4"/>
        <v>2.7733233612332294E-3</v>
      </c>
      <c r="AY9" s="16">
        <f t="shared" si="5"/>
        <v>7.0427912338141105E-7</v>
      </c>
      <c r="AZ9" s="16">
        <f t="shared" si="5"/>
        <v>1.0996619863713459E-2</v>
      </c>
      <c r="BA9" s="16">
        <f t="shared" si="5"/>
        <v>1.0816434406550983</v>
      </c>
      <c r="BB9" s="12">
        <f>AX9*Inputs!$B119</f>
        <v>49.919820502198128</v>
      </c>
      <c r="BC9" s="12">
        <f>AY9*Inputs!$C119</f>
        <v>3.3946253746984012E-2</v>
      </c>
      <c r="BD9" s="12">
        <f>AZ9*Inputs!$D119</f>
        <v>9376.8177577884671</v>
      </c>
      <c r="BE9" s="12">
        <f>BA9*Inputs!$E119</f>
        <v>65.980249879960994</v>
      </c>
      <c r="BF9" s="406">
        <f>BE9*(1-VLOOKUP(AR9,'Transportation Electrification'!$O$7:$P$35,2,FALSE))</f>
        <v>60.136284890593018</v>
      </c>
      <c r="BG9" s="12">
        <f>BF9/((1+Inputs!$B$4)^(AR9-Inputs!$B$5))</f>
        <v>44.747043651586139</v>
      </c>
      <c r="BH9" s="12">
        <f t="shared" si="11"/>
        <v>9426.7715245444124</v>
      </c>
      <c r="BI9" s="406">
        <f>BH9*(1-VLOOKUP(AR9,'Transportation Electrification'!$O$7:$P$35,2,FALSE))</f>
        <v>8591.8289037990489</v>
      </c>
      <c r="BJ9" s="12">
        <f>BI9/((1+Inputs!$B$3)^(AR9-Inputs!$B$5))+BG9</f>
        <v>4412.3971850404405</v>
      </c>
      <c r="BK9" s="12">
        <f>BI9/((1+Inputs!$B$4)^(AR9-Inputs!$B$5))+BG9</f>
        <v>6437.8746488022589</v>
      </c>
    </row>
    <row r="10" spans="2:63">
      <c r="B10" s="110">
        <f t="shared" si="6"/>
        <v>2031</v>
      </c>
      <c r="C10" s="10">
        <f>'Travel Time Savings'!C23</f>
        <v>121785.99999999994</v>
      </c>
      <c r="D10" s="24">
        <f>Inputs!$B$101</f>
        <v>0.27539999999999998</v>
      </c>
      <c r="E10" s="24">
        <f>Inputs!$B$102</f>
        <v>6.9937200000000005E-5</v>
      </c>
      <c r="F10" s="24">
        <f>Inputs!$B$103</f>
        <v>1.0920000000000001</v>
      </c>
      <c r="G10" s="24">
        <f>Inputs!$B$104</f>
        <v>107.41070000000001</v>
      </c>
      <c r="H10" s="16">
        <f t="shared" si="0"/>
        <v>2.0123918639999987</v>
      </c>
      <c r="I10" s="16">
        <f t="shared" si="1"/>
        <v>5.1104231035199981E-4</v>
      </c>
      <c r="J10" s="16">
        <f t="shared" si="1"/>
        <v>7.9794187199999973</v>
      </c>
      <c r="K10" s="16">
        <f t="shared" si="1"/>
        <v>784.86717061199965</v>
      </c>
      <c r="L10" s="12">
        <f>H10*Inputs!$B120</f>
        <v>36223.053551999976</v>
      </c>
      <c r="M10" s="12">
        <f>I10*Inputs!$C120</f>
        <v>24.632239358966391</v>
      </c>
      <c r="N10" s="12">
        <f>J10*Inputs!$D120</f>
        <v>6804050.3425439978</v>
      </c>
      <c r="O10" s="12">
        <f>K10*Inputs!$E120</f>
        <v>48661.764577943977</v>
      </c>
      <c r="P10" s="406">
        <f>O10*(1-VLOOKUP(B10,'Transportation Electrification'!$O$7:$P$35,2,FALSE))</f>
        <v>43934.621733229418</v>
      </c>
      <c r="Q10" s="12">
        <f>P10/((1+Inputs!$B$4)^(B10-Inputs!$B$5))</f>
        <v>31739.305519403322</v>
      </c>
      <c r="R10" s="12">
        <f t="shared" si="7"/>
        <v>6840298.0283353571</v>
      </c>
      <c r="S10" s="406">
        <f>R10*(1-VLOOKUP(B10,'Transportation Electrification'!$O$7:$P$35,2,FALSE))</f>
        <v>6175811.9341542078</v>
      </c>
      <c r="T10" s="12">
        <f>S10/((1+Inputs!$B$3)^(B10-Inputs!$B$5))+Q10</f>
        <v>2965823.0672805561</v>
      </c>
      <c r="U10" s="12">
        <f>S10/((1+Inputs!$B$4)^(B10-Inputs!$B$5))+Q10</f>
        <v>4493277.2470249571</v>
      </c>
      <c r="W10" s="110">
        <f t="shared" si="8"/>
        <v>2031</v>
      </c>
      <c r="X10" s="10">
        <f>'I-87 DetourSavings'!G16</f>
        <v>17.343839351348119</v>
      </c>
      <c r="Y10" s="24">
        <f>Inputs!$B$101</f>
        <v>0.27539999999999998</v>
      </c>
      <c r="Z10" s="24">
        <f>Inputs!$B$102</f>
        <v>6.9937200000000005E-5</v>
      </c>
      <c r="AA10" s="24">
        <f>Inputs!$B$103</f>
        <v>1.0920000000000001</v>
      </c>
      <c r="AB10" s="24">
        <f>Inputs!$B$104</f>
        <v>107.41070000000001</v>
      </c>
      <c r="AC10" s="16">
        <f t="shared" si="2"/>
        <v>2.8658960144167632E-4</v>
      </c>
      <c r="AD10" s="16">
        <f t="shared" si="3"/>
        <v>7.2778773688986237E-8</v>
      </c>
      <c r="AE10" s="16">
        <f t="shared" si="3"/>
        <v>1.1363683543003289E-3</v>
      </c>
      <c r="AF10" s="16">
        <f t="shared" si="3"/>
        <v>0.11177483552495086</v>
      </c>
      <c r="AG10" s="12">
        <f>AC10*Inputs!$B120</f>
        <v>5.1586128259501738</v>
      </c>
      <c r="AH10" s="12">
        <f>AD10*Inputs!$C120</f>
        <v>3.5079368918091366E-3</v>
      </c>
      <c r="AI10" s="12">
        <f>AE10*Inputs!$D120</f>
        <v>968.98129571189043</v>
      </c>
      <c r="AJ10" s="12">
        <f>AF10*Inputs!$E120</f>
        <v>6.9300398025469532</v>
      </c>
      <c r="AK10" s="406">
        <f>AJ10*(1-VLOOKUP(W10,'Transportation Electrification'!$O$7:$P$35,2,FALSE))</f>
        <v>6.2568359360138199</v>
      </c>
      <c r="AL10" s="12">
        <f>AK10/((1+Inputs!$B$4)^(W10-Inputs!$B$5))</f>
        <v>4.5200714043641153</v>
      </c>
      <c r="AM10" s="12">
        <f t="shared" si="9"/>
        <v>974.14341647473236</v>
      </c>
      <c r="AN10" s="406">
        <f>AM10*(1-VLOOKUP(W10,'Transportation Electrification'!$O$7:$P$35,2,FALSE))</f>
        <v>879.51234173147259</v>
      </c>
      <c r="AO10" s="12">
        <f>AN10/((1+Inputs!$B$3)^(W10-Inputs!$B$5))+AL10</f>
        <v>422.37004929496413</v>
      </c>
      <c r="AP10" s="12">
        <f>AN10/((1+Inputs!$B$4)^(W10-Inputs!$B$5))+AL10</f>
        <v>639.89850010238138</v>
      </c>
      <c r="AQ10" s="167"/>
      <c r="AR10" s="110">
        <f t="shared" si="10"/>
        <v>2031</v>
      </c>
      <c r="AS10" s="10">
        <f>'I-87 DetourSavings'!O16</f>
        <v>173.43839351348117</v>
      </c>
      <c r="AT10" s="24">
        <f>Inputs!$B$101</f>
        <v>0.27539999999999998</v>
      </c>
      <c r="AU10" s="24">
        <f>Inputs!$B$102</f>
        <v>6.9937200000000005E-5</v>
      </c>
      <c r="AV10" s="24">
        <f>Inputs!$B$103</f>
        <v>1.0920000000000001</v>
      </c>
      <c r="AW10" s="24">
        <f>Inputs!$B$104</f>
        <v>107.41070000000001</v>
      </c>
      <c r="AX10" s="16">
        <f t="shared" si="4"/>
        <v>2.8658960144167626E-3</v>
      </c>
      <c r="AY10" s="16">
        <f t="shared" si="5"/>
        <v>7.2778773688986224E-7</v>
      </c>
      <c r="AZ10" s="16">
        <f t="shared" si="5"/>
        <v>1.1363683543003288E-2</v>
      </c>
      <c r="BA10" s="16">
        <f t="shared" si="5"/>
        <v>1.1177483552495084</v>
      </c>
      <c r="BB10" s="12">
        <f>AX10*Inputs!$B120</f>
        <v>51.586128259501727</v>
      </c>
      <c r="BC10" s="12">
        <f>AY10*Inputs!$C120</f>
        <v>3.507936891809136E-2</v>
      </c>
      <c r="BD10" s="12">
        <f>AZ10*Inputs!$D120</f>
        <v>9689.8129571189038</v>
      </c>
      <c r="BE10" s="12">
        <f>BA10*Inputs!$E120</f>
        <v>69.300398025469519</v>
      </c>
      <c r="BF10" s="406">
        <f>BE10*(1-VLOOKUP(AR10,'Transportation Electrification'!$O$7:$P$35,2,FALSE))</f>
        <v>62.568359360138189</v>
      </c>
      <c r="BG10" s="12">
        <f>BF10/((1+Inputs!$B$4)^(AR10-Inputs!$B$5))</f>
        <v>45.200714043641149</v>
      </c>
      <c r="BH10" s="12">
        <f t="shared" si="11"/>
        <v>9741.4341647473229</v>
      </c>
      <c r="BI10" s="406">
        <f>BH10*(1-VLOOKUP(AR10,'Transportation Electrification'!$O$7:$P$35,2,FALSE))</f>
        <v>8795.1234173147259</v>
      </c>
      <c r="BJ10" s="12">
        <f>BI10/((1+Inputs!$B$3)^(AR10-Inputs!$B$5))+BG10</f>
        <v>4223.7004929496416</v>
      </c>
      <c r="BK10" s="12">
        <f>BI10/((1+Inputs!$B$4)^(AR10-Inputs!$B$5))+BG10</f>
        <v>6398.9850010238142</v>
      </c>
    </row>
    <row r="11" spans="2:63">
      <c r="B11" s="110">
        <f t="shared" si="6"/>
        <v>2032</v>
      </c>
      <c r="C11" s="10">
        <f>'Travel Time Savings'!C24</f>
        <v>129273.84615384613</v>
      </c>
      <c r="D11" s="24">
        <f>Inputs!$B$101</f>
        <v>0.27539999999999998</v>
      </c>
      <c r="E11" s="24">
        <f>Inputs!$B$102</f>
        <v>6.9937200000000005E-5</v>
      </c>
      <c r="F11" s="24">
        <f>Inputs!$B$103</f>
        <v>1.0920000000000001</v>
      </c>
      <c r="G11" s="24">
        <f>Inputs!$B$104</f>
        <v>107.41070000000001</v>
      </c>
      <c r="H11" s="16">
        <f t="shared" si="0"/>
        <v>2.1361210338461536</v>
      </c>
      <c r="I11" s="16">
        <f t="shared" si="1"/>
        <v>5.4246304999384606E-4</v>
      </c>
      <c r="J11" s="16">
        <f t="shared" si="1"/>
        <v>8.4700223999999977</v>
      </c>
      <c r="K11" s="16">
        <f t="shared" si="1"/>
        <v>833.12365842461531</v>
      </c>
      <c r="L11" s="12">
        <f>H11*Inputs!$B121</f>
        <v>38450.178609230767</v>
      </c>
      <c r="M11" s="12">
        <f>I11*Inputs!$C121</f>
        <v>26.146719009703379</v>
      </c>
      <c r="N11" s="12">
        <f>J11*Inputs!$D121</f>
        <v>7222388.1004799977</v>
      </c>
      <c r="O11" s="12">
        <f>K11*Inputs!$E121</f>
        <v>52486.790480750766</v>
      </c>
      <c r="P11" s="406">
        <f>O11*(1-VLOOKUP(B11,'Transportation Electrification'!$O$7:$P$35,2,FALSE))</f>
        <v>46938.186915642822</v>
      </c>
      <c r="Q11" s="12">
        <f>P11/((1+Inputs!$B$4)^(B11-Inputs!$B$5))</f>
        <v>32921.499915368942</v>
      </c>
      <c r="R11" s="12">
        <f t="shared" si="7"/>
        <v>7260864.4258082379</v>
      </c>
      <c r="S11" s="406">
        <f>R11*(1-VLOOKUP(B11,'Transportation Electrification'!$O$7:$P$35,2,FALSE))</f>
        <v>6493287.3293656521</v>
      </c>
      <c r="T11" s="12">
        <f>S11/((1+Inputs!$B$3)^(B11-Inputs!$B$5))+Q11</f>
        <v>2916018.7289400538</v>
      </c>
      <c r="U11" s="12">
        <f>S11/((1+Inputs!$B$4)^(B11-Inputs!$B$5))+Q11</f>
        <v>4587182.5890444005</v>
      </c>
      <c r="W11" s="110">
        <f t="shared" si="8"/>
        <v>2032</v>
      </c>
      <c r="X11" s="10">
        <f>'I-87 DetourSavings'!G17</f>
        <v>17.922771201700165</v>
      </c>
      <c r="Y11" s="24">
        <f>Inputs!$B$101</f>
        <v>0.27539999999999998</v>
      </c>
      <c r="Z11" s="24">
        <f>Inputs!$B$102</f>
        <v>6.9937200000000005E-5</v>
      </c>
      <c r="AA11" s="24">
        <f>Inputs!$B$103</f>
        <v>1.0920000000000001</v>
      </c>
      <c r="AB11" s="24">
        <f>Inputs!$B$104</f>
        <v>107.41070000000001</v>
      </c>
      <c r="AC11" s="16">
        <f t="shared" si="2"/>
        <v>2.9615587133689347E-4</v>
      </c>
      <c r="AD11" s="16">
        <f t="shared" si="3"/>
        <v>7.520810604525269E-8</v>
      </c>
      <c r="AE11" s="16">
        <f t="shared" si="3"/>
        <v>1.1742999691353947E-3</v>
      </c>
      <c r="AF11" s="16">
        <f t="shared" si="3"/>
        <v>0.11550584404286734</v>
      </c>
      <c r="AG11" s="12">
        <f>AC11*Inputs!$B121</f>
        <v>5.3308056840640825</v>
      </c>
      <c r="AH11" s="12">
        <f>AD11*Inputs!$C121</f>
        <v>3.6250307113811797E-3</v>
      </c>
      <c r="AI11" s="12">
        <f>AE11*Inputs!$D121</f>
        <v>1001.325583681751</v>
      </c>
      <c r="AJ11" s="12">
        <f>AF11*Inputs!$E121</f>
        <v>7.2768681747006427</v>
      </c>
      <c r="AK11" s="406">
        <f>AJ11*(1-VLOOKUP(W11,'Transportation Electrification'!$O$7:$P$35,2,FALSE))</f>
        <v>6.5075992533751457</v>
      </c>
      <c r="AL11" s="12">
        <f>AK11/((1+Inputs!$B$4)^(W11-Inputs!$B$5))</f>
        <v>4.5642991846761412</v>
      </c>
      <c r="AM11" s="12">
        <f t="shared" si="9"/>
        <v>1006.6600143965264</v>
      </c>
      <c r="AN11" s="406">
        <f>AM11*(1-VLOOKUP(W11,'Transportation Electrification'!$O$7:$P$35,2,FALSE))</f>
        <v>900.24167001746503</v>
      </c>
      <c r="AO11" s="12">
        <f>AN11/((1+Inputs!$B$3)^(W11-Inputs!$B$5))+AL11</f>
        <v>404.28236687928228</v>
      </c>
      <c r="AP11" s="12">
        <f>AN11/((1+Inputs!$B$4)^(W11-Inputs!$B$5))+AL11</f>
        <v>635.97569384624785</v>
      </c>
      <c r="AQ11" s="167"/>
      <c r="AR11" s="110">
        <f t="shared" si="10"/>
        <v>2032</v>
      </c>
      <c r="AS11" s="10">
        <f>'I-87 DetourSavings'!O17</f>
        <v>179.22771201700166</v>
      </c>
      <c r="AT11" s="24">
        <f>Inputs!$B$101</f>
        <v>0.27539999999999998</v>
      </c>
      <c r="AU11" s="24">
        <f>Inputs!$B$102</f>
        <v>6.9937200000000005E-5</v>
      </c>
      <c r="AV11" s="24">
        <f>Inputs!$B$103</f>
        <v>1.0920000000000001</v>
      </c>
      <c r="AW11" s="24">
        <f>Inputs!$B$104</f>
        <v>107.41070000000001</v>
      </c>
      <c r="AX11" s="16">
        <f t="shared" si="4"/>
        <v>2.9615587133689355E-3</v>
      </c>
      <c r="AY11" s="16">
        <f t="shared" si="5"/>
        <v>7.5208106045252701E-7</v>
      </c>
      <c r="AZ11" s="16">
        <f t="shared" si="5"/>
        <v>1.174299969135395E-2</v>
      </c>
      <c r="BA11" s="16">
        <f t="shared" si="5"/>
        <v>1.1550584404286737</v>
      </c>
      <c r="BB11" s="12">
        <f>AX11*Inputs!$B121</f>
        <v>53.308056840640837</v>
      </c>
      <c r="BC11" s="12">
        <f>AY11*Inputs!$C121</f>
        <v>3.6250307113811803E-2</v>
      </c>
      <c r="BD11" s="12">
        <f>AZ11*Inputs!$D121</f>
        <v>10013.255836817514</v>
      </c>
      <c r="BE11" s="12">
        <f>BA11*Inputs!$E121</f>
        <v>72.76868174700644</v>
      </c>
      <c r="BF11" s="406">
        <f>BE11*(1-VLOOKUP(AR11,'Transportation Electrification'!$O$7:$P$35,2,FALSE))</f>
        <v>65.075992533751474</v>
      </c>
      <c r="BG11" s="12">
        <f>BF11/((1+Inputs!$B$4)^(AR11-Inputs!$B$5))</f>
        <v>45.642991846761426</v>
      </c>
      <c r="BH11" s="12">
        <f t="shared" si="11"/>
        <v>10066.600143965268</v>
      </c>
      <c r="BI11" s="406">
        <f>BH11*(1-VLOOKUP(AR11,'Transportation Electrification'!$O$7:$P$35,2,FALSE))</f>
        <v>9002.4167001746537</v>
      </c>
      <c r="BJ11" s="12">
        <f>BI11/((1+Inputs!$B$3)^(AR11-Inputs!$B$5))+BG11</f>
        <v>4042.8236687928247</v>
      </c>
      <c r="BK11" s="12">
        <f>BI11/((1+Inputs!$B$4)^(AR11-Inputs!$B$5))+BG11</f>
        <v>6359.7569384624812</v>
      </c>
    </row>
    <row r="12" spans="2:63">
      <c r="B12" s="110">
        <f t="shared" si="6"/>
        <v>2033</v>
      </c>
      <c r="C12" s="10">
        <f>'Travel Time Savings'!C25</f>
        <v>136761.69230769231</v>
      </c>
      <c r="D12" s="24">
        <f>Inputs!$B$101</f>
        <v>0.27539999999999998</v>
      </c>
      <c r="E12" s="24">
        <f>Inputs!$B$102</f>
        <v>6.9937200000000005E-5</v>
      </c>
      <c r="F12" s="24">
        <f>Inputs!$B$103</f>
        <v>1.0920000000000001</v>
      </c>
      <c r="G12" s="24">
        <f>Inputs!$B$104</f>
        <v>107.41070000000001</v>
      </c>
      <c r="H12" s="16">
        <f t="shared" si="0"/>
        <v>2.2598502036923076</v>
      </c>
      <c r="I12" s="16">
        <f t="shared" si="1"/>
        <v>5.7388378963569241E-4</v>
      </c>
      <c r="J12" s="16">
        <f t="shared" si="1"/>
        <v>8.9606260800000026</v>
      </c>
      <c r="K12" s="16">
        <f t="shared" si="1"/>
        <v>881.38014623723086</v>
      </c>
      <c r="L12" s="12">
        <f>H12*Inputs!$B122</f>
        <v>40677.303666461536</v>
      </c>
      <c r="M12" s="12">
        <f>I12*Inputs!$C122</f>
        <v>27.661198660440373</v>
      </c>
      <c r="N12" s="12">
        <f>J12*Inputs!$D122</f>
        <v>7640725.8584160022</v>
      </c>
      <c r="O12" s="12">
        <f>K12*Inputs!$E122</f>
        <v>56408.329359182775</v>
      </c>
      <c r="P12" s="406">
        <f>O12*(1-VLOOKUP(B12,'Transportation Electrification'!$O$7:$P$35,2,FALSE))</f>
        <v>49961.663146704741</v>
      </c>
      <c r="Q12" s="12">
        <f>P12/((1+Inputs!$B$4)^(B12-Inputs!$B$5))</f>
        <v>34021.461468036367</v>
      </c>
      <c r="R12" s="12">
        <f t="shared" si="7"/>
        <v>7681430.8232811242</v>
      </c>
      <c r="S12" s="406">
        <f>R12*(1-VLOOKUP(B12,'Transportation Electrification'!$O$7:$P$35,2,FALSE))</f>
        <v>6803553.0149061382</v>
      </c>
      <c r="T12" s="12">
        <f>S12/((1+Inputs!$B$3)^(B12-Inputs!$B$5))+Q12</f>
        <v>2857254.0819789576</v>
      </c>
      <c r="U12" s="12">
        <f>S12/((1+Inputs!$B$4)^(B12-Inputs!$B$5))+Q12</f>
        <v>4666910.0036829961</v>
      </c>
      <c r="W12" s="110">
        <f t="shared" si="8"/>
        <v>2033</v>
      </c>
      <c r="X12" s="10">
        <f>'I-87 DetourSavings'!G18</f>
        <v>18.521027613388505</v>
      </c>
      <c r="Y12" s="24">
        <f>Inputs!$B$101</f>
        <v>0.27539999999999998</v>
      </c>
      <c r="Z12" s="24">
        <f>Inputs!$B$102</f>
        <v>6.9937200000000005E-5</v>
      </c>
      <c r="AA12" s="24">
        <f>Inputs!$B$103</f>
        <v>1.0920000000000001</v>
      </c>
      <c r="AB12" s="24">
        <f>Inputs!$B$104</f>
        <v>107.41070000000001</v>
      </c>
      <c r="AC12" s="16">
        <f t="shared" si="2"/>
        <v>3.0604146028363158E-4</v>
      </c>
      <c r="AD12" s="16">
        <f t="shared" si="3"/>
        <v>7.7718528744184477E-8</v>
      </c>
      <c r="AE12" s="16">
        <f t="shared" si="3"/>
        <v>1.2134977292292148E-3</v>
      </c>
      <c r="AF12" s="16">
        <f t="shared" si="3"/>
        <v>0.11936139244040332</v>
      </c>
      <c r="AG12" s="12">
        <f>AC12*Inputs!$B122</f>
        <v>5.5087462851053681</v>
      </c>
      <c r="AH12" s="12">
        <f>AD12*Inputs!$C122</f>
        <v>3.7460330854696918E-3</v>
      </c>
      <c r="AI12" s="12">
        <f>AE12*Inputs!$D122</f>
        <v>1034.7495137137514</v>
      </c>
      <c r="AJ12" s="12">
        <f>AF12*Inputs!$E122</f>
        <v>7.6391291161858126</v>
      </c>
      <c r="AK12" s="406">
        <f>AJ12*(1-VLOOKUP(W12,'Transportation Electrification'!$O$7:$P$35,2,FALSE))</f>
        <v>6.7660857886217194</v>
      </c>
      <c r="AL12" s="12">
        <f>AK12/((1+Inputs!$B$4)^(W12-Inputs!$B$5))</f>
        <v>4.607375184270758</v>
      </c>
      <c r="AM12" s="12">
        <f t="shared" si="9"/>
        <v>1040.2620060319423</v>
      </c>
      <c r="AN12" s="406">
        <f>AM12*(1-VLOOKUP(W12,'Transportation Electrification'!$O$7:$P$35,2,FALSE))</f>
        <v>921.37491962829165</v>
      </c>
      <c r="AO12" s="12">
        <f>AN12/((1+Inputs!$B$3)^(W12-Inputs!$B$5))+AL12</f>
        <v>386.94521000617056</v>
      </c>
      <c r="AP12" s="12">
        <f>AN12/((1+Inputs!$B$4)^(W12-Inputs!$B$5))+AL12</f>
        <v>632.01886134126255</v>
      </c>
      <c r="AQ12" s="167"/>
      <c r="AR12" s="110">
        <f t="shared" si="10"/>
        <v>2033</v>
      </c>
      <c r="AS12" s="10">
        <f>'I-87 DetourSavings'!O18</f>
        <v>185.21027613388503</v>
      </c>
      <c r="AT12" s="24">
        <f>Inputs!$B$101</f>
        <v>0.27539999999999998</v>
      </c>
      <c r="AU12" s="24">
        <f>Inputs!$B$102</f>
        <v>6.9937200000000005E-5</v>
      </c>
      <c r="AV12" s="24">
        <f>Inputs!$B$103</f>
        <v>1.0920000000000001</v>
      </c>
      <c r="AW12" s="24">
        <f>Inputs!$B$104</f>
        <v>107.41070000000001</v>
      </c>
      <c r="AX12" s="16">
        <f t="shared" si="4"/>
        <v>3.0604146028363156E-3</v>
      </c>
      <c r="AY12" s="16">
        <f t="shared" si="5"/>
        <v>7.7718528744184472E-7</v>
      </c>
      <c r="AZ12" s="16">
        <f t="shared" si="5"/>
        <v>1.2134977292292147E-2</v>
      </c>
      <c r="BA12" s="16">
        <f t="shared" si="5"/>
        <v>1.1936139244040329</v>
      </c>
      <c r="BB12" s="12">
        <f>AX12*Inputs!$B122</f>
        <v>55.087462851053679</v>
      </c>
      <c r="BC12" s="12">
        <f>AY12*Inputs!$C122</f>
        <v>3.7460330854696917E-2</v>
      </c>
      <c r="BD12" s="12">
        <f>AZ12*Inputs!$D122</f>
        <v>10347.495137137514</v>
      </c>
      <c r="BE12" s="12">
        <f>BA12*Inputs!$E122</f>
        <v>76.391291161858106</v>
      </c>
      <c r="BF12" s="406">
        <f>BE12*(1-VLOOKUP(AR12,'Transportation Electrification'!$O$7:$P$35,2,FALSE))</f>
        <v>67.660857886217173</v>
      </c>
      <c r="BG12" s="12">
        <f>BF12/((1+Inputs!$B$4)^(AR12-Inputs!$B$5))</f>
        <v>46.073751842707566</v>
      </c>
      <c r="BH12" s="12">
        <f t="shared" si="11"/>
        <v>10402.620060319423</v>
      </c>
      <c r="BI12" s="406">
        <f>BH12*(1-VLOOKUP(AR12,'Transportation Electrification'!$O$7:$P$35,2,FALSE))</f>
        <v>9213.7491962829172</v>
      </c>
      <c r="BJ12" s="12">
        <f>BI12/((1+Inputs!$B$3)^(AR12-Inputs!$B$5))+BG12</f>
        <v>3869.4521000617056</v>
      </c>
      <c r="BK12" s="12">
        <f>BI12/((1+Inputs!$B$4)^(AR12-Inputs!$B$5))+BG12</f>
        <v>6320.1886134126262</v>
      </c>
    </row>
    <row r="13" spans="2:63">
      <c r="B13" s="110">
        <f t="shared" si="6"/>
        <v>2034</v>
      </c>
      <c r="C13" s="10">
        <f>'Travel Time Savings'!C26</f>
        <v>144249.53846153838</v>
      </c>
      <c r="D13" s="24">
        <f>Inputs!$B$101</f>
        <v>0.27539999999999998</v>
      </c>
      <c r="E13" s="24">
        <f>Inputs!$B$102</f>
        <v>6.9937200000000005E-5</v>
      </c>
      <c r="F13" s="24">
        <f>Inputs!$B$103</f>
        <v>1.0920000000000001</v>
      </c>
      <c r="G13" s="24">
        <f>Inputs!$B$104</f>
        <v>107.41070000000001</v>
      </c>
      <c r="H13" s="16">
        <f t="shared" si="0"/>
        <v>2.3835793735384603</v>
      </c>
      <c r="I13" s="16">
        <f t="shared" si="1"/>
        <v>6.0530452927753811E-4</v>
      </c>
      <c r="J13" s="16">
        <f t="shared" si="1"/>
        <v>9.451229759999995</v>
      </c>
      <c r="K13" s="16">
        <f t="shared" si="1"/>
        <v>929.63663404984561</v>
      </c>
      <c r="L13" s="12">
        <f>H13*Inputs!$B123</f>
        <v>42904.428723692283</v>
      </c>
      <c r="M13" s="12">
        <f>I13*Inputs!$C123</f>
        <v>29.175678311177336</v>
      </c>
      <c r="N13" s="12">
        <f>J13*Inputs!$D123</f>
        <v>8059063.6163519956</v>
      </c>
      <c r="O13" s="12">
        <f>K13*Inputs!$E123</f>
        <v>61356.017847289811</v>
      </c>
      <c r="P13" s="406">
        <f>O13*(1-VLOOKUP(B13,'Transportation Electrification'!$O$7:$P$35,2,FALSE))</f>
        <v>53817.992797479921</v>
      </c>
      <c r="Q13" s="12">
        <f>P13/((1+Inputs!$B$4)^(B13-Inputs!$B$5))</f>
        <v>35580.03331183218</v>
      </c>
      <c r="R13" s="12">
        <f t="shared" si="7"/>
        <v>8101997.2207539994</v>
      </c>
      <c r="S13" s="406">
        <f>R13*(1-VLOOKUP(B13,'Transportation Electrification'!$O$7:$P$35,2,FALSE))</f>
        <v>7106608.9907756504</v>
      </c>
      <c r="T13" s="12">
        <f>S13/((1+Inputs!$B$3)^(B13-Inputs!$B$5))+Q13</f>
        <v>2791645.5251033609</v>
      </c>
      <c r="U13" s="12">
        <f>S13/((1+Inputs!$B$4)^(B13-Inputs!$B$5))+Q13</f>
        <v>4733885.7761043021</v>
      </c>
      <c r="W13" s="110">
        <f t="shared" si="8"/>
        <v>2034</v>
      </c>
      <c r="X13" s="10">
        <f>'I-87 DetourSavings'!G19</f>
        <v>19.139253634134416</v>
      </c>
      <c r="Y13" s="24">
        <f>Inputs!$B$101</f>
        <v>0.27539999999999998</v>
      </c>
      <c r="Z13" s="24">
        <f>Inputs!$B$102</f>
        <v>6.9937200000000005E-5</v>
      </c>
      <c r="AA13" s="24">
        <f>Inputs!$B$103</f>
        <v>1.0920000000000001</v>
      </c>
      <c r="AB13" s="24">
        <f>Inputs!$B$104</f>
        <v>107.41070000000001</v>
      </c>
      <c r="AC13" s="16">
        <f t="shared" si="2"/>
        <v>3.1625702705043705E-4</v>
      </c>
      <c r="AD13" s="16">
        <f t="shared" si="3"/>
        <v>8.0312748555671135E-8</v>
      </c>
      <c r="AE13" s="16">
        <f t="shared" si="3"/>
        <v>1.2540038981084869E-3</v>
      </c>
      <c r="AF13" s="16">
        <f t="shared" si="3"/>
        <v>0.1233456378191953</v>
      </c>
      <c r="AG13" s="12">
        <f>AC13*Inputs!$B123</f>
        <v>5.6926264869078667</v>
      </c>
      <c r="AH13" s="12">
        <f>AD13*Inputs!$C123</f>
        <v>3.8710744803833485E-3</v>
      </c>
      <c r="AI13" s="12">
        <f>AE13*Inputs!$D123</f>
        <v>1069.2891239171067</v>
      </c>
      <c r="AJ13" s="12">
        <f>AF13*Inputs!$E123</f>
        <v>8.1408120960668899</v>
      </c>
      <c r="AK13" s="406">
        <f>AJ13*(1-VLOOKUP(W13,'Transportation Electrification'!$O$7:$P$35,2,FALSE))</f>
        <v>7.1406551814072436</v>
      </c>
      <c r="AL13" s="12">
        <f>AK13/((1+Inputs!$B$4)^(W13-Inputs!$B$5))</f>
        <v>4.7208142856393112</v>
      </c>
      <c r="AM13" s="12">
        <f t="shared" si="9"/>
        <v>1074.985621478495</v>
      </c>
      <c r="AN13" s="406">
        <f>AM13*(1-VLOOKUP(W13,'Transportation Electrification'!$O$7:$P$35,2,FALSE))</f>
        <v>942.91595941113701</v>
      </c>
      <c r="AO13" s="12">
        <f>AN13/((1+Inputs!$B$3)^(W13-Inputs!$B$5))+AL13</f>
        <v>370.39988017567038</v>
      </c>
      <c r="AP13" s="12">
        <f>AN13/((1+Inputs!$B$4)^(W13-Inputs!$B$5))+AL13</f>
        <v>628.09934444288854</v>
      </c>
      <c r="AQ13" s="167"/>
      <c r="AR13" s="110">
        <f t="shared" si="10"/>
        <v>2034</v>
      </c>
      <c r="AS13" s="10">
        <f>'I-87 DetourSavings'!O19</f>
        <v>191.39253634134417</v>
      </c>
      <c r="AT13" s="24">
        <f>Inputs!$B$101</f>
        <v>0.27539999999999998</v>
      </c>
      <c r="AU13" s="24">
        <f>Inputs!$B$102</f>
        <v>6.9937200000000005E-5</v>
      </c>
      <c r="AV13" s="24">
        <f>Inputs!$B$103</f>
        <v>1.0920000000000001</v>
      </c>
      <c r="AW13" s="24">
        <f>Inputs!$B$104</f>
        <v>107.41070000000001</v>
      </c>
      <c r="AX13" s="16">
        <f t="shared" si="4"/>
        <v>3.162570270504371E-3</v>
      </c>
      <c r="AY13" s="16">
        <f t="shared" si="5"/>
        <v>8.031274855567114E-7</v>
      </c>
      <c r="AZ13" s="16">
        <f t="shared" si="5"/>
        <v>1.2540038981084871E-2</v>
      </c>
      <c r="BA13" s="16">
        <f t="shared" si="5"/>
        <v>1.233456378191953</v>
      </c>
      <c r="BB13" s="12">
        <f>AX13*Inputs!$B123</f>
        <v>56.926264869078679</v>
      </c>
      <c r="BC13" s="12">
        <f>AY13*Inputs!$C123</f>
        <v>3.8710744803833491E-2</v>
      </c>
      <c r="BD13" s="12">
        <f>AZ13*Inputs!$D123</f>
        <v>10692.891239171069</v>
      </c>
      <c r="BE13" s="12">
        <f>BA13*Inputs!$E123</f>
        <v>81.408120960668896</v>
      </c>
      <c r="BF13" s="406">
        <f>BE13*(1-VLOOKUP(AR13,'Transportation Electrification'!$O$7:$P$35,2,FALSE))</f>
        <v>71.406551814072429</v>
      </c>
      <c r="BG13" s="12">
        <f>BF13/((1+Inputs!$B$4)^(AR13-Inputs!$B$5))</f>
        <v>47.20814285639311</v>
      </c>
      <c r="BH13" s="12">
        <f t="shared" si="11"/>
        <v>10749.856214784952</v>
      </c>
      <c r="BI13" s="406">
        <f>BH13*(1-VLOOKUP(AR13,'Transportation Electrification'!$O$7:$P$35,2,FALSE))</f>
        <v>9429.1595941113719</v>
      </c>
      <c r="BJ13" s="12">
        <f>BI13/((1+Inputs!$B$3)^(AR13-Inputs!$B$5))+BG13</f>
        <v>3703.9988017567043</v>
      </c>
      <c r="BK13" s="12">
        <f>BI13/((1+Inputs!$B$4)^(AR13-Inputs!$B$5))+BG13</f>
        <v>6280.9934444288856</v>
      </c>
    </row>
    <row r="14" spans="2:63">
      <c r="B14" s="110">
        <f t="shared" si="6"/>
        <v>2035</v>
      </c>
      <c r="C14" s="10">
        <f>'Travel Time Savings'!C27</f>
        <v>151737.38461538457</v>
      </c>
      <c r="D14" s="24">
        <f>Inputs!$B$101</f>
        <v>0.27539999999999998</v>
      </c>
      <c r="E14" s="24">
        <f>Inputs!$B$102</f>
        <v>6.9937200000000005E-5</v>
      </c>
      <c r="F14" s="24">
        <f>Inputs!$B$103</f>
        <v>1.0920000000000001</v>
      </c>
      <c r="G14" s="24">
        <f>Inputs!$B$104</f>
        <v>107.41070000000001</v>
      </c>
      <c r="H14" s="16">
        <f t="shared" si="0"/>
        <v>2.5073085433846143</v>
      </c>
      <c r="I14" s="16">
        <f t="shared" si="1"/>
        <v>6.3672526891938447E-4</v>
      </c>
      <c r="J14" s="16">
        <f t="shared" si="1"/>
        <v>9.9418334399999981</v>
      </c>
      <c r="K14" s="16">
        <f t="shared" si="1"/>
        <v>977.89312186246138</v>
      </c>
      <c r="L14" s="12">
        <f>H14*Inputs!$B124</f>
        <v>45131.553780923059</v>
      </c>
      <c r="M14" s="12">
        <f>I14*Inputs!$C124</f>
        <v>30.690157961914331</v>
      </c>
      <c r="N14" s="12">
        <f>J14*Inputs!$D124</f>
        <v>8477401.3742879983</v>
      </c>
      <c r="O14" s="12">
        <f>K14*Inputs!$E124</f>
        <v>65518.839164784913</v>
      </c>
      <c r="P14" s="406">
        <f>O14*(1-VLOOKUP(B14,'Transportation Electrification'!$O$7:$P$35,2,FALSE))</f>
        <v>56907.791731698897</v>
      </c>
      <c r="Q14" s="12">
        <f>P14/((1+Inputs!$B$4)^(B14-Inputs!$B$5))</f>
        <v>36526.946022955082</v>
      </c>
      <c r="R14" s="12">
        <f t="shared" si="7"/>
        <v>8522563.6182268839</v>
      </c>
      <c r="S14" s="406">
        <f>R14*(1-VLOOKUP(B14,'Transportation Electrification'!$O$7:$P$35,2,FALSE))</f>
        <v>7402455.2569742072</v>
      </c>
      <c r="T14" s="12">
        <f>S14/((1+Inputs!$B$3)^(B14-Inputs!$B$5))+Q14</f>
        <v>2719517.3894939176</v>
      </c>
      <c r="U14" s="12">
        <f>S14/((1+Inputs!$B$4)^(B14-Inputs!$B$5))+Q14</f>
        <v>4787881.2927814899</v>
      </c>
      <c r="W14" s="110">
        <f t="shared" si="8"/>
        <v>2035</v>
      </c>
      <c r="X14" s="10">
        <f>'I-87 DetourSavings'!G20</f>
        <v>19.778115843147269</v>
      </c>
      <c r="Y14" s="24">
        <f>Inputs!$B$101</f>
        <v>0.27539999999999998</v>
      </c>
      <c r="Z14" s="24">
        <f>Inputs!$B$102</f>
        <v>6.9937200000000005E-5</v>
      </c>
      <c r="AA14" s="24">
        <f>Inputs!$B$103</f>
        <v>1.0920000000000001</v>
      </c>
      <c r="AB14" s="24">
        <f>Inputs!$B$104</f>
        <v>107.41070000000001</v>
      </c>
      <c r="AC14" s="16">
        <f t="shared" si="2"/>
        <v>3.2681358619216546E-4</v>
      </c>
      <c r="AD14" s="16">
        <f t="shared" si="3"/>
        <v>8.2993562600721558E-8</v>
      </c>
      <c r="AE14" s="16">
        <f t="shared" si="3"/>
        <v>1.2958621500430093E-3</v>
      </c>
      <c r="AF14" s="16">
        <f t="shared" si="3"/>
        <v>0.12746287604361231</v>
      </c>
      <c r="AG14" s="12">
        <f>AC14*Inputs!$B124</f>
        <v>5.882644551458978</v>
      </c>
      <c r="AH14" s="12">
        <f>AD14*Inputs!$C124</f>
        <v>4.0002897173547795E-3</v>
      </c>
      <c r="AI14" s="12">
        <f>AE14*Inputs!$D124</f>
        <v>1104.981655341674</v>
      </c>
      <c r="AJ14" s="12">
        <f>AF14*Inputs!$E124</f>
        <v>8.5400126949220247</v>
      </c>
      <c r="AK14" s="406">
        <f>AJ14*(1-VLOOKUP(W14,'Transportation Electrification'!$O$7:$P$35,2,FALSE))</f>
        <v>7.4176110264465587</v>
      </c>
      <c r="AL14" s="12">
        <f>AK14/((1+Inputs!$B$4)^(W14-Inputs!$B$5))</f>
        <v>4.7610822584663541</v>
      </c>
      <c r="AM14" s="12">
        <f t="shared" si="9"/>
        <v>1110.8683001828504</v>
      </c>
      <c r="AN14" s="406">
        <f>AM14*(1-VLOOKUP(W14,'Transportation Electrification'!$O$7:$P$35,2,FALSE))</f>
        <v>964.86846644453283</v>
      </c>
      <c r="AO14" s="12">
        <f>AN14/((1+Inputs!$B$3)^(W14-Inputs!$B$5))+AL14</f>
        <v>354.4738173997149</v>
      </c>
      <c r="AP14" s="12">
        <f>AN14/((1+Inputs!$B$4)^(W14-Inputs!$B$5))+AL14</f>
        <v>624.07343511223871</v>
      </c>
      <c r="AQ14" s="167"/>
      <c r="AR14" s="110">
        <f t="shared" si="10"/>
        <v>2035</v>
      </c>
      <c r="AS14" s="10">
        <f>'I-87 DetourSavings'!O20</f>
        <v>197.7811584314727</v>
      </c>
      <c r="AT14" s="24">
        <f>Inputs!$B$101</f>
        <v>0.27539999999999998</v>
      </c>
      <c r="AU14" s="24">
        <f>Inputs!$B$102</f>
        <v>6.9937200000000005E-5</v>
      </c>
      <c r="AV14" s="24">
        <f>Inputs!$B$103</f>
        <v>1.0920000000000001</v>
      </c>
      <c r="AW14" s="24">
        <f>Inputs!$B$104</f>
        <v>107.41070000000001</v>
      </c>
      <c r="AX14" s="16">
        <f t="shared" si="4"/>
        <v>3.2681358619216548E-3</v>
      </c>
      <c r="AY14" s="16">
        <f t="shared" si="5"/>
        <v>8.299356260072156E-7</v>
      </c>
      <c r="AZ14" s="16">
        <f t="shared" si="5"/>
        <v>1.2958621500430091E-2</v>
      </c>
      <c r="BA14" s="16">
        <f t="shared" si="5"/>
        <v>1.2746287604361233</v>
      </c>
      <c r="BB14" s="12">
        <f>AX14*Inputs!$B124</f>
        <v>58.826445514589786</v>
      </c>
      <c r="BC14" s="12">
        <f>AY14*Inputs!$C124</f>
        <v>4.000289717354779E-2</v>
      </c>
      <c r="BD14" s="12">
        <f>AZ14*Inputs!$D124</f>
        <v>11049.816553416738</v>
      </c>
      <c r="BE14" s="12">
        <f>BA14*Inputs!$E124</f>
        <v>85.400126949220265</v>
      </c>
      <c r="BF14" s="406">
        <f>BE14*(1-VLOOKUP(AR14,'Transportation Electrification'!$O$7:$P$35,2,FALSE))</f>
        <v>74.176110264465606</v>
      </c>
      <c r="BG14" s="12">
        <f>BF14/((1+Inputs!$B$4)^(AR14-Inputs!$B$5))</f>
        <v>47.610822584663552</v>
      </c>
      <c r="BH14" s="12">
        <f t="shared" si="11"/>
        <v>11108.683001828502</v>
      </c>
      <c r="BI14" s="406">
        <f>BH14*(1-VLOOKUP(AR14,'Transportation Electrification'!$O$7:$P$35,2,FALSE))</f>
        <v>9648.6846644453271</v>
      </c>
      <c r="BJ14" s="12">
        <f>BI14/((1+Inputs!$B$3)^(AR14-Inputs!$B$5))+BG14</f>
        <v>3544.7381739971493</v>
      </c>
      <c r="BK14" s="12">
        <f>BI14/((1+Inputs!$B$4)^(AR14-Inputs!$B$5))+BG14</f>
        <v>6240.7343511223871</v>
      </c>
    </row>
    <row r="15" spans="2:63">
      <c r="B15" s="110">
        <f t="shared" si="6"/>
        <v>2036</v>
      </c>
      <c r="C15" s="10">
        <f>'Travel Time Savings'!C28</f>
        <v>159225.23076923063</v>
      </c>
      <c r="D15" s="24">
        <f>Inputs!$B$101</f>
        <v>0.27539999999999998</v>
      </c>
      <c r="E15" s="24">
        <f>Inputs!$B$102</f>
        <v>6.9937200000000005E-5</v>
      </c>
      <c r="F15" s="24">
        <f>Inputs!$B$103</f>
        <v>1.0920000000000001</v>
      </c>
      <c r="G15" s="24">
        <f>Inputs!$B$104</f>
        <v>107.41070000000001</v>
      </c>
      <c r="H15" s="16">
        <f t="shared" si="0"/>
        <v>2.631037713230767</v>
      </c>
      <c r="I15" s="16">
        <f t="shared" si="1"/>
        <v>6.6814600856123028E-4</v>
      </c>
      <c r="J15" s="16">
        <f t="shared" si="1"/>
        <v>10.432437119999992</v>
      </c>
      <c r="K15" s="16">
        <f t="shared" si="1"/>
        <v>1026.1496096750761</v>
      </c>
      <c r="L15" s="12">
        <f>H15*Inputs!$B125</f>
        <v>47358.678838153806</v>
      </c>
      <c r="M15" s="12">
        <f>I15*Inputs!$C125</f>
        <v>32.204637612651297</v>
      </c>
      <c r="N15" s="12">
        <f>J15*Inputs!$D125</f>
        <v>8895739.1322239935</v>
      </c>
      <c r="O15" s="12">
        <f>K15*Inputs!$E125</f>
        <v>69778.173457905184</v>
      </c>
      <c r="P15" s="406">
        <f>O15*(1-VLOOKUP(B15,'Transportation Electrification'!$O$7:$P$35,2,FALSE))</f>
        <v>60009.229173798456</v>
      </c>
      <c r="Q15" s="12">
        <f>P15/((1+Inputs!$B$4)^(B15-Inputs!$B$5))</f>
        <v>37395.767669194378</v>
      </c>
      <c r="R15" s="12">
        <f t="shared" si="7"/>
        <v>8943130.0156997591</v>
      </c>
      <c r="S15" s="406">
        <f>R15*(1-VLOOKUP(B15,'Transportation Electrification'!$O$7:$P$35,2,FALSE))</f>
        <v>7691091.813501793</v>
      </c>
      <c r="T15" s="12">
        <f>S15/((1+Inputs!$B$3)^(B15-Inputs!$B$5))+Q15</f>
        <v>2642634.6597324307</v>
      </c>
      <c r="U15" s="12">
        <f>S15/((1+Inputs!$B$4)^(B15-Inputs!$B$5))+Q15</f>
        <v>4830229.912349985</v>
      </c>
      <c r="W15" s="110">
        <f t="shared" si="8"/>
        <v>2036</v>
      </c>
      <c r="X15" s="10">
        <f>'I-87 DetourSavings'!G21</f>
        <v>20.438303069838817</v>
      </c>
      <c r="Y15" s="24">
        <f>Inputs!$B$101</f>
        <v>0.27539999999999998</v>
      </c>
      <c r="Z15" s="24">
        <f>Inputs!$B$102</f>
        <v>6.9937200000000005E-5</v>
      </c>
      <c r="AA15" s="24">
        <f>Inputs!$B$103</f>
        <v>1.0920000000000001</v>
      </c>
      <c r="AB15" s="24">
        <f>Inputs!$B$104</f>
        <v>107.41070000000001</v>
      </c>
      <c r="AC15" s="16">
        <f t="shared" si="2"/>
        <v>3.3772251992601662E-4</v>
      </c>
      <c r="AD15" s="16">
        <f t="shared" si="3"/>
        <v>8.5763861367355898E-8</v>
      </c>
      <c r="AE15" s="16">
        <f t="shared" si="3"/>
        <v>1.3391176171358395E-3</v>
      </c>
      <c r="AF15" s="16">
        <f t="shared" si="3"/>
        <v>0.13171754637261218</v>
      </c>
      <c r="AG15" s="12">
        <f>AC15*Inputs!$B125</f>
        <v>6.0790053586682991</v>
      </c>
      <c r="AH15" s="12">
        <f>AD15*Inputs!$C125</f>
        <v>4.1338181179065544E-3</v>
      </c>
      <c r="AI15" s="12">
        <f>AE15*Inputs!$D125</f>
        <v>1141.8655921317304</v>
      </c>
      <c r="AJ15" s="12">
        <f>AF15*Inputs!$E125</f>
        <v>8.9567931533376282</v>
      </c>
      <c r="AK15" s="406">
        <f>AJ15*(1-VLOOKUP(W15,'Transportation Electrification'!$O$7:$P$35,2,FALSE))</f>
        <v>7.7028421118703605</v>
      </c>
      <c r="AL15" s="12">
        <f>AK15/((1+Inputs!$B$4)^(W15-Inputs!$B$5))</f>
        <v>4.8001565421500541</v>
      </c>
      <c r="AM15" s="12">
        <f t="shared" si="9"/>
        <v>1147.9487313085167</v>
      </c>
      <c r="AN15" s="406">
        <f>AM15*(1-VLOOKUP(W15,'Transportation Electrification'!$O$7:$P$35,2,FALSE))</f>
        <v>987.23590892532434</v>
      </c>
      <c r="AO15" s="12">
        <f>AN15/((1+Inputs!$B$3)^(W15-Inputs!$B$5))+AL15</f>
        <v>339.21111508232849</v>
      </c>
      <c r="AP15" s="12">
        <f>AN15/((1+Inputs!$B$4)^(W15-Inputs!$B$5))+AL15</f>
        <v>620.01293619533203</v>
      </c>
      <c r="AQ15" s="167"/>
      <c r="AR15" s="110">
        <f t="shared" si="10"/>
        <v>2036</v>
      </c>
      <c r="AS15" s="10">
        <f>'I-87 DetourSavings'!O21</f>
        <v>204.38303069838818</v>
      </c>
      <c r="AT15" s="24">
        <f>Inputs!$B$101</f>
        <v>0.27539999999999998</v>
      </c>
      <c r="AU15" s="24">
        <f>Inputs!$B$102</f>
        <v>6.9937200000000005E-5</v>
      </c>
      <c r="AV15" s="24">
        <f>Inputs!$B$103</f>
        <v>1.0920000000000001</v>
      </c>
      <c r="AW15" s="24">
        <f>Inputs!$B$104</f>
        <v>107.41070000000001</v>
      </c>
      <c r="AX15" s="16">
        <f t="shared" si="4"/>
        <v>3.3772251992601659E-3</v>
      </c>
      <c r="AY15" s="16">
        <f t="shared" si="5"/>
        <v>8.5763861367355885E-7</v>
      </c>
      <c r="AZ15" s="16">
        <f t="shared" si="5"/>
        <v>1.3391176171358394E-2</v>
      </c>
      <c r="BA15" s="16">
        <f t="shared" si="5"/>
        <v>1.3171754637261219</v>
      </c>
      <c r="BB15" s="12">
        <f>AX15*Inputs!$B125</f>
        <v>60.790053586682987</v>
      </c>
      <c r="BC15" s="12">
        <f>AY15*Inputs!$C125</f>
        <v>4.1338181179065535E-2</v>
      </c>
      <c r="BD15" s="12">
        <f>AZ15*Inputs!$D125</f>
        <v>11418.655921317302</v>
      </c>
      <c r="BE15" s="12">
        <f>BA15*Inputs!$E125</f>
        <v>89.567931533376296</v>
      </c>
      <c r="BF15" s="406">
        <f>BE15*(1-VLOOKUP(AR15,'Transportation Electrification'!$O$7:$P$35,2,FALSE))</f>
        <v>77.028421118703619</v>
      </c>
      <c r="BG15" s="12">
        <f>BF15/((1+Inputs!$B$4)^(AR15-Inputs!$B$5))</f>
        <v>48.001565421500551</v>
      </c>
      <c r="BH15" s="12">
        <f t="shared" si="11"/>
        <v>11479.487313085165</v>
      </c>
      <c r="BI15" s="406">
        <f>BH15*(1-VLOOKUP(AR15,'Transportation Electrification'!$O$7:$P$35,2,FALSE))</f>
        <v>9872.3590892532411</v>
      </c>
      <c r="BJ15" s="12">
        <f>BI15/((1+Inputs!$B$3)^(AR15-Inputs!$B$5))+BG15</f>
        <v>3392.1111508232843</v>
      </c>
      <c r="BK15" s="12">
        <f>BI15/((1+Inputs!$B$4)^(AR15-Inputs!$B$5))+BG15</f>
        <v>6200.129361953318</v>
      </c>
    </row>
    <row r="16" spans="2:63">
      <c r="B16" s="110">
        <f t="shared" si="6"/>
        <v>2037</v>
      </c>
      <c r="C16" s="10">
        <f>'Travel Time Savings'!C29</f>
        <v>166713.07692307694</v>
      </c>
      <c r="D16" s="24">
        <f>Inputs!$B$101</f>
        <v>0.27539999999999998</v>
      </c>
      <c r="E16" s="24">
        <f>Inputs!$B$102</f>
        <v>6.9937200000000005E-5</v>
      </c>
      <c r="F16" s="24">
        <f>Inputs!$B$103</f>
        <v>1.0920000000000001</v>
      </c>
      <c r="G16" s="24">
        <f>Inputs!$B$104</f>
        <v>107.41070000000001</v>
      </c>
      <c r="H16" s="16">
        <f t="shared" si="0"/>
        <v>2.7547668830769232</v>
      </c>
      <c r="I16" s="16">
        <f t="shared" si="1"/>
        <v>6.9956674820307707E-4</v>
      </c>
      <c r="J16" s="16">
        <f t="shared" si="1"/>
        <v>10.923040800000001</v>
      </c>
      <c r="K16" s="16">
        <f t="shared" si="1"/>
        <v>1074.4060974876923</v>
      </c>
      <c r="L16" s="12">
        <f>H16*Inputs!$B126</f>
        <v>49585.803895384619</v>
      </c>
      <c r="M16" s="12">
        <f>I16*Inputs!$C126</f>
        <v>33.719117263388313</v>
      </c>
      <c r="N16" s="12">
        <f>J16*Inputs!$D126</f>
        <v>9314076.89016</v>
      </c>
      <c r="O16" s="12">
        <f>K16*Inputs!$E126</f>
        <v>74134.020726650764</v>
      </c>
      <c r="P16" s="406">
        <f>O16*(1-VLOOKUP(B16,'Transportation Electrification'!$O$7:$P$35,2,FALSE))</f>
        <v>63119.823361548362</v>
      </c>
      <c r="Q16" s="12">
        <f>P16/((1+Inputs!$B$4)^(B16-Inputs!$B$5))</f>
        <v>38188.531192553753</v>
      </c>
      <c r="R16" s="12">
        <f t="shared" si="7"/>
        <v>9363696.4131726474</v>
      </c>
      <c r="S16" s="406">
        <f>R16*(1-VLOOKUP(B16,'Transportation Electrification'!$O$7:$P$35,2,FALSE))</f>
        <v>7972518.6603584252</v>
      </c>
      <c r="T16" s="12">
        <f>S16/((1+Inputs!$B$3)^(B16-Inputs!$B$5))+Q16</f>
        <v>2562083.766559266</v>
      </c>
      <c r="U16" s="12">
        <f>S16/((1+Inputs!$B$4)^(B16-Inputs!$B$5))+Q16</f>
        <v>4861693.4355137255</v>
      </c>
      <c r="W16" s="110">
        <f t="shared" si="8"/>
        <v>2037</v>
      </c>
      <c r="X16" s="10">
        <f>'I-87 DetourSavings'!G22</f>
        <v>21.12052713652783</v>
      </c>
      <c r="Y16" s="24">
        <f>Inputs!$B$101</f>
        <v>0.27539999999999998</v>
      </c>
      <c r="Z16" s="24">
        <f>Inputs!$B$102</f>
        <v>6.9937200000000005E-5</v>
      </c>
      <c r="AA16" s="24">
        <f>Inputs!$B$103</f>
        <v>1.0920000000000001</v>
      </c>
      <c r="AB16" s="24">
        <f>Inputs!$B$104</f>
        <v>107.41070000000001</v>
      </c>
      <c r="AC16" s="16">
        <f t="shared" si="2"/>
        <v>3.4899559040398585E-4</v>
      </c>
      <c r="AD16" s="16">
        <f t="shared" si="3"/>
        <v>8.8626631827166453E-8</v>
      </c>
      <c r="AE16" s="16">
        <f t="shared" si="3"/>
        <v>1.3838169379853037E-3</v>
      </c>
      <c r="AF16" s="16">
        <f t="shared" si="3"/>
        <v>0.136114236246207</v>
      </c>
      <c r="AG16" s="12">
        <f>AC16*Inputs!$B126</f>
        <v>6.2819206272717452</v>
      </c>
      <c r="AH16" s="12">
        <f>AD16*Inputs!$C126</f>
        <v>4.271803654069423E-3</v>
      </c>
      <c r="AI16" s="12">
        <f>AE16*Inputs!$D126</f>
        <v>1179.9807030200684</v>
      </c>
      <c r="AJ16" s="12">
        <f>AF16*Inputs!$E126</f>
        <v>9.3918823009882821</v>
      </c>
      <c r="AK16" s="406">
        <f>AJ16*(1-VLOOKUP(W16,'Transportation Electrification'!$O$7:$P$35,2,FALSE))</f>
        <v>7.9965169305557371</v>
      </c>
      <c r="AL16" s="12">
        <f>AK16/((1+Inputs!$B$4)^(W16-Inputs!$B$5))</f>
        <v>4.8380242524623718</v>
      </c>
      <c r="AM16" s="12">
        <f t="shared" si="9"/>
        <v>1186.2668954509943</v>
      </c>
      <c r="AN16" s="406">
        <f>AM16*(1-VLOOKUP(W16,'Transportation Electrification'!$O$7:$P$35,2,FALSE))</f>
        <v>1010.0215281268465</v>
      </c>
      <c r="AO16" s="12">
        <f>AN16/((1+Inputs!$B$3)^(W16-Inputs!$B$5))+AL16</f>
        <v>324.58497387484795</v>
      </c>
      <c r="AP16" s="12">
        <f>AN16/((1+Inputs!$B$4)^(W16-Inputs!$B$5))+AL16</f>
        <v>615.91765942647169</v>
      </c>
      <c r="AQ16" s="167"/>
      <c r="AR16" s="110">
        <f t="shared" si="10"/>
        <v>2037</v>
      </c>
      <c r="AS16" s="10">
        <f>'I-87 DetourSavings'!O22</f>
        <v>211.20527136527832</v>
      </c>
      <c r="AT16" s="24">
        <f>Inputs!$B$101</f>
        <v>0.27539999999999998</v>
      </c>
      <c r="AU16" s="24">
        <f>Inputs!$B$102</f>
        <v>6.9937200000000005E-5</v>
      </c>
      <c r="AV16" s="24">
        <f>Inputs!$B$103</f>
        <v>1.0920000000000001</v>
      </c>
      <c r="AW16" s="24">
        <f>Inputs!$B$104</f>
        <v>107.41070000000001</v>
      </c>
      <c r="AX16" s="16">
        <f t="shared" si="4"/>
        <v>3.4899559040398585E-3</v>
      </c>
      <c r="AY16" s="16">
        <f t="shared" si="5"/>
        <v>8.8626631827166474E-7</v>
      </c>
      <c r="AZ16" s="16">
        <f t="shared" si="5"/>
        <v>1.3838169379853035E-2</v>
      </c>
      <c r="BA16" s="16">
        <f t="shared" si="5"/>
        <v>1.36114236246207</v>
      </c>
      <c r="BB16" s="12">
        <f>AX16*Inputs!$B126</f>
        <v>62.819206272717452</v>
      </c>
      <c r="BC16" s="12">
        <f>AY16*Inputs!$C126</f>
        <v>4.271803654069424E-2</v>
      </c>
      <c r="BD16" s="12">
        <f>AZ16*Inputs!$D126</f>
        <v>11799.807030200684</v>
      </c>
      <c r="BE16" s="12">
        <f>BA16*Inputs!$E126</f>
        <v>93.918823009882829</v>
      </c>
      <c r="BF16" s="406">
        <f>BE16*(1-VLOOKUP(AR16,'Transportation Electrification'!$O$7:$P$35,2,FALSE))</f>
        <v>79.965169305557382</v>
      </c>
      <c r="BG16" s="12">
        <f>BF16/((1+Inputs!$B$4)^(AR16-Inputs!$B$5))</f>
        <v>48.380242524623718</v>
      </c>
      <c r="BH16" s="12">
        <f t="shared" si="11"/>
        <v>11862.668954509942</v>
      </c>
      <c r="BI16" s="406">
        <f>BH16*(1-VLOOKUP(AR16,'Transportation Electrification'!$O$7:$P$35,2,FALSE))</f>
        <v>10100.215281268465</v>
      </c>
      <c r="BJ16" s="12">
        <f>BI16/((1+Inputs!$B$3)^(AR16-Inputs!$B$5))+BG16</f>
        <v>3245.849738748479</v>
      </c>
      <c r="BK16" s="12">
        <f>BI16/((1+Inputs!$B$4)^(AR16-Inputs!$B$5))+BG16</f>
        <v>6159.1765942647171</v>
      </c>
    </row>
    <row r="17" spans="2:63">
      <c r="B17" s="110">
        <f t="shared" si="6"/>
        <v>2038</v>
      </c>
      <c r="C17" s="10">
        <f>'Travel Time Savings'!C30</f>
        <v>174200.92307692324</v>
      </c>
      <c r="D17" s="24">
        <f>Inputs!$B$101</f>
        <v>0.27539999999999998</v>
      </c>
      <c r="E17" s="24">
        <f>Inputs!$B$102</f>
        <v>6.9937200000000005E-5</v>
      </c>
      <c r="F17" s="24">
        <f>Inputs!$B$103</f>
        <v>1.0920000000000001</v>
      </c>
      <c r="G17" s="24">
        <f>Inputs!$B$104</f>
        <v>107.41070000000001</v>
      </c>
      <c r="H17" s="16">
        <f t="shared" si="0"/>
        <v>2.8784960529230794</v>
      </c>
      <c r="I17" s="16">
        <f t="shared" si="1"/>
        <v>7.3098748784492385E-4</v>
      </c>
      <c r="J17" s="16">
        <f t="shared" si="1"/>
        <v>11.413644480000011</v>
      </c>
      <c r="K17" s="16">
        <f t="shared" si="1"/>
        <v>1122.662585300309</v>
      </c>
      <c r="L17" s="12">
        <f>H17*Inputs!$B127</f>
        <v>51812.928952615432</v>
      </c>
      <c r="M17" s="12">
        <f>I17*Inputs!$C127</f>
        <v>35.233596914125329</v>
      </c>
      <c r="N17" s="12">
        <f>J17*Inputs!$D127</f>
        <v>9732414.6480960101</v>
      </c>
      <c r="O17" s="12">
        <f>K17*Inputs!$E127</f>
        <v>78586.38097102163</v>
      </c>
      <c r="P17" s="406">
        <f>O17*(1-VLOOKUP(B17,'Transportation Electrification'!$O$7:$P$35,2,FALSE))</f>
        <v>66237.092532718234</v>
      </c>
      <c r="Q17" s="12">
        <f>P17/((1+Inputs!$B$4)^(B17-Inputs!$B$5))</f>
        <v>38907.31097789944</v>
      </c>
      <c r="R17" s="12">
        <f t="shared" si="7"/>
        <v>9784262.8106455393</v>
      </c>
      <c r="S17" s="406">
        <f>R17*(1-VLOOKUP(B17,'Transportation Electrification'!$O$7:$P$35,2,FALSE))</f>
        <v>8246735.7975440975</v>
      </c>
      <c r="T17" s="12">
        <f>S17/((1+Inputs!$B$3)^(B17-Inputs!$B$5))+Q17</f>
        <v>2478818.8609088152</v>
      </c>
      <c r="U17" s="12">
        <f>S17/((1+Inputs!$B$4)^(B17-Inputs!$B$5))+Q17</f>
        <v>4882995.4488914674</v>
      </c>
      <c r="W17" s="110">
        <f t="shared" si="8"/>
        <v>2038</v>
      </c>
      <c r="X17" s="10">
        <f>'I-87 DetourSavings'!G23</f>
        <v>21.825523625936054</v>
      </c>
      <c r="Y17" s="24">
        <f>Inputs!$B$101</f>
        <v>0.27539999999999998</v>
      </c>
      <c r="Z17" s="24">
        <f>Inputs!$B$102</f>
        <v>6.9937200000000005E-5</v>
      </c>
      <c r="AA17" s="24">
        <f>Inputs!$B$103</f>
        <v>1.0920000000000001</v>
      </c>
      <c r="AB17" s="24">
        <f>Inputs!$B$104</f>
        <v>107.41070000000001</v>
      </c>
      <c r="AC17" s="16">
        <f t="shared" si="2"/>
        <v>3.6064495239496733E-4</v>
      </c>
      <c r="AD17" s="16">
        <f t="shared" si="3"/>
        <v>9.1584960655908906E-8</v>
      </c>
      <c r="AE17" s="16">
        <f t="shared" si="3"/>
        <v>1.4300083079713305E-3</v>
      </c>
      <c r="AF17" s="16">
        <f t="shared" si="3"/>
        <v>0.14065768623169977</v>
      </c>
      <c r="AG17" s="12">
        <f>AC17*Inputs!$B127</f>
        <v>6.4916091431094118</v>
      </c>
      <c r="AH17" s="12">
        <f>AD17*Inputs!$C127</f>
        <v>4.4143951036148092E-3</v>
      </c>
      <c r="AI17" s="12">
        <f>AE17*Inputs!$D127</f>
        <v>1219.3680842071535</v>
      </c>
      <c r="AJ17" s="12">
        <f>AF17*Inputs!$E127</f>
        <v>9.8460380362189834</v>
      </c>
      <c r="AK17" s="406">
        <f>AJ17*(1-VLOOKUP(W17,'Transportation Electrification'!$O$7:$P$35,2,FALSE))</f>
        <v>8.2988034876702859</v>
      </c>
      <c r="AL17" s="12">
        <f>AK17/((1+Inputs!$B$4)^(W17-Inputs!$B$5))</f>
        <v>4.8746724183247263</v>
      </c>
      <c r="AM17" s="12">
        <f t="shared" si="9"/>
        <v>1225.8641077453665</v>
      </c>
      <c r="AN17" s="406">
        <f>AM17*(1-VLOOKUP(W17,'Transportation Electrification'!$O$7:$P$35,2,FALSE))</f>
        <v>1033.2283193853802</v>
      </c>
      <c r="AO17" s="12">
        <f>AN17/((1+Inputs!$B$3)^(W17-Inputs!$B$5))+AL17</f>
        <v>310.56964944606648</v>
      </c>
      <c r="AP17" s="12">
        <f>AN17/((1+Inputs!$B$4)^(W17-Inputs!$B$5))+AL17</f>
        <v>611.78741566173142</v>
      </c>
      <c r="AQ17" s="167"/>
      <c r="AR17" s="110">
        <f t="shared" si="10"/>
        <v>2038</v>
      </c>
      <c r="AS17" s="10">
        <f>'I-87 DetourSavings'!O23</f>
        <v>218.25523625936054</v>
      </c>
      <c r="AT17" s="24">
        <f>Inputs!$B$101</f>
        <v>0.27539999999999998</v>
      </c>
      <c r="AU17" s="24">
        <f>Inputs!$B$102</f>
        <v>6.9937200000000005E-5</v>
      </c>
      <c r="AV17" s="24">
        <f>Inputs!$B$103</f>
        <v>1.0920000000000001</v>
      </c>
      <c r="AW17" s="24">
        <f>Inputs!$B$104</f>
        <v>107.41070000000001</v>
      </c>
      <c r="AX17" s="16">
        <f t="shared" si="4"/>
        <v>3.6064495239496734E-3</v>
      </c>
      <c r="AY17" s="16">
        <f t="shared" si="5"/>
        <v>9.1584960655908911E-7</v>
      </c>
      <c r="AZ17" s="16">
        <f t="shared" si="5"/>
        <v>1.4300083079713304E-2</v>
      </c>
      <c r="BA17" s="16">
        <f t="shared" si="5"/>
        <v>1.4065768623169979</v>
      </c>
      <c r="BB17" s="12">
        <f>AX17*Inputs!$B127</f>
        <v>64.916091431094117</v>
      </c>
      <c r="BC17" s="12">
        <f>AY17*Inputs!$C127</f>
        <v>4.4143951036148092E-2</v>
      </c>
      <c r="BD17" s="12">
        <f>AZ17*Inputs!$D127</f>
        <v>12193.680842071533</v>
      </c>
      <c r="BE17" s="12">
        <f>BA17*Inputs!$E127</f>
        <v>98.460380362189852</v>
      </c>
      <c r="BF17" s="406">
        <f>BE17*(1-VLOOKUP(AR17,'Transportation Electrification'!$O$7:$P$35,2,FALSE))</f>
        <v>82.988034876702869</v>
      </c>
      <c r="BG17" s="12">
        <f>BF17/((1+Inputs!$B$4)^(AR17-Inputs!$B$5))</f>
        <v>48.746724183247267</v>
      </c>
      <c r="BH17" s="12">
        <f t="shared" si="11"/>
        <v>12258.641077453663</v>
      </c>
      <c r="BI17" s="406">
        <f>BH17*(1-VLOOKUP(AR17,'Transportation Electrification'!$O$7:$P$35,2,FALSE))</f>
        <v>10332.283193853802</v>
      </c>
      <c r="BJ17" s="12">
        <f>BI17/((1+Inputs!$B$3)^(AR17-Inputs!$B$5))+BG17</f>
        <v>3105.6964944606648</v>
      </c>
      <c r="BK17" s="12">
        <f>BI17/((1+Inputs!$B$4)^(AR17-Inputs!$B$5))+BG17</f>
        <v>6117.8741566173139</v>
      </c>
    </row>
    <row r="18" spans="2:63">
      <c r="B18" s="110">
        <f t="shared" si="6"/>
        <v>2039</v>
      </c>
      <c r="C18" s="10">
        <f>'Travel Time Savings'!C31</f>
        <v>181688.76923076919</v>
      </c>
      <c r="D18" s="24">
        <f>Inputs!$B$101</f>
        <v>0.27539999999999998</v>
      </c>
      <c r="E18" s="24">
        <f>Inputs!$B$102</f>
        <v>6.9937200000000005E-5</v>
      </c>
      <c r="F18" s="24">
        <f>Inputs!$B$103</f>
        <v>1.0920000000000001</v>
      </c>
      <c r="G18" s="24">
        <f>Inputs!$B$104</f>
        <v>107.41070000000001</v>
      </c>
      <c r="H18" s="16">
        <f t="shared" si="0"/>
        <v>3.0022252227692303</v>
      </c>
      <c r="I18" s="16">
        <f t="shared" si="1"/>
        <v>7.6240822748676923E-4</v>
      </c>
      <c r="J18" s="16">
        <f t="shared" si="1"/>
        <v>11.904248159999998</v>
      </c>
      <c r="K18" s="16">
        <f t="shared" si="1"/>
        <v>1170.9190731129229</v>
      </c>
      <c r="L18" s="12">
        <f>H18*Inputs!$B128</f>
        <v>54040.054009846142</v>
      </c>
      <c r="M18" s="12">
        <f>I18*Inputs!$C128</f>
        <v>36.748076564862274</v>
      </c>
      <c r="N18" s="12">
        <f>J18*Inputs!$D128</f>
        <v>10150752.406031998</v>
      </c>
      <c r="O18" s="12">
        <f>K18*Inputs!$E128</f>
        <v>83135.25419101752</v>
      </c>
      <c r="P18" s="406">
        <f>O18*(1-VLOOKUP(B18,'Transportation Electrification'!$O$7:$P$35,2,FALSE))</f>
        <v>69358.554925077478</v>
      </c>
      <c r="Q18" s="12">
        <f>P18/((1+Inputs!$B$4)^(B18-Inputs!$B$5))</f>
        <v>39554.214713639107</v>
      </c>
      <c r="R18" s="12">
        <f t="shared" si="7"/>
        <v>10204829.208118409</v>
      </c>
      <c r="S18" s="406">
        <f>R18*(1-VLOOKUP(B18,'Transportation Electrification'!$O$7:$P$35,2,FALSE))</f>
        <v>8513743.2250587866</v>
      </c>
      <c r="T18" s="12">
        <f>S18/((1+Inputs!$B$3)^(B18-Inputs!$B$5))+Q18</f>
        <v>2393675.1615569727</v>
      </c>
      <c r="U18" s="12">
        <f>S18/((1+Inputs!$B$4)^(B18-Inputs!$B$5))+Q18</f>
        <v>4894823.0118293585</v>
      </c>
      <c r="W18" s="110">
        <f t="shared" si="8"/>
        <v>2039</v>
      </c>
      <c r="X18" s="10">
        <f>'I-87 DetourSavings'!G24</f>
        <v>22.554052674302906</v>
      </c>
      <c r="Y18" s="24">
        <f>Inputs!$B$101</f>
        <v>0.27539999999999998</v>
      </c>
      <c r="Z18" s="24">
        <f>Inputs!$B$102</f>
        <v>6.9937200000000005E-5</v>
      </c>
      <c r="AA18" s="24">
        <f>Inputs!$B$103</f>
        <v>1.0920000000000001</v>
      </c>
      <c r="AB18" s="24">
        <f>Inputs!$B$104</f>
        <v>107.41070000000001</v>
      </c>
      <c r="AC18" s="16">
        <f t="shared" si="2"/>
        <v>3.7268316639018116E-4</v>
      </c>
      <c r="AD18" s="16">
        <f t="shared" si="3"/>
        <v>9.464203756159544E-8</v>
      </c>
      <c r="AE18" s="16">
        <f t="shared" si="3"/>
        <v>1.4777415312203263E-3</v>
      </c>
      <c r="AF18" s="16">
        <f t="shared" si="3"/>
        <v>0.14535279513502483</v>
      </c>
      <c r="AG18" s="12">
        <f>AC18*Inputs!$B128</f>
        <v>6.7082969950232609</v>
      </c>
      <c r="AH18" s="12">
        <f>AD18*Inputs!$C128</f>
        <v>4.5617462104689003E-3</v>
      </c>
      <c r="AI18" s="12">
        <f>AE18*Inputs!$D128</f>
        <v>1260.0702036715722</v>
      </c>
      <c r="AJ18" s="12">
        <f>AF18*Inputs!$E128</f>
        <v>10.320048454586763</v>
      </c>
      <c r="AK18" s="406">
        <f>AJ18*(1-VLOOKUP(W18,'Transportation Electrification'!$O$7:$P$35,2,FALSE))</f>
        <v>8.6098689963980988</v>
      </c>
      <c r="AL18" s="12">
        <f>AK18/((1+Inputs!$B$4)^(W18-Inputs!$B$5))</f>
        <v>4.9100879813270479</v>
      </c>
      <c r="AM18" s="12">
        <f t="shared" si="9"/>
        <v>1266.783062412806</v>
      </c>
      <c r="AN18" s="406">
        <f>AM18*(1-VLOOKUP(W18,'Transportation Electrification'!$O$7:$P$35,2,FALSE))</f>
        <v>1056.8590120701124</v>
      </c>
      <c r="AO18" s="12">
        <f>AN18/((1+Inputs!$B$3)^(W18-Inputs!$B$5))+AL18</f>
        <v>297.14041163631651</v>
      </c>
      <c r="AP18" s="12">
        <f>AN18/((1+Inputs!$B$4)^(W18-Inputs!$B$5))+AL18</f>
        <v>607.62201487516768</v>
      </c>
      <c r="AQ18" s="167"/>
      <c r="AR18" s="110">
        <f t="shared" si="10"/>
        <v>2039</v>
      </c>
      <c r="AS18" s="10">
        <f>'I-87 DetourSavings'!O24</f>
        <v>225.54052674302909</v>
      </c>
      <c r="AT18" s="24">
        <f>Inputs!$B$101</f>
        <v>0.27539999999999998</v>
      </c>
      <c r="AU18" s="24">
        <f>Inputs!$B$102</f>
        <v>6.9937200000000005E-5</v>
      </c>
      <c r="AV18" s="24">
        <f>Inputs!$B$103</f>
        <v>1.0920000000000001</v>
      </c>
      <c r="AW18" s="24">
        <f>Inputs!$B$104</f>
        <v>107.41070000000001</v>
      </c>
      <c r="AX18" s="16">
        <f t="shared" si="4"/>
        <v>3.7268316639018123E-3</v>
      </c>
      <c r="AY18" s="16">
        <f t="shared" si="5"/>
        <v>9.4642037561595448E-7</v>
      </c>
      <c r="AZ18" s="16">
        <f t="shared" si="5"/>
        <v>1.4777415312203265E-2</v>
      </c>
      <c r="BA18" s="16">
        <f t="shared" si="5"/>
        <v>1.4535279513502484</v>
      </c>
      <c r="BB18" s="12">
        <f>AX18*Inputs!$B128</f>
        <v>67.082969950232624</v>
      </c>
      <c r="BC18" s="12">
        <f>AY18*Inputs!$C128</f>
        <v>4.5617462104689005E-2</v>
      </c>
      <c r="BD18" s="12">
        <f>AZ18*Inputs!$D128</f>
        <v>12600.702036715724</v>
      </c>
      <c r="BE18" s="12">
        <f>BA18*Inputs!$E128</f>
        <v>103.20048454586764</v>
      </c>
      <c r="BF18" s="406">
        <f>BE18*(1-VLOOKUP(AR18,'Transportation Electrification'!$O$7:$P$35,2,FALSE))</f>
        <v>86.098689963981002</v>
      </c>
      <c r="BG18" s="12">
        <f>BF18/((1+Inputs!$B$4)^(AR18-Inputs!$B$5))</f>
        <v>49.100879813270488</v>
      </c>
      <c r="BH18" s="12">
        <f t="shared" si="11"/>
        <v>12667.830624128061</v>
      </c>
      <c r="BI18" s="406">
        <f>BH18*(1-VLOOKUP(AR18,'Transportation Electrification'!$O$7:$P$35,2,FALSE))</f>
        <v>10568.590120701125</v>
      </c>
      <c r="BJ18" s="12">
        <f>BI18/((1+Inputs!$B$3)^(AR18-Inputs!$B$5))+BG18</f>
        <v>2971.4041163631655</v>
      </c>
      <c r="BK18" s="12">
        <f>BI18/((1+Inputs!$B$4)^(AR18-Inputs!$B$5))+BG18</f>
        <v>6076.2201487516777</v>
      </c>
    </row>
    <row r="19" spans="2:63">
      <c r="B19" s="110">
        <f t="shared" si="6"/>
        <v>2040</v>
      </c>
      <c r="C19" s="10">
        <f>'Travel Time Savings'!C32</f>
        <v>189176.61538461511</v>
      </c>
      <c r="D19" s="24">
        <f>Inputs!$B$101</f>
        <v>0.27539999999999998</v>
      </c>
      <c r="E19" s="24">
        <f>Inputs!$B$102</f>
        <v>6.9937200000000005E-5</v>
      </c>
      <c r="F19" s="24">
        <f>Inputs!$B$103</f>
        <v>1.0920000000000001</v>
      </c>
      <c r="G19" s="24">
        <f>Inputs!$B$104</f>
        <v>107.41070000000001</v>
      </c>
      <c r="H19" s="16">
        <f t="shared" si="0"/>
        <v>3.1259543926153799</v>
      </c>
      <c r="I19" s="16">
        <f t="shared" si="1"/>
        <v>7.9382896712861428E-4</v>
      </c>
      <c r="J19" s="16">
        <f t="shared" si="1"/>
        <v>12.394851839999983</v>
      </c>
      <c r="K19" s="16">
        <f t="shared" si="1"/>
        <v>1219.175560925537</v>
      </c>
      <c r="L19" s="12">
        <f>H19*Inputs!$B129</f>
        <v>56267.179067076839</v>
      </c>
      <c r="M19" s="12">
        <f>I19*Inputs!$C129</f>
        <v>38.262556215599211</v>
      </c>
      <c r="N19" s="12">
        <f>J19*Inputs!$D129</f>
        <v>10569090.163967986</v>
      </c>
      <c r="O19" s="12">
        <f>K19*Inputs!$E129</f>
        <v>87780.640386638668</v>
      </c>
      <c r="P19" s="406">
        <f>O19*(1-VLOOKUP(B19,'Transportation Electrification'!$O$7:$P$35,2,FALSE))</f>
        <v>72481.728776395932</v>
      </c>
      <c r="Q19" s="12">
        <f>P19/((1+Inputs!$B$4)^(B19-Inputs!$B$5))</f>
        <v>40131.375845000395</v>
      </c>
      <c r="R19" s="12">
        <f t="shared" si="7"/>
        <v>10625395.605591279</v>
      </c>
      <c r="S19" s="406">
        <f>R19*(1-VLOOKUP(B19,'Transportation Electrification'!$O$7:$P$35,2,FALSE))</f>
        <v>8773540.9429025128</v>
      </c>
      <c r="T19" s="12">
        <f>S19/((1+Inputs!$B$3)^(B19-Inputs!$B$5))+Q19</f>
        <v>2307381.0774565171</v>
      </c>
      <c r="U19" s="12">
        <f>S19/((1+Inputs!$B$4)^(B19-Inputs!$B$5))+Q19</f>
        <v>4897828.2742912369</v>
      </c>
      <c r="W19" s="110">
        <f t="shared" si="8"/>
        <v>2040</v>
      </c>
      <c r="X19" s="10">
        <f>'I-87 DetourSavings'!G25</f>
        <v>23.306899790974153</v>
      </c>
      <c r="Y19" s="24">
        <f>Inputs!$B$101</f>
        <v>0.27539999999999998</v>
      </c>
      <c r="Z19" s="24">
        <f>Inputs!$B$102</f>
        <v>6.9937200000000005E-5</v>
      </c>
      <c r="AA19" s="24">
        <f>Inputs!$B$103</f>
        <v>1.0920000000000001</v>
      </c>
      <c r="AB19" s="24">
        <f>Inputs!$B$104</f>
        <v>107.41070000000001</v>
      </c>
      <c r="AC19" s="16">
        <f t="shared" si="2"/>
        <v>3.8512321214605687E-4</v>
      </c>
      <c r="AD19" s="16">
        <f t="shared" si="3"/>
        <v>9.7801158723679057E-8</v>
      </c>
      <c r="AE19" s="16">
        <f t="shared" si="3"/>
        <v>1.5270680743046266E-3</v>
      </c>
      <c r="AF19" s="16">
        <f t="shared" si="3"/>
        <v>0.15020462528270326</v>
      </c>
      <c r="AG19" s="12">
        <f>AC19*Inputs!$B129</f>
        <v>6.9322178186290238</v>
      </c>
      <c r="AH19" s="12">
        <f>AD19*Inputs!$C129</f>
        <v>4.7140158504813305E-3</v>
      </c>
      <c r="AI19" s="12">
        <f>AE19*Inputs!$D129</f>
        <v>1302.1309469595551</v>
      </c>
      <c r="AJ19" s="12">
        <f>AF19*Inputs!$E129</f>
        <v>10.814733020354634</v>
      </c>
      <c r="AK19" s="406">
        <f>AJ19*(1-VLOOKUP(W19,'Transportation Electrification'!$O$7:$P$35,2,FALSE))</f>
        <v>8.9298795510928262</v>
      </c>
      <c r="AL19" s="12">
        <f>AK19/((1+Inputs!$B$4)^(W19-Inputs!$B$5))</f>
        <v>4.9442577952444511</v>
      </c>
      <c r="AM19" s="12">
        <f t="shared" si="9"/>
        <v>1309.0678787940346</v>
      </c>
      <c r="AN19" s="406">
        <f>AM19*(1-VLOOKUP(W19,'Transportation Electrification'!$O$7:$P$35,2,FALSE))</f>
        <v>1080.9160484899314</v>
      </c>
      <c r="AO19" s="12">
        <f>AN19/((1+Inputs!$B$3)^(W19-Inputs!$B$5))+AL19</f>
        <v>284.27350517151984</v>
      </c>
      <c r="AP19" s="12">
        <f>AN19/((1+Inputs!$B$4)^(W19-Inputs!$B$5))+AL19</f>
        <v>603.42126615502025</v>
      </c>
      <c r="AQ19" s="167"/>
      <c r="AR19" s="110">
        <f t="shared" si="10"/>
        <v>2040</v>
      </c>
      <c r="AS19" s="10">
        <f>'I-87 DetourSavings'!O25</f>
        <v>233.06899790974151</v>
      </c>
      <c r="AT19" s="24">
        <f>Inputs!$B$101</f>
        <v>0.27539999999999998</v>
      </c>
      <c r="AU19" s="24">
        <f>Inputs!$B$102</f>
        <v>6.9937200000000005E-5</v>
      </c>
      <c r="AV19" s="24">
        <f>Inputs!$B$103</f>
        <v>1.0920000000000001</v>
      </c>
      <c r="AW19" s="24">
        <f>Inputs!$B$104</f>
        <v>107.41070000000001</v>
      </c>
      <c r="AX19" s="16">
        <f t="shared" si="4"/>
        <v>3.8512321214605686E-3</v>
      </c>
      <c r="AY19" s="16">
        <f t="shared" si="5"/>
        <v>9.780115872367906E-7</v>
      </c>
      <c r="AZ19" s="16">
        <f t="shared" si="5"/>
        <v>1.5270680743046265E-2</v>
      </c>
      <c r="BA19" s="16">
        <f t="shared" si="5"/>
        <v>1.5020462528270324</v>
      </c>
      <c r="BB19" s="12">
        <f>AX19*Inputs!$B129</f>
        <v>69.32217818629023</v>
      </c>
      <c r="BC19" s="12">
        <f>AY19*Inputs!$C129</f>
        <v>4.7140158504813304E-2</v>
      </c>
      <c r="BD19" s="12">
        <f>AZ19*Inputs!$D129</f>
        <v>13021.30946959555</v>
      </c>
      <c r="BE19" s="12">
        <f>BA19*Inputs!$E129</f>
        <v>108.14733020354633</v>
      </c>
      <c r="BF19" s="406">
        <f>BE19*(1-VLOOKUP(AR19,'Transportation Electrification'!$O$7:$P$35,2,FALSE))</f>
        <v>89.298795510928258</v>
      </c>
      <c r="BG19" s="12">
        <f>BF19/((1+Inputs!$B$4)^(AR19-Inputs!$B$5))</f>
        <v>49.442577952444509</v>
      </c>
      <c r="BH19" s="12">
        <f t="shared" si="11"/>
        <v>13090.678787940346</v>
      </c>
      <c r="BI19" s="406">
        <f>BH19*(1-VLOOKUP(AR19,'Transportation Electrification'!$O$7:$P$35,2,FALSE))</f>
        <v>10809.160484899314</v>
      </c>
      <c r="BJ19" s="12">
        <f>BI19/((1+Inputs!$B$3)^(AR19-Inputs!$B$5))+BG19</f>
        <v>2842.7350517151986</v>
      </c>
      <c r="BK19" s="12">
        <f>BI19/((1+Inputs!$B$4)^(AR19-Inputs!$B$5))+BG19</f>
        <v>6034.212661550202</v>
      </c>
    </row>
    <row r="20" spans="2:63">
      <c r="B20" s="110">
        <f t="shared" si="6"/>
        <v>2041</v>
      </c>
      <c r="C20" s="10">
        <f>'Travel Time Savings'!C33</f>
        <v>196664.46153846156</v>
      </c>
      <c r="D20" s="24">
        <f>Inputs!$B$101</f>
        <v>0.27539999999999998</v>
      </c>
      <c r="E20" s="24">
        <f>Inputs!$B$102</f>
        <v>6.9937200000000005E-5</v>
      </c>
      <c r="F20" s="24">
        <f>Inputs!$B$103</f>
        <v>1.0920000000000001</v>
      </c>
      <c r="G20" s="24">
        <f>Inputs!$B$104</f>
        <v>107.41070000000001</v>
      </c>
      <c r="H20" s="16">
        <f t="shared" si="0"/>
        <v>3.2496835624615388</v>
      </c>
      <c r="I20" s="16">
        <f t="shared" si="1"/>
        <v>8.2524970677046172E-4</v>
      </c>
      <c r="J20" s="16">
        <f t="shared" si="1"/>
        <v>12.885455520000002</v>
      </c>
      <c r="K20" s="16">
        <f t="shared" si="1"/>
        <v>1267.4320487381542</v>
      </c>
      <c r="L20" s="12">
        <f>H20*Inputs!$B130</f>
        <v>58494.304124307695</v>
      </c>
      <c r="M20" s="12">
        <f>I20*Inputs!$C130</f>
        <v>39.777035866336256</v>
      </c>
      <c r="N20" s="12">
        <f>J20*Inputs!$D130</f>
        <v>10987427.921904001</v>
      </c>
      <c r="O20" s="12">
        <f>K20*Inputs!$E130</f>
        <v>92522.539557885262</v>
      </c>
      <c r="P20" s="406">
        <f>O20*(1-VLOOKUP(B20,'Transportation Electrification'!$O$7:$P$35,2,FALSE))</f>
        <v>75604.132324443388</v>
      </c>
      <c r="Q20" s="12">
        <f>P20/((1+Inputs!$B$4)^(B20-Inputs!$B$5))</f>
        <v>40640.94658673754</v>
      </c>
      <c r="R20" s="12">
        <f t="shared" si="7"/>
        <v>11045962.003064176</v>
      </c>
      <c r="S20" s="406">
        <f>R20*(1-VLOOKUP(B20,'Transportation Electrification'!$O$7:$P$35,2,FALSE))</f>
        <v>9026128.9510752987</v>
      </c>
      <c r="T20" s="12">
        <f>S20/((1+Inputs!$B$3)^(B20-Inputs!$B$5))+Q20</f>
        <v>2220569.2108916617</v>
      </c>
      <c r="U20" s="12">
        <f>S20/((1+Inputs!$B$4)^(B20-Inputs!$B$5))+Q20</f>
        <v>4892630.0284990957</v>
      </c>
      <c r="W20" s="110">
        <f t="shared" si="8"/>
        <v>2041</v>
      </c>
      <c r="X20" s="10">
        <f>'I-87 DetourSavings'!G26</f>
        <v>24.084876705348048</v>
      </c>
      <c r="Y20" s="24">
        <f>Inputs!$B$101</f>
        <v>0.27539999999999998</v>
      </c>
      <c r="Z20" s="24">
        <f>Inputs!$B$102</f>
        <v>6.9937200000000005E-5</v>
      </c>
      <c r="AA20" s="24">
        <f>Inputs!$B$103</f>
        <v>1.0920000000000001</v>
      </c>
      <c r="AB20" s="24">
        <f>Inputs!$B$104</f>
        <v>107.41070000000001</v>
      </c>
      <c r="AC20" s="16">
        <f t="shared" si="2"/>
        <v>3.9797850267917113E-4</v>
      </c>
      <c r="AD20" s="16">
        <f t="shared" si="3"/>
        <v>1.0106573034703606E-7</v>
      </c>
      <c r="AE20" s="16">
        <f t="shared" si="3"/>
        <v>1.5780411217344043E-3</v>
      </c>
      <c r="AF20" s="16">
        <f t="shared" si="3"/>
        <v>0.15521840798010766</v>
      </c>
      <c r="AG20" s="12">
        <f>AC20*Inputs!$B130</f>
        <v>7.1636130482250806</v>
      </c>
      <c r="AH20" s="12">
        <f>AD20*Inputs!$C130</f>
        <v>4.8713682027271381E-3</v>
      </c>
      <c r="AI20" s="12">
        <f>AE20*Inputs!$D130</f>
        <v>1345.5956645029266</v>
      </c>
      <c r="AJ20" s="12">
        <f>AF20*Inputs!$E130</f>
        <v>11.330943782547859</v>
      </c>
      <c r="AK20" s="406">
        <f>AJ20*(1-VLOOKUP(W20,'Transportation Electrification'!$O$7:$P$35,2,FALSE))</f>
        <v>9.2589997765962515</v>
      </c>
      <c r="AL20" s="12">
        <f>AK20/((1+Inputs!$B$4)^(W20-Inputs!$B$5))</f>
        <v>4.9771686255514922</v>
      </c>
      <c r="AM20" s="12">
        <f t="shared" si="9"/>
        <v>1352.7641489193545</v>
      </c>
      <c r="AN20" s="406">
        <f>AM20*(1-VLOOKUP(W20,'Transportation Electrification'!$O$7:$P$35,2,FALSE))</f>
        <v>1105.4015616883869</v>
      </c>
      <c r="AO20" s="12">
        <f>AN20/((1+Inputs!$B$3)^(W20-Inputs!$B$5))+AL20</f>
        <v>271.94611187826746</v>
      </c>
      <c r="AP20" s="12">
        <f>AN20/((1+Inputs!$B$4)^(W20-Inputs!$B$5))+AL20</f>
        <v>599.18497769989142</v>
      </c>
      <c r="AQ20" s="167"/>
      <c r="AR20" s="110">
        <f t="shared" si="10"/>
        <v>2041</v>
      </c>
      <c r="AS20" s="10">
        <f>'I-87 DetourSavings'!O26</f>
        <v>240.84876705348046</v>
      </c>
      <c r="AT20" s="24">
        <f>Inputs!$B$101</f>
        <v>0.27539999999999998</v>
      </c>
      <c r="AU20" s="24">
        <f>Inputs!$B$102</f>
        <v>6.9937200000000005E-5</v>
      </c>
      <c r="AV20" s="24">
        <f>Inputs!$B$103</f>
        <v>1.0920000000000001</v>
      </c>
      <c r="AW20" s="24">
        <f>Inputs!$B$104</f>
        <v>107.41070000000001</v>
      </c>
      <c r="AX20" s="16">
        <f t="shared" si="4"/>
        <v>3.9797850267917108E-3</v>
      </c>
      <c r="AY20" s="16">
        <f t="shared" si="5"/>
        <v>1.0106573034703605E-6</v>
      </c>
      <c r="AZ20" s="16">
        <f t="shared" si="5"/>
        <v>1.578041121734404E-2</v>
      </c>
      <c r="BA20" s="16">
        <f t="shared" si="5"/>
        <v>1.5521840798010766</v>
      </c>
      <c r="BB20" s="12">
        <f>AX20*Inputs!$B130</f>
        <v>71.636130482250792</v>
      </c>
      <c r="BC20" s="12">
        <f>AY20*Inputs!$C130</f>
        <v>4.8713682027271374E-2</v>
      </c>
      <c r="BD20" s="12">
        <f>AZ20*Inputs!$D130</f>
        <v>13455.956645029262</v>
      </c>
      <c r="BE20" s="12">
        <f>BA20*Inputs!$E130</f>
        <v>113.3094378254786</v>
      </c>
      <c r="BF20" s="406">
        <f>BE20*(1-VLOOKUP(AR20,'Transportation Electrification'!$O$7:$P$35,2,FALSE))</f>
        <v>92.589997765962508</v>
      </c>
      <c r="BG20" s="12">
        <f>BF20/((1+Inputs!$B$4)^(AR20-Inputs!$B$5))</f>
        <v>49.771686255514922</v>
      </c>
      <c r="BH20" s="12">
        <f t="shared" si="11"/>
        <v>13527.64148919354</v>
      </c>
      <c r="BI20" s="406">
        <f>BH20*(1-VLOOKUP(AR20,'Transportation Electrification'!$O$7:$P$35,2,FALSE))</f>
        <v>11054.015616883864</v>
      </c>
      <c r="BJ20" s="12">
        <f>BI20/((1+Inputs!$B$3)^(AR20-Inputs!$B$5))+BG20</f>
        <v>2719.4611187826736</v>
      </c>
      <c r="BK20" s="12">
        <f>BI20/((1+Inputs!$B$4)^(AR20-Inputs!$B$5))+BG20</f>
        <v>5991.8497769989126</v>
      </c>
    </row>
    <row r="21" spans="2:63">
      <c r="B21" s="110">
        <f t="shared" si="6"/>
        <v>2042</v>
      </c>
      <c r="C21" s="10">
        <f>'Travel Time Savings'!C34</f>
        <v>204152.30769230775</v>
      </c>
      <c r="D21" s="24">
        <f>Inputs!$B$101</f>
        <v>0.27539999999999998</v>
      </c>
      <c r="E21" s="24">
        <f>Inputs!$B$102</f>
        <v>6.9937200000000005E-5</v>
      </c>
      <c r="F21" s="24">
        <f>Inputs!$B$103</f>
        <v>1.0920000000000001</v>
      </c>
      <c r="G21" s="24">
        <f>Inputs!$B$104</f>
        <v>107.41070000000001</v>
      </c>
      <c r="H21" s="16">
        <f t="shared" si="0"/>
        <v>3.3734127323076923</v>
      </c>
      <c r="I21" s="16">
        <f t="shared" si="1"/>
        <v>8.5667044641230786E-4</v>
      </c>
      <c r="J21" s="16">
        <f t="shared" si="1"/>
        <v>13.376059200000004</v>
      </c>
      <c r="K21" s="16">
        <f t="shared" si="1"/>
        <v>1315.6885365507696</v>
      </c>
      <c r="L21" s="12">
        <f>H21*Inputs!$B131</f>
        <v>60721.429181538464</v>
      </c>
      <c r="M21" s="12">
        <f>I21*Inputs!$C131</f>
        <v>41.291515517073236</v>
      </c>
      <c r="N21" s="12">
        <f>J21*Inputs!$D131</f>
        <v>11405765.679840004</v>
      </c>
      <c r="O21" s="12">
        <f>K21*Inputs!$E131</f>
        <v>98676.64024130773</v>
      </c>
      <c r="P21" s="406">
        <f>O21*(1-VLOOKUP(B21,'Transportation Electrification'!$O$7:$P$35,2,FALSE))</f>
        <v>79787.111966543118</v>
      </c>
      <c r="Q21" s="12">
        <f>P21/((1+Inputs!$B$4)^(B21-Inputs!$B$5))</f>
        <v>41640.295402418051</v>
      </c>
      <c r="R21" s="12">
        <f t="shared" si="7"/>
        <v>11466528.400537059</v>
      </c>
      <c r="S21" s="406">
        <f>R21*(1-VLOOKUP(B21,'Transportation Electrification'!$O$7:$P$35,2,FALSE))</f>
        <v>9271507.2495771088</v>
      </c>
      <c r="T21" s="12">
        <f>S21/((1+Inputs!$B$3)^(B21-Inputs!$B$5))+Q21</f>
        <v>2134341.542688007</v>
      </c>
      <c r="U21" s="12">
        <f>S21/((1+Inputs!$B$4)^(B21-Inputs!$B$5))+Q21</f>
        <v>4880370.4008352375</v>
      </c>
      <c r="W21" s="110">
        <f t="shared" si="8"/>
        <v>2042</v>
      </c>
      <c r="X21" s="10">
        <f>'I-87 DetourSavings'!G27</f>
        <v>24.888822242092424</v>
      </c>
      <c r="Y21" s="24">
        <f>Inputs!$B$101</f>
        <v>0.27539999999999998</v>
      </c>
      <c r="Z21" s="24">
        <f>Inputs!$B$102</f>
        <v>6.9937200000000005E-5</v>
      </c>
      <c r="AA21" s="24">
        <f>Inputs!$B$103</f>
        <v>1.0920000000000001</v>
      </c>
      <c r="AB21" s="24">
        <f>Inputs!$B$104</f>
        <v>107.41070000000001</v>
      </c>
      <c r="AC21" s="16">
        <f t="shared" si="2"/>
        <v>4.1126289872833521E-4</v>
      </c>
      <c r="AD21" s="16">
        <f t="shared" si="3"/>
        <v>1.0443927233457998E-7</v>
      </c>
      <c r="AE21" s="16">
        <f t="shared" si="3"/>
        <v>1.6307156333018955E-3</v>
      </c>
      <c r="AF21" s="16">
        <f t="shared" si="3"/>
        <v>0.160399549151923</v>
      </c>
      <c r="AG21" s="12">
        <f>AC21*Inputs!$B131</f>
        <v>7.4027321771100336</v>
      </c>
      <c r="AH21" s="12">
        <f>AD21*Inputs!$C131</f>
        <v>5.0339729265267549E-3</v>
      </c>
      <c r="AI21" s="12">
        <f>AE21*Inputs!$D131</f>
        <v>1390.5112205165262</v>
      </c>
      <c r="AJ21" s="12">
        <f>AF21*Inputs!$E131</f>
        <v>12.029966186394226</v>
      </c>
      <c r="AK21" s="406">
        <f>AJ21*(1-VLOOKUP(W21,'Transportation Electrification'!$O$7:$P$35,2,FALSE))</f>
        <v>9.72708694499876</v>
      </c>
      <c r="AL21" s="12">
        <f>AK21/((1+Inputs!$B$4)^(W21-Inputs!$B$5))</f>
        <v>5.0764937320277514</v>
      </c>
      <c r="AM21" s="12">
        <f t="shared" si="9"/>
        <v>1397.9189866665629</v>
      </c>
      <c r="AN21" s="406">
        <f>AM21*(1-VLOOKUP(W21,'Transportation Electrification'!$O$7:$P$35,2,FALSE))</f>
        <v>1130.3173520761065</v>
      </c>
      <c r="AO21" s="12">
        <f>AN21/((1+Inputs!$B$3)^(W21-Inputs!$B$5))+AL21</f>
        <v>260.20400092629797</v>
      </c>
      <c r="AP21" s="12">
        <f>AN21/((1+Inputs!$B$4)^(W21-Inputs!$B$5))+AL21</f>
        <v>594.98064339800897</v>
      </c>
      <c r="AQ21" s="167"/>
      <c r="AR21" s="110">
        <f t="shared" si="10"/>
        <v>2042</v>
      </c>
      <c r="AS21" s="10">
        <f>'I-87 DetourSavings'!O27</f>
        <v>248.88822242092422</v>
      </c>
      <c r="AT21" s="24">
        <f>Inputs!$B$101</f>
        <v>0.27539999999999998</v>
      </c>
      <c r="AU21" s="24">
        <f>Inputs!$B$102</f>
        <v>6.9937200000000005E-5</v>
      </c>
      <c r="AV21" s="24">
        <f>Inputs!$B$103</f>
        <v>1.0920000000000001</v>
      </c>
      <c r="AW21" s="24">
        <f>Inputs!$B$104</f>
        <v>107.41070000000001</v>
      </c>
      <c r="AX21" s="16">
        <f t="shared" si="4"/>
        <v>4.1126289872833515E-3</v>
      </c>
      <c r="AY21" s="16">
        <f t="shared" si="5"/>
        <v>1.0443927233457996E-6</v>
      </c>
      <c r="AZ21" s="16">
        <f t="shared" si="5"/>
        <v>1.6307156333018956E-2</v>
      </c>
      <c r="BA21" s="16">
        <f t="shared" si="5"/>
        <v>1.60399549151923</v>
      </c>
      <c r="BB21" s="12">
        <f>AX21*Inputs!$B131</f>
        <v>74.027321771100333</v>
      </c>
      <c r="BC21" s="12">
        <f>AY21*Inputs!$C131</f>
        <v>5.0339729265267537E-2</v>
      </c>
      <c r="BD21" s="12">
        <f>AZ21*Inputs!$D131</f>
        <v>13905.112205165264</v>
      </c>
      <c r="BE21" s="12">
        <f>BA21*Inputs!$E131</f>
        <v>120.29966186394225</v>
      </c>
      <c r="BF21" s="406">
        <f>BE21*(1-VLOOKUP(AR21,'Transportation Electrification'!$O$7:$P$35,2,FALSE))</f>
        <v>97.2708694499876</v>
      </c>
      <c r="BG21" s="12">
        <f>BF21/((1+Inputs!$B$4)^(AR21-Inputs!$B$5))</f>
        <v>50.764937320277518</v>
      </c>
      <c r="BH21" s="12">
        <f t="shared" si="11"/>
        <v>13979.189866665629</v>
      </c>
      <c r="BI21" s="406">
        <f>BH21*(1-VLOOKUP(AR21,'Transportation Electrification'!$O$7:$P$35,2,FALSE))</f>
        <v>11303.173520761065</v>
      </c>
      <c r="BJ21" s="12">
        <f>BI21/((1+Inputs!$B$3)^(AR21-Inputs!$B$5))+BG21</f>
        <v>2602.0400092629798</v>
      </c>
      <c r="BK21" s="12">
        <f>BI21/((1+Inputs!$B$4)^(AR21-Inputs!$B$5))+BG21</f>
        <v>5949.8064339800894</v>
      </c>
    </row>
    <row r="22" spans="2:63">
      <c r="B22" s="110">
        <f t="shared" si="6"/>
        <v>2043</v>
      </c>
      <c r="C22" s="10">
        <f>'Travel Time Savings'!C35</f>
        <v>211640.15384615393</v>
      </c>
      <c r="D22" s="24">
        <f>Inputs!$B$101</f>
        <v>0.27539999999999998</v>
      </c>
      <c r="E22" s="24">
        <f>Inputs!$B$102</f>
        <v>6.9937200000000005E-5</v>
      </c>
      <c r="F22" s="24">
        <f>Inputs!$B$103</f>
        <v>1.0920000000000001</v>
      </c>
      <c r="G22" s="24">
        <f>Inputs!$B$104</f>
        <v>107.41070000000001</v>
      </c>
      <c r="H22" s="16">
        <f t="shared" si="0"/>
        <v>3.4971419021538472</v>
      </c>
      <c r="I22" s="16">
        <f t="shared" ref="I22:K24" si="12">$C22*60*E22/1000000</f>
        <v>8.8809118605415421E-4</v>
      </c>
      <c r="J22" s="16">
        <f t="shared" si="12"/>
        <v>13.866662880000007</v>
      </c>
      <c r="K22" s="16">
        <f t="shared" si="12"/>
        <v>1363.9450243633853</v>
      </c>
      <c r="L22" s="12">
        <f>H22*Inputs!$B132</f>
        <v>62948.554238769248</v>
      </c>
      <c r="M22" s="12">
        <f>I22*Inputs!$C132</f>
        <v>42.805995167810231</v>
      </c>
      <c r="N22" s="12">
        <f>J22*Inputs!$D132</f>
        <v>11824103.437776007</v>
      </c>
      <c r="O22" s="12">
        <f>K22*Inputs!$E132</f>
        <v>103659.82185161728</v>
      </c>
      <c r="P22" s="406">
        <f>O22*(1-VLOOKUP(B22,'Transportation Electrification'!$O$7:$P$35,2,FALSE))</f>
        <v>82927.857481293831</v>
      </c>
      <c r="Q22" s="12">
        <f>P22/((1+Inputs!$B$4)^(B22-Inputs!$B$5))</f>
        <v>42018.861100725306</v>
      </c>
      <c r="R22" s="12">
        <f t="shared" si="7"/>
        <v>11887094.798009943</v>
      </c>
      <c r="S22" s="406">
        <f>R22*(1-VLOOKUP(B22,'Transportation Electrification'!$O$7:$P$35,2,FALSE))</f>
        <v>9509675.8384079542</v>
      </c>
      <c r="T22" s="12">
        <f>S22/((1+Inputs!$B$3)^(B22-Inputs!$B$5))+Q22</f>
        <v>2048055.3408361503</v>
      </c>
      <c r="U22" s="12">
        <f>S22/((1+Inputs!$B$4)^(B22-Inputs!$B$5))+Q22</f>
        <v>4860493.1386632733</v>
      </c>
      <c r="W22" s="110">
        <f t="shared" si="8"/>
        <v>2043</v>
      </c>
      <c r="X22" s="10">
        <f>'I-87 DetourSavings'!G28</f>
        <v>25.719603225576197</v>
      </c>
      <c r="Y22" s="24">
        <f>Inputs!$B$101</f>
        <v>0.27539999999999998</v>
      </c>
      <c r="Z22" s="24">
        <f>Inputs!$B$102</f>
        <v>6.9937200000000005E-5</v>
      </c>
      <c r="AA22" s="24">
        <f>Inputs!$B$103</f>
        <v>1.0920000000000001</v>
      </c>
      <c r="AB22" s="24">
        <f>Inputs!$B$104</f>
        <v>107.41070000000001</v>
      </c>
      <c r="AC22" s="16">
        <f t="shared" si="2"/>
        <v>4.2499072369942106E-4</v>
      </c>
      <c r="AD22" s="16">
        <f t="shared" ref="AD22:AF24" si="13">$X22*60*Z22/1000000</f>
        <v>1.0792542208246607E-7</v>
      </c>
      <c r="AE22" s="16">
        <f t="shared" si="13"/>
        <v>1.6851484033397527E-3</v>
      </c>
      <c r="AF22" s="16">
        <f t="shared" si="13"/>
        <v>0.16575363517088385</v>
      </c>
      <c r="AG22" s="12">
        <f>AC22*Inputs!$B132</f>
        <v>7.6498330265895795</v>
      </c>
      <c r="AH22" s="12">
        <f>AD22*Inputs!$C132</f>
        <v>5.2020053443748646E-3</v>
      </c>
      <c r="AI22" s="12">
        <f>AE22*Inputs!$D132</f>
        <v>1436.9260435278072</v>
      </c>
      <c r="AJ22" s="12">
        <f>AF22*Inputs!$E132</f>
        <v>12.597276272987171</v>
      </c>
      <c r="AK22" s="406">
        <f>AJ22*(1-VLOOKUP(W22,'Transportation Electrification'!$O$7:$P$35,2,FALSE))</f>
        <v>10.077821018389738</v>
      </c>
      <c r="AL22" s="12">
        <f>AK22/((1+Inputs!$B$4)^(W22-Inputs!$B$5))</f>
        <v>5.1063487521694224</v>
      </c>
      <c r="AM22" s="12">
        <f t="shared" si="9"/>
        <v>1444.5810785597412</v>
      </c>
      <c r="AN22" s="406">
        <f>AM22*(1-VLOOKUP(W22,'Transportation Electrification'!$O$7:$P$35,2,FALSE))</f>
        <v>1155.6648628477931</v>
      </c>
      <c r="AO22" s="12">
        <f>AN22/((1+Inputs!$B$3)^(W22-Inputs!$B$5))+AL22</f>
        <v>248.89024976148337</v>
      </c>
      <c r="AP22" s="12">
        <f>AN22/((1+Inputs!$B$4)^(W22-Inputs!$B$5))+AL22</f>
        <v>590.67219870728093</v>
      </c>
      <c r="AQ22" s="167"/>
      <c r="AR22" s="110">
        <f t="shared" si="10"/>
        <v>2043</v>
      </c>
      <c r="AS22" s="10">
        <f>'I-87 DetourSavings'!O28</f>
        <v>257.19603225576196</v>
      </c>
      <c r="AT22" s="24">
        <f>Inputs!$B$101</f>
        <v>0.27539999999999998</v>
      </c>
      <c r="AU22" s="24">
        <f>Inputs!$B$102</f>
        <v>6.9937200000000005E-5</v>
      </c>
      <c r="AV22" s="24">
        <f>Inputs!$B$103</f>
        <v>1.0920000000000001</v>
      </c>
      <c r="AW22" s="24">
        <f>Inputs!$B$104</f>
        <v>107.41070000000001</v>
      </c>
      <c r="AX22" s="16">
        <f t="shared" si="4"/>
        <v>4.2499072369942105E-3</v>
      </c>
      <c r="AY22" s="16">
        <f t="shared" ref="AY22:BA24" si="14">$AS22*60*AU22/1000000</f>
        <v>1.0792542208246604E-6</v>
      </c>
      <c r="AZ22" s="16">
        <f t="shared" si="14"/>
        <v>1.6851484033397528E-2</v>
      </c>
      <c r="BA22" s="16">
        <f t="shared" si="14"/>
        <v>1.6575363517088382</v>
      </c>
      <c r="BB22" s="12">
        <f>AX22*Inputs!$B132</f>
        <v>76.498330265895788</v>
      </c>
      <c r="BC22" s="12">
        <f>AY22*Inputs!$C132</f>
        <v>5.2020053443748632E-2</v>
      </c>
      <c r="BD22" s="12">
        <f>AZ22*Inputs!$D132</f>
        <v>14369.260435278073</v>
      </c>
      <c r="BE22" s="12">
        <f>BA22*Inputs!$E132</f>
        <v>125.9727627298717</v>
      </c>
      <c r="BF22" s="406">
        <f>BE22*(1-VLOOKUP(AR22,'Transportation Electrification'!$O$7:$P$35,2,FALSE))</f>
        <v>100.77821018389737</v>
      </c>
      <c r="BG22" s="12">
        <f>BF22/((1+Inputs!$B$4)^(AR22-Inputs!$B$5))</f>
        <v>51.063487521694221</v>
      </c>
      <c r="BH22" s="12">
        <f t="shared" si="11"/>
        <v>14445.810785597412</v>
      </c>
      <c r="BI22" s="406">
        <f>BH22*(1-VLOOKUP(AR22,'Transportation Electrification'!$O$7:$P$35,2,FALSE))</f>
        <v>11556.648628477931</v>
      </c>
      <c r="BJ22" s="12">
        <f>BI22/((1+Inputs!$B$3)^(AR22-Inputs!$B$5))+BG22</f>
        <v>2488.9024976148339</v>
      </c>
      <c r="BK22" s="12">
        <f>BI22/((1+Inputs!$B$4)^(AR22-Inputs!$B$5))+BG22</f>
        <v>5906.7219870728095</v>
      </c>
    </row>
    <row r="23" spans="2:63">
      <c r="B23" s="110">
        <f t="shared" si="6"/>
        <v>2044</v>
      </c>
      <c r="C23" s="10">
        <f>'Travel Time Savings'!C36</f>
        <v>219127.99999999997</v>
      </c>
      <c r="D23" s="24">
        <f>Inputs!$B$101</f>
        <v>0.27539999999999998</v>
      </c>
      <c r="E23" s="24">
        <f>Inputs!$B$102</f>
        <v>6.9937200000000005E-5</v>
      </c>
      <c r="F23" s="24">
        <f>Inputs!$B$103</f>
        <v>1.0920000000000001</v>
      </c>
      <c r="G23" s="24">
        <f>Inputs!$B$104</f>
        <v>107.41070000000001</v>
      </c>
      <c r="H23" s="16">
        <f t="shared" si="0"/>
        <v>3.620871071999999</v>
      </c>
      <c r="I23" s="16">
        <f t="shared" si="12"/>
        <v>9.1951192569599991E-4</v>
      </c>
      <c r="J23" s="16">
        <f t="shared" si="12"/>
        <v>14.357266559999999</v>
      </c>
      <c r="K23" s="16">
        <f t="shared" si="12"/>
        <v>1412.2015121759998</v>
      </c>
      <c r="L23" s="12">
        <f>H23*Inputs!$B133</f>
        <v>65175.67929599998</v>
      </c>
      <c r="M23" s="12">
        <f>I23*Inputs!$C133</f>
        <v>44.320474818547197</v>
      </c>
      <c r="N23" s="12">
        <f>J23*Inputs!$D133</f>
        <v>12242441.195712</v>
      </c>
      <c r="O23" s="12">
        <f>K23*Inputs!$E133</f>
        <v>108739.51643755198</v>
      </c>
      <c r="P23" s="406">
        <f>O23*(1-VLOOKUP(B23,'Transportation Electrification'!$O$7:$P$35,2,FALSE))</f>
        <v>86059.560152005433</v>
      </c>
      <c r="Q23" s="12">
        <f>P23/((1+Inputs!$B$4)^(B23-Inputs!$B$5))</f>
        <v>42335.600973310793</v>
      </c>
      <c r="R23" s="12">
        <f t="shared" si="7"/>
        <v>12307661.195482818</v>
      </c>
      <c r="S23" s="406">
        <f>R23*(1-VLOOKUP(B23,'Transportation Electrification'!$O$7:$P$35,2,FALSE))</f>
        <v>9740634.7175678313</v>
      </c>
      <c r="T23" s="12">
        <f>S23/((1+Inputs!$B$3)^(B23-Inputs!$B$5))+Q23</f>
        <v>1962668.8116977075</v>
      </c>
      <c r="U23" s="12">
        <f>S23/((1+Inputs!$B$4)^(B23-Inputs!$B$5))+Q23</f>
        <v>4834082.4319047965</v>
      </c>
      <c r="W23" s="110">
        <f t="shared" si="8"/>
        <v>2044</v>
      </c>
      <c r="X23" s="10">
        <f>'I-87 DetourSavings'!G29</f>
        <v>26.578115414490458</v>
      </c>
      <c r="Y23" s="24">
        <f>Inputs!$B$101</f>
        <v>0.27539999999999998</v>
      </c>
      <c r="Z23" s="24">
        <f>Inputs!$B$102</f>
        <v>6.9937200000000005E-5</v>
      </c>
      <c r="AA23" s="24">
        <f>Inputs!$B$103</f>
        <v>1.0920000000000001</v>
      </c>
      <c r="AB23" s="24">
        <f>Inputs!$B$104</f>
        <v>107.41070000000001</v>
      </c>
      <c r="AC23" s="16">
        <f t="shared" si="2"/>
        <v>4.391767791090403E-4</v>
      </c>
      <c r="AD23" s="16">
        <f t="shared" si="13"/>
        <v>1.1152793840197812E-7</v>
      </c>
      <c r="AE23" s="16">
        <f t="shared" si="13"/>
        <v>1.741398121957415E-3</v>
      </c>
      <c r="AF23" s="16">
        <f t="shared" si="13"/>
        <v>0.17128643888107262</v>
      </c>
      <c r="AG23" s="12">
        <f>AC23*Inputs!$B133</f>
        <v>7.9051820239627251</v>
      </c>
      <c r="AH23" s="12">
        <f>AD23*Inputs!$C133</f>
        <v>5.3756466309753453E-3</v>
      </c>
      <c r="AI23" s="12">
        <f>AE23*Inputs!$D133</f>
        <v>1484.8901785930877</v>
      </c>
      <c r="AJ23" s="12">
        <f>AF23*Inputs!$E133</f>
        <v>13.189055793842591</v>
      </c>
      <c r="AK23" s="406">
        <f>AJ23*(1-VLOOKUP(W23,'Transportation Electrification'!$O$7:$P$35,2,FALSE))</f>
        <v>10.438195585412567</v>
      </c>
      <c r="AL23" s="12">
        <f>AK23/((1+Inputs!$B$4)^(W23-Inputs!$B$5))</f>
        <v>5.1349005549745774</v>
      </c>
      <c r="AM23" s="12">
        <f t="shared" si="9"/>
        <v>1492.8007362636815</v>
      </c>
      <c r="AN23" s="406">
        <f>AM23*(1-VLOOKUP(W23,'Transportation Electrification'!$O$7:$P$35,2,FALSE))</f>
        <v>1181.4451541286851</v>
      </c>
      <c r="AO23" s="12">
        <f>AN23/((1+Inputs!$B$3)^(W23-Inputs!$B$5))+AL23</f>
        <v>238.05281934632958</v>
      </c>
      <c r="AP23" s="12">
        <f>AN23/((1+Inputs!$B$4)^(W23-Inputs!$B$5))+AL23</f>
        <v>586.32762950570623</v>
      </c>
      <c r="AQ23" s="167"/>
      <c r="AR23" s="110">
        <f t="shared" si="10"/>
        <v>2044</v>
      </c>
      <c r="AS23" s="10">
        <f>'I-87 DetourSavings'!O29</f>
        <v>265.78115414490458</v>
      </c>
      <c r="AT23" s="24">
        <f>Inputs!$B$101</f>
        <v>0.27539999999999998</v>
      </c>
      <c r="AU23" s="24">
        <f>Inputs!$B$102</f>
        <v>6.9937200000000005E-5</v>
      </c>
      <c r="AV23" s="24">
        <f>Inputs!$B$103</f>
        <v>1.0920000000000001</v>
      </c>
      <c r="AW23" s="24">
        <f>Inputs!$B$104</f>
        <v>107.41070000000001</v>
      </c>
      <c r="AX23" s="16">
        <f t="shared" si="4"/>
        <v>4.3917677910904028E-3</v>
      </c>
      <c r="AY23" s="16">
        <f t="shared" si="14"/>
        <v>1.1152793840197813E-6</v>
      </c>
      <c r="AZ23" s="16">
        <f t="shared" si="14"/>
        <v>1.7413981219574149E-2</v>
      </c>
      <c r="BA23" s="16">
        <f t="shared" si="14"/>
        <v>1.7128643888107262</v>
      </c>
      <c r="BB23" s="12">
        <f>AX23*Inputs!$B133</f>
        <v>79.051820239627247</v>
      </c>
      <c r="BC23" s="12">
        <f>AY23*Inputs!$C133</f>
        <v>5.3756466309753462E-2</v>
      </c>
      <c r="BD23" s="12">
        <f>AZ23*Inputs!$D133</f>
        <v>14848.901785930877</v>
      </c>
      <c r="BE23" s="12">
        <f>BA23*Inputs!$E133</f>
        <v>131.89055793842593</v>
      </c>
      <c r="BF23" s="406">
        <f>BE23*(1-VLOOKUP(AR23,'Transportation Electrification'!$O$7:$P$35,2,FALSE))</f>
        <v>104.38195585412566</v>
      </c>
      <c r="BG23" s="12">
        <f>BF23/((1+Inputs!$B$4)^(AR23-Inputs!$B$5))</f>
        <v>51.349005549745769</v>
      </c>
      <c r="BH23" s="12">
        <f t="shared" si="11"/>
        <v>14928.007362636814</v>
      </c>
      <c r="BI23" s="406">
        <f>BH23*(1-VLOOKUP(AR23,'Transportation Electrification'!$O$7:$P$35,2,FALSE))</f>
        <v>11814.451541286851</v>
      </c>
      <c r="BJ23" s="12">
        <f>BI23/((1+Inputs!$B$3)^(AR23-Inputs!$B$5))+BG23</f>
        <v>2380.5281934632962</v>
      </c>
      <c r="BK23" s="12">
        <f>BI23/((1+Inputs!$B$4)^(AR23-Inputs!$B$5))+BG23</f>
        <v>5863.2762950570632</v>
      </c>
    </row>
    <row r="24" spans="2:63">
      <c r="B24" s="110">
        <f t="shared" si="6"/>
        <v>2045</v>
      </c>
      <c r="C24" s="10">
        <f>'Travel Time Savings'!C37</f>
        <v>219127.99999999997</v>
      </c>
      <c r="D24" s="24">
        <f>Inputs!$B$101</f>
        <v>0.27539999999999998</v>
      </c>
      <c r="E24" s="24">
        <f>Inputs!$B$102</f>
        <v>6.9937200000000005E-5</v>
      </c>
      <c r="F24" s="24">
        <f>Inputs!$B$103</f>
        <v>1.0920000000000001</v>
      </c>
      <c r="G24" s="24">
        <f>Inputs!$B$104</f>
        <v>107.41070000000001</v>
      </c>
      <c r="H24" s="16">
        <f t="shared" si="0"/>
        <v>3.620871071999999</v>
      </c>
      <c r="I24" s="16">
        <f t="shared" si="12"/>
        <v>9.1951192569599991E-4</v>
      </c>
      <c r="J24" s="16">
        <f t="shared" si="12"/>
        <v>14.357266559999999</v>
      </c>
      <c r="K24" s="16">
        <f t="shared" si="12"/>
        <v>1412.2015121759998</v>
      </c>
      <c r="L24" s="12">
        <f>H24*Inputs!$B134</f>
        <v>65175.67929599998</v>
      </c>
      <c r="M24" s="12">
        <f>I24*Inputs!$C134</f>
        <v>44.320474818547197</v>
      </c>
      <c r="N24" s="12">
        <f>J24*Inputs!$D134</f>
        <v>12242441.195712</v>
      </c>
      <c r="O24" s="12">
        <f>K24*Inputs!$E134</f>
        <v>110151.71794972799</v>
      </c>
      <c r="P24" s="406">
        <f>O24*(1-VLOOKUP(B24,'Transportation Electrification'!$O$7:$P$35,2,FALSE))</f>
        <v>86233.059194929912</v>
      </c>
      <c r="Q24" s="12">
        <f>P24/((1+Inputs!$B$4)^(B24-Inputs!$B$5))</f>
        <v>41185.389325968899</v>
      </c>
      <c r="R24" s="12">
        <f t="shared" si="7"/>
        <v>12307661.195482818</v>
      </c>
      <c r="S24" s="406">
        <f>R24*(1-VLOOKUP(B24,'Transportation Electrification'!$O$7:$P$35,2,FALSE))</f>
        <v>9635140.4787494075</v>
      </c>
      <c r="T24" s="12">
        <f>S24/((1+Inputs!$B$3)^(B24-Inputs!$B$5))+Q24</f>
        <v>1816452.0978467849</v>
      </c>
      <c r="U24" s="12">
        <f>S24/((1+Inputs!$B$4)^(B24-Inputs!$B$5))+Q24</f>
        <v>4642982.1425951393</v>
      </c>
      <c r="W24" s="110">
        <f t="shared" si="8"/>
        <v>2045</v>
      </c>
      <c r="X24" s="10">
        <f>'I-87 DetourSavings'!G30</f>
        <v>27.465284467666976</v>
      </c>
      <c r="Y24" s="24">
        <f>Inputs!$B$101</f>
        <v>0.27539999999999998</v>
      </c>
      <c r="Z24" s="24">
        <f>Inputs!$B$102</f>
        <v>6.9937200000000005E-5</v>
      </c>
      <c r="AA24" s="24">
        <f>Inputs!$B$103</f>
        <v>1.0920000000000001</v>
      </c>
      <c r="AB24" s="24">
        <f>Inputs!$B$104</f>
        <v>107.41070000000001</v>
      </c>
      <c r="AC24" s="16">
        <f t="shared" si="2"/>
        <v>4.5383636054372909E-4</v>
      </c>
      <c r="AD24" s="16">
        <f t="shared" si="13"/>
        <v>1.1525070557232716E-7</v>
      </c>
      <c r="AE24" s="16">
        <f t="shared" si="13"/>
        <v>1.7995254383215407E-3</v>
      </c>
      <c r="AF24" s="16">
        <f t="shared" si="13"/>
        <v>0.17700392582227426</v>
      </c>
      <c r="AG24" s="12">
        <f>AC24*Inputs!$B134</f>
        <v>8.1690544897871238</v>
      </c>
      <c r="AH24" s="12">
        <f>AD24*Inputs!$C134</f>
        <v>5.5550840085861692E-3</v>
      </c>
      <c r="AI24" s="12">
        <f>AE24*Inputs!$D134</f>
        <v>1534.4553412567777</v>
      </c>
      <c r="AJ24" s="12">
        <f>AF24*Inputs!$E134</f>
        <v>13.806306214137392</v>
      </c>
      <c r="AK24" s="406">
        <f>AJ24*(1-VLOOKUP(W24,'Transportation Electrification'!$O$7:$P$35,2,FALSE))</f>
        <v>10.808365436210416</v>
      </c>
      <c r="AL24" s="12">
        <f>AK24/((1+Inputs!$B$4)^(W24-Inputs!$B$5))</f>
        <v>5.1621355269493217</v>
      </c>
      <c r="AM24" s="12">
        <f t="shared" si="9"/>
        <v>1542.6299508305735</v>
      </c>
      <c r="AN24" s="406">
        <f>AM24*(1-VLOOKUP(W24,'Transportation Electrification'!$O$7:$P$35,2,FALSE))</f>
        <v>1207.6588757930776</v>
      </c>
      <c r="AO24" s="12">
        <f>AN24/((1+Inputs!$B$3)^(W24-Inputs!$B$5))+AL24</f>
        <v>227.67229011925636</v>
      </c>
      <c r="AP24" s="12">
        <f>AN24/((1+Inputs!$B$4)^(W24-Inputs!$B$5))+AL24</f>
        <v>581.94674037399807</v>
      </c>
      <c r="AQ24" s="167"/>
      <c r="AR24" s="110">
        <f t="shared" si="10"/>
        <v>2045</v>
      </c>
      <c r="AS24" s="10">
        <f>'I-87 DetourSavings'!O30</f>
        <v>274.65284467666976</v>
      </c>
      <c r="AT24" s="24">
        <f>Inputs!$B$101</f>
        <v>0.27539999999999998</v>
      </c>
      <c r="AU24" s="24">
        <f>Inputs!$B$102</f>
        <v>6.9937200000000005E-5</v>
      </c>
      <c r="AV24" s="24">
        <f>Inputs!$B$103</f>
        <v>1.0920000000000001</v>
      </c>
      <c r="AW24" s="24">
        <f>Inputs!$B$104</f>
        <v>107.41070000000001</v>
      </c>
      <c r="AX24" s="16">
        <f t="shared" si="4"/>
        <v>4.5383636054372907E-3</v>
      </c>
      <c r="AY24" s="16">
        <f t="shared" si="14"/>
        <v>1.1525070557232715E-6</v>
      </c>
      <c r="AZ24" s="16">
        <f t="shared" si="14"/>
        <v>1.7995254383215403E-2</v>
      </c>
      <c r="BA24" s="16">
        <f t="shared" si="14"/>
        <v>1.7700392582227424</v>
      </c>
      <c r="BB24" s="12">
        <f>AX24*Inputs!$B134</f>
        <v>81.690544897871234</v>
      </c>
      <c r="BC24" s="12">
        <f>AY24*Inputs!$C134</f>
        <v>5.555084008586169E-2</v>
      </c>
      <c r="BD24" s="12">
        <f>AZ24*Inputs!$D134</f>
        <v>15344.553412567773</v>
      </c>
      <c r="BE24" s="12">
        <f>BA24*Inputs!$E134</f>
        <v>138.0630621413739</v>
      </c>
      <c r="BF24" s="406">
        <f>BE24*(1-VLOOKUP(AR24,'Transportation Electrification'!$O$7:$P$35,2,FALSE))</f>
        <v>108.08365436210416</v>
      </c>
      <c r="BG24" s="12">
        <f>BF24/((1+Inputs!$B$4)^(AR24-Inputs!$B$5))</f>
        <v>51.621355269493222</v>
      </c>
      <c r="BH24" s="12">
        <f t="shared" si="11"/>
        <v>15426.29950830573</v>
      </c>
      <c r="BI24" s="406">
        <f>BH24*(1-VLOOKUP(AR24,'Transportation Electrification'!$O$7:$P$35,2,FALSE))</f>
        <v>12076.588757930773</v>
      </c>
      <c r="BJ24" s="12">
        <f>BI24/((1+Inputs!$B$3)^(AR24-Inputs!$B$5))+BG24</f>
        <v>2276.7229011925629</v>
      </c>
      <c r="BK24" s="12">
        <f>BI24/((1+Inputs!$B$4)^(AR24-Inputs!$B$5))+BG24</f>
        <v>5819.46740373998</v>
      </c>
    </row>
    <row r="25" spans="2:63" s="416" customFormat="1">
      <c r="B25" s="110">
        <f t="shared" si="6"/>
        <v>2046</v>
      </c>
      <c r="C25" s="10">
        <f>'Travel Time Savings'!C38</f>
        <v>219127.99999999997</v>
      </c>
      <c r="D25" s="24">
        <f>Inputs!$B$101</f>
        <v>0.27539999999999998</v>
      </c>
      <c r="E25" s="24">
        <f>Inputs!$B$102</f>
        <v>6.9937200000000005E-5</v>
      </c>
      <c r="F25" s="24">
        <f>Inputs!$B$103</f>
        <v>1.0920000000000001</v>
      </c>
      <c r="G25" s="24">
        <f>Inputs!$B$104</f>
        <v>107.41070000000001</v>
      </c>
      <c r="H25" s="16">
        <f t="shared" ref="H25:H26" si="15">$C25*60*D25/1000000</f>
        <v>3.620871071999999</v>
      </c>
      <c r="I25" s="16">
        <f t="shared" ref="I25:I26" si="16">$C25*60*E25/1000000</f>
        <v>9.1951192569599991E-4</v>
      </c>
      <c r="J25" s="16">
        <f t="shared" ref="J25:J26" si="17">$C25*60*F25/1000000</f>
        <v>14.357266559999999</v>
      </c>
      <c r="K25" s="16">
        <f t="shared" ref="K25:K26" si="18">$C25*60*G25/1000000</f>
        <v>1412.2015121759998</v>
      </c>
      <c r="L25" s="12">
        <f>H25*Inputs!$B135</f>
        <v>65175.67929599998</v>
      </c>
      <c r="M25" s="12">
        <f>I25*Inputs!$C135</f>
        <v>44.320474818547197</v>
      </c>
      <c r="N25" s="12">
        <f>J25*Inputs!$D135</f>
        <v>12242441.195712</v>
      </c>
      <c r="O25" s="12">
        <f>K25*Inputs!$E135</f>
        <v>111563.91946190399</v>
      </c>
      <c r="P25" s="406">
        <f>O25*(1-VLOOKUP(B25,'Transportation Electrification'!$O$7:$P$35,2,FALSE))</f>
        <v>86382.349069074247</v>
      </c>
      <c r="Q25" s="12">
        <f>P25/((1+Inputs!$B$4)^(B25-Inputs!$B$5))</f>
        <v>40055.039807082132</v>
      </c>
      <c r="R25" s="12">
        <f t="shared" si="7"/>
        <v>12307661.195482818</v>
      </c>
      <c r="S25" s="406">
        <f>R25*(1-VLOOKUP(B25,'Transportation Electrification'!$O$7:$P$35,2,FALSE))</f>
        <v>9529646.2399309836</v>
      </c>
      <c r="T25" s="12">
        <f>S25/((1+Inputs!$B$3)^(B25-Inputs!$B$5))+Q25</f>
        <v>1681017.1723166027</v>
      </c>
      <c r="U25" s="12">
        <f>S25/((1+Inputs!$B$4)^(B25-Inputs!$B$5))+Q25</f>
        <v>4458901.7556172488</v>
      </c>
      <c r="W25" s="110">
        <f t="shared" si="8"/>
        <v>2046</v>
      </c>
      <c r="X25" s="10">
        <f>'I-87 DetourSavings'!G31</f>
        <v>28.382066942135399</v>
      </c>
      <c r="Y25" s="24">
        <f>Inputs!$B$101</f>
        <v>0.27539999999999998</v>
      </c>
      <c r="Z25" s="24">
        <f>Inputs!$B$102</f>
        <v>6.9937200000000005E-5</v>
      </c>
      <c r="AA25" s="24">
        <f>Inputs!$B$103</f>
        <v>1.0920000000000001</v>
      </c>
      <c r="AB25" s="24">
        <f>Inputs!$B$104</f>
        <v>107.41070000000001</v>
      </c>
      <c r="AC25" s="16">
        <f t="shared" ref="AC25:AC26" si="19">$X25*60*Y25/1000000</f>
        <v>4.6898527415184532E-4</v>
      </c>
      <c r="AD25" s="16">
        <f t="shared" ref="AD25:AD26" si="20">$X25*60*Z25/1000000</f>
        <v>1.1909773752873072E-7</v>
      </c>
      <c r="AE25" s="16">
        <f t="shared" ref="AE25:AE26" si="21">$X25*60*AA25/1000000</f>
        <v>1.8595930260487115E-3</v>
      </c>
      <c r="AF25" s="16">
        <f t="shared" ref="AF25:AF26" si="22">$X25*60*AB25/1000000</f>
        <v>0.18291226066209737</v>
      </c>
      <c r="AG25" s="12">
        <f>AC25*Inputs!$B135</f>
        <v>8.4417349347332156</v>
      </c>
      <c r="AH25" s="12">
        <f>AD25*Inputs!$C135</f>
        <v>5.7405109488848204E-3</v>
      </c>
      <c r="AI25" s="12">
        <f>AE25*Inputs!$D135</f>
        <v>1585.6749733117363</v>
      </c>
      <c r="AJ25" s="12">
        <f>AF25*Inputs!$E135</f>
        <v>14.450068592305692</v>
      </c>
      <c r="AK25" s="406">
        <f>AJ25*(1-VLOOKUP(W25,'Transportation Electrification'!$O$7:$P$35,2,FALSE))</f>
        <v>11.18848168147098</v>
      </c>
      <c r="AL25" s="12">
        <f>AK25/((1+Inputs!$B$4)^(W25-Inputs!$B$5))</f>
        <v>5.188039963740386</v>
      </c>
      <c r="AM25" s="12">
        <f t="shared" si="9"/>
        <v>1594.1224487574184</v>
      </c>
      <c r="AN25" s="406">
        <f>AM25*(1-VLOOKUP(W25,'Transportation Electrification'!$O$7:$P$35,2,FALSE))</f>
        <v>1234.3062388950298</v>
      </c>
      <c r="AO25" s="12">
        <f>AN25/((1+Inputs!$B$3)^(W25-Inputs!$B$5))+AL25</f>
        <v>217.73001129736488</v>
      </c>
      <c r="AP25" s="12">
        <f>AN25/((1+Inputs!$B$4)^(W25-Inputs!$B$5))+AL25</f>
        <v>577.52933498381674</v>
      </c>
      <c r="AR25" s="110">
        <f t="shared" si="10"/>
        <v>2046</v>
      </c>
      <c r="AS25" s="10">
        <f>'I-87 DetourSavings'!O31</f>
        <v>283.82066942135401</v>
      </c>
      <c r="AT25" s="24">
        <f>Inputs!$B$101</f>
        <v>0.27539999999999998</v>
      </c>
      <c r="AU25" s="24">
        <f>Inputs!$B$102</f>
        <v>6.9937200000000005E-5</v>
      </c>
      <c r="AV25" s="24">
        <f>Inputs!$B$103</f>
        <v>1.0920000000000001</v>
      </c>
      <c r="AW25" s="24">
        <f>Inputs!$B$104</f>
        <v>107.41070000000001</v>
      </c>
      <c r="AX25" s="16">
        <f t="shared" ref="AX25:AX26" si="23">$AS25*60*AT25/1000000</f>
        <v>4.6898527415184538E-3</v>
      </c>
      <c r="AY25" s="16">
        <f t="shared" ref="AY25:AY26" si="24">$AS25*60*AU25/1000000</f>
        <v>1.1909773752873071E-6</v>
      </c>
      <c r="AZ25" s="16">
        <f t="shared" ref="AZ25:AZ26" si="25">$AS25*60*AV25/1000000</f>
        <v>1.8595930260487115E-2</v>
      </c>
      <c r="BA25" s="16">
        <f t="shared" ref="BA25:BA26" si="26">$AS25*60*AW25/1000000</f>
        <v>1.8291226066209738</v>
      </c>
      <c r="BB25" s="12">
        <f>AX25*Inputs!$B135</f>
        <v>84.417349347332163</v>
      </c>
      <c r="BC25" s="12">
        <f>AY25*Inputs!$C135</f>
        <v>5.7405109488848201E-2</v>
      </c>
      <c r="BD25" s="12">
        <f>AZ25*Inputs!$D135</f>
        <v>15856.749733117362</v>
      </c>
      <c r="BE25" s="12">
        <f>BA25*Inputs!$E135</f>
        <v>144.50068592305692</v>
      </c>
      <c r="BF25" s="406">
        <f>BE25*(1-VLOOKUP(AR25,'Transportation Electrification'!$O$7:$P$35,2,FALSE))</f>
        <v>111.88481681470979</v>
      </c>
      <c r="BG25" s="12">
        <f>BF25/((1+Inputs!$B$4)^(AR25-Inputs!$B$5))</f>
        <v>51.880399637403862</v>
      </c>
      <c r="BH25" s="12">
        <f t="shared" si="11"/>
        <v>15941.224487574184</v>
      </c>
      <c r="BI25" s="406">
        <f>BH25*(1-VLOOKUP(AR25,'Transportation Electrification'!$O$7:$P$35,2,FALSE))</f>
        <v>12343.062388950297</v>
      </c>
      <c r="BJ25" s="12">
        <f>BI25/((1+Inputs!$B$3)^(AR25-Inputs!$B$5))+BG25</f>
        <v>2177.300112973649</v>
      </c>
      <c r="BK25" s="12">
        <f>BI25/((1+Inputs!$B$4)^(AR25-Inputs!$B$5))+BG25</f>
        <v>5775.2933498381672</v>
      </c>
    </row>
    <row r="26" spans="2:63">
      <c r="B26" s="110">
        <f t="shared" si="6"/>
        <v>2047</v>
      </c>
      <c r="C26" s="10">
        <f>'Travel Time Savings'!C39</f>
        <v>219127.99999999997</v>
      </c>
      <c r="D26" s="24">
        <f>Inputs!$B$101</f>
        <v>0.27539999999999998</v>
      </c>
      <c r="E26" s="24">
        <f>Inputs!$B$102</f>
        <v>6.9937200000000005E-5</v>
      </c>
      <c r="F26" s="24">
        <f>Inputs!$B$103</f>
        <v>1.0920000000000001</v>
      </c>
      <c r="G26" s="24">
        <f>Inputs!$B$104</f>
        <v>107.41070000000001</v>
      </c>
      <c r="H26" s="16">
        <f t="shared" si="15"/>
        <v>3.620871071999999</v>
      </c>
      <c r="I26" s="16">
        <f t="shared" si="16"/>
        <v>9.1951192569599991E-4</v>
      </c>
      <c r="J26" s="16">
        <f t="shared" si="17"/>
        <v>14.357266559999999</v>
      </c>
      <c r="K26" s="16">
        <f t="shared" si="18"/>
        <v>1412.2015121759998</v>
      </c>
      <c r="L26" s="12">
        <f>H26*Inputs!$B136</f>
        <v>65175.67929599998</v>
      </c>
      <c r="M26" s="12">
        <f>I26*Inputs!$C136</f>
        <v>44.320474818547197</v>
      </c>
      <c r="N26" s="12">
        <f>J26*Inputs!$D136</f>
        <v>12242441.195712</v>
      </c>
      <c r="O26" s="12">
        <f>K26*Inputs!$E136</f>
        <v>112976.12097407998</v>
      </c>
      <c r="P26" s="640">
        <f>O26*(1-VLOOKUP(B26,'Transportation Electrification'!$O$7:$P$35,2,FALSE))*(1-Inputs!$B$8)</f>
        <v>36044.762406015994</v>
      </c>
      <c r="Q26" s="12">
        <f>P26/((1+Inputs!$B$4)^(B26-Inputs!$B$5))</f>
        <v>16226.957552857515</v>
      </c>
      <c r="R26" s="12">
        <f t="shared" si="7"/>
        <v>12307661.195482818</v>
      </c>
      <c r="S26" s="640">
        <f>R26*(1-VLOOKUP(B26,'Transportation Electrification'!$O$7:$P$35,2,FALSE))*(1-Inputs!$B$8)</f>
        <v>3926730.0004635663</v>
      </c>
      <c r="T26" s="12">
        <f>S26/((1+Inputs!$B$3)^(B26-Inputs!$B$5))+Q26</f>
        <v>648157.05881699885</v>
      </c>
      <c r="U26" s="12">
        <f>S26/((1+Inputs!$B$4)^(B26-Inputs!$B$5))+Q26</f>
        <v>1783997.8287077623</v>
      </c>
      <c r="V26" s="416"/>
      <c r="W26" s="110">
        <f t="shared" si="8"/>
        <v>2047</v>
      </c>
      <c r="X26" s="10">
        <f>'I-87 DetourSavings'!G32</f>
        <v>29.329451324495267</v>
      </c>
      <c r="Y26" s="24">
        <f>Inputs!$B$101</f>
        <v>0.27539999999999998</v>
      </c>
      <c r="Z26" s="24">
        <f>Inputs!$B$102</f>
        <v>6.9937200000000005E-5</v>
      </c>
      <c r="AA26" s="24">
        <f>Inputs!$B$103</f>
        <v>1.0920000000000001</v>
      </c>
      <c r="AB26" s="24">
        <f>Inputs!$B$104</f>
        <v>107.41070000000001</v>
      </c>
      <c r="AC26" s="16">
        <f t="shared" si="19"/>
        <v>4.8463985368595974E-4</v>
      </c>
      <c r="AD26" s="16">
        <f t="shared" si="20"/>
        <v>1.2307318219028942E-7</v>
      </c>
      <c r="AE26" s="16">
        <f t="shared" si="21"/>
        <v>1.9216656507809299E-3</v>
      </c>
      <c r="AF26" s="16">
        <f t="shared" si="22"/>
        <v>0.18901781384279784</v>
      </c>
      <c r="AG26" s="12">
        <f>AC26*Inputs!$B136</f>
        <v>8.7235173663472754</v>
      </c>
      <c r="AH26" s="12">
        <f>AD26*Inputs!$C136</f>
        <v>5.93212738157195E-3</v>
      </c>
      <c r="AI26" s="12">
        <f>AE26*Inputs!$D136</f>
        <v>1638.6043004208989</v>
      </c>
      <c r="AJ26" s="12">
        <f>AF26*Inputs!$E136</f>
        <v>15.121425107423827</v>
      </c>
      <c r="AK26" s="640">
        <f>AJ26*(1-VLOOKUP(W26,'Transportation Electrification'!$O$7:$P$35,2,FALSE))*(1-Inputs!$B$8)</f>
        <v>4.8244546771304586</v>
      </c>
      <c r="AL26" s="12">
        <f>AK26/((1+Inputs!$B$4)^(W26-Inputs!$B$5))</f>
        <v>2.1719166956809963</v>
      </c>
      <c r="AM26" s="12">
        <f t="shared" si="9"/>
        <v>1647.3337499146278</v>
      </c>
      <c r="AN26" s="640">
        <f>AM26*(1-VLOOKUP(W26,'Transportation Electrification'!$O$7:$P$35,2,FALSE))*(1-Inputs!$B$8)</f>
        <v>525.57791068704785</v>
      </c>
      <c r="AO26" s="12">
        <f>AN26/((1+Inputs!$B$3)^(W26-Inputs!$B$5))+AL26</f>
        <v>86.753362907529748</v>
      </c>
      <c r="AP26" s="12">
        <f>AN26/((1+Inputs!$B$4)^(W26-Inputs!$B$5))+AL26</f>
        <v>238.78134003910753</v>
      </c>
      <c r="AQ26" s="416"/>
      <c r="AR26" s="110">
        <f t="shared" si="10"/>
        <v>2047</v>
      </c>
      <c r="AS26" s="10">
        <f>'I-87 DetourSavings'!O32</f>
        <v>293.29451324495267</v>
      </c>
      <c r="AT26" s="24">
        <f>Inputs!$B$101</f>
        <v>0.27539999999999998</v>
      </c>
      <c r="AU26" s="24">
        <f>Inputs!$B$102</f>
        <v>6.9937200000000005E-5</v>
      </c>
      <c r="AV26" s="24">
        <f>Inputs!$B$103</f>
        <v>1.0920000000000001</v>
      </c>
      <c r="AW26" s="24">
        <f>Inputs!$B$104</f>
        <v>107.41070000000001</v>
      </c>
      <c r="AX26" s="16">
        <f t="shared" si="23"/>
        <v>4.8463985368595967E-3</v>
      </c>
      <c r="AY26" s="16">
        <f t="shared" si="24"/>
        <v>1.2307318219028942E-6</v>
      </c>
      <c r="AZ26" s="16">
        <f t="shared" si="25"/>
        <v>1.9216656507809297E-2</v>
      </c>
      <c r="BA26" s="16">
        <f t="shared" si="26"/>
        <v>1.8901781384279781</v>
      </c>
      <c r="BB26" s="12">
        <f>AX26*Inputs!$B136</f>
        <v>87.235173663472736</v>
      </c>
      <c r="BC26" s="12">
        <f>AY26*Inputs!$C136</f>
        <v>5.93212738157195E-2</v>
      </c>
      <c r="BD26" s="12">
        <f>AZ26*Inputs!$D136</f>
        <v>16386.043004208987</v>
      </c>
      <c r="BE26" s="12">
        <f>BA26*Inputs!$E136</f>
        <v>151.21425107423823</v>
      </c>
      <c r="BF26" s="640">
        <f>BE26*(1-VLOOKUP(AR26,'Transportation Electrification'!$O$7:$P$35,2,FALSE))*(1-Inputs!$B$8)</f>
        <v>48.244546771304577</v>
      </c>
      <c r="BG26" s="12">
        <f>BF26/((1+Inputs!$B$4)^(AR26-Inputs!$B$5))</f>
        <v>21.719166956809961</v>
      </c>
      <c r="BH26" s="12">
        <f t="shared" si="11"/>
        <v>16473.337499146273</v>
      </c>
      <c r="BI26" s="640">
        <f>BH26*(1-VLOOKUP(AR26,'Transportation Electrification'!$O$7:$P$35,2,FALSE))*(1-Inputs!$B$8)</f>
        <v>5255.7791068704773</v>
      </c>
      <c r="BJ26" s="12">
        <f>BI26/((1+Inputs!$B$3)^(AR26-Inputs!$B$5))+BG26</f>
        <v>867.53362907529743</v>
      </c>
      <c r="BK26" s="12">
        <f>BI26/((1+Inputs!$B$4)^(AR26-Inputs!$B$5))+BG26</f>
        <v>2387.813400391075</v>
      </c>
    </row>
    <row r="27" spans="2:63">
      <c r="B27" s="34" t="s">
        <v>4</v>
      </c>
      <c r="C27" s="162"/>
      <c r="D27" s="169"/>
      <c r="E27" s="169"/>
      <c r="F27" s="169"/>
      <c r="G27" s="169"/>
      <c r="H27" s="169">
        <f t="shared" ref="H27:O27" si="27">SUM(H6:H26)</f>
        <v>57.107729525538453</v>
      </c>
      <c r="I27" s="169">
        <f t="shared" si="27"/>
        <v>1.4502377274413539E-2</v>
      </c>
      <c r="J27" s="169">
        <f t="shared" si="27"/>
        <v>226.44023471999998</v>
      </c>
      <c r="K27" s="169">
        <f t="shared" si="27"/>
        <v>22272.989120365852</v>
      </c>
      <c r="L27" s="164">
        <f t="shared" si="27"/>
        <v>1025526.8165959381</v>
      </c>
      <c r="M27" s="164">
        <f t="shared" si="27"/>
        <v>697.43313130566764</v>
      </c>
      <c r="N27" s="164">
        <f t="shared" si="27"/>
        <v>192650904.66283196</v>
      </c>
      <c r="O27" s="164">
        <f t="shared" si="27"/>
        <v>1574463.546433473</v>
      </c>
      <c r="P27" s="407">
        <f>SUM(P6:P26)</f>
        <v>1248589.6409756385</v>
      </c>
      <c r="Q27" s="164">
        <f t="shared" ref="Q27" si="28">SUM(Q6:Q26)</f>
        <v>731605.48758033442</v>
      </c>
      <c r="R27" s="164">
        <f>SUM(R6:R26)</f>
        <v>193677128.91255921</v>
      </c>
      <c r="S27" s="407">
        <f>SUM(S6:S26)</f>
        <v>154862604.52463019</v>
      </c>
      <c r="T27" s="164">
        <f t="shared" ref="T27:U27" si="29">SUM(T6:T26)</f>
        <v>49804293.103936464</v>
      </c>
      <c r="U27" s="164">
        <f t="shared" si="29"/>
        <v>92799821.945850864</v>
      </c>
      <c r="W27" s="34" t="s">
        <v>4</v>
      </c>
      <c r="X27" s="162"/>
      <c r="Y27" s="169"/>
      <c r="Z27" s="169"/>
      <c r="AA27" s="169"/>
      <c r="AB27" s="169"/>
      <c r="AC27" s="169">
        <f t="shared" ref="AC27:AJ27" si="30">SUM(AC6:AC26)</f>
        <v>7.4746253830358109E-3</v>
      </c>
      <c r="AD27" s="169">
        <f t="shared" si="30"/>
        <v>1.8981640172057086E-6</v>
      </c>
      <c r="AE27" s="169">
        <f t="shared" si="30"/>
        <v>2.9637948141884918E-2</v>
      </c>
      <c r="AF27" s="169">
        <f t="shared" si="30"/>
        <v>2.9152314619812802</v>
      </c>
      <c r="AG27" s="164">
        <f t="shared" si="30"/>
        <v>134.15697060883628</v>
      </c>
      <c r="AH27" s="164">
        <f t="shared" si="30"/>
        <v>9.123723440013444E-2</v>
      </c>
      <c r="AI27" s="164">
        <f t="shared" si="30"/>
        <v>25202.47825095438</v>
      </c>
      <c r="AJ27" s="164">
        <f t="shared" si="30"/>
        <v>204.92075566106121</v>
      </c>
      <c r="AK27" s="407">
        <f>SUM(AK6:AK26)</f>
        <v>162.39857149048032</v>
      </c>
      <c r="AL27" s="164">
        <f t="shared" ref="AL27" si="31">SUM(AL6:AL26)</f>
        <v>96.168298998981783</v>
      </c>
      <c r="AM27" s="164">
        <f>SUM(AM6:AM26)</f>
        <v>25336.726458797624</v>
      </c>
      <c r="AN27" s="407">
        <f>SUM(AN6:AN26)</f>
        <v>20250.649810558927</v>
      </c>
      <c r="AO27" s="164">
        <f t="shared" ref="AO27:AP27" si="32">SUM(AO6:AO26)</f>
        <v>6691.8575255729293</v>
      </c>
      <c r="AP27" s="164">
        <f t="shared" si="32"/>
        <v>12272.12669601647</v>
      </c>
      <c r="AQ27" s="167"/>
      <c r="AR27" s="34" t="s">
        <v>4</v>
      </c>
      <c r="AS27" s="162"/>
      <c r="AT27" s="169"/>
      <c r="AU27" s="169"/>
      <c r="AV27" s="169"/>
      <c r="AW27" s="169"/>
      <c r="AX27" s="169">
        <f t="shared" ref="AX27:BE27" si="33">SUM(AX6:AX26)</f>
        <v>7.47462538303581E-2</v>
      </c>
      <c r="AY27" s="169">
        <f t="shared" si="33"/>
        <v>1.8981640172057085E-5</v>
      </c>
      <c r="AZ27" s="169">
        <f t="shared" si="33"/>
        <v>0.29637948141884918</v>
      </c>
      <c r="BA27" s="169">
        <f t="shared" si="33"/>
        <v>29.152314619812799</v>
      </c>
      <c r="BB27" s="164">
        <f t="shared" si="33"/>
        <v>1341.5697060883626</v>
      </c>
      <c r="BC27" s="164">
        <f t="shared" si="33"/>
        <v>0.91237234400134437</v>
      </c>
      <c r="BD27" s="164">
        <f t="shared" si="33"/>
        <v>252024.78250954382</v>
      </c>
      <c r="BE27" s="164">
        <f t="shared" si="33"/>
        <v>2049.2075566106123</v>
      </c>
      <c r="BF27" s="407">
        <f>SUM(BF6:BF26)</f>
        <v>1623.9857149048032</v>
      </c>
      <c r="BG27" s="164">
        <f t="shared" ref="BG27" si="34">SUM(BG6:BG26)</f>
        <v>961.682989989818</v>
      </c>
      <c r="BH27" s="164">
        <f>SUM(BH6:BH26)</f>
        <v>253367.26458797624</v>
      </c>
      <c r="BI27" s="407">
        <f>SUM(BI6:BI26)</f>
        <v>202506.49810558927</v>
      </c>
      <c r="BJ27" s="164">
        <f t="shared" ref="BJ27:BK27" si="35">SUM(BJ6:BJ26)</f>
        <v>66918.575255729316</v>
      </c>
      <c r="BK27" s="164">
        <f t="shared" si="35"/>
        <v>122721.26696016469</v>
      </c>
    </row>
    <row r="28" spans="2:63">
      <c r="B28" s="206"/>
      <c r="C28" s="206"/>
      <c r="F28" s="206"/>
      <c r="G28" s="206"/>
      <c r="H28" s="206"/>
      <c r="I28" s="206"/>
      <c r="J28" s="206"/>
      <c r="K28" s="206"/>
    </row>
  </sheetData>
  <sheetProtection algorithmName="SHA-512" hashValue="w/xo/HIiSOBFK/iY+lKzrLNsLwbVUxMMFyQaXTdp0V6cIywqzeOP1h1PUYMEkhzvfQFmc8CL1cSPA9FM5SWLtQ==" saltValue="7fmbAM3kA6AGxCkzCALwIg==" spinCount="100000" sheet="1" objects="1" scenarios="1"/>
  <mergeCells count="15">
    <mergeCell ref="B4:B5"/>
    <mergeCell ref="C4:C5"/>
    <mergeCell ref="W4:W5"/>
    <mergeCell ref="X4:X5"/>
    <mergeCell ref="AR4:AR5"/>
    <mergeCell ref="AG4:AP4"/>
    <mergeCell ref="AT4:AW4"/>
    <mergeCell ref="AX4:BA4"/>
    <mergeCell ref="BB4:BK4"/>
    <mergeCell ref="D4:G4"/>
    <mergeCell ref="H4:K4"/>
    <mergeCell ref="L4:U4"/>
    <mergeCell ref="Y4:AB4"/>
    <mergeCell ref="AC4:AF4"/>
    <mergeCell ref="AS4:AS5"/>
  </mergeCells>
  <pageMargins left="0.7" right="0.7" top="0.75" bottom="0.75" header="0.3" footer="0.3"/>
  <pageSetup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theme="6" tint="0.59999389629810485"/>
  </sheetPr>
  <dimension ref="B1:U41"/>
  <sheetViews>
    <sheetView zoomScale="80" zoomScaleNormal="80" workbookViewId="0">
      <selection activeCell="C36" sqref="C36"/>
    </sheetView>
  </sheetViews>
  <sheetFormatPr defaultColWidth="9.140625" defaultRowHeight="15"/>
  <cols>
    <col min="1" max="1" width="9.140625" style="7"/>
    <col min="2" max="2" width="14.7109375" style="7" customWidth="1"/>
    <col min="3" max="5" width="13.85546875" style="7" customWidth="1"/>
    <col min="6" max="6" width="11.42578125" style="7" customWidth="1"/>
    <col min="7" max="7" width="13.5703125" style="7" customWidth="1"/>
    <col min="8" max="8" width="12.5703125" style="7" customWidth="1"/>
    <col min="9" max="9" width="13" style="7" bestFit="1" customWidth="1"/>
    <col min="10" max="12" width="12" style="7" bestFit="1" customWidth="1"/>
    <col min="13" max="13" width="11.7109375" style="7" bestFit="1" customWidth="1"/>
    <col min="14" max="14" width="10.85546875" style="7" bestFit="1" customWidth="1"/>
    <col min="15" max="15" width="13.85546875" style="7" customWidth="1"/>
    <col min="16" max="16" width="12" style="7" customWidth="1"/>
    <col min="17" max="17" width="13" style="7" bestFit="1" customWidth="1"/>
    <col min="18" max="18" width="9.140625" style="7"/>
    <col min="19" max="19" width="12" style="7" bestFit="1" customWidth="1"/>
    <col min="20" max="21" width="12.140625" style="7" customWidth="1"/>
    <col min="22" max="16384" width="9.140625" style="7"/>
  </cols>
  <sheetData>
    <row r="1" spans="2:11">
      <c r="B1" s="7" t="s">
        <v>409</v>
      </c>
    </row>
    <row r="3" spans="2:11">
      <c r="C3" s="778" t="s">
        <v>803</v>
      </c>
      <c r="D3" s="778"/>
      <c r="E3" s="778"/>
      <c r="F3" s="778"/>
      <c r="G3" s="778"/>
      <c r="H3" s="778"/>
      <c r="J3" s="7" t="s">
        <v>413</v>
      </c>
    </row>
    <row r="4" spans="2:11">
      <c r="B4" s="251" t="s">
        <v>410</v>
      </c>
      <c r="C4" s="251" t="s">
        <v>525</v>
      </c>
      <c r="D4" s="251" t="s">
        <v>526</v>
      </c>
      <c r="E4" s="251" t="s">
        <v>527</v>
      </c>
      <c r="F4" s="251" t="s">
        <v>528</v>
      </c>
      <c r="G4" s="251" t="s">
        <v>10</v>
      </c>
      <c r="H4" s="251" t="s">
        <v>0</v>
      </c>
      <c r="J4" s="17">
        <f>Inputs!B85</f>
        <v>3700</v>
      </c>
      <c r="K4" s="7" t="str">
        <f>Inputs!A85</f>
        <v>O- No injury (2019$)</v>
      </c>
    </row>
    <row r="5" spans="2:11" s="148" customFormat="1">
      <c r="B5" s="779" t="s">
        <v>229</v>
      </c>
      <c r="C5" s="780"/>
      <c r="D5" s="780"/>
      <c r="E5" s="780"/>
      <c r="F5" s="780"/>
      <c r="G5" s="780"/>
      <c r="H5" s="781"/>
      <c r="J5" s="17">
        <f>Inputs!B86</f>
        <v>72500</v>
      </c>
      <c r="K5" s="148" t="str">
        <f>Inputs!A86</f>
        <v>C - possible injury (2019$)</v>
      </c>
    </row>
    <row r="6" spans="2:11">
      <c r="B6" s="172" t="s">
        <v>259</v>
      </c>
      <c r="C6" s="174">
        <v>0</v>
      </c>
      <c r="D6" s="18">
        <v>0</v>
      </c>
      <c r="E6" s="18">
        <v>0.3</v>
      </c>
      <c r="F6" s="18">
        <v>1.3</v>
      </c>
      <c r="G6" s="18">
        <v>3</v>
      </c>
      <c r="H6" s="174">
        <f t="shared" ref="H6:H11" si="0">SUM(C6:G6)</f>
        <v>4.5999999999999996</v>
      </c>
      <c r="J6" s="17">
        <f>Inputs!B87</f>
        <v>142000</v>
      </c>
      <c r="K6" s="148" t="str">
        <f>Inputs!A87</f>
        <v>B - non-incapacitating injury (2019$)</v>
      </c>
    </row>
    <row r="7" spans="2:11">
      <c r="B7" s="172" t="s">
        <v>260</v>
      </c>
      <c r="C7" s="174">
        <v>0</v>
      </c>
      <c r="D7" s="18">
        <v>0.2</v>
      </c>
      <c r="E7" s="18">
        <v>0.7</v>
      </c>
      <c r="F7" s="18">
        <v>21.3</v>
      </c>
      <c r="G7" s="18">
        <v>53.1</v>
      </c>
      <c r="H7" s="174">
        <f t="shared" si="0"/>
        <v>75.3</v>
      </c>
      <c r="J7" s="17">
        <f>Inputs!B88</f>
        <v>521300</v>
      </c>
      <c r="K7" s="148" t="str">
        <f>Inputs!A88</f>
        <v>A - incapacitating (2019$)</v>
      </c>
    </row>
    <row r="8" spans="2:11">
      <c r="B8" s="172" t="s">
        <v>411</v>
      </c>
      <c r="C8" s="174">
        <v>0.3</v>
      </c>
      <c r="D8" s="18">
        <v>0.7</v>
      </c>
      <c r="E8" s="18">
        <v>3.7</v>
      </c>
      <c r="F8" s="18">
        <v>5.6</v>
      </c>
      <c r="G8" s="18">
        <v>9.4</v>
      </c>
      <c r="H8" s="174">
        <f t="shared" si="0"/>
        <v>19.700000000000003</v>
      </c>
      <c r="J8" s="17">
        <f>Inputs!B89</f>
        <v>10900000</v>
      </c>
      <c r="K8" s="148" t="str">
        <f>Inputs!A89</f>
        <v>K - killed (2019$)</v>
      </c>
    </row>
    <row r="9" spans="2:11">
      <c r="B9" s="172" t="s">
        <v>261</v>
      </c>
      <c r="C9" s="174">
        <v>0.3</v>
      </c>
      <c r="D9" s="18">
        <v>0.7</v>
      </c>
      <c r="E9" s="18">
        <v>3.7</v>
      </c>
      <c r="F9" s="18">
        <v>5.7</v>
      </c>
      <c r="G9" s="18">
        <v>13.6</v>
      </c>
      <c r="H9" s="174">
        <f t="shared" si="0"/>
        <v>24</v>
      </c>
      <c r="J9" s="17">
        <f>Inputs!B90</f>
        <v>197600</v>
      </c>
      <c r="K9" s="148" t="str">
        <f>Inputs!A90</f>
        <v>U - Injured (severity unknown) (2019$)</v>
      </c>
    </row>
    <row r="10" spans="2:11">
      <c r="B10" s="172" t="s">
        <v>412</v>
      </c>
      <c r="C10" s="174">
        <v>0.1</v>
      </c>
      <c r="D10" s="18">
        <v>0.3</v>
      </c>
      <c r="E10" s="18">
        <v>1.6</v>
      </c>
      <c r="F10" s="18">
        <v>2.5</v>
      </c>
      <c r="G10" s="18">
        <v>3.2</v>
      </c>
      <c r="H10" s="174">
        <f t="shared" si="0"/>
        <v>7.7</v>
      </c>
      <c r="J10" s="17">
        <f>Inputs!B91</f>
        <v>150200</v>
      </c>
      <c r="K10" s="148" t="str">
        <f>Inputs!A91</f>
        <v># Accidents Reported (unknown if injured) (2019$)</v>
      </c>
    </row>
    <row r="11" spans="2:11">
      <c r="B11" s="503" t="s">
        <v>862</v>
      </c>
      <c r="C11" s="18">
        <v>0.1</v>
      </c>
      <c r="D11" s="18">
        <v>0.3</v>
      </c>
      <c r="E11" s="18">
        <v>1.3</v>
      </c>
      <c r="F11" s="18">
        <v>2.1</v>
      </c>
      <c r="G11" s="18">
        <v>1.9</v>
      </c>
      <c r="H11" s="174">
        <f t="shared" si="0"/>
        <v>5.7</v>
      </c>
      <c r="J11" s="17">
        <f>Inputs!B92</f>
        <v>284100</v>
      </c>
      <c r="K11" s="148" t="str">
        <f>Inputs!A92</f>
        <v>Injury Crash (2019$)</v>
      </c>
    </row>
    <row r="12" spans="2:11">
      <c r="B12" s="172" t="s">
        <v>262</v>
      </c>
      <c r="C12" s="777">
        <v>1.07</v>
      </c>
      <c r="D12" s="777"/>
      <c r="E12" s="777"/>
      <c r="F12" s="777"/>
      <c r="G12" s="18">
        <v>2.27</v>
      </c>
      <c r="H12" s="174">
        <f>SUM(C12:G12)</f>
        <v>3.34</v>
      </c>
      <c r="J12" s="17">
        <f>Inputs!B93</f>
        <v>12071000</v>
      </c>
      <c r="K12" s="148" t="str">
        <f>Inputs!A93</f>
        <v>Fatal Crash (2019$)</v>
      </c>
    </row>
    <row r="13" spans="2:11" s="148" customFormat="1">
      <c r="B13" s="172" t="s">
        <v>263</v>
      </c>
      <c r="C13" s="782">
        <v>1.17</v>
      </c>
      <c r="D13" s="783"/>
      <c r="E13" s="783"/>
      <c r="F13" s="784"/>
      <c r="G13" s="18">
        <v>2.4</v>
      </c>
      <c r="H13" s="174">
        <f>SUM(C13:G13)</f>
        <v>3.57</v>
      </c>
      <c r="J13" s="17">
        <f>Inputs!B94</f>
        <v>4500</v>
      </c>
      <c r="K13" s="148" t="str">
        <f>Inputs!A94</f>
        <v>PDO per vehicle (2019$)</v>
      </c>
    </row>
    <row r="14" spans="2:11" s="148" customFormat="1">
      <c r="B14" s="411" t="s">
        <v>807</v>
      </c>
      <c r="C14" s="250"/>
      <c r="D14" s="250"/>
      <c r="E14" s="250"/>
    </row>
    <row r="15" spans="2:11" s="148" customFormat="1">
      <c r="B15" s="176"/>
      <c r="C15" s="175"/>
      <c r="D15" s="175"/>
      <c r="E15" s="175"/>
      <c r="H15" s="187"/>
    </row>
    <row r="17" spans="2:21" s="148" customFormat="1">
      <c r="B17" s="173" t="s">
        <v>229</v>
      </c>
    </row>
    <row r="18" spans="2:21" ht="75">
      <c r="B18" s="252" t="s">
        <v>1</v>
      </c>
      <c r="C18" s="255" t="s">
        <v>804</v>
      </c>
      <c r="D18" s="255" t="s">
        <v>529</v>
      </c>
      <c r="E18" s="255" t="s">
        <v>530</v>
      </c>
      <c r="F18" s="255" t="s">
        <v>531</v>
      </c>
      <c r="G18" s="255" t="s">
        <v>490</v>
      </c>
      <c r="H18" s="255" t="s">
        <v>414</v>
      </c>
      <c r="I18" s="255" t="s">
        <v>805</v>
      </c>
      <c r="J18" s="255" t="s">
        <v>532</v>
      </c>
      <c r="K18" s="255" t="s">
        <v>534</v>
      </c>
      <c r="L18" s="255" t="s">
        <v>535</v>
      </c>
      <c r="M18" s="255" t="s">
        <v>536</v>
      </c>
      <c r="N18" s="255" t="s">
        <v>533</v>
      </c>
      <c r="O18" s="255" t="s">
        <v>415</v>
      </c>
      <c r="P18" s="255" t="s">
        <v>13</v>
      </c>
      <c r="Q18" s="255" t="s">
        <v>14</v>
      </c>
      <c r="S18" s="255" t="s">
        <v>725</v>
      </c>
      <c r="T18" s="255" t="s">
        <v>13</v>
      </c>
      <c r="U18" s="255" t="s">
        <v>14</v>
      </c>
    </row>
    <row r="19" spans="2:21" s="148" customFormat="1">
      <c r="B19" s="110">
        <f>Inputs!$B$7</f>
        <v>2027</v>
      </c>
      <c r="C19" s="253">
        <f>C20/(1+Inputs!$B$45)</f>
        <v>0.52204873312852573</v>
      </c>
      <c r="D19" s="253">
        <f>D20/(1+Inputs!$B$45)</f>
        <v>1.4356340161034458</v>
      </c>
      <c r="E19" s="253">
        <f>E20/(1+Inputs!$B$45)</f>
        <v>7.373938355440429</v>
      </c>
      <c r="F19" s="253">
        <f>F20/(1+Inputs!$B$45)</f>
        <v>25.123595281810303</v>
      </c>
      <c r="G19" s="253">
        <f>G20/(1+Inputs!$B$45)</f>
        <v>1.4617364527598724</v>
      </c>
      <c r="H19" s="253">
        <f>H20/(1+Inputs!$B$45)</f>
        <v>57.993088641415106</v>
      </c>
      <c r="I19" s="20">
        <f t="shared" ref="I19:I38" si="1">C19*$J$8</f>
        <v>5690331.1911009308</v>
      </c>
      <c r="J19" s="20">
        <f t="shared" ref="J19:J38" si="2">D19*$J$7</f>
        <v>748396.01259472629</v>
      </c>
      <c r="K19" s="20">
        <f t="shared" ref="K19:K38" si="3">E19*$J$6</f>
        <v>1047099.2464725409</v>
      </c>
      <c r="L19" s="20">
        <f t="shared" ref="L19:L38" si="4">F19*$J$5</f>
        <v>1821460.657931247</v>
      </c>
      <c r="M19" s="20">
        <f t="shared" ref="M19:M38" si="5">G19*$J$11</f>
        <v>415279.32622907974</v>
      </c>
      <c r="N19" s="20">
        <f t="shared" ref="N19:N38" si="6">H19*$J$13</f>
        <v>260968.89888636797</v>
      </c>
      <c r="O19" s="638">
        <f>SUM(I19:N19)*Inputs!$B$8</f>
        <v>5823728.9443753548</v>
      </c>
      <c r="P19" s="20">
        <f>O19/(1+Inputs!$B$3)^('Reduced Crashes'!B19-Inputs!$B$5)</f>
        <v>3626725.6969155744</v>
      </c>
      <c r="Q19" s="20">
        <f>O19/(1+Inputs!$B$4)^('Reduced Crashes'!B19-Inputs!$B$5)</f>
        <v>4735224.5690361913</v>
      </c>
      <c r="S19" s="638">
        <f>O19*Inputs!$B$46</f>
        <v>465898.3155500284</v>
      </c>
      <c r="T19" s="20">
        <f>S19/(1+Inputs!$B$3)^('Reduced Crashes'!B19-Inputs!$B$5)</f>
        <v>290138.05575324595</v>
      </c>
      <c r="U19" s="20">
        <f>S19/(1+Inputs!$B$4)^('Reduced Crashes'!B19-Inputs!$B$5)</f>
        <v>378817.96552289533</v>
      </c>
    </row>
    <row r="20" spans="2:21">
      <c r="B20" s="249">
        <f>B19+1</f>
        <v>2028</v>
      </c>
      <c r="C20" s="253">
        <f>C21/(1+Inputs!$B$45)</f>
        <v>0.53947455407402156</v>
      </c>
      <c r="D20" s="253">
        <f>D21/(1+Inputs!$B$45)</f>
        <v>1.4835550237035593</v>
      </c>
      <c r="E20" s="253">
        <f>E21/(1+Inputs!$B$45)</f>
        <v>7.6200780762955578</v>
      </c>
      <c r="F20" s="253">
        <f>F21/(1+Inputs!$B$45)</f>
        <v>25.962212914812291</v>
      </c>
      <c r="G20" s="253">
        <f>G21/(1+Inputs!$B$45)</f>
        <v>1.5105287514072607</v>
      </c>
      <c r="H20" s="253">
        <f>H21/(1+Inputs!$B$45)</f>
        <v>59.928879525697873</v>
      </c>
      <c r="I20" s="20">
        <f t="shared" si="1"/>
        <v>5880272.6394068347</v>
      </c>
      <c r="J20" s="20">
        <f t="shared" si="2"/>
        <v>773377.23385666544</v>
      </c>
      <c r="K20" s="20">
        <f t="shared" si="3"/>
        <v>1082051.0868339692</v>
      </c>
      <c r="L20" s="20">
        <f t="shared" si="4"/>
        <v>1882260.4363238912</v>
      </c>
      <c r="M20" s="20">
        <f t="shared" si="5"/>
        <v>429141.21827480278</v>
      </c>
      <c r="N20" s="20">
        <f t="shared" si="6"/>
        <v>269679.9578656404</v>
      </c>
      <c r="O20" s="20">
        <f t="shared" ref="O20:O30" si="7">SUM(I20:N20)</f>
        <v>10316782.572561802</v>
      </c>
      <c r="P20" s="20">
        <f>O20/(1+Inputs!$B$3)^('Reduced Crashes'!B20-Inputs!$B$5)</f>
        <v>6004461.387048888</v>
      </c>
      <c r="Q20" s="20">
        <f>O20/(1+Inputs!$B$4)^('Reduced Crashes'!B20-Inputs!$B$5)</f>
        <v>8144163.4311893694</v>
      </c>
      <c r="S20" s="20">
        <f>O20*Inputs!$B$46</f>
        <v>825342.60580494418</v>
      </c>
      <c r="T20" s="20">
        <f>S20/(1+Inputs!$B$3)^('Reduced Crashes'!B20-Inputs!$B$5)</f>
        <v>480356.91096391104</v>
      </c>
      <c r="U20" s="20">
        <f>S20/(1+Inputs!$B$4)^('Reduced Crashes'!B20-Inputs!$B$5)</f>
        <v>651533.07449514954</v>
      </c>
    </row>
    <row r="21" spans="2:21">
      <c r="B21" s="18">
        <f>B20+1</f>
        <v>2029</v>
      </c>
      <c r="C21" s="253">
        <f>C22/(1+Inputs!$B$45)</f>
        <v>0.5574820433894504</v>
      </c>
      <c r="D21" s="253">
        <f>D22/(1+Inputs!$B$45)</f>
        <v>1.5330756193209887</v>
      </c>
      <c r="E21" s="253">
        <f>E22/(1+Inputs!$B$45)</f>
        <v>7.8744338628759909</v>
      </c>
      <c r="F21" s="253">
        <f>F22/(1+Inputs!$B$45)</f>
        <v>26.828823338117306</v>
      </c>
      <c r="G21" s="253">
        <f>G22/(1+Inputs!$B$45)</f>
        <v>1.5609497214904615</v>
      </c>
      <c r="H21" s="253">
        <f>H22/(1+Inputs!$B$45)</f>
        <v>61.929286495025579</v>
      </c>
      <c r="I21" s="20">
        <f t="shared" si="1"/>
        <v>6076554.2729450092</v>
      </c>
      <c r="J21" s="20">
        <f t="shared" si="2"/>
        <v>799192.32035203138</v>
      </c>
      <c r="K21" s="20">
        <f t="shared" si="3"/>
        <v>1118169.6085283908</v>
      </c>
      <c r="L21" s="20">
        <f t="shared" si="4"/>
        <v>1945089.6920135047</v>
      </c>
      <c r="M21" s="20">
        <f t="shared" si="5"/>
        <v>443465.81587544014</v>
      </c>
      <c r="N21" s="20">
        <f t="shared" si="6"/>
        <v>278681.78922761511</v>
      </c>
      <c r="O21" s="20">
        <f t="shared" si="7"/>
        <v>10661153.498941991</v>
      </c>
      <c r="P21" s="20">
        <f>O21/(1+Inputs!$B$3)^('Reduced Crashes'!B21-Inputs!$B$5)</f>
        <v>5798961.1229436025</v>
      </c>
      <c r="Q21" s="20">
        <f>O21/(1+Inputs!$B$4)^('Reduced Crashes'!B21-Inputs!$B$5)</f>
        <v>8170886.4276729459</v>
      </c>
      <c r="S21" s="20">
        <f>O21*Inputs!$B$46</f>
        <v>852892.27991535934</v>
      </c>
      <c r="T21" s="20">
        <f>S21/(1+Inputs!$B$3)^('Reduced Crashes'!B21-Inputs!$B$5)</f>
        <v>463916.88983548817</v>
      </c>
      <c r="U21" s="20">
        <f>S21/(1+Inputs!$B$4)^('Reduced Crashes'!B21-Inputs!$B$5)</f>
        <v>653670.91421383573</v>
      </c>
    </row>
    <row r="22" spans="2:21">
      <c r="B22" s="18">
        <f t="shared" ref="B22:B39" si="8">B21+1</f>
        <v>2030</v>
      </c>
      <c r="C22" s="253">
        <f>C23/(1+Inputs!$B$45)</f>
        <v>0.57609061698030328</v>
      </c>
      <c r="D22" s="253">
        <f>D23/(1+Inputs!$B$45)</f>
        <v>1.5842491966958341</v>
      </c>
      <c r="E22" s="253">
        <f>E23/(1+Inputs!$B$45)</f>
        <v>8.1372799648467886</v>
      </c>
      <c r="F22" s="253">
        <f>F23/(1+Inputs!$B$45)</f>
        <v>27.724360942177103</v>
      </c>
      <c r="G22" s="253">
        <f>G23/(1+Inputs!$B$45)</f>
        <v>1.6130537275448495</v>
      </c>
      <c r="H22" s="253">
        <f>H23/(1+Inputs!$B$45)</f>
        <v>63.996466413799453</v>
      </c>
      <c r="I22" s="20">
        <f t="shared" si="1"/>
        <v>6279387.725085306</v>
      </c>
      <c r="J22" s="20">
        <f t="shared" si="2"/>
        <v>825869.10623753828</v>
      </c>
      <c r="K22" s="20">
        <f t="shared" si="3"/>
        <v>1155493.755008244</v>
      </c>
      <c r="L22" s="20">
        <f t="shared" si="4"/>
        <v>2010016.1683078399</v>
      </c>
      <c r="M22" s="20">
        <f t="shared" si="5"/>
        <v>458268.56399549177</v>
      </c>
      <c r="N22" s="20">
        <f t="shared" si="6"/>
        <v>287984.09886209754</v>
      </c>
      <c r="O22" s="20">
        <f t="shared" si="7"/>
        <v>11017019.417496517</v>
      </c>
      <c r="P22" s="20">
        <f>O22/(1+Inputs!$B$3)^('Reduced Crashes'!B22-Inputs!$B$5)</f>
        <v>5600494.0223187953</v>
      </c>
      <c r="Q22" s="20">
        <f>O22/(1+Inputs!$B$4)^('Reduced Crashes'!B22-Inputs!$B$5)</f>
        <v>8197697.1088582221</v>
      </c>
      <c r="S22" s="20">
        <f>O22*Inputs!$B$46</f>
        <v>881361.55339972139</v>
      </c>
      <c r="T22" s="20">
        <f>S22/(1+Inputs!$B$3)^('Reduced Crashes'!B22-Inputs!$B$5)</f>
        <v>448039.52178550366</v>
      </c>
      <c r="U22" s="20">
        <f>S22/(1+Inputs!$B$4)^('Reduced Crashes'!B22-Inputs!$B$5)</f>
        <v>655815.76870865782</v>
      </c>
    </row>
    <row r="23" spans="2:21">
      <c r="B23" s="18">
        <f t="shared" si="8"/>
        <v>2031</v>
      </c>
      <c r="C23" s="253">
        <f>C24/(1+Inputs!$B$45)</f>
        <v>0.5953203388488314</v>
      </c>
      <c r="D23" s="253">
        <f>D24/(1+Inputs!$B$45)</f>
        <v>1.6371309318342864</v>
      </c>
      <c r="E23" s="253">
        <f>E24/(1+Inputs!$B$45)</f>
        <v>8.408899786239747</v>
      </c>
      <c r="F23" s="253">
        <f>F24/(1+Inputs!$B$45)</f>
        <v>28.649791307100017</v>
      </c>
      <c r="G23" s="253">
        <f>G24/(1+Inputs!$B$45)</f>
        <v>1.6668969487767282</v>
      </c>
      <c r="H23" s="253">
        <f>H24/(1+Inputs!$B$45)</f>
        <v>66.132648141869566</v>
      </c>
      <c r="I23" s="20">
        <f t="shared" si="1"/>
        <v>6488991.6934522623</v>
      </c>
      <c r="J23" s="20">
        <f t="shared" si="2"/>
        <v>853436.35476521344</v>
      </c>
      <c r="K23" s="20">
        <f t="shared" si="3"/>
        <v>1194063.7696460441</v>
      </c>
      <c r="L23" s="20">
        <f t="shared" si="4"/>
        <v>2077109.8697647513</v>
      </c>
      <c r="M23" s="20">
        <f t="shared" si="5"/>
        <v>473565.42314746848</v>
      </c>
      <c r="N23" s="20">
        <f t="shared" si="6"/>
        <v>297596.91663841304</v>
      </c>
      <c r="O23" s="20">
        <f t="shared" si="7"/>
        <v>11384764.027414152</v>
      </c>
      <c r="P23" s="20">
        <f>O23/(1+Inputs!$B$3)^('Reduced Crashes'!B23-Inputs!$B$5)</f>
        <v>5408819.3779969933</v>
      </c>
      <c r="Q23" s="20">
        <f>O23/(1+Inputs!$B$4)^('Reduced Crashes'!B23-Inputs!$B$5)</f>
        <v>8224595.7624601983</v>
      </c>
      <c r="S23" s="20">
        <f>O23*Inputs!$B$46</f>
        <v>910781.12219313218</v>
      </c>
      <c r="T23" s="20">
        <f>S23/(1+Inputs!$B$3)^('Reduced Crashes'!B23-Inputs!$B$5)</f>
        <v>432705.55023975944</v>
      </c>
      <c r="U23" s="20">
        <f>S23/(1+Inputs!$B$4)^('Reduced Crashes'!B23-Inputs!$B$5)</f>
        <v>657967.66099681589</v>
      </c>
    </row>
    <row r="24" spans="2:21">
      <c r="B24" s="18">
        <f t="shared" si="8"/>
        <v>2032</v>
      </c>
      <c r="C24" s="253">
        <f>C25/(1+Inputs!$B$45)</f>
        <v>0.61519194272730993</v>
      </c>
      <c r="D24" s="253">
        <f>D25/(1+Inputs!$B$45)</f>
        <v>1.6917778425001024</v>
      </c>
      <c r="E24" s="253">
        <f>E25/(1+Inputs!$B$45)</f>
        <v>8.6895861910232579</v>
      </c>
      <c r="F24" s="253">
        <f>F25/(1+Inputs!$B$45)</f>
        <v>29.606112243751799</v>
      </c>
      <c r="G24" s="253">
        <f>G25/(1+Inputs!$B$45)</f>
        <v>1.7225374396364683</v>
      </c>
      <c r="H24" s="253">
        <f>H25/(1+Inputs!$B$45)</f>
        <v>68.340134937720052</v>
      </c>
      <c r="I24" s="20">
        <f t="shared" si="1"/>
        <v>6705592.1757276785</v>
      </c>
      <c r="J24" s="20">
        <f t="shared" si="2"/>
        <v>881923.7892953034</v>
      </c>
      <c r="K24" s="20">
        <f t="shared" si="3"/>
        <v>1233921.2391253025</v>
      </c>
      <c r="L24" s="20">
        <f t="shared" si="4"/>
        <v>2146443.1376720052</v>
      </c>
      <c r="M24" s="20">
        <f t="shared" si="5"/>
        <v>489372.88660072064</v>
      </c>
      <c r="N24" s="20">
        <f t="shared" si="6"/>
        <v>307530.60721974022</v>
      </c>
      <c r="O24" s="20">
        <f t="shared" si="7"/>
        <v>11764783.835640751</v>
      </c>
      <c r="P24" s="20">
        <f>O24/(1+Inputs!$B$3)^('Reduced Crashes'!B24-Inputs!$B$5)</f>
        <v>5223704.7209065827</v>
      </c>
      <c r="Q24" s="20">
        <f>O24/(1+Inputs!$B$4)^('Reduced Crashes'!B24-Inputs!$B$5)</f>
        <v>8251582.6771379374</v>
      </c>
      <c r="S24" s="20">
        <f>O24*Inputs!$B$46</f>
        <v>941182.70685126004</v>
      </c>
      <c r="T24" s="20">
        <f>S24/(1+Inputs!$B$3)^('Reduced Crashes'!B24-Inputs!$B$5)</f>
        <v>417896.37767252658</v>
      </c>
      <c r="U24" s="20">
        <f>S24/(1+Inputs!$B$4)^('Reduced Crashes'!B24-Inputs!$B$5)</f>
        <v>660126.61417103501</v>
      </c>
    </row>
    <row r="25" spans="2:21">
      <c r="B25" s="18">
        <f t="shared" si="8"/>
        <v>2033</v>
      </c>
      <c r="C25" s="253">
        <f>C26/(1+Inputs!$B$45)</f>
        <v>0.63572685443341415</v>
      </c>
      <c r="D25" s="253">
        <f>D26/(1+Inputs!$B$45)</f>
        <v>1.7482488496918889</v>
      </c>
      <c r="E25" s="253">
        <f>E26/(1+Inputs!$B$45)</f>
        <v>8.9796418188719791</v>
      </c>
      <c r="F25" s="253">
        <f>F26/(1+Inputs!$B$45)</f>
        <v>30.594354869608065</v>
      </c>
      <c r="G25" s="253">
        <f>G26/(1+Inputs!$B$45)</f>
        <v>1.78003519241356</v>
      </c>
      <c r="H25" s="253">
        <f>H26/(1+Inputs!$B$45)</f>
        <v>70.621306941871907</v>
      </c>
      <c r="I25" s="20">
        <f t="shared" si="1"/>
        <v>6929422.7133242143</v>
      </c>
      <c r="J25" s="20">
        <f t="shared" si="2"/>
        <v>911362.12534438167</v>
      </c>
      <c r="K25" s="20">
        <f t="shared" si="3"/>
        <v>1275109.138279821</v>
      </c>
      <c r="L25" s="20">
        <f t="shared" si="4"/>
        <v>2218090.7280465849</v>
      </c>
      <c r="M25" s="20">
        <f t="shared" si="5"/>
        <v>505707.99816469237</v>
      </c>
      <c r="N25" s="20">
        <f t="shared" si="6"/>
        <v>317795.88123842358</v>
      </c>
      <c r="O25" s="20">
        <f t="shared" si="7"/>
        <v>12157488.584398119</v>
      </c>
      <c r="P25" s="20">
        <f>O25/(1+Inputs!$B$3)^('Reduced Crashes'!B25-Inputs!$B$5)</f>
        <v>5044925.5381359644</v>
      </c>
      <c r="Q25" s="20">
        <f>O25/(1+Inputs!$B$4)^('Reduced Crashes'!B25-Inputs!$B$5)</f>
        <v>8278658.1424976625</v>
      </c>
      <c r="S25" s="20">
        <f>O25*Inputs!$B$46</f>
        <v>972599.08675184951</v>
      </c>
      <c r="T25" s="20">
        <f>S25/(1+Inputs!$B$3)^('Reduced Crashes'!B25-Inputs!$B$5)</f>
        <v>403594.04305087711</v>
      </c>
      <c r="U25" s="20">
        <f>S25/(1+Inputs!$B$4)^('Reduced Crashes'!B25-Inputs!$B$5)</f>
        <v>662292.65139981301</v>
      </c>
    </row>
    <row r="26" spans="2:21">
      <c r="B26" s="18">
        <f t="shared" si="8"/>
        <v>2034</v>
      </c>
      <c r="C26" s="253">
        <f>C27/(1+Inputs!$B$45)</f>
        <v>0.65694721497180975</v>
      </c>
      <c r="D26" s="253">
        <f>D27/(1+Inputs!$B$45)</f>
        <v>1.8066048411724767</v>
      </c>
      <c r="E26" s="253">
        <f>E27/(1+Inputs!$B$45)</f>
        <v>9.2793794114768158</v>
      </c>
      <c r="F26" s="253">
        <f>F27/(1+Inputs!$B$45)</f>
        <v>31.615584720518353</v>
      </c>
      <c r="G26" s="253">
        <f>G27/(1+Inputs!$B$45)</f>
        <v>1.8394522019210675</v>
      </c>
      <c r="H26" s="253">
        <f>H27/(1+Inputs!$B$45)</f>
        <v>72.978623743180918</v>
      </c>
      <c r="I26" s="20">
        <f t="shared" si="1"/>
        <v>7160724.6431927262</v>
      </c>
      <c r="J26" s="20">
        <f t="shared" si="2"/>
        <v>941783.10370321211</v>
      </c>
      <c r="K26" s="20">
        <f t="shared" si="3"/>
        <v>1317671.8764297077</v>
      </c>
      <c r="L26" s="20">
        <f t="shared" si="4"/>
        <v>2292129.8922375804</v>
      </c>
      <c r="M26" s="20">
        <f t="shared" si="5"/>
        <v>522588.37056577526</v>
      </c>
      <c r="N26" s="20">
        <f t="shared" si="6"/>
        <v>328403.80684431415</v>
      </c>
      <c r="O26" s="20">
        <f t="shared" si="7"/>
        <v>12563301.692973318</v>
      </c>
      <c r="P26" s="20">
        <f>O26/(1+Inputs!$B$3)^('Reduced Crashes'!B26-Inputs!$B$5)</f>
        <v>4872265.0006371988</v>
      </c>
      <c r="Q26" s="20">
        <f>O26/(1+Inputs!$B$4)^('Reduced Crashes'!B26-Inputs!$B$5)</f>
        <v>8305822.4490958638</v>
      </c>
      <c r="S26" s="20">
        <f>O26*Inputs!$B$46</f>
        <v>1005064.1354378654</v>
      </c>
      <c r="T26" s="20">
        <f>S26/(1+Inputs!$B$3)^('Reduced Crashes'!B26-Inputs!$B$5)</f>
        <v>389781.20005097589</v>
      </c>
      <c r="U26" s="20">
        <f>S26/(1+Inputs!$B$4)^('Reduced Crashes'!B26-Inputs!$B$5)</f>
        <v>664465.79592766915</v>
      </c>
    </row>
    <row r="27" spans="2:21">
      <c r="B27" s="18">
        <f t="shared" si="8"/>
        <v>2035</v>
      </c>
      <c r="C27" s="253">
        <f>C28/(1+Inputs!$B$45)</f>
        <v>0.67887590440686774</v>
      </c>
      <c r="D27" s="253">
        <f>D28/(1+Inputs!$B$45)</f>
        <v>1.8669087371188862</v>
      </c>
      <c r="E27" s="253">
        <f>E28/(1+Inputs!$B$45)</f>
        <v>9.5891221497470092</v>
      </c>
      <c r="F27" s="253">
        <f>F28/(1+Inputs!$B$45)</f>
        <v>32.670902899580518</v>
      </c>
      <c r="G27" s="253">
        <f>G28/(1+Inputs!$B$45)</f>
        <v>1.9008525323392298</v>
      </c>
      <c r="H27" s="253">
        <f>H28/(1+Inputs!$B$45)</f>
        <v>75.414627030797917</v>
      </c>
      <c r="I27" s="20">
        <f t="shared" si="1"/>
        <v>7399747.3580348585</v>
      </c>
      <c r="J27" s="20">
        <f t="shared" si="2"/>
        <v>973219.52466007532</v>
      </c>
      <c r="K27" s="20">
        <f t="shared" si="3"/>
        <v>1361655.3452640753</v>
      </c>
      <c r="L27" s="20">
        <f t="shared" si="4"/>
        <v>2368640.4602195877</v>
      </c>
      <c r="M27" s="20">
        <f t="shared" si="5"/>
        <v>540032.20443757519</v>
      </c>
      <c r="N27" s="20">
        <f t="shared" si="6"/>
        <v>339365.8216385906</v>
      </c>
      <c r="O27" s="20">
        <f t="shared" si="7"/>
        <v>12982660.714254761</v>
      </c>
      <c r="P27" s="20">
        <f>O27/(1+Inputs!$B$3)^('Reduced Crashes'!B27-Inputs!$B$5)</f>
        <v>4705513.7002488719</v>
      </c>
      <c r="Q27" s="20">
        <f>O27/(1+Inputs!$B$4)^('Reduced Crashes'!B27-Inputs!$B$5)</f>
        <v>8333075.8884424223</v>
      </c>
      <c r="S27" s="20">
        <f>O27*Inputs!$B$46</f>
        <v>1038612.8571403809</v>
      </c>
      <c r="T27" s="20">
        <f>S27/(1+Inputs!$B$3)^('Reduced Crashes'!B27-Inputs!$B$5)</f>
        <v>376441.09601990978</v>
      </c>
      <c r="U27" s="20">
        <f>S27/(1+Inputs!$B$4)^('Reduced Crashes'!B27-Inputs!$B$5)</f>
        <v>666646.07107539382</v>
      </c>
    </row>
    <row r="28" spans="2:21">
      <c r="B28" s="18">
        <f t="shared" si="8"/>
        <v>2036</v>
      </c>
      <c r="C28" s="253">
        <f>C29/(1+Inputs!$B$45)</f>
        <v>0.70153656653224283</v>
      </c>
      <c r="D28" s="253">
        <f>D29/(1+Inputs!$B$45)</f>
        <v>1.9292255579636677</v>
      </c>
      <c r="E28" s="253">
        <f>E29/(1+Inputs!$B$45)</f>
        <v>9.9092040022679324</v>
      </c>
      <c r="F28" s="253">
        <f>F29/(1+Inputs!$B$45)</f>
        <v>33.761447264364193</v>
      </c>
      <c r="G28" s="253">
        <f>G29/(1+Inputs!$B$45)</f>
        <v>1.96430238629028</v>
      </c>
      <c r="H28" s="253">
        <f>H29/(1+Inputs!$B$45)</f>
        <v>77.931943334650526</v>
      </c>
      <c r="I28" s="20">
        <f t="shared" si="1"/>
        <v>7646748.5752014471</v>
      </c>
      <c r="J28" s="20">
        <f t="shared" si="2"/>
        <v>1005705.28336646</v>
      </c>
      <c r="K28" s="20">
        <f t="shared" si="3"/>
        <v>1407106.9683220463</v>
      </c>
      <c r="L28" s="20">
        <f t="shared" si="4"/>
        <v>2447704.9266664041</v>
      </c>
      <c r="M28" s="20">
        <f t="shared" si="5"/>
        <v>558058.30794506858</v>
      </c>
      <c r="N28" s="20">
        <f t="shared" si="6"/>
        <v>350693.74500592734</v>
      </c>
      <c r="O28" s="20">
        <f t="shared" si="7"/>
        <v>13416017.806507353</v>
      </c>
      <c r="P28" s="20">
        <f>O28/(1+Inputs!$B$3)^('Reduced Crashes'!B28-Inputs!$B$5)</f>
        <v>4544469.3957192637</v>
      </c>
      <c r="Q28" s="20">
        <f>O28/(1+Inputs!$B$4)^('Reduced Crashes'!B28-Inputs!$B$5)</f>
        <v>8360418.7530037398</v>
      </c>
      <c r="S28" s="20">
        <f>O28*Inputs!$B$46</f>
        <v>1073281.4245205882</v>
      </c>
      <c r="T28" s="20">
        <f>S28/(1+Inputs!$B$3)^('Reduced Crashes'!B28-Inputs!$B$5)</f>
        <v>363557.55165754107</v>
      </c>
      <c r="U28" s="20">
        <f>S28/(1+Inputs!$B$4)^('Reduced Crashes'!B28-Inputs!$B$5)</f>
        <v>668833.50024029915</v>
      </c>
    </row>
    <row r="29" spans="2:21">
      <c r="B29" s="18">
        <f t="shared" si="8"/>
        <v>2037</v>
      </c>
      <c r="C29" s="253">
        <f>C30/(1+Inputs!$B$45)</f>
        <v>0.72495363436391425</v>
      </c>
      <c r="D29" s="253">
        <f>D30/(1+Inputs!$B$45)</f>
        <v>1.9936224945007639</v>
      </c>
      <c r="E29" s="253">
        <f>E30/(1+Inputs!$B$45)</f>
        <v>10.23997008539029</v>
      </c>
      <c r="F29" s="253">
        <f>F30/(1+Inputs!$B$45)</f>
        <v>34.88839365376338</v>
      </c>
      <c r="G29" s="253">
        <f>G30/(1+Inputs!$B$45)</f>
        <v>2.0298701762189597</v>
      </c>
      <c r="H29" s="253">
        <f>H30/(1+Inputs!$B$45)</f>
        <v>80.533286857401322</v>
      </c>
      <c r="I29" s="20">
        <f t="shared" si="1"/>
        <v>7901994.6145666651</v>
      </c>
      <c r="J29" s="20">
        <f t="shared" si="2"/>
        <v>1039275.4063832482</v>
      </c>
      <c r="K29" s="20">
        <f t="shared" si="3"/>
        <v>1454075.7521254211</v>
      </c>
      <c r="L29" s="20">
        <f t="shared" si="4"/>
        <v>2529408.5398978451</v>
      </c>
      <c r="M29" s="20">
        <f t="shared" si="5"/>
        <v>576686.11706380651</v>
      </c>
      <c r="N29" s="20">
        <f t="shared" si="6"/>
        <v>362399.79085830593</v>
      </c>
      <c r="O29" s="20">
        <f t="shared" si="7"/>
        <v>13863840.220895292</v>
      </c>
      <c r="P29" s="20">
        <f>O29/(1+Inputs!$B$3)^('Reduced Crashes'!B29-Inputs!$B$5)</f>
        <v>4388936.767421741</v>
      </c>
      <c r="Q29" s="20">
        <f>O29/(1+Inputs!$B$4)^('Reduced Crashes'!B29-Inputs!$B$5)</f>
        <v>8387851.3362058578</v>
      </c>
      <c r="S29" s="20">
        <f>O29*Inputs!$B$46</f>
        <v>1109107.2176716235</v>
      </c>
      <c r="T29" s="20">
        <f>S29/(1+Inputs!$B$3)^('Reduced Crashes'!B29-Inputs!$B$5)</f>
        <v>351114.94139373931</v>
      </c>
      <c r="U29" s="20">
        <f>S29/(1+Inputs!$B$4)^('Reduced Crashes'!B29-Inputs!$B$5)</f>
        <v>671028.10689646867</v>
      </c>
    </row>
    <row r="30" spans="2:21">
      <c r="B30" s="18">
        <f t="shared" si="8"/>
        <v>2038</v>
      </c>
      <c r="C30" s="253">
        <f>C31/(1+Inputs!$B$45)</f>
        <v>0.74915235648417622</v>
      </c>
      <c r="D30" s="253">
        <f>D31/(1+Inputs!$B$45)</f>
        <v>2.0601689803314844</v>
      </c>
      <c r="E30" s="253">
        <f>E31/(1+Inputs!$B$45)</f>
        <v>10.581777035338991</v>
      </c>
      <c r="F30" s="253">
        <f>F31/(1+Inputs!$B$45)</f>
        <v>36.052957155800989</v>
      </c>
      <c r="G30" s="253">
        <f>G31/(1+Inputs!$B$45)</f>
        <v>2.0976265981556934</v>
      </c>
      <c r="H30" s="253">
        <f>H31/(1+Inputs!$B$45)</f>
        <v>83.221462400935934</v>
      </c>
      <c r="I30" s="20">
        <f t="shared" si="1"/>
        <v>8165760.6856775209</v>
      </c>
      <c r="J30" s="20">
        <f t="shared" si="2"/>
        <v>1073966.0894468029</v>
      </c>
      <c r="K30" s="20">
        <f t="shared" si="3"/>
        <v>1502612.3390181367</v>
      </c>
      <c r="L30" s="20">
        <f t="shared" si="4"/>
        <v>2613839.3937955718</v>
      </c>
      <c r="M30" s="20">
        <f t="shared" si="5"/>
        <v>595935.7165360325</v>
      </c>
      <c r="N30" s="20">
        <f t="shared" si="6"/>
        <v>374496.58080421173</v>
      </c>
      <c r="O30" s="20">
        <f t="shared" si="7"/>
        <v>14326610.805278277</v>
      </c>
      <c r="P30" s="20">
        <f>O30/(1+Inputs!$B$3)^('Reduced Crashes'!B30-Inputs!$B$5)</f>
        <v>4238727.1804649578</v>
      </c>
      <c r="Q30" s="20">
        <f>O30/(1+Inputs!$B$4)^('Reduced Crashes'!B30-Inputs!$B$5)</f>
        <v>8415373.9324376304</v>
      </c>
      <c r="S30" s="20">
        <f>O30*Inputs!$B$46</f>
        <v>1146128.8644222622</v>
      </c>
      <c r="T30" s="20">
        <f>S30/(1+Inputs!$B$3)^('Reduced Crashes'!B30-Inputs!$B$5)</f>
        <v>339098.17443719663</v>
      </c>
      <c r="U30" s="20">
        <f>S30/(1+Inputs!$B$4)^('Reduced Crashes'!B30-Inputs!$B$5)</f>
        <v>673229.91459501046</v>
      </c>
    </row>
    <row r="31" spans="2:21">
      <c r="B31" s="18">
        <f t="shared" si="8"/>
        <v>2039</v>
      </c>
      <c r="C31" s="253">
        <f>C32/(1+Inputs!$B$45)</f>
        <v>0.77415882426498306</v>
      </c>
      <c r="D31" s="253">
        <f>D32/(1+Inputs!$B$45)</f>
        <v>2.1289367667287031</v>
      </c>
      <c r="E31" s="253">
        <f>E32/(1+Inputs!$B$45)</f>
        <v>10.934993392742888</v>
      </c>
      <c r="F31" s="253">
        <f>F32/(1+Inputs!$B$45)</f>
        <v>37.256393417752321</v>
      </c>
      <c r="G31" s="253">
        <f>G32/(1+Inputs!$B$45)</f>
        <v>2.1676447079419527</v>
      </c>
      <c r="H31" s="253">
        <f>H32/(1+Inputs!$B$45)</f>
        <v>85.999368390536318</v>
      </c>
      <c r="I31" s="20">
        <f t="shared" si="1"/>
        <v>8438331.1844883151</v>
      </c>
      <c r="J31" s="20">
        <f t="shared" si="2"/>
        <v>1109814.736495673</v>
      </c>
      <c r="K31" s="20">
        <f t="shared" si="3"/>
        <v>1552769.0617694901</v>
      </c>
      <c r="L31" s="20">
        <f t="shared" si="4"/>
        <v>2701088.5227870434</v>
      </c>
      <c r="M31" s="20">
        <f t="shared" si="5"/>
        <v>615827.86152630881</v>
      </c>
      <c r="N31" s="20">
        <f t="shared" si="6"/>
        <v>386997.15775741346</v>
      </c>
      <c r="O31" s="20">
        <f t="shared" ref="O31" si="9">SUM(I31:N31)</f>
        <v>14804828.524824243</v>
      </c>
      <c r="P31" s="20">
        <f>O31/(1+Inputs!$B$3)^('Reduced Crashes'!B31-Inputs!$B$5)</f>
        <v>4093658.4559104773</v>
      </c>
      <c r="Q31" s="20">
        <f>O31/(1+Inputs!$B$4)^('Reduced Crashes'!B31-Inputs!$B$5)</f>
        <v>8442986.8370538708</v>
      </c>
      <c r="S31" s="20">
        <f>O31*Inputs!$B$46</f>
        <v>1184386.2819859395</v>
      </c>
      <c r="T31" s="20">
        <f>S31/(1+Inputs!$B$3)^('Reduced Crashes'!B31-Inputs!$B$5)</f>
        <v>327492.67647283821</v>
      </c>
      <c r="U31" s="20">
        <f>S31/(1+Inputs!$B$4)^('Reduced Crashes'!B31-Inputs!$B$5)</f>
        <v>675438.94696430967</v>
      </c>
    </row>
    <row r="32" spans="2:21">
      <c r="B32" s="18">
        <f t="shared" si="8"/>
        <v>2040</v>
      </c>
      <c r="C32" s="254">
        <f>SUM(C6:C11)</f>
        <v>0.79999999999999993</v>
      </c>
      <c r="D32" s="254">
        <f>SUM(D6:D11)</f>
        <v>2.1999999999999997</v>
      </c>
      <c r="E32" s="254">
        <f>SUM(E6:E11)</f>
        <v>11.3</v>
      </c>
      <c r="F32" s="254">
        <f>SUM(F6:F11)</f>
        <v>38.500000000000007</v>
      </c>
      <c r="G32" s="254">
        <f>SUM(C12:F13)</f>
        <v>2.2400000000000002</v>
      </c>
      <c r="H32" s="254">
        <f>SUM(G6:G13)</f>
        <v>88.87</v>
      </c>
      <c r="I32" s="20">
        <f t="shared" si="1"/>
        <v>8720000</v>
      </c>
      <c r="J32" s="20">
        <f t="shared" si="2"/>
        <v>1146859.9999999998</v>
      </c>
      <c r="K32" s="20">
        <f t="shared" si="3"/>
        <v>1604600</v>
      </c>
      <c r="L32" s="20">
        <f t="shared" si="4"/>
        <v>2791250.0000000005</v>
      </c>
      <c r="M32" s="20">
        <f t="shared" si="5"/>
        <v>636384.00000000012</v>
      </c>
      <c r="N32" s="20">
        <f t="shared" si="6"/>
        <v>399915</v>
      </c>
      <c r="O32" s="20">
        <f t="shared" ref="O32:O38" si="10">SUM(I32:N32)</f>
        <v>15299009</v>
      </c>
      <c r="P32" s="20">
        <f>O32/(1+Inputs!$B$3)^('Reduced Crashes'!B32-Inputs!$B$5)</f>
        <v>3953554.6498204027</v>
      </c>
      <c r="Q32" s="20">
        <f>O32/(1+Inputs!$B$4)^('Reduced Crashes'!B32-Inputs!$B$5)</f>
        <v>8470690.3463785257</v>
      </c>
      <c r="S32" s="20">
        <f>O32*Inputs!$B$46</f>
        <v>1223920.72</v>
      </c>
      <c r="T32" s="20">
        <f>S32/(1+Inputs!$B$3)^('Reduced Crashes'!B32-Inputs!$B$5)</f>
        <v>316284.37198563217</v>
      </c>
      <c r="U32" s="20">
        <f>S32/(1+Inputs!$B$4)^('Reduced Crashes'!B32-Inputs!$B$5)</f>
        <v>677655.22771028208</v>
      </c>
    </row>
    <row r="33" spans="2:21">
      <c r="B33" s="18">
        <f t="shared" si="8"/>
        <v>2041</v>
      </c>
      <c r="C33" s="253">
        <f>C32*(1+Inputs!$B$45)</f>
        <v>0.82670374597569329</v>
      </c>
      <c r="D33" s="253">
        <f>D32*(1+Inputs!$B$45)</f>
        <v>2.2734353014331563</v>
      </c>
      <c r="E33" s="253">
        <f>E32*(1+Inputs!$B$45)</f>
        <v>11.677190411906668</v>
      </c>
      <c r="F33" s="253">
        <f>F32*(1+Inputs!$B$45)</f>
        <v>39.785117775080245</v>
      </c>
      <c r="G33" s="253">
        <f>G32*(1+Inputs!$B$45)</f>
        <v>2.3147704887319414</v>
      </c>
      <c r="H33" s="253">
        <f>H32*(1+Inputs!$B$45)</f>
        <v>91.836452381074835</v>
      </c>
      <c r="I33" s="20">
        <f t="shared" si="1"/>
        <v>9011070.8311350569</v>
      </c>
      <c r="J33" s="20">
        <f t="shared" si="2"/>
        <v>1185141.8226371044</v>
      </c>
      <c r="K33" s="20">
        <f t="shared" si="3"/>
        <v>1658161.0384907469</v>
      </c>
      <c r="L33" s="20">
        <f t="shared" si="4"/>
        <v>2884421.0386933177</v>
      </c>
      <c r="M33" s="20">
        <f t="shared" si="5"/>
        <v>657626.29584874457</v>
      </c>
      <c r="N33" s="20">
        <f t="shared" si="6"/>
        <v>413264.03571483673</v>
      </c>
      <c r="O33" s="20">
        <f t="shared" si="10"/>
        <v>15809685.062519806</v>
      </c>
      <c r="P33" s="20">
        <f>O33/(1+Inputs!$B$3)^('Reduced Crashes'!B33-Inputs!$B$5)</f>
        <v>3818245.8398669939</v>
      </c>
      <c r="Q33" s="20">
        <f>O33/(1+Inputs!$B$4)^('Reduced Crashes'!B33-Inputs!$B$5)</f>
        <v>8498484.7577078529</v>
      </c>
      <c r="S33" s="20">
        <f>O33*Inputs!$B$46</f>
        <v>1264774.8050015846</v>
      </c>
      <c r="T33" s="20">
        <f>S33/(1+Inputs!$B$3)^('Reduced Crashes'!B33-Inputs!$B$5)</f>
        <v>305459.66718935955</v>
      </c>
      <c r="U33" s="20">
        <f>S33/(1+Inputs!$B$4)^('Reduced Crashes'!B33-Inputs!$B$5)</f>
        <v>679878.78061662836</v>
      </c>
    </row>
    <row r="34" spans="2:21">
      <c r="B34" s="18">
        <f t="shared" si="8"/>
        <v>2042</v>
      </c>
      <c r="C34" s="253">
        <f>C33*(1+Inputs!$B$45)</f>
        <v>0.85429885451280452</v>
      </c>
      <c r="D34" s="253">
        <f>D33*(1+Inputs!$B$45)</f>
        <v>2.3493218499102122</v>
      </c>
      <c r="E34" s="253">
        <f>E33*(1+Inputs!$B$45)</f>
        <v>12.066971319993366</v>
      </c>
      <c r="F34" s="253">
        <f>F33*(1+Inputs!$B$45)</f>
        <v>41.113132373428726</v>
      </c>
      <c r="G34" s="253">
        <f>G33*(1+Inputs!$B$45)</f>
        <v>2.392036792635853</v>
      </c>
      <c r="H34" s="253">
        <f>H33*(1+Inputs!$B$45)</f>
        <v>94.901924000691182</v>
      </c>
      <c r="I34" s="20">
        <f t="shared" si="1"/>
        <v>9311857.5141895693</v>
      </c>
      <c r="J34" s="20">
        <f t="shared" si="2"/>
        <v>1224701.4803581936</v>
      </c>
      <c r="K34" s="20">
        <f t="shared" si="3"/>
        <v>1713509.927439058</v>
      </c>
      <c r="L34" s="20">
        <f t="shared" si="4"/>
        <v>2980702.0970735825</v>
      </c>
      <c r="M34" s="20">
        <f t="shared" si="5"/>
        <v>679577.65278784581</v>
      </c>
      <c r="N34" s="20">
        <f t="shared" si="6"/>
        <v>427058.65800311032</v>
      </c>
      <c r="O34" s="20">
        <f t="shared" si="10"/>
        <v>16337407.329851359</v>
      </c>
      <c r="P34" s="20">
        <f>O34/(1+Inputs!$B$3)^('Reduced Crashes'!B34-Inputs!$B$5)</f>
        <v>3687567.9192455038</v>
      </c>
      <c r="Q34" s="20">
        <f>O34/(1+Inputs!$B$4)^('Reduced Crashes'!B34-Inputs!$B$5)</f>
        <v>8526370.3693136089</v>
      </c>
      <c r="S34" s="20">
        <f>O34*Inputs!$B$46</f>
        <v>1306992.5863881088</v>
      </c>
      <c r="T34" s="20">
        <f>S34/(1+Inputs!$B$3)^('Reduced Crashes'!B34-Inputs!$B$5)</f>
        <v>295005.43353964033</v>
      </c>
      <c r="U34" s="20">
        <f>S34/(1+Inputs!$B$4)^('Reduced Crashes'!B34-Inputs!$B$5)</f>
        <v>682109.62954508886</v>
      </c>
    </row>
    <row r="35" spans="2:21">
      <c r="B35" s="18">
        <f>B34+1</f>
        <v>2043</v>
      </c>
      <c r="C35" s="253">
        <f>C34*(1+Inputs!$B$45)</f>
        <v>0.88281507901059919</v>
      </c>
      <c r="D35" s="253">
        <f>D34*(1+Inputs!$B$45)</f>
        <v>2.4277414672791475</v>
      </c>
      <c r="E35" s="253">
        <f>E34*(1+Inputs!$B$45)</f>
        <v>12.469762991024716</v>
      </c>
      <c r="F35" s="253">
        <f>F34*(1+Inputs!$B$45)</f>
        <v>42.485475677385097</v>
      </c>
      <c r="G35" s="253">
        <f>G34*(1+Inputs!$B$45)</f>
        <v>2.471882221229678</v>
      </c>
      <c r="H35" s="253">
        <f>H34*(1+Inputs!$B$45)</f>
        <v>98.06972008958995</v>
      </c>
      <c r="I35" s="20">
        <f t="shared" si="1"/>
        <v>9622684.3612155318</v>
      </c>
      <c r="J35" s="20">
        <f t="shared" si="2"/>
        <v>1265581.6268926195</v>
      </c>
      <c r="K35" s="20">
        <f t="shared" si="3"/>
        <v>1770706.3447255096</v>
      </c>
      <c r="L35" s="20">
        <f t="shared" si="4"/>
        <v>3080196.9866104196</v>
      </c>
      <c r="M35" s="20">
        <f t="shared" si="5"/>
        <v>702261.73905135156</v>
      </c>
      <c r="N35" s="20">
        <f t="shared" si="6"/>
        <v>441313.74040315475</v>
      </c>
      <c r="O35" s="20">
        <f t="shared" si="10"/>
        <v>16882744.798898585</v>
      </c>
      <c r="P35" s="20">
        <f>O35/(1+Inputs!$B$3)^('Reduced Crashes'!B35-Inputs!$B$5)</f>
        <v>3561362.3976402464</v>
      </c>
      <c r="Q35" s="20">
        <f>O35/(1+Inputs!$B$4)^('Reduced Crashes'!B35-Inputs!$B$5)</f>
        <v>8554347.4804462586</v>
      </c>
      <c r="S35" s="20">
        <f>O35*Inputs!$B$46</f>
        <v>1350619.5839118869</v>
      </c>
      <c r="T35" s="20">
        <f>S35/(1+Inputs!$B$3)^('Reduced Crashes'!B35-Inputs!$B$5)</f>
        <v>284908.99181121972</v>
      </c>
      <c r="U35" s="20">
        <f>S35/(1+Inputs!$B$4)^('Reduced Crashes'!B35-Inputs!$B$5)</f>
        <v>684347.79843570071</v>
      </c>
    </row>
    <row r="36" spans="2:21">
      <c r="B36" s="18">
        <f t="shared" si="8"/>
        <v>2044</v>
      </c>
      <c r="C36" s="253">
        <f>C35*(1+Inputs!$B$45)</f>
        <v>0.91228316602736248</v>
      </c>
      <c r="D36" s="253">
        <f>D35*(1+Inputs!$B$45)</f>
        <v>2.5087787065752467</v>
      </c>
      <c r="E36" s="253">
        <f>E35*(1+Inputs!$B$45)</f>
        <v>12.885999720136498</v>
      </c>
      <c r="F36" s="253">
        <f>F35*(1+Inputs!$B$45)</f>
        <v>43.903627365066832</v>
      </c>
      <c r="G36" s="253">
        <f>G35*(1+Inputs!$B$45)</f>
        <v>2.5543928648766152</v>
      </c>
      <c r="H36" s="253">
        <f>H35*(1+Inputs!$B$45)</f>
        <v>101.34325620606465</v>
      </c>
      <c r="I36" s="20">
        <f t="shared" si="1"/>
        <v>9943886.5096982513</v>
      </c>
      <c r="J36" s="20">
        <f t="shared" si="2"/>
        <v>1307826.3397376761</v>
      </c>
      <c r="K36" s="20">
        <f t="shared" si="3"/>
        <v>1829811.9602593826</v>
      </c>
      <c r="L36" s="20">
        <f t="shared" si="4"/>
        <v>3183012.9839673452</v>
      </c>
      <c r="M36" s="20">
        <f t="shared" si="5"/>
        <v>725703.01291144639</v>
      </c>
      <c r="N36" s="20">
        <f t="shared" si="6"/>
        <v>456044.65292729094</v>
      </c>
      <c r="O36" s="20">
        <f t="shared" si="10"/>
        <v>17446285.459501393</v>
      </c>
      <c r="P36" s="20">
        <f>O36/(1+Inputs!$B$3)^('Reduced Crashes'!B36-Inputs!$B$5)</f>
        <v>3439476.209002533</v>
      </c>
      <c r="Q36" s="20">
        <f>O36/(1+Inputs!$B$4)^('Reduced Crashes'!B36-Inputs!$B$5)</f>
        <v>8582416.3913381752</v>
      </c>
      <c r="S36" s="20">
        <f>O36*Inputs!$B$46</f>
        <v>1395702.8367601114</v>
      </c>
      <c r="T36" s="20">
        <f>S36/(1+Inputs!$B$3)^('Reduced Crashes'!B36-Inputs!$B$5)</f>
        <v>275158.09672020265</v>
      </c>
      <c r="U36" s="20">
        <f>S36/(1+Inputs!$B$4)^('Reduced Crashes'!B36-Inputs!$B$5)</f>
        <v>686593.31130705401</v>
      </c>
    </row>
    <row r="37" spans="2:21">
      <c r="B37" s="18">
        <f t="shared" si="8"/>
        <v>2045</v>
      </c>
      <c r="C37" s="253">
        <f>C36*(1+Inputs!$B$45)</f>
        <v>0.94273488843173237</v>
      </c>
      <c r="D37" s="253">
        <f>D36*(1+Inputs!$B$45)</f>
        <v>2.5925209431872638</v>
      </c>
      <c r="E37" s="253">
        <f>E36*(1+Inputs!$B$45)</f>
        <v>13.316130299098223</v>
      </c>
      <c r="F37" s="253">
        <f>F36*(1+Inputs!$B$45)</f>
        <v>45.369116505777136</v>
      </c>
      <c r="G37" s="253">
        <f>G36*(1+Inputs!$B$45)</f>
        <v>2.6396576876088509</v>
      </c>
      <c r="H37" s="253">
        <f>H36*(1+Inputs!$B$45)</f>
        <v>104.72606191866009</v>
      </c>
      <c r="I37" s="20">
        <f t="shared" si="1"/>
        <v>10275810.283905882</v>
      </c>
      <c r="J37" s="20">
        <f t="shared" si="2"/>
        <v>1351481.1676835206</v>
      </c>
      <c r="K37" s="20">
        <f t="shared" si="3"/>
        <v>1890890.5024719476</v>
      </c>
      <c r="L37" s="20">
        <f t="shared" si="4"/>
        <v>3289260.9466688423</v>
      </c>
      <c r="M37" s="20">
        <f t="shared" si="5"/>
        <v>749926.74904967449</v>
      </c>
      <c r="N37" s="20">
        <f t="shared" si="6"/>
        <v>471267.27863397042</v>
      </c>
      <c r="O37" s="20">
        <f t="shared" si="10"/>
        <v>18028636.928413838</v>
      </c>
      <c r="P37" s="20">
        <f>O37/(1+Inputs!$B$3)^('Reduced Crashes'!B37-Inputs!$B$5)</f>
        <v>3321761.5259073251</v>
      </c>
      <c r="Q37" s="20">
        <f>O37/(1+Inputs!$B$4)^('Reduced Crashes'!B37-Inputs!$B$5)</f>
        <v>8610577.40320687</v>
      </c>
      <c r="S37" s="20">
        <f>O37*Inputs!$B$46</f>
        <v>1442290.954273107</v>
      </c>
      <c r="T37" s="20">
        <f>S37/(1+Inputs!$B$3)^('Reduced Crashes'!B37-Inputs!$B$5)</f>
        <v>265740.92207258602</v>
      </c>
      <c r="U37" s="20">
        <f>S37/(1+Inputs!$B$4)^('Reduced Crashes'!B37-Inputs!$B$5)</f>
        <v>688846.19225654961</v>
      </c>
    </row>
    <row r="38" spans="2:21" s="148" customFormat="1">
      <c r="B38" s="18">
        <f t="shared" si="8"/>
        <v>2046</v>
      </c>
      <c r="C38" s="253">
        <f>C37*(1+Inputs!$B$45)</f>
        <v>0.97420307966061304</v>
      </c>
      <c r="D38" s="253">
        <f>D37*(1+Inputs!$B$45)</f>
        <v>2.6790584690666859</v>
      </c>
      <c r="E38" s="253">
        <f>E37*(1+Inputs!$B$45)</f>
        <v>13.760618500206164</v>
      </c>
      <c r="F38" s="253">
        <f>F37*(1+Inputs!$B$45)</f>
        <v>46.883523208667022</v>
      </c>
      <c r="G38" s="253">
        <f>G37*(1+Inputs!$B$45)</f>
        <v>2.7277686230497169</v>
      </c>
      <c r="H38" s="253">
        <f>H37*(1+Inputs!$B$45)</f>
        <v>108.22178461179838</v>
      </c>
      <c r="I38" s="20">
        <f t="shared" si="1"/>
        <v>10618813.568300681</v>
      </c>
      <c r="J38" s="20">
        <f t="shared" si="2"/>
        <v>1396593.1799244634</v>
      </c>
      <c r="K38" s="20">
        <f t="shared" si="3"/>
        <v>1954007.8270292752</v>
      </c>
      <c r="L38" s="20">
        <f t="shared" si="4"/>
        <v>3399055.4326283592</v>
      </c>
      <c r="M38" s="20">
        <f t="shared" si="5"/>
        <v>774959.06580842461</v>
      </c>
      <c r="N38" s="20">
        <f t="shared" si="6"/>
        <v>486998.03075309272</v>
      </c>
      <c r="O38" s="20">
        <f t="shared" si="10"/>
        <v>18630427.104444291</v>
      </c>
      <c r="P38" s="20">
        <f>O38/(1+Inputs!$B$3)^('Reduced Crashes'!B38-Inputs!$B$5)</f>
        <v>3208075.5802634582</v>
      </c>
      <c r="Q38" s="20">
        <f>O38/(1+Inputs!$B$4)^('Reduced Crashes'!B38-Inputs!$B$5)</f>
        <v>8638830.8182582222</v>
      </c>
      <c r="S38" s="20">
        <f>O38*Inputs!$B$46</f>
        <v>1490434.1683555434</v>
      </c>
      <c r="T38" s="20">
        <f>S38/(1+Inputs!$B$3)^('Reduced Crashes'!B38-Inputs!$B$5)</f>
        <v>256646.04642107669</v>
      </c>
      <c r="U38" s="20">
        <f>S38/(1+Inputs!$B$4)^('Reduced Crashes'!B38-Inputs!$B$5)</f>
        <v>691106.46546065772</v>
      </c>
    </row>
    <row r="39" spans="2:21">
      <c r="B39" s="18">
        <f t="shared" si="8"/>
        <v>2047</v>
      </c>
      <c r="C39" s="253">
        <f>C38*(1+Inputs!$B$45)</f>
        <v>1.0067216691206069</v>
      </c>
      <c r="D39" s="253">
        <f>D38*(1+Inputs!$B$45)</f>
        <v>2.7684845900816692</v>
      </c>
      <c r="E39" s="253">
        <f>E38*(1+Inputs!$B$45)</f>
        <v>14.219943576328578</v>
      </c>
      <c r="F39" s="253">
        <f>F38*(1+Inputs!$B$45)</f>
        <v>48.448480326429227</v>
      </c>
      <c r="G39" s="253">
        <f>G38*(1+Inputs!$B$45)</f>
        <v>2.8188206735376999</v>
      </c>
      <c r="H39" s="253">
        <f>H38*(1+Inputs!$B$45)</f>
        <v>111.83419341843546</v>
      </c>
      <c r="I39" s="20">
        <f t="shared" ref="I39" si="11">C39*$J$8</f>
        <v>10973266.193414615</v>
      </c>
      <c r="J39" s="20">
        <f t="shared" ref="J39" si="12">D39*$J$7</f>
        <v>1443211.0168095741</v>
      </c>
      <c r="K39" s="20">
        <f t="shared" ref="K39" si="13">E39*$J$6</f>
        <v>2019231.987838658</v>
      </c>
      <c r="L39" s="20">
        <f t="shared" ref="L39" si="14">F39*$J$5</f>
        <v>3512514.823666119</v>
      </c>
      <c r="M39" s="20">
        <f t="shared" ref="M39" si="15">G39*$J$11</f>
        <v>800826.95335206052</v>
      </c>
      <c r="N39" s="20">
        <f t="shared" ref="N39" si="16">H39*$J$13</f>
        <v>503253.87038295961</v>
      </c>
      <c r="O39" s="638">
        <f>SUM(I39:N39)*(1-Inputs!$B$8)</f>
        <v>8021793.6856099945</v>
      </c>
      <c r="P39" s="20">
        <f>O39/(1+Inputs!$B$3)^('Reduced Crashes'!B39-Inputs!$B$5)</f>
        <v>1290950.2042333272</v>
      </c>
      <c r="Q39" s="20">
        <f>O39/(1+Inputs!$B$4)^('Reduced Crashes'!B39-Inputs!$B$5)</f>
        <v>3611323.7248707213</v>
      </c>
      <c r="R39" s="148"/>
      <c r="S39" s="638">
        <f>O39*Inputs!$B$46*(1-Inputs!$B$8)</f>
        <v>267393.12285366643</v>
      </c>
      <c r="T39" s="20">
        <f>S39/(1+Inputs!$B$3)^('Reduced Crashes'!B39-Inputs!$B$5)</f>
        <v>43031.673474444229</v>
      </c>
      <c r="U39" s="20">
        <f>S39/(1+Inputs!$B$4)^('Reduced Crashes'!B39-Inputs!$B$5)</f>
        <v>120377.45749569069</v>
      </c>
    </row>
    <row r="40" spans="2:21">
      <c r="B40" s="18" t="s">
        <v>0</v>
      </c>
      <c r="C40" s="18"/>
      <c r="D40" s="18"/>
      <c r="E40" s="20"/>
      <c r="F40" s="20"/>
      <c r="G40" s="20"/>
      <c r="H40" s="20"/>
      <c r="I40" s="20">
        <f t="shared" ref="I40:Q40" si="17">SUM(I19:I39)</f>
        <v>169241248.73406336</v>
      </c>
      <c r="J40" s="20">
        <f t="shared" si="17"/>
        <v>22258717.720544484</v>
      </c>
      <c r="K40" s="20">
        <f t="shared" si="17"/>
        <v>31142718.775077764</v>
      </c>
      <c r="L40" s="20">
        <f t="shared" si="17"/>
        <v>54173696.734971844</v>
      </c>
      <c r="M40" s="20">
        <f t="shared" si="17"/>
        <v>12351195.279171811</v>
      </c>
      <c r="N40" s="20">
        <f t="shared" si="17"/>
        <v>7761710.3196654776</v>
      </c>
      <c r="O40" s="20">
        <f t="shared" si="17"/>
        <v>281538970.01480114</v>
      </c>
      <c r="P40" s="20">
        <f t="shared" si="17"/>
        <v>89832656.692648694</v>
      </c>
      <c r="Q40" s="20">
        <f t="shared" si="17"/>
        <v>167741378.60661212</v>
      </c>
      <c r="S40" s="20">
        <f>SUM(S19:S39)</f>
        <v>22148767.229188964</v>
      </c>
      <c r="T40" s="20">
        <f t="shared" ref="T40:U40" si="18">SUM(T19:T39)</f>
        <v>7126368.1925476743</v>
      </c>
      <c r="U40" s="20">
        <f t="shared" si="18"/>
        <v>13250781.848035006</v>
      </c>
    </row>
    <row r="41" spans="2:21">
      <c r="L41" s="148"/>
    </row>
  </sheetData>
  <sheetProtection algorithmName="SHA-512" hashValue="0ImwbT0Yj1sYdPdLp/kXdJexPVB5Z988usH9vaKE4wSiJPrYPj7cW8NxqDWKTMgNuxNyqM1xx/WIH6G77SKj4A==" saltValue="ff2hFVCdsJFomjTd3fzmmQ==" spinCount="100000" sheet="1" objects="1" scenarios="1"/>
  <mergeCells count="4">
    <mergeCell ref="C12:F12"/>
    <mergeCell ref="C3:H3"/>
    <mergeCell ref="B5:H5"/>
    <mergeCell ref="C13:F13"/>
  </mergeCells>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sheetPr>
  <dimension ref="A1:AU163"/>
  <sheetViews>
    <sheetView zoomScale="85" zoomScaleNormal="85" workbookViewId="0">
      <selection activeCell="C36" sqref="C36"/>
    </sheetView>
  </sheetViews>
  <sheetFormatPr defaultColWidth="8.85546875" defaultRowHeight="15"/>
  <cols>
    <col min="1" max="1" width="12.85546875" style="167" customWidth="1"/>
    <col min="2" max="2" width="19" style="167" customWidth="1"/>
    <col min="3" max="3" width="21.28515625" style="167" customWidth="1"/>
    <col min="4" max="4" width="12.5703125" style="167" bestFit="1" customWidth="1"/>
    <col min="5" max="5" width="15" style="167" customWidth="1"/>
    <col min="6" max="6" width="11.85546875" style="167" customWidth="1"/>
    <col min="7" max="7" width="13.5703125" style="167" customWidth="1"/>
    <col min="8" max="8" width="10.7109375" style="167" customWidth="1"/>
    <col min="9" max="10" width="13.7109375" style="167" customWidth="1"/>
    <col min="11" max="11" width="14.28515625" style="167" customWidth="1"/>
    <col min="12" max="12" width="13" style="167" customWidth="1"/>
    <col min="13" max="13" width="14.28515625" style="167" bestFit="1" customWidth="1"/>
    <col min="14" max="19" width="13.28515625" style="167" bestFit="1" customWidth="1"/>
    <col min="20" max="20" width="14.28515625" style="167" bestFit="1" customWidth="1"/>
    <col min="21" max="21" width="12.28515625" style="167" bestFit="1" customWidth="1"/>
    <col min="22" max="22" width="12.7109375" style="167" bestFit="1" customWidth="1"/>
    <col min="23" max="23" width="13.7109375" style="167" customWidth="1"/>
    <col min="24" max="24" width="12.5703125" style="167" customWidth="1"/>
    <col min="25" max="25" width="13.140625" style="167" customWidth="1"/>
    <col min="26" max="31" width="11.85546875" style="167" customWidth="1"/>
    <col min="32" max="35" width="8.85546875" style="167"/>
    <col min="36" max="36" width="11" style="167" customWidth="1"/>
    <col min="37" max="37" width="11.5703125" style="167" bestFit="1" customWidth="1"/>
    <col min="38" max="38" width="10.5703125" style="167" bestFit="1" customWidth="1"/>
    <col min="39" max="39" width="11.28515625" style="167" bestFit="1" customWidth="1"/>
    <col min="40" max="40" width="10.28515625" style="167" bestFit="1" customWidth="1"/>
    <col min="41" max="43" width="11.28515625" style="167" bestFit="1" customWidth="1"/>
    <col min="44" max="44" width="8.85546875" style="167"/>
    <col min="45" max="46" width="10.28515625" style="167" bestFit="1" customWidth="1"/>
    <col min="47" max="16384" width="8.85546875" style="167"/>
  </cols>
  <sheetData>
    <row r="1" spans="1:15">
      <c r="A1" s="167" t="s">
        <v>457</v>
      </c>
    </row>
    <row r="2" spans="1:15">
      <c r="A2" s="167" t="s">
        <v>458</v>
      </c>
    </row>
    <row r="3" spans="1:15">
      <c r="A3" s="148" t="s">
        <v>459</v>
      </c>
      <c r="B3" s="148"/>
      <c r="C3" s="148"/>
      <c r="D3" s="148"/>
      <c r="E3" s="148"/>
      <c r="F3" s="148"/>
      <c r="G3" s="148"/>
      <c r="H3" s="148"/>
      <c r="I3" s="148"/>
    </row>
    <row r="5" spans="1:15">
      <c r="A5" s="97" t="s">
        <v>1061</v>
      </c>
      <c r="D5" s="228">
        <f>Inputs!B17</f>
        <v>2E-3</v>
      </c>
      <c r="E5" s="179" t="s">
        <v>456</v>
      </c>
      <c r="F5" s="188"/>
    </row>
    <row r="6" spans="1:15">
      <c r="A6" s="97" t="str">
        <f>Inputs!A16</f>
        <v>50-year storm annual likelihood</v>
      </c>
      <c r="D6" s="97">
        <f>Inputs!B16</f>
        <v>0.02</v>
      </c>
      <c r="E6" s="180" t="s">
        <v>417</v>
      </c>
      <c r="F6" s="188"/>
    </row>
    <row r="7" spans="1:15">
      <c r="A7" s="63" t="str">
        <f>Inputs!A79</f>
        <v>Value of Time All Purposes (2019$)</v>
      </c>
      <c r="C7" s="63">
        <f>Inputs!B79</f>
        <v>17.899999999999999</v>
      </c>
      <c r="F7" s="188"/>
    </row>
    <row r="8" spans="1:15">
      <c r="A8" s="167" t="str">
        <f>Inputs!A80</f>
        <v>Value of Time Truck (2019$)</v>
      </c>
      <c r="B8" s="148"/>
      <c r="C8" s="63">
        <f>Inputs!B80</f>
        <v>30.8</v>
      </c>
      <c r="F8" s="188"/>
    </row>
    <row r="9" spans="1:15">
      <c r="B9" s="148"/>
      <c r="I9" s="63"/>
    </row>
    <row r="10" spans="1:15">
      <c r="A10" s="167" t="s">
        <v>229</v>
      </c>
      <c r="B10" s="167" t="s">
        <v>408</v>
      </c>
      <c r="I10" s="167" t="s">
        <v>229</v>
      </c>
      <c r="J10" s="167" t="s">
        <v>408</v>
      </c>
    </row>
    <row r="11" spans="1:15" ht="45">
      <c r="A11" s="190" t="s">
        <v>1</v>
      </c>
      <c r="B11" s="190" t="s">
        <v>399</v>
      </c>
      <c r="C11" s="190" t="s">
        <v>400</v>
      </c>
      <c r="D11" s="190" t="s">
        <v>395</v>
      </c>
      <c r="E11" s="190" t="s">
        <v>396</v>
      </c>
      <c r="F11" s="190" t="s">
        <v>397</v>
      </c>
      <c r="G11" s="190" t="s">
        <v>398</v>
      </c>
      <c r="I11" s="193" t="s">
        <v>1</v>
      </c>
      <c r="J11" s="193" t="s">
        <v>399</v>
      </c>
      <c r="K11" s="193" t="s">
        <v>400</v>
      </c>
      <c r="L11" s="193" t="s">
        <v>395</v>
      </c>
      <c r="M11" s="193" t="s">
        <v>396</v>
      </c>
      <c r="N11" s="193" t="s">
        <v>397</v>
      </c>
      <c r="O11" s="193" t="s">
        <v>398</v>
      </c>
    </row>
    <row r="12" spans="1:15">
      <c r="A12" s="110">
        <f>Inputs!$B$7</f>
        <v>2027</v>
      </c>
      <c r="B12" s="13">
        <f>'I-87 Detour Data'!V139</f>
        <v>4161969.3337481283</v>
      </c>
      <c r="C12" s="13">
        <f>'I-87 Detour Data'!W139</f>
        <v>95057.324289309079</v>
      </c>
      <c r="D12" s="46">
        <f t="shared" ref="D12:D17" si="0">B12*$D$5</f>
        <v>8323.938667496257</v>
      </c>
      <c r="E12" s="46">
        <f t="shared" ref="E12:E30" si="1">C12*$D$5</f>
        <v>190.11464857861816</v>
      </c>
      <c r="F12" s="71">
        <f>E12*Inputs!$B$12*(1-Inputs!$B$46)</f>
        <v>292.09214607618895</v>
      </c>
      <c r="G12" s="71">
        <f>E12*Inputs!$B$46</f>
        <v>15.209171886289454</v>
      </c>
      <c r="I12" s="110">
        <f>Inputs!$B$7</f>
        <v>2027</v>
      </c>
      <c r="J12" s="13">
        <f>'I-87 Detour Data'!V216</f>
        <v>4161969.3337481283</v>
      </c>
      <c r="K12" s="13">
        <f>'I-87 Detour Data'!W216</f>
        <v>95057.324289309079</v>
      </c>
      <c r="L12" s="46">
        <f>J12*$D$6</f>
        <v>83239.386674962574</v>
      </c>
      <c r="M12" s="46">
        <f>K12*$D$6</f>
        <v>1901.1464857861815</v>
      </c>
      <c r="N12" s="71">
        <f>M12*Inputs!$B$12*(1-Inputs!$B$46)</f>
        <v>2920.9214607618896</v>
      </c>
      <c r="O12" s="71">
        <f>M12*Inputs!$B$46</f>
        <v>152.09171886289454</v>
      </c>
    </row>
    <row r="13" spans="1:15">
      <c r="A13" s="110">
        <f>A12+1</f>
        <v>2028</v>
      </c>
      <c r="B13" s="13">
        <f>'I-87 Detour Data'!V140</f>
        <v>4300894.548556922</v>
      </c>
      <c r="C13" s="13">
        <f>'I-87 Detour Data'!W140</f>
        <v>98230.307590497599</v>
      </c>
      <c r="D13" s="46">
        <f t="shared" si="0"/>
        <v>8601.789097113844</v>
      </c>
      <c r="E13" s="46">
        <f t="shared" si="1"/>
        <v>196.46061518099521</v>
      </c>
      <c r="F13" s="71">
        <f>E13*Inputs!$B$12*(1-Inputs!$B$46)</f>
        <v>301.84208916408102</v>
      </c>
      <c r="G13" s="71">
        <f>E13*Inputs!$B$46</f>
        <v>15.716849214479616</v>
      </c>
      <c r="I13" s="110">
        <f>A13</f>
        <v>2028</v>
      </c>
      <c r="J13" s="13">
        <f>'I-87 Detour Data'!V217</f>
        <v>4300894.548556922</v>
      </c>
      <c r="K13" s="13">
        <f>'I-87 Detour Data'!W217</f>
        <v>98230.307590497599</v>
      </c>
      <c r="L13" s="46">
        <f>J13*$D$6</f>
        <v>86017.890971138448</v>
      </c>
      <c r="M13" s="46">
        <f>K13*$D$6</f>
        <v>1964.6061518099521</v>
      </c>
      <c r="N13" s="71">
        <f>M13*Inputs!$B$12*(1-Inputs!$B$46)</f>
        <v>3018.4208916408102</v>
      </c>
      <c r="O13" s="71">
        <f>M13*Inputs!$B$46</f>
        <v>157.16849214479618</v>
      </c>
    </row>
    <row r="14" spans="1:15">
      <c r="A14" s="110">
        <f t="shared" ref="A14:A32" si="2">A13+1</f>
        <v>2029</v>
      </c>
      <c r="B14" s="10">
        <f>'I-87 Detour Data'!V141</f>
        <v>4444457.0429230575</v>
      </c>
      <c r="C14" s="10">
        <f>'I-87 Detour Data'!W141</f>
        <v>101509.20406676119</v>
      </c>
      <c r="D14" s="46">
        <f t="shared" si="0"/>
        <v>8888.914085846116</v>
      </c>
      <c r="E14" s="46">
        <f t="shared" si="1"/>
        <v>203.01840813352237</v>
      </c>
      <c r="F14" s="71">
        <f>E14*Inputs!$B$12*(1-Inputs!$B$46)</f>
        <v>311.91748225634376</v>
      </c>
      <c r="G14" s="71">
        <f>E14*Inputs!$B$46</f>
        <v>16.241472650681789</v>
      </c>
      <c r="I14" s="110">
        <f>A14</f>
        <v>2029</v>
      </c>
      <c r="J14" s="13">
        <f>'I-87 Detour Data'!V218</f>
        <v>4444457.0429230575</v>
      </c>
      <c r="K14" s="13">
        <f>'I-87 Detour Data'!W218</f>
        <v>101509.20406676117</v>
      </c>
      <c r="L14" s="46">
        <f t="shared" ref="L14:L30" si="3">J14*$D$6</f>
        <v>88889.140858461149</v>
      </c>
      <c r="M14" s="46">
        <f t="shared" ref="M14:M30" si="4">K14*$D$6</f>
        <v>2030.1840813352235</v>
      </c>
      <c r="N14" s="71">
        <f>M14*Inputs!$B$12*(1-Inputs!$B$46)</f>
        <v>3119.1748225634374</v>
      </c>
      <c r="O14" s="71">
        <f>M14*Inputs!$B$46</f>
        <v>162.41472650681789</v>
      </c>
    </row>
    <row r="15" spans="1:15">
      <c r="A15" s="110">
        <f t="shared" si="2"/>
        <v>2030</v>
      </c>
      <c r="B15" s="10">
        <f>'I-87 Detour Data'!V142</f>
        <v>4592811.607765682</v>
      </c>
      <c r="C15" s="10">
        <f>'I-87 Detour Data'!W142</f>
        <v>104897.54906625321</v>
      </c>
      <c r="D15" s="46">
        <f t="shared" si="0"/>
        <v>9185.6232155313646</v>
      </c>
      <c r="E15" s="46">
        <f t="shared" si="1"/>
        <v>209.79509813250641</v>
      </c>
      <c r="F15" s="71">
        <f>E15*Inputs!$B$12*(1-Inputs!$B$46)</f>
        <v>322.32918877078282</v>
      </c>
      <c r="G15" s="71">
        <f>E15*Inputs!$B$46</f>
        <v>16.783607850600514</v>
      </c>
      <c r="I15" s="110">
        <f t="shared" ref="I15:I32" si="5">I14+1</f>
        <v>2030</v>
      </c>
      <c r="J15" s="13">
        <f>'I-87 Detour Data'!V219</f>
        <v>4592811.607765682</v>
      </c>
      <c r="K15" s="13">
        <f>'I-87 Detour Data'!W219</f>
        <v>104897.54906625321</v>
      </c>
      <c r="L15" s="46">
        <f t="shared" si="3"/>
        <v>91856.232155313643</v>
      </c>
      <c r="M15" s="46">
        <f t="shared" si="4"/>
        <v>2097.9509813250643</v>
      </c>
      <c r="N15" s="71">
        <f>M15*Inputs!$B$12*(1-Inputs!$B$46)</f>
        <v>3223.2918877078287</v>
      </c>
      <c r="O15" s="71">
        <f>M15*Inputs!$B$46</f>
        <v>167.83607850600515</v>
      </c>
    </row>
    <row r="16" spans="1:15">
      <c r="A16" s="110">
        <f t="shared" si="2"/>
        <v>2031</v>
      </c>
      <c r="B16" s="10">
        <f>'I-87 Detour Data'!V143</f>
        <v>4746118.2008756679</v>
      </c>
      <c r="C16" s="10">
        <f>'I-87 Detour Data'!W143</f>
        <v>108398.99594592574</v>
      </c>
      <c r="D16" s="46">
        <f t="shared" si="0"/>
        <v>9492.2364017513355</v>
      </c>
      <c r="E16" s="46">
        <f t="shared" si="1"/>
        <v>216.79799189185147</v>
      </c>
      <c r="F16" s="71">
        <f>E16*Inputs!$B$12*(1-Inputs!$B$46)</f>
        <v>333.08843474264063</v>
      </c>
      <c r="G16" s="71">
        <f>E16*Inputs!$B$46</f>
        <v>17.343839351348119</v>
      </c>
      <c r="I16" s="110">
        <f t="shared" si="5"/>
        <v>2031</v>
      </c>
      <c r="J16" s="13">
        <f>'I-87 Detour Data'!V220</f>
        <v>4746118.2008756669</v>
      </c>
      <c r="K16" s="13">
        <f>'I-87 Detour Data'!W220</f>
        <v>108398.99594592574</v>
      </c>
      <c r="L16" s="46">
        <f t="shared" si="3"/>
        <v>94922.364017513333</v>
      </c>
      <c r="M16" s="46">
        <f t="shared" si="4"/>
        <v>2167.9799189185146</v>
      </c>
      <c r="N16" s="71">
        <f>M16*Inputs!$B$12*(1-Inputs!$B$46)</f>
        <v>3330.8843474264058</v>
      </c>
      <c r="O16" s="71">
        <f>M16*Inputs!$B$46</f>
        <v>173.43839351348117</v>
      </c>
    </row>
    <row r="17" spans="1:15">
      <c r="A17" s="110">
        <f t="shared" si="2"/>
        <v>2032</v>
      </c>
      <c r="B17" s="10">
        <f>'I-87 Detour Data'!V144</f>
        <v>4904542.1193841659</v>
      </c>
      <c r="C17" s="10">
        <f>'I-87 Detour Data'!W144</f>
        <v>112017.32001062602</v>
      </c>
      <c r="D17" s="46">
        <f t="shared" si="0"/>
        <v>9809.0842387683315</v>
      </c>
      <c r="E17" s="46">
        <f t="shared" si="1"/>
        <v>224.03464002125205</v>
      </c>
      <c r="F17" s="71">
        <f>E17*Inputs!$B$12*(1-Inputs!$B$46)</f>
        <v>344.20682092865167</v>
      </c>
      <c r="G17" s="71">
        <f>E17*Inputs!$B$46</f>
        <v>17.922771201700165</v>
      </c>
      <c r="I17" s="110">
        <f t="shared" si="5"/>
        <v>2032</v>
      </c>
      <c r="J17" s="13">
        <f>'I-87 Detour Data'!V221</f>
        <v>4904542.1193841659</v>
      </c>
      <c r="K17" s="13">
        <f>'I-87 Detour Data'!W221</f>
        <v>112017.32001062602</v>
      </c>
      <c r="L17" s="46">
        <f t="shared" si="3"/>
        <v>98090.842387683326</v>
      </c>
      <c r="M17" s="46">
        <f t="shared" si="4"/>
        <v>2240.3464002125206</v>
      </c>
      <c r="N17" s="71">
        <f>M17*Inputs!$B$12*(1-Inputs!$B$46)</f>
        <v>3442.0682092865168</v>
      </c>
      <c r="O17" s="71">
        <f>M17*Inputs!$B$46</f>
        <v>179.22771201700166</v>
      </c>
    </row>
    <row r="18" spans="1:15">
      <c r="A18" s="110">
        <f t="shared" si="2"/>
        <v>2033</v>
      </c>
      <c r="B18" s="10">
        <f>'I-87 Detour Data'!V145</f>
        <v>5068254.177988071</v>
      </c>
      <c r="C18" s="10">
        <f>'I-87 Detour Data'!W145</f>
        <v>115756.42258367814</v>
      </c>
      <c r="D18" s="46">
        <f t="shared" ref="D18:D30" si="6">B18*$D$5</f>
        <v>10136.508355976142</v>
      </c>
      <c r="E18" s="46">
        <f t="shared" si="1"/>
        <v>231.51284516735629</v>
      </c>
      <c r="F18" s="71">
        <f>E18*Inputs!$B$12*(1-Inputs!$B$46)</f>
        <v>355.69633531512619</v>
      </c>
      <c r="G18" s="71">
        <f>E18*Inputs!$B$46</f>
        <v>18.521027613388505</v>
      </c>
      <c r="I18" s="110">
        <f t="shared" si="5"/>
        <v>2033</v>
      </c>
      <c r="J18" s="13">
        <f>'I-87 Detour Data'!V222</f>
        <v>5068254.177988071</v>
      </c>
      <c r="K18" s="13">
        <f>'I-87 Detour Data'!W222</f>
        <v>115756.42258367814</v>
      </c>
      <c r="L18" s="46">
        <f t="shared" si="3"/>
        <v>101365.08355976142</v>
      </c>
      <c r="M18" s="46">
        <f t="shared" si="4"/>
        <v>2315.1284516735627</v>
      </c>
      <c r="N18" s="71">
        <f>M18*Inputs!$B$12*(1-Inputs!$B$46)</f>
        <v>3556.9633531512618</v>
      </c>
      <c r="O18" s="71">
        <f>M18*Inputs!$B$46</f>
        <v>185.21027613388503</v>
      </c>
    </row>
    <row r="19" spans="1:15">
      <c r="A19" s="110">
        <f t="shared" si="2"/>
        <v>2034</v>
      </c>
      <c r="B19" s="10">
        <f>'I-87 Detour Data'!V146</f>
        <v>5237430.8931246195</v>
      </c>
      <c r="C19" s="10">
        <f>'I-87 Detour Data'!W146</f>
        <v>119620.33521334009</v>
      </c>
      <c r="D19" s="46">
        <f t="shared" si="6"/>
        <v>10474.861786249239</v>
      </c>
      <c r="E19" s="46">
        <f t="shared" si="1"/>
        <v>239.2406704266802</v>
      </c>
      <c r="F19" s="71">
        <f>E19*Inputs!$B$12*(1-Inputs!$B$46)</f>
        <v>367.56936604355144</v>
      </c>
      <c r="G19" s="71">
        <f>E19*Inputs!$B$46</f>
        <v>19.139253634134416</v>
      </c>
      <c r="I19" s="110">
        <f t="shared" si="5"/>
        <v>2034</v>
      </c>
      <c r="J19" s="13">
        <f>'I-87 Detour Data'!V223</f>
        <v>5237430.8931246195</v>
      </c>
      <c r="K19" s="13">
        <f>'I-87 Detour Data'!W223</f>
        <v>119620.33521334009</v>
      </c>
      <c r="L19" s="46">
        <f t="shared" si="3"/>
        <v>104748.61786249239</v>
      </c>
      <c r="M19" s="46">
        <f t="shared" si="4"/>
        <v>2392.4067042668021</v>
      </c>
      <c r="N19" s="71">
        <f>M19*Inputs!$B$12*(1-Inputs!$B$46)</f>
        <v>3675.6936604355146</v>
      </c>
      <c r="O19" s="71">
        <f>M19*Inputs!$B$46</f>
        <v>191.39253634134417</v>
      </c>
    </row>
    <row r="20" spans="1:15">
      <c r="A20" s="110">
        <f t="shared" si="2"/>
        <v>2035</v>
      </c>
      <c r="B20" s="10">
        <f>'I-87 Detour Data'!V147</f>
        <v>5412254.673293679</v>
      </c>
      <c r="C20" s="10">
        <f>'I-87 Detour Data'!W147</f>
        <v>123613.22401967042</v>
      </c>
      <c r="D20" s="46">
        <f t="shared" si="6"/>
        <v>10824.509346587358</v>
      </c>
      <c r="E20" s="46">
        <f t="shared" si="1"/>
        <v>247.22644803934085</v>
      </c>
      <c r="F20" s="71">
        <f>E20*Inputs!$B$12*(1-Inputs!$B$46)</f>
        <v>379.8387147676433</v>
      </c>
      <c r="G20" s="71">
        <f>E20*Inputs!$B$46</f>
        <v>19.778115843147269</v>
      </c>
      <c r="I20" s="110">
        <f t="shared" si="5"/>
        <v>2035</v>
      </c>
      <c r="J20" s="13">
        <f>'I-87 Detour Data'!V224</f>
        <v>5412254.673293679</v>
      </c>
      <c r="K20" s="13">
        <f>'I-87 Detour Data'!W224</f>
        <v>123613.22401967042</v>
      </c>
      <c r="L20" s="46">
        <f t="shared" si="3"/>
        <v>108245.09346587358</v>
      </c>
      <c r="M20" s="46">
        <f t="shared" si="4"/>
        <v>2472.2644803934086</v>
      </c>
      <c r="N20" s="71">
        <f>M20*Inputs!$B$12*(1-Inputs!$B$46)</f>
        <v>3798.3871476764325</v>
      </c>
      <c r="O20" s="71">
        <f>M20*Inputs!$B$46</f>
        <v>197.7811584314727</v>
      </c>
    </row>
    <row r="21" spans="1:15">
      <c r="A21" s="110">
        <f t="shared" si="2"/>
        <v>2036</v>
      </c>
      <c r="B21" s="10">
        <f>'I-87 Detour Data'!V148</f>
        <v>5592914.0157329198</v>
      </c>
      <c r="C21" s="10">
        <f>'I-87 Detour Data'!W148</f>
        <v>127739.3941864926</v>
      </c>
      <c r="D21" s="46">
        <f t="shared" si="6"/>
        <v>11185.82803146584</v>
      </c>
      <c r="E21" s="46">
        <f t="shared" si="1"/>
        <v>255.47878837298521</v>
      </c>
      <c r="F21" s="71">
        <f>E21*Inputs!$B$12*(1-Inputs!$B$46)</f>
        <v>392.51761045625449</v>
      </c>
      <c r="G21" s="71">
        <f>E21*Inputs!$B$46</f>
        <v>20.438303069838817</v>
      </c>
      <c r="I21" s="110">
        <f t="shared" si="5"/>
        <v>2036</v>
      </c>
      <c r="J21" s="13">
        <f>'I-87 Detour Data'!V225</f>
        <v>5592914.0157329198</v>
      </c>
      <c r="K21" s="13">
        <f>'I-87 Detour Data'!W225</f>
        <v>127739.3941864926</v>
      </c>
      <c r="L21" s="46">
        <f t="shared" si="3"/>
        <v>111858.2803146584</v>
      </c>
      <c r="M21" s="46">
        <f t="shared" si="4"/>
        <v>2554.7878837298522</v>
      </c>
      <c r="N21" s="71">
        <f>M21*Inputs!$B$12*(1-Inputs!$B$46)</f>
        <v>3925.1761045625449</v>
      </c>
      <c r="O21" s="71">
        <f>M21*Inputs!$B$46</f>
        <v>204.38303069838818</v>
      </c>
    </row>
    <row r="22" spans="1:15">
      <c r="A22" s="110">
        <f t="shared" si="2"/>
        <v>2037</v>
      </c>
      <c r="B22" s="10">
        <f>'I-87 Detour Data'!V149</f>
        <v>5779603.7096579541</v>
      </c>
      <c r="C22" s="10">
        <f>'I-87 Detour Data'!W149</f>
        <v>132003.29460329894</v>
      </c>
      <c r="D22" s="46">
        <f t="shared" si="6"/>
        <v>11559.207419315908</v>
      </c>
      <c r="E22" s="46">
        <f t="shared" si="1"/>
        <v>264.00658920659788</v>
      </c>
      <c r="F22" s="71">
        <f>E22*Inputs!$B$12*(1-Inputs!$B$46)</f>
        <v>405.619723657017</v>
      </c>
      <c r="G22" s="71">
        <f>E22*Inputs!$B$46</f>
        <v>21.12052713652783</v>
      </c>
      <c r="I22" s="110">
        <f t="shared" si="5"/>
        <v>2037</v>
      </c>
      <c r="J22" s="13">
        <f>'I-87 Detour Data'!V226</f>
        <v>5779603.7096579541</v>
      </c>
      <c r="K22" s="13">
        <f>'I-87 Detour Data'!W226</f>
        <v>132003.29460329894</v>
      </c>
      <c r="L22" s="46">
        <f t="shared" si="3"/>
        <v>115592.07419315909</v>
      </c>
      <c r="M22" s="46">
        <f t="shared" si="4"/>
        <v>2640.0658920659789</v>
      </c>
      <c r="N22" s="71">
        <f>M22*Inputs!$B$12*(1-Inputs!$B$46)</f>
        <v>4056.1972365701699</v>
      </c>
      <c r="O22" s="71">
        <f>M22*Inputs!$B$46</f>
        <v>211.20527136527832</v>
      </c>
    </row>
    <row r="23" spans="1:15">
      <c r="A23" s="110">
        <f t="shared" si="2"/>
        <v>2038</v>
      </c>
      <c r="B23" s="10">
        <f>'I-87 Detour Data'!V150</f>
        <v>5972525.0462865559</v>
      </c>
      <c r="C23" s="10">
        <f>'I-87 Detour Data'!W150</f>
        <v>136409.52266210032</v>
      </c>
      <c r="D23" s="46">
        <f t="shared" si="6"/>
        <v>11945.050092573112</v>
      </c>
      <c r="E23" s="46">
        <f t="shared" si="1"/>
        <v>272.81904532420066</v>
      </c>
      <c r="F23" s="71">
        <f>E23*Inputs!$B$12*(1-Inputs!$B$46)</f>
        <v>419.15918123610192</v>
      </c>
      <c r="G23" s="71">
        <f>E23*Inputs!$B$46</f>
        <v>21.825523625936054</v>
      </c>
      <c r="I23" s="110">
        <f t="shared" si="5"/>
        <v>2038</v>
      </c>
      <c r="J23" s="13">
        <f>'I-87 Detour Data'!V227</f>
        <v>5972525.0462865559</v>
      </c>
      <c r="K23" s="13">
        <f>'I-87 Detour Data'!W227</f>
        <v>136409.52266210032</v>
      </c>
      <c r="L23" s="46">
        <f t="shared" si="3"/>
        <v>119450.50092573112</v>
      </c>
      <c r="M23" s="46">
        <f t="shared" si="4"/>
        <v>2728.1904532420067</v>
      </c>
      <c r="N23" s="71">
        <f>M23*Inputs!$B$12*(1-Inputs!$B$46)</f>
        <v>4191.591812361019</v>
      </c>
      <c r="O23" s="71">
        <f>M23*Inputs!$B$46</f>
        <v>218.25523625936054</v>
      </c>
    </row>
    <row r="24" spans="1:15">
      <c r="A24" s="110">
        <f t="shared" si="2"/>
        <v>2039</v>
      </c>
      <c r="B24" s="10">
        <f>'I-87 Detour Data'!V151</f>
        <v>6171886.0358734317</v>
      </c>
      <c r="C24" s="10">
        <f>'I-87 Detour Data'!W151</f>
        <v>140962.82921439316</v>
      </c>
      <c r="D24" s="46">
        <f t="shared" si="6"/>
        <v>12343.772071746864</v>
      </c>
      <c r="E24" s="46">
        <f t="shared" si="1"/>
        <v>281.92565842878633</v>
      </c>
      <c r="F24" s="71">
        <f>E24*Inputs!$B$12*(1-Inputs!$B$46)</f>
        <v>433.15058160998734</v>
      </c>
      <c r="G24" s="71">
        <f>E24*Inputs!$B$46</f>
        <v>22.554052674302906</v>
      </c>
      <c r="I24" s="110">
        <f t="shared" si="5"/>
        <v>2039</v>
      </c>
      <c r="J24" s="13">
        <f>'I-87 Detour Data'!V228</f>
        <v>6171886.0358734317</v>
      </c>
      <c r="K24" s="13">
        <f>'I-87 Detour Data'!W228</f>
        <v>140962.82921439316</v>
      </c>
      <c r="L24" s="46">
        <f t="shared" si="3"/>
        <v>123437.72071746863</v>
      </c>
      <c r="M24" s="46">
        <f t="shared" si="4"/>
        <v>2819.2565842878635</v>
      </c>
      <c r="N24" s="71">
        <f>M24*Inputs!$B$12*(1-Inputs!$B$46)</f>
        <v>4331.5058160998733</v>
      </c>
      <c r="O24" s="71">
        <f>M24*Inputs!$B$46</f>
        <v>225.54052674302909</v>
      </c>
    </row>
    <row r="25" spans="1:15">
      <c r="A25" s="110">
        <f t="shared" si="2"/>
        <v>2040</v>
      </c>
      <c r="B25" s="10">
        <f>'I-87 Detour Data'!V152</f>
        <v>6377901.6319895489</v>
      </c>
      <c r="C25" s="10">
        <f>'I-87 Detour Data'!W152</f>
        <v>145668.12369358845</v>
      </c>
      <c r="D25" s="46">
        <f t="shared" si="6"/>
        <v>12755.803263979098</v>
      </c>
      <c r="E25" s="46">
        <f t="shared" si="1"/>
        <v>291.33624738717691</v>
      </c>
      <c r="F25" s="71">
        <f>E25*Inputs!$B$12*(1-Inputs!$B$46)</f>
        <v>447.60901048565864</v>
      </c>
      <c r="G25" s="71">
        <f>E25*Inputs!$B$46</f>
        <v>23.306899790974153</v>
      </c>
      <c r="I25" s="110">
        <f t="shared" si="5"/>
        <v>2040</v>
      </c>
      <c r="J25" s="13">
        <f>'I-87 Detour Data'!V229</f>
        <v>6377901.6319895489</v>
      </c>
      <c r="K25" s="13">
        <f>'I-87 Detour Data'!W229</f>
        <v>145668.12369358845</v>
      </c>
      <c r="L25" s="46">
        <f t="shared" si="3"/>
        <v>127558.03263979098</v>
      </c>
      <c r="M25" s="46">
        <f t="shared" si="4"/>
        <v>2913.362473871769</v>
      </c>
      <c r="N25" s="71">
        <f>M25*Inputs!$B$12*(1-Inputs!$B$46)</f>
        <v>4476.0901048565856</v>
      </c>
      <c r="O25" s="71">
        <f>M25*Inputs!$B$46</f>
        <v>233.06899790974151</v>
      </c>
    </row>
    <row r="26" spans="1:15">
      <c r="A26" s="110">
        <f t="shared" si="2"/>
        <v>2041</v>
      </c>
      <c r="B26" s="10">
        <f>'I-87 Detour Data'!V153</f>
        <v>6590793.9632878108</v>
      </c>
      <c r="C26" s="10">
        <f>'I-87 Detour Data'!W153</f>
        <v>150530.47940842528</v>
      </c>
      <c r="D26" s="46">
        <f t="shared" si="6"/>
        <v>13181.587926575621</v>
      </c>
      <c r="E26" s="46">
        <f t="shared" si="1"/>
        <v>301.06095881685059</v>
      </c>
      <c r="F26" s="71">
        <f>E26*Inputs!$B$12*(1-Inputs!$B$46)</f>
        <v>462.55005712620925</v>
      </c>
      <c r="G26" s="71">
        <f>E26*Inputs!$B$46</f>
        <v>24.084876705348048</v>
      </c>
      <c r="I26" s="110">
        <f t="shared" si="5"/>
        <v>2041</v>
      </c>
      <c r="J26" s="13">
        <f>'I-87 Detour Data'!V230</f>
        <v>6590793.9632878099</v>
      </c>
      <c r="K26" s="13">
        <f>'I-87 Detour Data'!W230</f>
        <v>150530.47940842528</v>
      </c>
      <c r="L26" s="46">
        <f t="shared" si="3"/>
        <v>131815.8792657562</v>
      </c>
      <c r="M26" s="46">
        <f t="shared" si="4"/>
        <v>3010.6095881685055</v>
      </c>
      <c r="N26" s="71">
        <f>M26*Inputs!$B$12*(1-Inputs!$B$46)</f>
        <v>4625.5005712620914</v>
      </c>
      <c r="O26" s="71">
        <f>M26*Inputs!$B$46</f>
        <v>240.84876705348046</v>
      </c>
    </row>
    <row r="27" spans="1:15">
      <c r="A27" s="110">
        <f t="shared" si="2"/>
        <v>2042</v>
      </c>
      <c r="B27" s="10">
        <f>'I-87 Detour Data'!V154</f>
        <v>6810792.5730050215</v>
      </c>
      <c r="C27" s="10">
        <f>'I-87 Detour Data'!W154</f>
        <v>155555.13901307766</v>
      </c>
      <c r="D27" s="46">
        <f t="shared" si="6"/>
        <v>13621.585146010044</v>
      </c>
      <c r="E27" s="46">
        <f t="shared" si="1"/>
        <v>311.1102780261553</v>
      </c>
      <c r="F27" s="71">
        <f>E27*Inputs!$B$12*(1-Inputs!$B$46)</f>
        <v>477.98983115938495</v>
      </c>
      <c r="G27" s="71">
        <f>E27*Inputs!$B$46</f>
        <v>24.888822242092424</v>
      </c>
      <c r="I27" s="110">
        <f t="shared" si="5"/>
        <v>2042</v>
      </c>
      <c r="J27" s="13">
        <f>'I-87 Detour Data'!V231</f>
        <v>6810792.5730050215</v>
      </c>
      <c r="K27" s="13">
        <f>'I-87 Detour Data'!W231</f>
        <v>155555.13901307763</v>
      </c>
      <c r="L27" s="46">
        <f t="shared" si="3"/>
        <v>136215.85146010044</v>
      </c>
      <c r="M27" s="46">
        <f t="shared" si="4"/>
        <v>3111.1027802615527</v>
      </c>
      <c r="N27" s="71">
        <f>M27*Inputs!$B$12*(1-Inputs!$B$46)</f>
        <v>4779.898311593849</v>
      </c>
      <c r="O27" s="71">
        <f>M27*Inputs!$B$46</f>
        <v>248.88822242092422</v>
      </c>
    </row>
    <row r="28" spans="1:15">
      <c r="A28" s="110">
        <f t="shared" si="2"/>
        <v>2043</v>
      </c>
      <c r="B28" s="10">
        <f>'I-87 Detour Data'!V155</f>
        <v>7038134.6664583534</v>
      </c>
      <c r="C28" s="10">
        <f>'I-87 Detour Data'!W155</f>
        <v>160747.52015985124</v>
      </c>
      <c r="D28" s="46">
        <f t="shared" si="6"/>
        <v>14076.269332916707</v>
      </c>
      <c r="E28" s="46">
        <f t="shared" si="1"/>
        <v>321.49504031970247</v>
      </c>
      <c r="F28" s="71">
        <f>E28*Inputs!$B$12*(1-Inputs!$B$46)</f>
        <v>493.94497994719086</v>
      </c>
      <c r="G28" s="71">
        <f>E28*Inputs!$B$46</f>
        <v>25.719603225576197</v>
      </c>
      <c r="I28" s="110">
        <f t="shared" si="5"/>
        <v>2043</v>
      </c>
      <c r="J28" s="13">
        <f>'I-87 Detour Data'!V232</f>
        <v>7038134.6664583515</v>
      </c>
      <c r="K28" s="13">
        <f>'I-87 Detour Data'!W232</f>
        <v>160747.52015985124</v>
      </c>
      <c r="L28" s="46">
        <f t="shared" si="3"/>
        <v>140762.69332916703</v>
      </c>
      <c r="M28" s="46">
        <f t="shared" si="4"/>
        <v>3214.9504031970246</v>
      </c>
      <c r="N28" s="71">
        <f>M28*Inputs!$B$12*(1-Inputs!$B$46)</f>
        <v>4939.4497994719086</v>
      </c>
      <c r="O28" s="71">
        <f>M28*Inputs!$B$46</f>
        <v>257.19603225576196</v>
      </c>
    </row>
    <row r="29" spans="1:15">
      <c r="A29" s="110">
        <f t="shared" si="2"/>
        <v>2044</v>
      </c>
      <c r="B29" s="10">
        <f>'I-87 Detour Data'!V156</f>
        <v>7273065.3668031329</v>
      </c>
      <c r="C29" s="10">
        <f>'I-87 Detour Data'!W156</f>
        <v>166113.22134056536</v>
      </c>
      <c r="D29" s="46">
        <f t="shared" si="6"/>
        <v>14546.130733606265</v>
      </c>
      <c r="E29" s="46">
        <f t="shared" si="1"/>
        <v>332.22644268113072</v>
      </c>
      <c r="F29" s="71">
        <f>E29*Inputs!$B$12*(1-Inputs!$B$46)</f>
        <v>510.43270653528919</v>
      </c>
      <c r="G29" s="71">
        <f>E29*Inputs!$B$46</f>
        <v>26.578115414490458</v>
      </c>
      <c r="I29" s="110">
        <f t="shared" si="5"/>
        <v>2044</v>
      </c>
      <c r="J29" s="13">
        <f>'I-87 Detour Data'!V233</f>
        <v>7273065.3668031329</v>
      </c>
      <c r="K29" s="13">
        <f>'I-87 Detour Data'!W233</f>
        <v>166113.22134056536</v>
      </c>
      <c r="L29" s="46">
        <f t="shared" si="3"/>
        <v>145461.30733606266</v>
      </c>
      <c r="M29" s="46">
        <f t="shared" si="4"/>
        <v>3322.2644268113072</v>
      </c>
      <c r="N29" s="71">
        <f>M29*Inputs!$B$12*(1-Inputs!$B$46)</f>
        <v>5104.3270653528925</v>
      </c>
      <c r="O29" s="71">
        <f>M29*Inputs!$B$46</f>
        <v>265.78115414490458</v>
      </c>
    </row>
    <row r="30" spans="1:15">
      <c r="A30" s="110">
        <f t="shared" si="2"/>
        <v>2045</v>
      </c>
      <c r="B30" s="10">
        <f>'I-87 Detour Data'!V157</f>
        <v>7515837.9793277876</v>
      </c>
      <c r="C30" s="10">
        <f>'I-87 Detour Data'!W157</f>
        <v>171658.02792291858</v>
      </c>
      <c r="D30" s="46">
        <f t="shared" si="6"/>
        <v>15031.675958655576</v>
      </c>
      <c r="E30" s="46">
        <f t="shared" si="1"/>
        <v>343.31605584583718</v>
      </c>
      <c r="F30" s="71">
        <f>E30*Inputs!$B$12*(1-Inputs!$B$46)</f>
        <v>527.47078820154422</v>
      </c>
      <c r="G30" s="71">
        <f>E30*Inputs!$B$46</f>
        <v>27.465284467666976</v>
      </c>
      <c r="I30" s="110">
        <f t="shared" si="5"/>
        <v>2045</v>
      </c>
      <c r="J30" s="13">
        <f>'I-87 Detour Data'!V234</f>
        <v>7515837.9793277876</v>
      </c>
      <c r="K30" s="13">
        <f>'I-87 Detour Data'!W234</f>
        <v>171658.02792291858</v>
      </c>
      <c r="L30" s="46">
        <f t="shared" si="3"/>
        <v>150316.75958655577</v>
      </c>
      <c r="M30" s="46">
        <f t="shared" si="4"/>
        <v>3433.1605584583717</v>
      </c>
      <c r="N30" s="71">
        <f>M30*Inputs!$B$12*(1-Inputs!$B$46)</f>
        <v>5274.707882015442</v>
      </c>
      <c r="O30" s="71">
        <f>M30*Inputs!$B$46</f>
        <v>274.65284467666976</v>
      </c>
    </row>
    <row r="31" spans="1:15" s="416" customFormat="1">
      <c r="A31" s="110">
        <f t="shared" si="2"/>
        <v>2046</v>
      </c>
      <c r="B31" s="10">
        <f>'I-87 Detour Data'!V158</f>
        <v>7766714.264570835</v>
      </c>
      <c r="C31" s="10">
        <f>'I-87 Detour Data'!W158</f>
        <v>177387.91838834624</v>
      </c>
      <c r="D31" s="46">
        <f t="shared" ref="D31:D32" si="7">B31*$D$5</f>
        <v>15533.428529141671</v>
      </c>
      <c r="E31" s="46">
        <f t="shared" ref="E31:E32" si="8">C31*$D$5</f>
        <v>354.77583677669247</v>
      </c>
      <c r="F31" s="71">
        <f>E31*Inputs!$B$12*(1-Inputs!$B$46)</f>
        <v>545.07759562371029</v>
      </c>
      <c r="G31" s="71">
        <f>E31*Inputs!$B$46</f>
        <v>28.382066942135399</v>
      </c>
      <c r="I31" s="110">
        <f t="shared" si="5"/>
        <v>2046</v>
      </c>
      <c r="J31" s="13">
        <f>'I-87 Detour Data'!V235</f>
        <v>7766714.264570835</v>
      </c>
      <c r="K31" s="13">
        <f>'I-87 Detour Data'!W235</f>
        <v>177387.91838834624</v>
      </c>
      <c r="L31" s="46">
        <f t="shared" ref="L31:L32" si="9">J31*$D$6</f>
        <v>155334.28529141672</v>
      </c>
      <c r="M31" s="46">
        <f t="shared" ref="M31:M32" si="10">K31*$D$6</f>
        <v>3547.7583677669249</v>
      </c>
      <c r="N31" s="71">
        <f>M31*Inputs!$B$12*(1-Inputs!$B$46)</f>
        <v>5450.7759562371039</v>
      </c>
      <c r="O31" s="71">
        <f>M31*Inputs!$B$46</f>
        <v>283.82066942135401</v>
      </c>
    </row>
    <row r="32" spans="1:15">
      <c r="A32" s="110">
        <f t="shared" si="2"/>
        <v>2047</v>
      </c>
      <c r="B32" s="10">
        <f>'I-87 Detour Data'!V159</f>
        <v>8025964.7205544487</v>
      </c>
      <c r="C32" s="10">
        <f>'I-87 Detour Data'!W159</f>
        <v>183309.07077809543</v>
      </c>
      <c r="D32" s="46">
        <f t="shared" si="7"/>
        <v>16051.929441108898</v>
      </c>
      <c r="E32" s="46">
        <f t="shared" si="8"/>
        <v>366.61814155619084</v>
      </c>
      <c r="F32" s="71">
        <f>E32*Inputs!$B$12*(1-Inputs!$B$46)</f>
        <v>563.27211268693156</v>
      </c>
      <c r="G32" s="71">
        <f>E32*Inputs!$B$46</f>
        <v>29.329451324495267</v>
      </c>
      <c r="H32" s="416"/>
      <c r="I32" s="110">
        <f t="shared" si="5"/>
        <v>2047</v>
      </c>
      <c r="J32" s="13">
        <f>'I-87 Detour Data'!V236</f>
        <v>8025964.7205544477</v>
      </c>
      <c r="K32" s="13">
        <f>'I-87 Detour Data'!W236</f>
        <v>183309.0707780954</v>
      </c>
      <c r="L32" s="46">
        <f t="shared" si="9"/>
        <v>160519.29441108895</v>
      </c>
      <c r="M32" s="46">
        <f t="shared" si="10"/>
        <v>3666.1814155619081</v>
      </c>
      <c r="N32" s="71">
        <f>M32*Inputs!$B$12*(1-Inputs!$B$46)</f>
        <v>5632.7211268693154</v>
      </c>
      <c r="O32" s="71">
        <f>M32*Inputs!$B$46</f>
        <v>293.29451324495267</v>
      </c>
    </row>
    <row r="33" spans="1:31" s="1" customFormat="1">
      <c r="A33" s="34" t="s">
        <v>4</v>
      </c>
      <c r="B33" s="163">
        <f t="shared" ref="B33:G33" si="11">SUM(B12:B32)</f>
        <v>123784866.57120779</v>
      </c>
      <c r="C33" s="163">
        <f t="shared" si="11"/>
        <v>2827185.2241572146</v>
      </c>
      <c r="D33" s="163">
        <f t="shared" si="11"/>
        <v>247569.73314241556</v>
      </c>
      <c r="E33" s="163">
        <f t="shared" si="11"/>
        <v>5654.3704483144293</v>
      </c>
      <c r="F33" s="163">
        <f t="shared" si="11"/>
        <v>8687.3747567902901</v>
      </c>
      <c r="G33" s="163">
        <f t="shared" si="11"/>
        <v>452.34963586515443</v>
      </c>
      <c r="H33" s="167"/>
      <c r="I33" s="34" t="s">
        <v>4</v>
      </c>
      <c r="J33" s="163">
        <f t="shared" ref="J33:O33" si="12">SUM(J12:J32)</f>
        <v>123784866.57120779</v>
      </c>
      <c r="K33" s="163">
        <f t="shared" si="12"/>
        <v>2827185.2241572142</v>
      </c>
      <c r="L33" s="163">
        <f t="shared" si="12"/>
        <v>2475697.3314241557</v>
      </c>
      <c r="M33" s="163">
        <f t="shared" si="12"/>
        <v>56543.704483144298</v>
      </c>
      <c r="N33" s="163">
        <f t="shared" si="12"/>
        <v>86873.747567902901</v>
      </c>
      <c r="O33" s="163">
        <f t="shared" si="12"/>
        <v>4523.4963586515441</v>
      </c>
    </row>
    <row r="35" spans="1:31" s="148" customFormat="1"/>
    <row r="36" spans="1:31" s="148" customFormat="1">
      <c r="H36" s="731" t="s">
        <v>375</v>
      </c>
      <c r="I36" s="731"/>
      <c r="J36" s="731"/>
    </row>
    <row r="37" spans="1:31" s="148" customFormat="1" ht="30">
      <c r="A37" s="148" t="s">
        <v>38</v>
      </c>
      <c r="G37" s="226" t="s">
        <v>378</v>
      </c>
      <c r="H37" s="148" t="s">
        <v>224</v>
      </c>
      <c r="I37" s="148" t="s">
        <v>376</v>
      </c>
      <c r="J37" s="148" t="s">
        <v>10</v>
      </c>
      <c r="M37" s="148" t="s">
        <v>569</v>
      </c>
    </row>
    <row r="38" spans="1:31" s="148" customFormat="1">
      <c r="B38" s="148" t="s">
        <v>39</v>
      </c>
      <c r="G38" s="148">
        <v>2016</v>
      </c>
      <c r="H38" s="148">
        <v>34748</v>
      </c>
      <c r="I38" s="148">
        <v>2116000</v>
      </c>
      <c r="J38" s="148">
        <v>4670000</v>
      </c>
      <c r="M38" s="17">
        <f>Inputs!B89</f>
        <v>10900000</v>
      </c>
      <c r="N38" s="148" t="str">
        <f>Inputs!A89</f>
        <v>K - killed (2019$)</v>
      </c>
    </row>
    <row r="39" spans="1:31" s="148" customFormat="1">
      <c r="A39" s="148" t="s">
        <v>40</v>
      </c>
      <c r="B39" s="148">
        <v>1.1299999999999999</v>
      </c>
      <c r="C39" s="148" t="s">
        <v>41</v>
      </c>
      <c r="G39" s="148">
        <f>G38+1</f>
        <v>2017</v>
      </c>
      <c r="H39" s="148">
        <v>34560</v>
      </c>
      <c r="I39" s="148">
        <v>1889000</v>
      </c>
      <c r="J39" s="148">
        <v>4530000</v>
      </c>
      <c r="M39" s="17">
        <f>Inputs!B90</f>
        <v>197600</v>
      </c>
      <c r="N39" s="148" t="str">
        <f>Inputs!A90</f>
        <v>U - Injured (severity unknown) (2019$)</v>
      </c>
    </row>
    <row r="40" spans="1:31" s="148" customFormat="1">
      <c r="A40" s="148" t="s">
        <v>42</v>
      </c>
      <c r="B40" s="148">
        <v>84</v>
      </c>
      <c r="C40" s="148" t="s">
        <v>41</v>
      </c>
      <c r="G40" s="148">
        <f>G39+1</f>
        <v>2018</v>
      </c>
      <c r="H40" s="148">
        <v>33654</v>
      </c>
      <c r="I40" s="148">
        <v>1894000</v>
      </c>
      <c r="J40" s="148">
        <v>4807000</v>
      </c>
      <c r="K40" s="17"/>
      <c r="M40" s="17">
        <f>Inputs!B94</f>
        <v>4500</v>
      </c>
      <c r="N40" s="17" t="str">
        <f>Inputs!A94</f>
        <v>PDO per vehicle (2019$)</v>
      </c>
    </row>
    <row r="41" spans="1:31" s="148" customFormat="1">
      <c r="A41" s="148" t="s">
        <v>745</v>
      </c>
      <c r="B41" s="225"/>
      <c r="C41" s="47"/>
      <c r="D41" s="79"/>
      <c r="G41" s="227" t="s">
        <v>377</v>
      </c>
      <c r="H41" s="32">
        <f>AVERAGE(H38:H40)</f>
        <v>34320.666666666664</v>
      </c>
      <c r="I41" s="32">
        <f>AVERAGE(I38:I40)</f>
        <v>1966333.3333333333</v>
      </c>
      <c r="J41" s="32">
        <f>AVERAGE(J38:J40)</f>
        <v>4669000</v>
      </c>
    </row>
    <row r="42" spans="1:31" s="148" customFormat="1">
      <c r="A42" s="47" t="s">
        <v>746</v>
      </c>
      <c r="B42" s="47"/>
      <c r="C42" s="47"/>
      <c r="D42" s="79"/>
      <c r="G42" s="227" t="s">
        <v>377</v>
      </c>
      <c r="H42" s="228">
        <f>H41/SUM($H$41:$J$41)</f>
        <v>5.145794169632587E-3</v>
      </c>
      <c r="I42" s="228">
        <f>I41/SUM($H$41:$J$41)</f>
        <v>0.29481789210254883</v>
      </c>
      <c r="J42" s="228">
        <f>J41/SUM($H$41:$J$41)</f>
        <v>0.7000363137278186</v>
      </c>
      <c r="K42" s="148" t="s">
        <v>416</v>
      </c>
    </row>
    <row r="43" spans="1:31" s="148" customFormat="1">
      <c r="A43" s="79"/>
      <c r="B43" s="79"/>
      <c r="C43" s="79"/>
      <c r="D43" s="79"/>
      <c r="G43" s="148" t="s">
        <v>743</v>
      </c>
      <c r="J43" s="228"/>
    </row>
    <row r="44" spans="1:31" s="148" customFormat="1">
      <c r="H44" s="47" t="s">
        <v>744</v>
      </c>
    </row>
    <row r="45" spans="1:31" s="148" customFormat="1"/>
    <row r="46" spans="1:31" s="148" customFormat="1">
      <c r="A46" s="167" t="s">
        <v>11</v>
      </c>
      <c r="C46" s="97"/>
      <c r="D46" s="97"/>
      <c r="E46" s="97"/>
      <c r="F46" s="785" t="s">
        <v>380</v>
      </c>
      <c r="G46" s="785"/>
      <c r="H46" s="785"/>
      <c r="I46" s="785"/>
      <c r="Q46" s="167" t="s">
        <v>11</v>
      </c>
      <c r="S46" s="97"/>
      <c r="T46" s="97"/>
      <c r="U46" s="97"/>
      <c r="V46" s="786" t="s">
        <v>380</v>
      </c>
      <c r="W46" s="787"/>
      <c r="X46" s="787"/>
      <c r="Y46" s="788"/>
    </row>
    <row r="47" spans="1:31" s="148" customFormat="1" ht="45">
      <c r="A47" s="190" t="s">
        <v>1</v>
      </c>
      <c r="B47" s="191" t="s">
        <v>97</v>
      </c>
      <c r="C47" s="191" t="s">
        <v>98</v>
      </c>
      <c r="D47" s="191" t="s">
        <v>99</v>
      </c>
      <c r="E47" s="191" t="s">
        <v>379</v>
      </c>
      <c r="F47" s="191" t="s">
        <v>40</v>
      </c>
      <c r="G47" s="191" t="s">
        <v>381</v>
      </c>
      <c r="H47" s="191" t="s">
        <v>10</v>
      </c>
      <c r="I47" s="190" t="s">
        <v>0</v>
      </c>
      <c r="J47" s="190" t="s">
        <v>43</v>
      </c>
      <c r="K47" s="190" t="s">
        <v>44</v>
      </c>
      <c r="M47" s="343" t="s">
        <v>747</v>
      </c>
      <c r="N47" s="343" t="s">
        <v>13</v>
      </c>
      <c r="O47" s="343" t="s">
        <v>14</v>
      </c>
      <c r="Q47" s="193" t="s">
        <v>1</v>
      </c>
      <c r="R47" s="194" t="s">
        <v>97</v>
      </c>
      <c r="S47" s="194" t="s">
        <v>98</v>
      </c>
      <c r="T47" s="194" t="s">
        <v>99</v>
      </c>
      <c r="U47" s="346" t="s">
        <v>379</v>
      </c>
      <c r="V47" s="346" t="s">
        <v>40</v>
      </c>
      <c r="W47" s="346" t="s">
        <v>381</v>
      </c>
      <c r="X47" s="346" t="s">
        <v>10</v>
      </c>
      <c r="Y47" s="345" t="s">
        <v>0</v>
      </c>
      <c r="Z47" s="345" t="s">
        <v>43</v>
      </c>
      <c r="AA47" s="345" t="s">
        <v>44</v>
      </c>
      <c r="AC47" s="346" t="s">
        <v>747</v>
      </c>
      <c r="AD47" s="346" t="s">
        <v>13</v>
      </c>
      <c r="AE47" s="346" t="s">
        <v>14</v>
      </c>
    </row>
    <row r="48" spans="1:31" s="148" customFormat="1">
      <c r="A48" s="110">
        <f>Inputs!$B$7</f>
        <v>2027</v>
      </c>
      <c r="B48" s="46">
        <f t="shared" ref="B48:B66" si="13">D12</f>
        <v>8323.938667496257</v>
      </c>
      <c r="C48" s="45">
        <f>B48/100000000*$B$39</f>
        <v>9.4060506942707692E-5</v>
      </c>
      <c r="D48" s="45">
        <f>B48/100000000*$B$40</f>
        <v>6.9921084806968551E-3</v>
      </c>
      <c r="E48" s="45">
        <f>SUM(C48:D48)*$J$42/(1-$J$42)</f>
        <v>1.6537253819645537E-2</v>
      </c>
      <c r="F48" s="20">
        <f>C48*$M$38</f>
        <v>1025.2595256755139</v>
      </c>
      <c r="G48" s="20">
        <f>D48*$M$39</f>
        <v>1381.6406357856986</v>
      </c>
      <c r="H48" s="20">
        <f>E48*$M$40</f>
        <v>74.417642188404912</v>
      </c>
      <c r="I48" s="638">
        <f>SUM(F48:H48)*Inputs!$B$8</f>
        <v>1447.4353854622768</v>
      </c>
      <c r="J48" s="12">
        <f>I48/((1+Inputs!$B$3)^(A48-Inputs!$B$5))</f>
        <v>901.39001269125652</v>
      </c>
      <c r="K48" s="12">
        <f>I48/((1+Inputs!$B$4)^(A48-Inputs!$B$5))</f>
        <v>1176.8974251373725</v>
      </c>
      <c r="M48" s="638">
        <f>I48*Inputs!$B$46</f>
        <v>115.79483083698214</v>
      </c>
      <c r="N48" s="12">
        <f>M48/((1+Inputs!$B$3)^(A48-Inputs!$B$5))</f>
        <v>72.111201015300523</v>
      </c>
      <c r="O48" s="12">
        <f>M48/((1+Inputs!$B$4)^(A48-Inputs!$B$5))</f>
        <v>94.151794010989789</v>
      </c>
      <c r="Q48" s="110">
        <f>Inputs!$B$7</f>
        <v>2027</v>
      </c>
      <c r="R48" s="46">
        <f t="shared" ref="R48:R66" si="14">L12</f>
        <v>83239.386674962574</v>
      </c>
      <c r="S48" s="45">
        <f t="shared" ref="S48:S66" si="15">R48/100000000*$B$39</f>
        <v>9.40605069427077E-4</v>
      </c>
      <c r="T48" s="45">
        <f t="shared" ref="T48:T66" si="16">R48/100000000*$B$40</f>
        <v>6.9921084806968556E-2</v>
      </c>
      <c r="U48" s="45">
        <f t="shared" ref="U48:U66" si="17">SUM(S48:T48)*$J$42/(1-$J$42)</f>
        <v>0.16537253819645539</v>
      </c>
      <c r="V48" s="20">
        <f t="shared" ref="V48:V66" si="18">S48*$M$38</f>
        <v>10252.595256755139</v>
      </c>
      <c r="W48" s="20">
        <f t="shared" ref="W48:W66" si="19">T48*$M$39</f>
        <v>13816.406357856986</v>
      </c>
      <c r="X48" s="20">
        <f t="shared" ref="X48:X66" si="20">U48*$M$40</f>
        <v>744.17642188404932</v>
      </c>
      <c r="Y48" s="638">
        <f>SUM(V48:X48)*Inputs!$B$8</f>
        <v>14474.353854622772</v>
      </c>
      <c r="Z48" s="12">
        <f>Y48/((1+Inputs!$B$3)^(Q48-Inputs!$B$5))</f>
        <v>9013.9001269125674</v>
      </c>
      <c r="AA48" s="12">
        <f>Y48/((1+Inputs!$B$4)^(Q48-Inputs!$B$5))</f>
        <v>11768.974251373727</v>
      </c>
      <c r="AC48" s="638">
        <f>Y48*Inputs!$B$46</f>
        <v>1157.9483083698217</v>
      </c>
      <c r="AD48" s="12">
        <f>AC48/((1+Inputs!$B$3)^(Q48-Inputs!$B$5))</f>
        <v>721.11201015300537</v>
      </c>
      <c r="AE48" s="12">
        <f>AC48/((1+Inputs!$B$4)^(Q48-Inputs!$B$5))</f>
        <v>941.51794010989818</v>
      </c>
    </row>
    <row r="49" spans="1:31" s="148" customFormat="1">
      <c r="A49" s="110">
        <f>A13</f>
        <v>2028</v>
      </c>
      <c r="B49" s="46">
        <f t="shared" si="13"/>
        <v>8601.789097113844</v>
      </c>
      <c r="C49" s="45">
        <f t="shared" ref="C49:C66" si="21">B49/100000000*$B$39</f>
        <v>9.7200216797386417E-5</v>
      </c>
      <c r="D49" s="45">
        <f t="shared" ref="D49:D66" si="22">B49/100000000*$B$40</f>
        <v>7.2255028415756286E-3</v>
      </c>
      <c r="E49" s="45">
        <f t="shared" ref="E49:E66" si="23">SUM(C49:D49)*$J$42/(1-$J$42)</f>
        <v>1.7089262101064758E-2</v>
      </c>
      <c r="F49" s="20">
        <f>C49*$M$38</f>
        <v>1059.4823630915118</v>
      </c>
      <c r="G49" s="20">
        <f>D49*$M$39</f>
        <v>1427.7593614953441</v>
      </c>
      <c r="H49" s="20">
        <f>E49*$M$40</f>
        <v>76.901679454791406</v>
      </c>
      <c r="I49" s="20">
        <f>SUM(F49:H49)</f>
        <v>2564.1434040416475</v>
      </c>
      <c r="J49" s="12">
        <f>I49/((1+Inputs!$B$3)^(A49-Inputs!$B$5))</f>
        <v>1492.3548065626287</v>
      </c>
      <c r="K49" s="12">
        <f>I49/((1+Inputs!$B$4)^(A49-Inputs!$B$5))</f>
        <v>2024.1584812556457</v>
      </c>
      <c r="M49" s="20">
        <f>I49*Inputs!$B$46</f>
        <v>205.13147232333179</v>
      </c>
      <c r="N49" s="12">
        <f>M49/((1+Inputs!$B$3)^(A49-Inputs!$B$5))</f>
        <v>119.3883845250103</v>
      </c>
      <c r="O49" s="12">
        <f>M49/((1+Inputs!$B$4)^(A49-Inputs!$B$5))</f>
        <v>161.93267850045166</v>
      </c>
      <c r="Q49" s="110">
        <f>A49</f>
        <v>2028</v>
      </c>
      <c r="R49" s="46">
        <f t="shared" si="14"/>
        <v>86017.890971138448</v>
      </c>
      <c r="S49" s="45">
        <f t="shared" si="15"/>
        <v>9.7200216797386444E-4</v>
      </c>
      <c r="T49" s="45">
        <f t="shared" si="16"/>
        <v>7.2255028415756303E-2</v>
      </c>
      <c r="U49" s="45">
        <f t="shared" si="17"/>
        <v>0.17089262101064764</v>
      </c>
      <c r="V49" s="20">
        <f t="shared" si="18"/>
        <v>10594.823630915122</v>
      </c>
      <c r="W49" s="20">
        <f t="shared" si="19"/>
        <v>14277.593614953446</v>
      </c>
      <c r="X49" s="20">
        <f t="shared" si="20"/>
        <v>769.0167945479144</v>
      </c>
      <c r="Y49" s="20">
        <f t="shared" ref="Y49:Y66" si="24">SUM(V49:X49)</f>
        <v>25641.434040416483</v>
      </c>
      <c r="Z49" s="12">
        <f>Y49/((1+Inputs!$B$3)^(Q49-Inputs!$B$5))</f>
        <v>14923.548065626293</v>
      </c>
      <c r="AA49" s="12">
        <f>Y49/((1+Inputs!$B$4)^(Q49-Inputs!$B$5))</f>
        <v>20241.584812556466</v>
      </c>
      <c r="AC49" s="20">
        <f>Y49*Inputs!$B$46</f>
        <v>2051.3147232333185</v>
      </c>
      <c r="AD49" s="12">
        <f>AC49/((1+Inputs!$B$3)^(Q49-Inputs!$B$5))</f>
        <v>1193.8838452501034</v>
      </c>
      <c r="AE49" s="12">
        <f>AC49/((1+Inputs!$B$4)^(Q49-Inputs!$B$5))</f>
        <v>1619.326785004517</v>
      </c>
    </row>
    <row r="50" spans="1:31" s="148" customFormat="1">
      <c r="A50" s="110">
        <f>A14</f>
        <v>2029</v>
      </c>
      <c r="B50" s="46">
        <f t="shared" si="13"/>
        <v>8888.914085846116</v>
      </c>
      <c r="C50" s="45">
        <f t="shared" si="21"/>
        <v>1.004447291700611E-4</v>
      </c>
      <c r="D50" s="45">
        <f t="shared" si="22"/>
        <v>7.4666878321107376E-3</v>
      </c>
      <c r="E50" s="45">
        <f t="shared" si="23"/>
        <v>1.7659696243638359E-2</v>
      </c>
      <c r="F50" s="20">
        <f>C50*$M$38</f>
        <v>1094.847547953666</v>
      </c>
      <c r="G50" s="20">
        <f>D50*$M$39</f>
        <v>1475.4175156250817</v>
      </c>
      <c r="H50" s="20">
        <f>E50*$M$40</f>
        <v>79.468633096372614</v>
      </c>
      <c r="I50" s="20">
        <f>SUM(F50:H50)</f>
        <v>2649.7336966751204</v>
      </c>
      <c r="J50" s="12">
        <f>I50/((1+Inputs!$B$3)^(A50-Inputs!$B$5))</f>
        <v>1441.2795664838279</v>
      </c>
      <c r="K50" s="12">
        <f>I50/((1+Inputs!$B$4)^(A50-Inputs!$B$5))</f>
        <v>2030.8002413865449</v>
      </c>
      <c r="M50" s="20">
        <f>I50*Inputs!$B$46</f>
        <v>211.97869573400965</v>
      </c>
      <c r="N50" s="12">
        <f>M50/((1+Inputs!$B$3)^(A50-Inputs!$B$5))</f>
        <v>115.30236531870624</v>
      </c>
      <c r="O50" s="12">
        <f>M50/((1+Inputs!$B$4)^(A50-Inputs!$B$5))</f>
        <v>162.46401931092362</v>
      </c>
      <c r="Q50" s="110">
        <f>A50</f>
        <v>2029</v>
      </c>
      <c r="R50" s="46">
        <f t="shared" si="14"/>
        <v>88889.140858461149</v>
      </c>
      <c r="S50" s="45">
        <f t="shared" si="15"/>
        <v>1.0044472917006108E-3</v>
      </c>
      <c r="T50" s="45">
        <f t="shared" si="16"/>
        <v>7.4666878321107369E-2</v>
      </c>
      <c r="U50" s="45">
        <f t="shared" si="17"/>
        <v>0.17659696243638356</v>
      </c>
      <c r="V50" s="20">
        <f t="shared" si="18"/>
        <v>10948.475479536657</v>
      </c>
      <c r="W50" s="20">
        <f t="shared" si="19"/>
        <v>14754.175156250816</v>
      </c>
      <c r="X50" s="20">
        <f t="shared" si="20"/>
        <v>794.68633096372605</v>
      </c>
      <c r="Y50" s="20">
        <f t="shared" si="24"/>
        <v>26497.336966751202</v>
      </c>
      <c r="Z50" s="12">
        <f>Y50/((1+Inputs!$B$3)^(Q50-Inputs!$B$5))</f>
        <v>14412.795664838277</v>
      </c>
      <c r="AA50" s="12">
        <f>Y50/((1+Inputs!$B$4)^(Q50-Inputs!$B$5))</f>
        <v>20308.002413865448</v>
      </c>
      <c r="AC50" s="20">
        <f>Y50*Inputs!$B$46</f>
        <v>2119.7869573400963</v>
      </c>
      <c r="AD50" s="12">
        <f>AC50/((1+Inputs!$B$3)^(Q50-Inputs!$B$5))</f>
        <v>1153.0236531870623</v>
      </c>
      <c r="AE50" s="12">
        <f>AC50/((1+Inputs!$B$4)^(Q50-Inputs!$B$5))</f>
        <v>1624.640193109236</v>
      </c>
    </row>
    <row r="51" spans="1:31" s="148" customFormat="1">
      <c r="A51" s="110">
        <f t="shared" ref="A51:A68" si="25">A50+1</f>
        <v>2030</v>
      </c>
      <c r="B51" s="46">
        <f t="shared" si="13"/>
        <v>9185.6232155313646</v>
      </c>
      <c r="C51" s="45">
        <f t="shared" si="21"/>
        <v>1.0379754233550441E-4</v>
      </c>
      <c r="D51" s="45">
        <f t="shared" si="22"/>
        <v>7.7159235010463463E-3</v>
      </c>
      <c r="E51" s="45">
        <f t="shared" si="23"/>
        <v>1.8249171296760892E-2</v>
      </c>
      <c r="F51" s="20">
        <f t="shared" ref="F51:F66" si="26">C51*$M$38</f>
        <v>1131.393211456998</v>
      </c>
      <c r="G51" s="20">
        <f t="shared" ref="G51:G66" si="27">D51*$M$39</f>
        <v>1524.6664838067579</v>
      </c>
      <c r="H51" s="20">
        <f t="shared" ref="H51:H66" si="28">E51*$M$40</f>
        <v>82.121270835424014</v>
      </c>
      <c r="I51" s="20">
        <f t="shared" ref="I51:I66" si="29">SUM(F51:H51)</f>
        <v>2738.1809660991803</v>
      </c>
      <c r="J51" s="12">
        <f>I51/((1+Inputs!$B$3)^(A51-Inputs!$B$5))</f>
        <v>1391.952355853276</v>
      </c>
      <c r="K51" s="12">
        <f>I51/((1+Inputs!$B$4)^(A51-Inputs!$B$5))</f>
        <v>2037.4637947604363</v>
      </c>
      <c r="M51" s="20">
        <f>I51*Inputs!$B$46</f>
        <v>219.05447728793442</v>
      </c>
      <c r="N51" s="12">
        <f>M51/((1+Inputs!$B$3)^(A51-Inputs!$B$5))</f>
        <v>111.35618846826208</v>
      </c>
      <c r="O51" s="12">
        <f>M51/((1+Inputs!$B$4)^(A51-Inputs!$B$5))</f>
        <v>162.9971035808349</v>
      </c>
      <c r="Q51" s="110">
        <f t="shared" ref="Q51:Q68" si="30">Q50+1</f>
        <v>2030</v>
      </c>
      <c r="R51" s="46">
        <f t="shared" si="14"/>
        <v>91856.232155313643</v>
      </c>
      <c r="S51" s="45">
        <f t="shared" si="15"/>
        <v>1.037975423355044E-3</v>
      </c>
      <c r="T51" s="45">
        <f t="shared" si="16"/>
        <v>7.7159235010463456E-2</v>
      </c>
      <c r="U51" s="45">
        <f t="shared" si="17"/>
        <v>0.18249171296760891</v>
      </c>
      <c r="V51" s="20">
        <f t="shared" si="18"/>
        <v>11313.93211456998</v>
      </c>
      <c r="W51" s="20">
        <f t="shared" si="19"/>
        <v>15246.66483806758</v>
      </c>
      <c r="X51" s="20">
        <f t="shared" si="20"/>
        <v>821.21270835424014</v>
      </c>
      <c r="Y51" s="20">
        <f t="shared" si="24"/>
        <v>27381.809660991799</v>
      </c>
      <c r="Z51" s="12">
        <f>Y51/((1+Inputs!$B$3)^(Q51-Inputs!$B$5))</f>
        <v>13919.523558532759</v>
      </c>
      <c r="AA51" s="12">
        <f>Y51/((1+Inputs!$B$4)^(Q51-Inputs!$B$5))</f>
        <v>20374.637947604358</v>
      </c>
      <c r="AC51" s="20">
        <f>Y51*Inputs!$B$46</f>
        <v>2190.5447728793438</v>
      </c>
      <c r="AD51" s="12">
        <f>AC51/((1+Inputs!$B$3)^(Q51-Inputs!$B$5))</f>
        <v>1113.5618846826205</v>
      </c>
      <c r="AE51" s="12">
        <f>AC51/((1+Inputs!$B$4)^(Q51-Inputs!$B$5))</f>
        <v>1629.9710358083487</v>
      </c>
    </row>
    <row r="52" spans="1:31" s="148" customFormat="1">
      <c r="A52" s="110">
        <f t="shared" si="25"/>
        <v>2031</v>
      </c>
      <c r="B52" s="46">
        <f t="shared" si="13"/>
        <v>9492.2364017513355</v>
      </c>
      <c r="C52" s="45">
        <f t="shared" si="21"/>
        <v>1.0726227133979008E-4</v>
      </c>
      <c r="D52" s="45">
        <f t="shared" si="22"/>
        <v>7.9734785774711221E-3</v>
      </c>
      <c r="E52" s="45">
        <f t="shared" si="23"/>
        <v>1.8858322839980401E-2</v>
      </c>
      <c r="F52" s="20">
        <f t="shared" si="26"/>
        <v>1169.1587576037118</v>
      </c>
      <c r="G52" s="20">
        <f t="shared" si="27"/>
        <v>1575.5593669082937</v>
      </c>
      <c r="H52" s="20">
        <f t="shared" si="28"/>
        <v>84.862452779911806</v>
      </c>
      <c r="I52" s="20">
        <f t="shared" si="29"/>
        <v>2829.5805772919175</v>
      </c>
      <c r="J52" s="12">
        <f>I52/((1+Inputs!$B$3)^(A52-Inputs!$B$5))</f>
        <v>1344.3133490696189</v>
      </c>
      <c r="K52" s="12">
        <f>I52/((1+Inputs!$B$4)^(A52-Inputs!$B$5))</f>
        <v>2044.1492128862899</v>
      </c>
      <c r="M52" s="20">
        <f>I52*Inputs!$B$46</f>
        <v>226.36644618335342</v>
      </c>
      <c r="N52" s="12">
        <f>M52/((1+Inputs!$B$3)^(A52-Inputs!$B$5))</f>
        <v>107.54506792556951</v>
      </c>
      <c r="O52" s="12">
        <f>M52/((1+Inputs!$B$4)^(A52-Inputs!$B$5))</f>
        <v>163.53193703090321</v>
      </c>
      <c r="Q52" s="110">
        <f t="shared" si="30"/>
        <v>2031</v>
      </c>
      <c r="R52" s="46">
        <f t="shared" si="14"/>
        <v>94922.364017513333</v>
      </c>
      <c r="S52" s="45">
        <f t="shared" si="15"/>
        <v>1.0726227133979005E-3</v>
      </c>
      <c r="T52" s="45">
        <f t="shared" si="16"/>
        <v>7.97347857747112E-2</v>
      </c>
      <c r="U52" s="45">
        <f t="shared" si="17"/>
        <v>0.18858322839980401</v>
      </c>
      <c r="V52" s="20">
        <f t="shared" si="18"/>
        <v>11691.587576037116</v>
      </c>
      <c r="W52" s="20">
        <f t="shared" si="19"/>
        <v>15755.593669082933</v>
      </c>
      <c r="X52" s="20">
        <f t="shared" si="20"/>
        <v>848.62452779911803</v>
      </c>
      <c r="Y52" s="20">
        <f t="shared" si="24"/>
        <v>28295.805772919168</v>
      </c>
      <c r="Z52" s="12">
        <f>Y52/((1+Inputs!$B$3)^(Q52-Inputs!$B$5))</f>
        <v>13443.133490696186</v>
      </c>
      <c r="AA52" s="12">
        <f>Y52/((1+Inputs!$B$4)^(Q52-Inputs!$B$5))</f>
        <v>20441.492128862894</v>
      </c>
      <c r="AC52" s="20">
        <f>Y52*Inputs!$B$46</f>
        <v>2263.6644618335336</v>
      </c>
      <c r="AD52" s="12">
        <f>AC52/((1+Inputs!$B$3)^(Q52-Inputs!$B$5))</f>
        <v>1075.4506792556949</v>
      </c>
      <c r="AE52" s="12">
        <f>AC52/((1+Inputs!$B$4)^(Q52-Inputs!$B$5))</f>
        <v>1635.3193703090315</v>
      </c>
    </row>
    <row r="53" spans="1:31" s="148" customFormat="1">
      <c r="A53" s="110">
        <f t="shared" si="25"/>
        <v>2032</v>
      </c>
      <c r="B53" s="46">
        <f t="shared" si="13"/>
        <v>9809.0842387683315</v>
      </c>
      <c r="C53" s="45">
        <f t="shared" si="21"/>
        <v>1.1084265189808213E-4</v>
      </c>
      <c r="D53" s="45">
        <f t="shared" si="22"/>
        <v>8.2396307605653984E-3</v>
      </c>
      <c r="E53" s="45">
        <f t="shared" si="23"/>
        <v>1.9487807668288469E-2</v>
      </c>
      <c r="F53" s="20">
        <f t="shared" si="26"/>
        <v>1208.1849056890951</v>
      </c>
      <c r="G53" s="20">
        <f t="shared" si="27"/>
        <v>1628.1510382877227</v>
      </c>
      <c r="H53" s="20">
        <f t="shared" si="28"/>
        <v>87.695134507298107</v>
      </c>
      <c r="I53" s="20">
        <f t="shared" si="29"/>
        <v>2924.0310784841158</v>
      </c>
      <c r="J53" s="12">
        <f>I53/((1+Inputs!$B$3)^(A53-Inputs!$B$5))</f>
        <v>1298.3047680385325</v>
      </c>
      <c r="K53" s="12">
        <f>I53/((1+Inputs!$B$4)^(A53-Inputs!$B$5))</f>
        <v>2050.8565675077193</v>
      </c>
      <c r="M53" s="20">
        <f>I53*Inputs!$B$46</f>
        <v>233.92248627872928</v>
      </c>
      <c r="N53" s="12">
        <f>M53/((1+Inputs!$B$3)^(A53-Inputs!$B$5))</f>
        <v>103.86438144308261</v>
      </c>
      <c r="O53" s="12">
        <f>M53/((1+Inputs!$B$4)^(A53-Inputs!$B$5))</f>
        <v>164.06852540061757</v>
      </c>
      <c r="Q53" s="110">
        <f t="shared" si="30"/>
        <v>2032</v>
      </c>
      <c r="R53" s="46">
        <f t="shared" si="14"/>
        <v>98090.842387683326</v>
      </c>
      <c r="S53" s="45">
        <f t="shared" si="15"/>
        <v>1.1084265189808215E-3</v>
      </c>
      <c r="T53" s="45">
        <f t="shared" si="16"/>
        <v>8.2396307605654001E-2</v>
      </c>
      <c r="U53" s="45">
        <f t="shared" si="17"/>
        <v>0.19487807668288473</v>
      </c>
      <c r="V53" s="20">
        <f t="shared" si="18"/>
        <v>12081.849056890955</v>
      </c>
      <c r="W53" s="20">
        <f t="shared" si="19"/>
        <v>16281.51038287723</v>
      </c>
      <c r="X53" s="20">
        <f t="shared" si="20"/>
        <v>876.95134507298133</v>
      </c>
      <c r="Y53" s="20">
        <f t="shared" si="24"/>
        <v>29240.310784841167</v>
      </c>
      <c r="Z53" s="12">
        <f>Y53/((1+Inputs!$B$3)^(Q53-Inputs!$B$5))</f>
        <v>12983.047680385329</v>
      </c>
      <c r="AA53" s="12">
        <f>Y53/((1+Inputs!$B$4)^(Q53-Inputs!$B$5))</f>
        <v>20508.5656750772</v>
      </c>
      <c r="AC53" s="20">
        <f>Y53*Inputs!$B$46</f>
        <v>2339.2248627872937</v>
      </c>
      <c r="AD53" s="12">
        <f>AC53/((1+Inputs!$B$3)^(Q53-Inputs!$B$5))</f>
        <v>1038.6438144308265</v>
      </c>
      <c r="AE53" s="12">
        <f>AC53/((1+Inputs!$B$4)^(Q53-Inputs!$B$5))</f>
        <v>1640.6852540061761</v>
      </c>
    </row>
    <row r="54" spans="1:31" s="148" customFormat="1">
      <c r="A54" s="110">
        <f t="shared" si="25"/>
        <v>2033</v>
      </c>
      <c r="B54" s="46">
        <f t="shared" si="13"/>
        <v>10136.508355976142</v>
      </c>
      <c r="C54" s="45">
        <f t="shared" si="21"/>
        <v>1.145425444225304E-4</v>
      </c>
      <c r="D54" s="45">
        <f t="shared" si="22"/>
        <v>8.5146670190199593E-3</v>
      </c>
      <c r="E54" s="45">
        <f t="shared" si="23"/>
        <v>2.0138304500284903E-2</v>
      </c>
      <c r="F54" s="20">
        <f t="shared" si="26"/>
        <v>1248.5137342055814</v>
      </c>
      <c r="G54" s="20">
        <f t="shared" si="27"/>
        <v>1682.4982029583439</v>
      </c>
      <c r="H54" s="20">
        <f t="shared" si="28"/>
        <v>90.622370251282064</v>
      </c>
      <c r="I54" s="20">
        <f t="shared" si="29"/>
        <v>3021.6343074152073</v>
      </c>
      <c r="J54" s="12">
        <f>I54/((1+Inputs!$B$3)^(A54-Inputs!$B$5))</f>
        <v>1253.8708120976153</v>
      </c>
      <c r="K54" s="12">
        <f>I54/((1+Inputs!$B$4)^(A54-Inputs!$B$5))</f>
        <v>2057.5859306037437</v>
      </c>
      <c r="M54" s="20">
        <f>I54*Inputs!$B$46</f>
        <v>241.7307445932166</v>
      </c>
      <c r="N54" s="12">
        <f>M54/((1+Inputs!$B$3)^(A54-Inputs!$B$5))</f>
        <v>100.30966496780923</v>
      </c>
      <c r="O54" s="12">
        <f>M54/((1+Inputs!$B$4)^(A54-Inputs!$B$5))</f>
        <v>164.60687444829949</v>
      </c>
      <c r="Q54" s="110">
        <f t="shared" si="30"/>
        <v>2033</v>
      </c>
      <c r="R54" s="46">
        <f t="shared" si="14"/>
        <v>101365.08355976142</v>
      </c>
      <c r="S54" s="45">
        <f t="shared" si="15"/>
        <v>1.1454254442253039E-3</v>
      </c>
      <c r="T54" s="45">
        <f t="shared" si="16"/>
        <v>8.5146670190199586E-2</v>
      </c>
      <c r="U54" s="45">
        <f t="shared" si="17"/>
        <v>0.20138304500284901</v>
      </c>
      <c r="V54" s="20">
        <f t="shared" si="18"/>
        <v>12485.137342055812</v>
      </c>
      <c r="W54" s="20">
        <f t="shared" si="19"/>
        <v>16824.98202958344</v>
      </c>
      <c r="X54" s="20">
        <f t="shared" si="20"/>
        <v>906.22370251282052</v>
      </c>
      <c r="Y54" s="20">
        <f t="shared" si="24"/>
        <v>30216.343074152071</v>
      </c>
      <c r="Z54" s="12">
        <f>Y54/((1+Inputs!$B$3)^(Q54-Inputs!$B$5))</f>
        <v>12538.708120976151</v>
      </c>
      <c r="AA54" s="12">
        <f>Y54/((1+Inputs!$B$4)^(Q54-Inputs!$B$5))</f>
        <v>20575.859306037433</v>
      </c>
      <c r="AC54" s="20">
        <f>Y54*Inputs!$B$46</f>
        <v>2417.3074459321656</v>
      </c>
      <c r="AD54" s="12">
        <f>AC54/((1+Inputs!$B$3)^(Q54-Inputs!$B$5))</f>
        <v>1003.096649678092</v>
      </c>
      <c r="AE54" s="12">
        <f>AC54/((1+Inputs!$B$4)^(Q54-Inputs!$B$5))</f>
        <v>1646.0687444829946</v>
      </c>
    </row>
    <row r="55" spans="1:31" s="148" customFormat="1">
      <c r="A55" s="110">
        <f t="shared" si="25"/>
        <v>2034</v>
      </c>
      <c r="B55" s="46">
        <f t="shared" si="13"/>
        <v>10474.861786249239</v>
      </c>
      <c r="C55" s="45">
        <f t="shared" si="21"/>
        <v>1.1836593818461639E-4</v>
      </c>
      <c r="D55" s="45">
        <f t="shared" si="22"/>
        <v>8.7988839004493613E-3</v>
      </c>
      <c r="E55" s="45">
        <f t="shared" si="23"/>
        <v>2.0810514709980858E-2</v>
      </c>
      <c r="F55" s="20">
        <f t="shared" si="26"/>
        <v>1290.1887262123187</v>
      </c>
      <c r="G55" s="20">
        <f t="shared" si="27"/>
        <v>1738.6594587287939</v>
      </c>
      <c r="H55" s="20">
        <f t="shared" si="28"/>
        <v>93.647316194913856</v>
      </c>
      <c r="I55" s="20">
        <f t="shared" si="29"/>
        <v>3122.4955011360266</v>
      </c>
      <c r="J55" s="12">
        <f>I55/((1+Inputs!$B$3)^(A55-Inputs!$B$5))</f>
        <v>1210.957590339583</v>
      </c>
      <c r="K55" s="12">
        <f>I55/((1+Inputs!$B$4)^(A55-Inputs!$B$5))</f>
        <v>2064.33737438956</v>
      </c>
      <c r="M55" s="20">
        <f>I55*Inputs!$B$46</f>
        <v>249.79964009088215</v>
      </c>
      <c r="N55" s="12">
        <f>M55/((1+Inputs!$B$3)^(A55-Inputs!$B$5))</f>
        <v>96.876607227166659</v>
      </c>
      <c r="O55" s="12">
        <f>M55/((1+Inputs!$B$4)^(A55-Inputs!$B$5))</f>
        <v>165.14698995116481</v>
      </c>
      <c r="Q55" s="110">
        <f t="shared" si="30"/>
        <v>2034</v>
      </c>
      <c r="R55" s="46">
        <f t="shared" si="14"/>
        <v>104748.61786249239</v>
      </c>
      <c r="S55" s="45">
        <f t="shared" si="15"/>
        <v>1.1836593818461639E-3</v>
      </c>
      <c r="T55" s="45">
        <f t="shared" si="16"/>
        <v>8.7988839004493613E-2</v>
      </c>
      <c r="U55" s="45">
        <f t="shared" si="17"/>
        <v>0.20810514709980862</v>
      </c>
      <c r="V55" s="20">
        <f t="shared" si="18"/>
        <v>12901.887262123188</v>
      </c>
      <c r="W55" s="20">
        <f t="shared" si="19"/>
        <v>17386.594587287938</v>
      </c>
      <c r="X55" s="20">
        <f t="shared" si="20"/>
        <v>936.47316194913878</v>
      </c>
      <c r="Y55" s="20">
        <f t="shared" si="24"/>
        <v>31224.955011360264</v>
      </c>
      <c r="Z55" s="12">
        <f>Y55/((1+Inputs!$B$3)^(Q55-Inputs!$B$5))</f>
        <v>12109.575903395831</v>
      </c>
      <c r="AA55" s="12">
        <f>Y55/((1+Inputs!$B$4)^(Q55-Inputs!$B$5))</f>
        <v>20643.373743895598</v>
      </c>
      <c r="AC55" s="20">
        <f>Y55*Inputs!$B$46</f>
        <v>2497.9964009088212</v>
      </c>
      <c r="AD55" s="12">
        <f>AC55/((1+Inputs!$B$3)^(Q55-Inputs!$B$5))</f>
        <v>968.76607227166642</v>
      </c>
      <c r="AE55" s="12">
        <f>AC55/((1+Inputs!$B$4)^(Q55-Inputs!$B$5))</f>
        <v>1651.4698995116478</v>
      </c>
    </row>
    <row r="56" spans="1:31" s="148" customFormat="1">
      <c r="A56" s="110">
        <f t="shared" si="25"/>
        <v>2035</v>
      </c>
      <c r="B56" s="46">
        <f t="shared" si="13"/>
        <v>10824.509346587358</v>
      </c>
      <c r="C56" s="45">
        <f t="shared" si="21"/>
        <v>1.2231695561643714E-4</v>
      </c>
      <c r="D56" s="45">
        <f t="shared" si="22"/>
        <v>9.0925878511333817E-3</v>
      </c>
      <c r="E56" s="45">
        <f t="shared" si="23"/>
        <v>2.1505163083029306E-2</v>
      </c>
      <c r="F56" s="20">
        <f t="shared" si="26"/>
        <v>1333.2548162191647</v>
      </c>
      <c r="G56" s="20">
        <f t="shared" si="27"/>
        <v>1796.6953593839562</v>
      </c>
      <c r="H56" s="20">
        <f t="shared" si="28"/>
        <v>96.773233873631881</v>
      </c>
      <c r="I56" s="20">
        <f t="shared" si="29"/>
        <v>3226.7234094767527</v>
      </c>
      <c r="J56" s="12">
        <f>I56/((1+Inputs!$B$3)^(A56-Inputs!$B$5))</f>
        <v>1169.5130562516729</v>
      </c>
      <c r="K56" s="12">
        <f>I56/((1+Inputs!$B$4)^(A56-Inputs!$B$5))</f>
        <v>2071.110971317325</v>
      </c>
      <c r="M56" s="20">
        <f>I56*Inputs!$B$46</f>
        <v>258.13787275814025</v>
      </c>
      <c r="N56" s="12">
        <f>M56/((1+Inputs!$B$3)^(A56-Inputs!$B$5))</f>
        <v>93.561044500133846</v>
      </c>
      <c r="O56" s="12">
        <f>M56/((1+Inputs!$B$4)^(A56-Inputs!$B$5))</f>
        <v>165.68887770538601</v>
      </c>
      <c r="Q56" s="110">
        <f t="shared" si="30"/>
        <v>2035</v>
      </c>
      <c r="R56" s="46">
        <f t="shared" si="14"/>
        <v>108245.09346587358</v>
      </c>
      <c r="S56" s="45">
        <f t="shared" si="15"/>
        <v>1.2231695561643714E-3</v>
      </c>
      <c r="T56" s="45">
        <f t="shared" si="16"/>
        <v>9.092587851133381E-2</v>
      </c>
      <c r="U56" s="45">
        <f t="shared" si="17"/>
        <v>0.21505163083029305</v>
      </c>
      <c r="V56" s="20">
        <f t="shared" si="18"/>
        <v>13332.548162191648</v>
      </c>
      <c r="W56" s="20">
        <f t="shared" si="19"/>
        <v>17966.95359383956</v>
      </c>
      <c r="X56" s="20">
        <f t="shared" si="20"/>
        <v>967.73233873631875</v>
      </c>
      <c r="Y56" s="20">
        <f t="shared" si="24"/>
        <v>32267.234094767526</v>
      </c>
      <c r="Z56" s="12">
        <f>Y56/((1+Inputs!$B$3)^(Q56-Inputs!$B$5))</f>
        <v>11695.130562516728</v>
      </c>
      <c r="AA56" s="12">
        <f>Y56/((1+Inputs!$B$4)^(Q56-Inputs!$B$5))</f>
        <v>20711.109713173249</v>
      </c>
      <c r="AC56" s="20">
        <f>Y56*Inputs!$B$46</f>
        <v>2581.378727581402</v>
      </c>
      <c r="AD56" s="12">
        <f>AC56/((1+Inputs!$B$3)^(Q56-Inputs!$B$5))</f>
        <v>935.61044500133823</v>
      </c>
      <c r="AE56" s="12">
        <f>AC56/((1+Inputs!$B$4)^(Q56-Inputs!$B$5))</f>
        <v>1656.8887770538599</v>
      </c>
    </row>
    <row r="57" spans="1:31" s="148" customFormat="1">
      <c r="A57" s="110">
        <f t="shared" si="25"/>
        <v>2036</v>
      </c>
      <c r="B57" s="46">
        <f t="shared" si="13"/>
        <v>11185.82803146584</v>
      </c>
      <c r="C57" s="45">
        <f t="shared" si="21"/>
        <v>1.2639985675556398E-4</v>
      </c>
      <c r="D57" s="45">
        <f t="shared" si="22"/>
        <v>9.3960955464313066E-3</v>
      </c>
      <c r="E57" s="45">
        <f t="shared" si="23"/>
        <v>2.2222998598198141E-2</v>
      </c>
      <c r="F57" s="20">
        <f t="shared" si="26"/>
        <v>1377.7584386356473</v>
      </c>
      <c r="G57" s="20">
        <f t="shared" si="27"/>
        <v>1856.6684799748261</v>
      </c>
      <c r="H57" s="20">
        <f t="shared" si="28"/>
        <v>100.00349369189163</v>
      </c>
      <c r="I57" s="20">
        <f t="shared" si="29"/>
        <v>3334.4304123023649</v>
      </c>
      <c r="J57" s="12">
        <f>I57/((1+Inputs!$B$3)^(A57-Inputs!$B$5))</f>
        <v>1129.4869445919855</v>
      </c>
      <c r="K57" s="12">
        <f>I57/((1+Inputs!$B$4)^(A57-Inputs!$B$5))</f>
        <v>2077.9067940769287</v>
      </c>
      <c r="M57" s="20">
        <f>I57*Inputs!$B$46</f>
        <v>266.75443298418918</v>
      </c>
      <c r="N57" s="12">
        <f>M57/((1+Inputs!$B$3)^(A57-Inputs!$B$5))</f>
        <v>90.358955567358848</v>
      </c>
      <c r="O57" s="12">
        <f>M57/((1+Inputs!$B$4)^(A57-Inputs!$B$5))</f>
        <v>166.2325435261543</v>
      </c>
      <c r="Q57" s="110">
        <f t="shared" si="30"/>
        <v>2036</v>
      </c>
      <c r="R57" s="46">
        <f t="shared" si="14"/>
        <v>111858.2803146584</v>
      </c>
      <c r="S57" s="45">
        <f t="shared" si="15"/>
        <v>1.26399856755564E-3</v>
      </c>
      <c r="T57" s="45">
        <f t="shared" si="16"/>
        <v>9.3960955464313059E-2</v>
      </c>
      <c r="U57" s="45">
        <f t="shared" si="17"/>
        <v>0.22222998598198143</v>
      </c>
      <c r="V57" s="20">
        <f t="shared" si="18"/>
        <v>13777.584386356475</v>
      </c>
      <c r="W57" s="20">
        <f t="shared" si="19"/>
        <v>18566.684799748262</v>
      </c>
      <c r="X57" s="20">
        <f t="shared" si="20"/>
        <v>1000.0349369189164</v>
      </c>
      <c r="Y57" s="20">
        <f t="shared" si="24"/>
        <v>33344.304123023649</v>
      </c>
      <c r="Z57" s="12">
        <f>Y57/((1+Inputs!$B$3)^(Q57-Inputs!$B$5))</f>
        <v>11294.869445919856</v>
      </c>
      <c r="AA57" s="12">
        <f>Y57/((1+Inputs!$B$4)^(Q57-Inputs!$B$5))</f>
        <v>20779.067940769288</v>
      </c>
      <c r="AC57" s="20">
        <f>Y57*Inputs!$B$46</f>
        <v>2667.5443298418918</v>
      </c>
      <c r="AD57" s="12">
        <f>AC57/((1+Inputs!$B$3)^(Q57-Inputs!$B$5))</f>
        <v>903.58955567358839</v>
      </c>
      <c r="AE57" s="12">
        <f>AC57/((1+Inputs!$B$4)^(Q57-Inputs!$B$5))</f>
        <v>1662.3254352615429</v>
      </c>
    </row>
    <row r="58" spans="1:31" s="148" customFormat="1">
      <c r="A58" s="110">
        <f t="shared" si="25"/>
        <v>2037</v>
      </c>
      <c r="B58" s="46">
        <f t="shared" si="13"/>
        <v>11559.207419315908</v>
      </c>
      <c r="C58" s="45">
        <f t="shared" si="21"/>
        <v>1.3061904383826974E-4</v>
      </c>
      <c r="D58" s="45">
        <f t="shared" si="22"/>
        <v>9.7097342322253616E-3</v>
      </c>
      <c r="E58" s="45">
        <f t="shared" si="23"/>
        <v>2.2964795234928729E-2</v>
      </c>
      <c r="F58" s="20">
        <f t="shared" si="26"/>
        <v>1423.7475778371402</v>
      </c>
      <c r="G58" s="20">
        <f t="shared" si="27"/>
        <v>1918.6434842877316</v>
      </c>
      <c r="H58" s="20">
        <f t="shared" si="28"/>
        <v>103.34157855717928</v>
      </c>
      <c r="I58" s="20">
        <f t="shared" si="29"/>
        <v>3445.7326406820507</v>
      </c>
      <c r="J58" s="12">
        <f>I58/((1+Inputs!$B$3)^(A58-Inputs!$B$5))</f>
        <v>1090.830710426209</v>
      </c>
      <c r="K58" s="12">
        <f>I58/((1+Inputs!$B$4)^(A58-Inputs!$B$5))</f>
        <v>2084.7249155967725</v>
      </c>
      <c r="M58" s="20">
        <f>I58*Inputs!$B$46</f>
        <v>275.65861125456405</v>
      </c>
      <c r="N58" s="12">
        <f>M58/((1+Inputs!$B$3)^(A58-Inputs!$B$5))</f>
        <v>87.266456834096715</v>
      </c>
      <c r="O58" s="12">
        <f>M58/((1+Inputs!$B$4)^(A58-Inputs!$B$5))</f>
        <v>166.77799324774179</v>
      </c>
      <c r="Q58" s="110">
        <f t="shared" si="30"/>
        <v>2037</v>
      </c>
      <c r="R58" s="46">
        <f t="shared" si="14"/>
        <v>115592.07419315909</v>
      </c>
      <c r="S58" s="45">
        <f t="shared" si="15"/>
        <v>1.3061904383826976E-3</v>
      </c>
      <c r="T58" s="45">
        <f t="shared" si="16"/>
        <v>9.7097342322253644E-2</v>
      </c>
      <c r="U58" s="45">
        <f t="shared" si="17"/>
        <v>0.22964795234928737</v>
      </c>
      <c r="V58" s="20">
        <f t="shared" si="18"/>
        <v>14237.475778371403</v>
      </c>
      <c r="W58" s="20">
        <f t="shared" si="19"/>
        <v>19186.434842877319</v>
      </c>
      <c r="X58" s="20">
        <f t="shared" si="20"/>
        <v>1033.4157855717931</v>
      </c>
      <c r="Y58" s="20">
        <f t="shared" si="24"/>
        <v>34457.326406820517</v>
      </c>
      <c r="Z58" s="12">
        <f>Y58/((1+Inputs!$B$3)^(Q58-Inputs!$B$5))</f>
        <v>10908.307104262092</v>
      </c>
      <c r="AA58" s="12">
        <f>Y58/((1+Inputs!$B$4)^(Q58-Inputs!$B$5))</f>
        <v>20847.249155967733</v>
      </c>
      <c r="AC58" s="20">
        <f>Y58*Inputs!$B$46</f>
        <v>2756.5861125456413</v>
      </c>
      <c r="AD58" s="12">
        <f>AC58/((1+Inputs!$B$3)^(Q58-Inputs!$B$5))</f>
        <v>872.66456834096732</v>
      </c>
      <c r="AE58" s="12">
        <f>AC58/((1+Inputs!$B$4)^(Q58-Inputs!$B$5))</f>
        <v>1667.7799324774185</v>
      </c>
    </row>
    <row r="59" spans="1:31" s="148" customFormat="1">
      <c r="A59" s="110">
        <f t="shared" si="25"/>
        <v>2038</v>
      </c>
      <c r="B59" s="46">
        <f t="shared" si="13"/>
        <v>11945.050092573112</v>
      </c>
      <c r="C59" s="45">
        <f t="shared" si="21"/>
        <v>1.3497906604607616E-4</v>
      </c>
      <c r="D59" s="45">
        <f t="shared" si="22"/>
        <v>1.0033842077761413E-2</v>
      </c>
      <c r="E59" s="45">
        <f t="shared" si="23"/>
        <v>2.3731352807850423E-2</v>
      </c>
      <c r="F59" s="20">
        <f t="shared" si="26"/>
        <v>1471.2718199022302</v>
      </c>
      <c r="G59" s="20">
        <f t="shared" si="27"/>
        <v>1982.6871945656553</v>
      </c>
      <c r="H59" s="20">
        <f t="shared" si="28"/>
        <v>106.7910876353269</v>
      </c>
      <c r="I59" s="20">
        <f t="shared" si="29"/>
        <v>3560.7501021032122</v>
      </c>
      <c r="J59" s="12">
        <f>I59/((1+Inputs!$B$3)^(A59-Inputs!$B$5))</f>
        <v>1053.4974702507873</v>
      </c>
      <c r="K59" s="12">
        <f>I59/((1+Inputs!$B$4)^(A59-Inputs!$B$5))</f>
        <v>2091.5654090445551</v>
      </c>
      <c r="M59" s="20">
        <f>I59*Inputs!$B$46</f>
        <v>284.86000816825697</v>
      </c>
      <c r="N59" s="12">
        <f>M59/((1+Inputs!$B$3)^(A59-Inputs!$B$5))</f>
        <v>84.279797620062979</v>
      </c>
      <c r="O59" s="12">
        <f>M59/((1+Inputs!$B$4)^(A59-Inputs!$B$5))</f>
        <v>167.3252327235644</v>
      </c>
      <c r="Q59" s="110">
        <f t="shared" si="30"/>
        <v>2038</v>
      </c>
      <c r="R59" s="46">
        <f t="shared" si="14"/>
        <v>119450.50092573112</v>
      </c>
      <c r="S59" s="45">
        <f t="shared" si="15"/>
        <v>1.3497906604607616E-3</v>
      </c>
      <c r="T59" s="45">
        <f t="shared" si="16"/>
        <v>0.10033842077761415</v>
      </c>
      <c r="U59" s="45">
        <f t="shared" si="17"/>
        <v>0.23731352807850425</v>
      </c>
      <c r="V59" s="20">
        <f t="shared" si="18"/>
        <v>14712.718199022302</v>
      </c>
      <c r="W59" s="20">
        <f t="shared" si="19"/>
        <v>19826.871945656556</v>
      </c>
      <c r="X59" s="20">
        <f t="shared" si="20"/>
        <v>1067.910876353269</v>
      </c>
      <c r="Y59" s="20">
        <f t="shared" si="24"/>
        <v>35607.501021032127</v>
      </c>
      <c r="Z59" s="12">
        <f>Y59/((1+Inputs!$B$3)^(Q59-Inputs!$B$5))</f>
        <v>10534.974702507874</v>
      </c>
      <c r="AA59" s="12">
        <f>Y59/((1+Inputs!$B$4)^(Q59-Inputs!$B$5))</f>
        <v>20915.654090445554</v>
      </c>
      <c r="AC59" s="20">
        <f>Y59*Inputs!$B$46</f>
        <v>2848.6000816825704</v>
      </c>
      <c r="AD59" s="12">
        <f>AC59/((1+Inputs!$B$3)^(Q59-Inputs!$B$5))</f>
        <v>842.79797620063005</v>
      </c>
      <c r="AE59" s="12">
        <f>AC59/((1+Inputs!$B$4)^(Q59-Inputs!$B$5))</f>
        <v>1673.2523272356443</v>
      </c>
    </row>
    <row r="60" spans="1:31" s="148" customFormat="1">
      <c r="A60" s="110">
        <f t="shared" si="25"/>
        <v>2039</v>
      </c>
      <c r="B60" s="46">
        <f t="shared" si="13"/>
        <v>12343.772071746864</v>
      </c>
      <c r="C60" s="45">
        <f t="shared" si="21"/>
        <v>1.3948462441073955E-4</v>
      </c>
      <c r="D60" s="45">
        <f t="shared" si="22"/>
        <v>1.0368768540267366E-2</v>
      </c>
      <c r="E60" s="45">
        <f t="shared" si="23"/>
        <v>2.4523497829150909E-2</v>
      </c>
      <c r="F60" s="20">
        <f t="shared" si="26"/>
        <v>1520.3824060770612</v>
      </c>
      <c r="G60" s="20">
        <f t="shared" si="27"/>
        <v>2048.8686635568315</v>
      </c>
      <c r="H60" s="20">
        <f t="shared" si="28"/>
        <v>110.3557402311791</v>
      </c>
      <c r="I60" s="20">
        <f t="shared" si="29"/>
        <v>3679.6068098650717</v>
      </c>
      <c r="J60" s="12">
        <f>I60/((1+Inputs!$B$3)^(A60-Inputs!$B$5))</f>
        <v>1017.4419451311239</v>
      </c>
      <c r="K60" s="12">
        <f>I60/((1+Inputs!$B$4)^(A60-Inputs!$B$5))</f>
        <v>2098.428347828054</v>
      </c>
      <c r="M60" s="20">
        <f>I60*Inputs!$B$46</f>
        <v>294.36854478920571</v>
      </c>
      <c r="N60" s="12">
        <f>M60/((1+Inputs!$B$3)^(A60-Inputs!$B$5))</f>
        <v>81.395355610489915</v>
      </c>
      <c r="O60" s="12">
        <f>M60/((1+Inputs!$B$4)^(A60-Inputs!$B$5))</f>
        <v>167.87426782624431</v>
      </c>
      <c r="Q60" s="110">
        <f t="shared" si="30"/>
        <v>2039</v>
      </c>
      <c r="R60" s="46">
        <f t="shared" si="14"/>
        <v>123437.72071746863</v>
      </c>
      <c r="S60" s="45">
        <f t="shared" si="15"/>
        <v>1.3948462441073955E-3</v>
      </c>
      <c r="T60" s="45">
        <f t="shared" si="16"/>
        <v>0.10368768540267365</v>
      </c>
      <c r="U60" s="45">
        <f t="shared" si="17"/>
        <v>0.24523497829150903</v>
      </c>
      <c r="V60" s="20">
        <f t="shared" si="18"/>
        <v>15203.82406077061</v>
      </c>
      <c r="W60" s="20">
        <f t="shared" si="19"/>
        <v>20488.686635568312</v>
      </c>
      <c r="X60" s="20">
        <f t="shared" si="20"/>
        <v>1103.5574023117906</v>
      </c>
      <c r="Y60" s="20">
        <f t="shared" si="24"/>
        <v>36796.068098650714</v>
      </c>
      <c r="Z60" s="12">
        <f>Y60/((1+Inputs!$B$3)^(Q60-Inputs!$B$5))</f>
        <v>10174.41945131124</v>
      </c>
      <c r="AA60" s="12">
        <f>Y60/((1+Inputs!$B$4)^(Q60-Inputs!$B$5))</f>
        <v>20984.28347828054</v>
      </c>
      <c r="AC60" s="20">
        <f>Y60*Inputs!$B$46</f>
        <v>2943.6854478920573</v>
      </c>
      <c r="AD60" s="12">
        <f>AC60/((1+Inputs!$B$3)^(Q60-Inputs!$B$5))</f>
        <v>813.95355610489912</v>
      </c>
      <c r="AE60" s="12">
        <f>AC60/((1+Inputs!$B$4)^(Q60-Inputs!$B$5))</f>
        <v>1678.7426782624432</v>
      </c>
    </row>
    <row r="61" spans="1:31" s="148" customFormat="1">
      <c r="A61" s="110">
        <f t="shared" si="25"/>
        <v>2040</v>
      </c>
      <c r="B61" s="46">
        <f t="shared" si="13"/>
        <v>12755.803263979098</v>
      </c>
      <c r="C61" s="45">
        <f t="shared" si="21"/>
        <v>1.441405768829638E-4</v>
      </c>
      <c r="D61" s="45">
        <f t="shared" si="22"/>
        <v>1.0714874741742443E-2</v>
      </c>
      <c r="E61" s="45">
        <f t="shared" si="23"/>
        <v>2.5342084399732307E-2</v>
      </c>
      <c r="F61" s="20">
        <f t="shared" si="26"/>
        <v>1571.1322880243054</v>
      </c>
      <c r="G61" s="20">
        <f t="shared" si="27"/>
        <v>2117.2592489683066</v>
      </c>
      <c r="H61" s="20">
        <f t="shared" si="28"/>
        <v>114.03937979879538</v>
      </c>
      <c r="I61" s="20">
        <f t="shared" si="29"/>
        <v>3802.4309167914071</v>
      </c>
      <c r="J61" s="12">
        <f>I61/((1+Inputs!$B$3)^(A61-Inputs!$B$5))</f>
        <v>982.62040578585993</v>
      </c>
      <c r="K61" s="12">
        <f>I61/((1+Inputs!$B$4)^(A61-Inputs!$B$5))</f>
        <v>2105.3138055959193</v>
      </c>
      <c r="M61" s="20">
        <f>I61*Inputs!$B$46</f>
        <v>304.19447334331255</v>
      </c>
      <c r="N61" s="12">
        <f>M61/((1+Inputs!$B$3)^(A61-Inputs!$B$5))</f>
        <v>78.609632462868788</v>
      </c>
      <c r="O61" s="12">
        <f>M61/((1+Inputs!$B$4)^(A61-Inputs!$B$5))</f>
        <v>168.42510444767353</v>
      </c>
      <c r="Q61" s="110">
        <f t="shared" si="30"/>
        <v>2040</v>
      </c>
      <c r="R61" s="46">
        <f t="shared" si="14"/>
        <v>127558.03263979098</v>
      </c>
      <c r="S61" s="45">
        <f t="shared" si="15"/>
        <v>1.441405768829638E-3</v>
      </c>
      <c r="T61" s="45">
        <f t="shared" si="16"/>
        <v>0.10714874741742443</v>
      </c>
      <c r="U61" s="45">
        <f t="shared" si="17"/>
        <v>0.25342084399732301</v>
      </c>
      <c r="V61" s="20">
        <f t="shared" si="18"/>
        <v>15711.322880243053</v>
      </c>
      <c r="W61" s="20">
        <f t="shared" si="19"/>
        <v>21172.592489683069</v>
      </c>
      <c r="X61" s="20">
        <f t="shared" si="20"/>
        <v>1140.3937979879536</v>
      </c>
      <c r="Y61" s="20">
        <f t="shared" si="24"/>
        <v>38024.309167914078</v>
      </c>
      <c r="Z61" s="12">
        <f>Y61/((1+Inputs!$B$3)^(Q61-Inputs!$B$5))</f>
        <v>9826.204057858602</v>
      </c>
      <c r="AA61" s="12">
        <f>Y61/((1+Inputs!$B$4)^(Q61-Inputs!$B$5))</f>
        <v>21053.1380559592</v>
      </c>
      <c r="AC61" s="20">
        <f>Y61*Inputs!$B$46</f>
        <v>3041.9447334331262</v>
      </c>
      <c r="AD61" s="12">
        <f>AC61/((1+Inputs!$B$3)^(Q61-Inputs!$B$5))</f>
        <v>786.09632462868808</v>
      </c>
      <c r="AE61" s="12">
        <f>AC61/((1+Inputs!$B$4)^(Q61-Inputs!$B$5))</f>
        <v>1684.2510444767358</v>
      </c>
    </row>
    <row r="62" spans="1:31" s="148" customFormat="1" ht="15" customHeight="1">
      <c r="A62" s="110">
        <f t="shared" si="25"/>
        <v>2041</v>
      </c>
      <c r="B62" s="46">
        <f t="shared" si="13"/>
        <v>13181.587926575621</v>
      </c>
      <c r="C62" s="45">
        <f t="shared" si="21"/>
        <v>1.489519435703045E-4</v>
      </c>
      <c r="D62" s="45">
        <f t="shared" si="22"/>
        <v>1.1072533858323521E-2</v>
      </c>
      <c r="E62" s="45">
        <f t="shared" si="23"/>
        <v>2.6187995130113592E-2</v>
      </c>
      <c r="F62" s="20">
        <f t="shared" si="26"/>
        <v>1623.5761849163191</v>
      </c>
      <c r="G62" s="20">
        <f t="shared" si="27"/>
        <v>2187.9326904047275</v>
      </c>
      <c r="H62" s="20">
        <f t="shared" si="28"/>
        <v>117.84597808551116</v>
      </c>
      <c r="I62" s="20">
        <f t="shared" si="29"/>
        <v>3929.3548534065576</v>
      </c>
      <c r="J62" s="12">
        <f>I62/((1+Inputs!$B$3)^(A62-Inputs!$B$5))</f>
        <v>948.99061955061472</v>
      </c>
      <c r="K62" s="12">
        <f>I62/((1+Inputs!$B$4)^(A62-Inputs!$B$5))</f>
        <v>2112.2218562384578</v>
      </c>
      <c r="M62" s="20">
        <f>I62*Inputs!$B$46</f>
        <v>314.34838827252463</v>
      </c>
      <c r="N62" s="12">
        <f>M62/((1+Inputs!$B$3)^(A62-Inputs!$B$5))</f>
        <v>75.919249564049181</v>
      </c>
      <c r="O62" s="12">
        <f>M62/((1+Inputs!$B$4)^(A62-Inputs!$B$5))</f>
        <v>168.97774849907665</v>
      </c>
      <c r="Q62" s="110">
        <f t="shared" si="30"/>
        <v>2041</v>
      </c>
      <c r="R62" s="46">
        <f t="shared" si="14"/>
        <v>131815.8792657562</v>
      </c>
      <c r="S62" s="45">
        <f t="shared" si="15"/>
        <v>1.489519435703045E-3</v>
      </c>
      <c r="T62" s="45">
        <f t="shared" si="16"/>
        <v>0.11072533858323522</v>
      </c>
      <c r="U62" s="45">
        <f t="shared" si="17"/>
        <v>0.26187995130113595</v>
      </c>
      <c r="V62" s="20">
        <f t="shared" si="18"/>
        <v>16235.761849163189</v>
      </c>
      <c r="W62" s="20">
        <f t="shared" si="19"/>
        <v>21879.326904047281</v>
      </c>
      <c r="X62" s="20">
        <f t="shared" si="20"/>
        <v>1178.4597808551118</v>
      </c>
      <c r="Y62" s="20">
        <f t="shared" si="24"/>
        <v>39293.54853406558</v>
      </c>
      <c r="Z62" s="12">
        <f>Y62/((1+Inputs!$B$3)^(Q62-Inputs!$B$5))</f>
        <v>9489.9061955061479</v>
      </c>
      <c r="AA62" s="12">
        <f>Y62/((1+Inputs!$B$4)^(Q62-Inputs!$B$5))</f>
        <v>21122.218562384583</v>
      </c>
      <c r="AC62" s="20">
        <f>Y62*Inputs!$B$46</f>
        <v>3143.4838827252465</v>
      </c>
      <c r="AD62" s="12">
        <f>AC62/((1+Inputs!$B$3)^(Q62-Inputs!$B$5))</f>
        <v>759.19249564049187</v>
      </c>
      <c r="AE62" s="12">
        <f>AC62/((1+Inputs!$B$4)^(Q62-Inputs!$B$5))</f>
        <v>1689.7774849907667</v>
      </c>
    </row>
    <row r="63" spans="1:31" s="148" customFormat="1" ht="15" customHeight="1">
      <c r="A63" s="110">
        <f t="shared" si="25"/>
        <v>2042</v>
      </c>
      <c r="B63" s="46">
        <f t="shared" si="13"/>
        <v>13621.585146010044</v>
      </c>
      <c r="C63" s="45">
        <f t="shared" si="21"/>
        <v>1.539239121499135E-4</v>
      </c>
      <c r="D63" s="45">
        <f t="shared" si="22"/>
        <v>1.1442131522648438E-2</v>
      </c>
      <c r="E63" s="45">
        <f t="shared" si="23"/>
        <v>2.7062142092072649E-2</v>
      </c>
      <c r="F63" s="20">
        <f t="shared" si="26"/>
        <v>1677.7706424340572</v>
      </c>
      <c r="G63" s="20">
        <f t="shared" si="27"/>
        <v>2260.9651888753315</v>
      </c>
      <c r="H63" s="20">
        <f t="shared" si="28"/>
        <v>121.77963941432692</v>
      </c>
      <c r="I63" s="20">
        <f t="shared" si="29"/>
        <v>4060.5154707237157</v>
      </c>
      <c r="J63" s="12">
        <f>I63/((1+Inputs!$B$3)^(A63-Inputs!$B$5))</f>
        <v>916.5117991568776</v>
      </c>
      <c r="K63" s="12">
        <f>I63/((1+Inputs!$B$4)^(A63-Inputs!$B$5))</f>
        <v>2119.1525738884288</v>
      </c>
      <c r="M63" s="20">
        <f>I63*Inputs!$B$46</f>
        <v>324.84123765789724</v>
      </c>
      <c r="N63" s="12">
        <f>M63/((1+Inputs!$B$3)^(A63-Inputs!$B$5))</f>
        <v>73.320943932550207</v>
      </c>
      <c r="O63" s="12">
        <f>M63/((1+Inputs!$B$4)^(A63-Inputs!$B$5))</f>
        <v>169.5322059110743</v>
      </c>
      <c r="Q63" s="110">
        <f t="shared" si="30"/>
        <v>2042</v>
      </c>
      <c r="R63" s="46">
        <f t="shared" si="14"/>
        <v>136215.85146010044</v>
      </c>
      <c r="S63" s="45">
        <f t="shared" si="15"/>
        <v>1.5392391214991349E-3</v>
      </c>
      <c r="T63" s="45">
        <f t="shared" si="16"/>
        <v>0.11442131522648437</v>
      </c>
      <c r="U63" s="45">
        <f t="shared" si="17"/>
        <v>0.27062142092072644</v>
      </c>
      <c r="V63" s="20">
        <f t="shared" si="18"/>
        <v>16777.706424340569</v>
      </c>
      <c r="W63" s="20">
        <f t="shared" si="19"/>
        <v>22609.651888753313</v>
      </c>
      <c r="X63" s="20">
        <f t="shared" si="20"/>
        <v>1217.796394143269</v>
      </c>
      <c r="Y63" s="20">
        <f t="shared" si="24"/>
        <v>40605.154707237147</v>
      </c>
      <c r="Z63" s="12">
        <f>Y63/((1+Inputs!$B$3)^(Q63-Inputs!$B$5))</f>
        <v>9165.1179915687735</v>
      </c>
      <c r="AA63" s="12">
        <f>Y63/((1+Inputs!$B$4)^(Q63-Inputs!$B$5))</f>
        <v>21191.525738884284</v>
      </c>
      <c r="AC63" s="20">
        <f>Y63*Inputs!$B$46</f>
        <v>3248.4123765789718</v>
      </c>
      <c r="AD63" s="12">
        <f>AC63/((1+Inputs!$B$3)^(Q63-Inputs!$B$5))</f>
        <v>733.20943932550199</v>
      </c>
      <c r="AE63" s="12">
        <f>AC63/((1+Inputs!$B$4)^(Q63-Inputs!$B$5))</f>
        <v>1695.3220591107429</v>
      </c>
    </row>
    <row r="64" spans="1:31" s="148" customFormat="1" ht="15" customHeight="1">
      <c r="A64" s="110">
        <f t="shared" si="25"/>
        <v>2043</v>
      </c>
      <c r="B64" s="46">
        <f t="shared" si="13"/>
        <v>14076.269332916707</v>
      </c>
      <c r="C64" s="45">
        <f t="shared" si="21"/>
        <v>1.5906184346195875E-4</v>
      </c>
      <c r="D64" s="45">
        <f t="shared" si="22"/>
        <v>1.1824066239650034E-2</v>
      </c>
      <c r="E64" s="45">
        <f t="shared" si="23"/>
        <v>2.7965467802053678E-2</v>
      </c>
      <c r="F64" s="20">
        <f t="shared" si="26"/>
        <v>1733.7740937353503</v>
      </c>
      <c r="G64" s="20">
        <f t="shared" si="27"/>
        <v>2336.4354889548467</v>
      </c>
      <c r="H64" s="20">
        <f t="shared" si="28"/>
        <v>125.84460510924156</v>
      </c>
      <c r="I64" s="20">
        <f t="shared" si="29"/>
        <v>4196.0541877994383</v>
      </c>
      <c r="J64" s="12">
        <f>I64/((1+Inputs!$B$3)^(A64-Inputs!$B$5))</f>
        <v>885.14455326391692</v>
      </c>
      <c r="K64" s="12">
        <f>I64/((1+Inputs!$B$4)^(A64-Inputs!$B$5))</f>
        <v>2126.1060329218399</v>
      </c>
      <c r="M64" s="20">
        <f>I64*Inputs!$B$46</f>
        <v>335.68433502395504</v>
      </c>
      <c r="N64" s="12">
        <f>M64/((1+Inputs!$B$3)^(A64-Inputs!$B$5))</f>
        <v>70.811564261113347</v>
      </c>
      <c r="O64" s="12">
        <f>M64/((1+Inputs!$B$4)^(A64-Inputs!$B$5))</f>
        <v>170.08848263374716</v>
      </c>
      <c r="Q64" s="110">
        <f t="shared" si="30"/>
        <v>2043</v>
      </c>
      <c r="R64" s="46">
        <f t="shared" si="14"/>
        <v>140762.69332916703</v>
      </c>
      <c r="S64" s="45">
        <f t="shared" si="15"/>
        <v>1.5906184346195873E-3</v>
      </c>
      <c r="T64" s="45">
        <f t="shared" si="16"/>
        <v>0.1182406623965003</v>
      </c>
      <c r="U64" s="45">
        <f t="shared" si="17"/>
        <v>0.27965467802053673</v>
      </c>
      <c r="V64" s="20">
        <f t="shared" si="18"/>
        <v>17337.740937353501</v>
      </c>
      <c r="W64" s="20">
        <f t="shared" si="19"/>
        <v>23364.35488954846</v>
      </c>
      <c r="X64" s="20">
        <f t="shared" si="20"/>
        <v>1258.4460510924152</v>
      </c>
      <c r="Y64" s="20">
        <f t="shared" si="24"/>
        <v>41960.541877994379</v>
      </c>
      <c r="Z64" s="12">
        <f>Y64/((1+Inputs!$B$3)^(Q64-Inputs!$B$5))</f>
        <v>8851.4455326391671</v>
      </c>
      <c r="AA64" s="12">
        <f>Y64/((1+Inputs!$B$4)^(Q64-Inputs!$B$5))</f>
        <v>21261.060329218395</v>
      </c>
      <c r="AC64" s="20">
        <f>Y64*Inputs!$B$46</f>
        <v>3356.8433502395505</v>
      </c>
      <c r="AD64" s="12">
        <f>AC64/((1+Inputs!$B$3)^(Q64-Inputs!$B$5))</f>
        <v>708.11564261113347</v>
      </c>
      <c r="AE64" s="12">
        <f>AC64/((1+Inputs!$B$4)^(Q64-Inputs!$B$5))</f>
        <v>1700.8848263374716</v>
      </c>
    </row>
    <row r="65" spans="1:47" s="148" customFormat="1" ht="15" customHeight="1">
      <c r="A65" s="110">
        <f t="shared" si="25"/>
        <v>2044</v>
      </c>
      <c r="B65" s="46">
        <f t="shared" si="13"/>
        <v>14546.130733606265</v>
      </c>
      <c r="C65" s="45">
        <f t="shared" si="21"/>
        <v>1.6437127728975077E-4</v>
      </c>
      <c r="D65" s="45">
        <f t="shared" si="22"/>
        <v>1.2218749816229262E-2</v>
      </c>
      <c r="E65" s="45">
        <f t="shared" si="23"/>
        <v>2.8898946237400514E-2</v>
      </c>
      <c r="F65" s="20">
        <f t="shared" si="26"/>
        <v>1791.6469224582834</v>
      </c>
      <c r="G65" s="20">
        <f t="shared" si="27"/>
        <v>2414.4249636869022</v>
      </c>
      <c r="H65" s="20">
        <f t="shared" si="28"/>
        <v>130.0452580683023</v>
      </c>
      <c r="I65" s="20">
        <f t="shared" si="29"/>
        <v>4336.1171442134882</v>
      </c>
      <c r="J65" s="12">
        <f>I65/((1+Inputs!$B$3)^(A65-Inputs!$B$5))</f>
        <v>854.8508386837168</v>
      </c>
      <c r="K65" s="12">
        <f>I65/((1+Inputs!$B$4)^(A65-Inputs!$B$5))</f>
        <v>2133.0823079587449</v>
      </c>
      <c r="M65" s="20">
        <f>I65*Inputs!$B$46</f>
        <v>346.88937153707906</v>
      </c>
      <c r="N65" s="12">
        <f>M65/((1+Inputs!$B$3)^(A65-Inputs!$B$5))</f>
        <v>68.388067094697348</v>
      </c>
      <c r="O65" s="12">
        <f>M65/((1+Inputs!$B$4)^(A65-Inputs!$B$5))</f>
        <v>170.64658463669957</v>
      </c>
      <c r="Q65" s="110">
        <f t="shared" si="30"/>
        <v>2044</v>
      </c>
      <c r="R65" s="46">
        <f t="shared" si="14"/>
        <v>145461.30733606266</v>
      </c>
      <c r="S65" s="45">
        <f t="shared" si="15"/>
        <v>1.643712772897508E-3</v>
      </c>
      <c r="T65" s="45">
        <f t="shared" si="16"/>
        <v>0.12218749816229263</v>
      </c>
      <c r="U65" s="45">
        <f t="shared" si="17"/>
        <v>0.28898946237400513</v>
      </c>
      <c r="V65" s="20">
        <f t="shared" si="18"/>
        <v>17916.469224582837</v>
      </c>
      <c r="W65" s="20">
        <f t="shared" si="19"/>
        <v>24144.249636869023</v>
      </c>
      <c r="X65" s="20">
        <f t="shared" si="20"/>
        <v>1300.4525806830231</v>
      </c>
      <c r="Y65" s="20">
        <f t="shared" si="24"/>
        <v>43361.171442134881</v>
      </c>
      <c r="Z65" s="12">
        <f>Y65/((1+Inputs!$B$3)^(Q65-Inputs!$B$5))</f>
        <v>8548.5083868371676</v>
      </c>
      <c r="AA65" s="12">
        <f>Y65/((1+Inputs!$B$4)^(Q65-Inputs!$B$5))</f>
        <v>21330.823079587448</v>
      </c>
      <c r="AC65" s="20">
        <f>Y65*Inputs!$B$46</f>
        <v>3468.8937153707907</v>
      </c>
      <c r="AD65" s="12">
        <f>AC65/((1+Inputs!$B$3)^(Q65-Inputs!$B$5))</f>
        <v>683.8806709469734</v>
      </c>
      <c r="AE65" s="12">
        <f>AC65/((1+Inputs!$B$4)^(Q65-Inputs!$B$5))</f>
        <v>1706.4658463669959</v>
      </c>
    </row>
    <row r="66" spans="1:47" s="148" customFormat="1" ht="15" customHeight="1">
      <c r="A66" s="110">
        <f t="shared" si="25"/>
        <v>2045</v>
      </c>
      <c r="B66" s="46">
        <f t="shared" si="13"/>
        <v>15031.675958655576</v>
      </c>
      <c r="C66" s="45">
        <f t="shared" si="21"/>
        <v>1.69857938332808E-4</v>
      </c>
      <c r="D66" s="45">
        <f t="shared" si="22"/>
        <v>1.2626607805270685E-2</v>
      </c>
      <c r="E66" s="45">
        <f t="shared" si="23"/>
        <v>2.9863583886511474E-2</v>
      </c>
      <c r="F66" s="20">
        <f t="shared" si="26"/>
        <v>1851.4515278276072</v>
      </c>
      <c r="G66" s="20">
        <f t="shared" si="27"/>
        <v>2495.0177023214874</v>
      </c>
      <c r="H66" s="20">
        <f t="shared" si="28"/>
        <v>134.38612748930163</v>
      </c>
      <c r="I66" s="20">
        <f t="shared" si="29"/>
        <v>4480.8553576383956</v>
      </c>
      <c r="J66" s="12">
        <f>I66/((1+Inputs!$B$3)^(A66-Inputs!$B$5))</f>
        <v>825.5939142409951</v>
      </c>
      <c r="K66" s="12">
        <f>I66/((1+Inputs!$B$4)^(A66-Inputs!$B$5))</f>
        <v>2140.0814738640433</v>
      </c>
      <c r="M66" s="20">
        <f>I66*Inputs!$B$46</f>
        <v>358.46842861107166</v>
      </c>
      <c r="N66" s="12">
        <f>M66/((1+Inputs!$B$3)^(A66-Inputs!$B$5))</f>
        <v>66.047513139279602</v>
      </c>
      <c r="O66" s="12">
        <f>M66/((1+Inputs!$B$4)^(A66-Inputs!$B$5))</f>
        <v>171.20651790912348</v>
      </c>
      <c r="Q66" s="110">
        <f t="shared" si="30"/>
        <v>2045</v>
      </c>
      <c r="R66" s="46">
        <f t="shared" si="14"/>
        <v>150316.75958655577</v>
      </c>
      <c r="S66" s="45">
        <f t="shared" si="15"/>
        <v>1.6985793833280802E-3</v>
      </c>
      <c r="T66" s="45">
        <f t="shared" si="16"/>
        <v>0.12626607805270684</v>
      </c>
      <c r="U66" s="45">
        <f t="shared" si="17"/>
        <v>0.29863583886511469</v>
      </c>
      <c r="V66" s="20">
        <f t="shared" si="18"/>
        <v>18514.515278276074</v>
      </c>
      <c r="W66" s="20">
        <f t="shared" si="19"/>
        <v>24950.177023214874</v>
      </c>
      <c r="X66" s="20">
        <f t="shared" si="20"/>
        <v>1343.8612748930161</v>
      </c>
      <c r="Y66" s="20">
        <f t="shared" si="24"/>
        <v>44808.553576383965</v>
      </c>
      <c r="Z66" s="12">
        <f>Y66/((1+Inputs!$B$3)^(Q66-Inputs!$B$5))</f>
        <v>8255.9391424099522</v>
      </c>
      <c r="AA66" s="12">
        <f>Y66/((1+Inputs!$B$4)^(Q66-Inputs!$B$5))</f>
        <v>21400.814738640438</v>
      </c>
      <c r="AC66" s="20">
        <f>Y66*Inputs!$B$46</f>
        <v>3584.6842861107175</v>
      </c>
      <c r="AD66" s="12">
        <f>AC66/((1+Inputs!$B$3)^(Q66-Inputs!$B$5))</f>
        <v>660.47513139279624</v>
      </c>
      <c r="AE66" s="12">
        <f>AC66/((1+Inputs!$B$4)^(Q66-Inputs!$B$5))</f>
        <v>1712.0651790912352</v>
      </c>
    </row>
    <row r="67" spans="1:47" s="148" customFormat="1" ht="15" customHeight="1">
      <c r="A67" s="110">
        <f t="shared" si="25"/>
        <v>2046</v>
      </c>
      <c r="B67" s="46">
        <f t="shared" ref="B67:B68" si="31">D31</f>
        <v>15533.428529141671</v>
      </c>
      <c r="C67" s="45">
        <f t="shared" ref="C67:C68" si="32">B67/100000000*$B$39</f>
        <v>1.7552774237930086E-4</v>
      </c>
      <c r="D67" s="45">
        <f t="shared" ref="D67:D68" si="33">B67/100000000*$B$40</f>
        <v>1.3048079964479004E-2</v>
      </c>
      <c r="E67" s="45">
        <f t="shared" ref="E67:E68" si="34">SUM(C67:D67)*$J$42/(1-$J$42)</f>
        <v>3.0860420834047986E-2</v>
      </c>
      <c r="F67" s="20">
        <f t="shared" ref="F67:F68" si="35">C67*$M$38</f>
        <v>1913.2523919343794</v>
      </c>
      <c r="G67" s="20">
        <f t="shared" ref="G67:G68" si="36">D67*$M$39</f>
        <v>2578.300600981051</v>
      </c>
      <c r="H67" s="20">
        <f t="shared" ref="H67:H68" si="37">E67*$M$40</f>
        <v>138.87189375321594</v>
      </c>
      <c r="I67" s="20">
        <f t="shared" ref="I67" si="38">SUM(F67:H67)</f>
        <v>4630.4248866686466</v>
      </c>
      <c r="J67" s="12">
        <f>I67/((1+Inputs!$B$3)^(A67-Inputs!$B$5))</f>
        <v>797.33829621234361</v>
      </c>
      <c r="K67" s="12">
        <f>I67/((1+Inputs!$B$4)^(A67-Inputs!$B$5))</f>
        <v>2147.1036057482861</v>
      </c>
      <c r="M67" s="20">
        <f>I67*Inputs!$B$46</f>
        <v>370.43399093349171</v>
      </c>
      <c r="N67" s="12">
        <f>M67/((1+Inputs!$B$3)^(A67-Inputs!$B$5))</f>
        <v>63.787063696987481</v>
      </c>
      <c r="O67" s="12">
        <f>M67/((1+Inputs!$B$4)^(A67-Inputs!$B$5))</f>
        <v>171.76828845986287</v>
      </c>
      <c r="Q67" s="110">
        <f t="shared" si="30"/>
        <v>2046</v>
      </c>
      <c r="R67" s="46">
        <f t="shared" ref="R67:R68" si="39">L31</f>
        <v>155334.28529141672</v>
      </c>
      <c r="S67" s="45">
        <f t="shared" ref="S67:S68" si="40">R67/100000000*$B$39</f>
        <v>1.7552774237930087E-3</v>
      </c>
      <c r="T67" s="45">
        <f t="shared" ref="T67:T68" si="41">R67/100000000*$B$40</f>
        <v>0.13048079964479004</v>
      </c>
      <c r="U67" s="45">
        <f t="shared" ref="U67:U68" si="42">SUM(S67:T67)*$J$42/(1-$J$42)</f>
        <v>0.3086042083404798</v>
      </c>
      <c r="V67" s="20">
        <f t="shared" ref="V67:V68" si="43">S67*$M$38</f>
        <v>19132.523919343796</v>
      </c>
      <c r="W67" s="20">
        <f t="shared" ref="W67:W68" si="44">T67*$M$39</f>
        <v>25783.00600981051</v>
      </c>
      <c r="X67" s="20">
        <f t="shared" ref="X67:X68" si="45">U67*$M$40</f>
        <v>1388.7189375321591</v>
      </c>
      <c r="Y67" s="20">
        <f t="shared" ref="Y67" si="46">SUM(V67:X67)</f>
        <v>46304.248866686466</v>
      </c>
      <c r="Z67" s="12">
        <f>Y67/((1+Inputs!$B$3)^(Q67-Inputs!$B$5))</f>
        <v>7973.3829621234354</v>
      </c>
      <c r="AA67" s="12">
        <f>Y67/((1+Inputs!$B$4)^(Q67-Inputs!$B$5))</f>
        <v>21471.036057482859</v>
      </c>
      <c r="AC67" s="20">
        <f>Y67*Inputs!$B$46</f>
        <v>3704.3399093349176</v>
      </c>
      <c r="AD67" s="12">
        <f>AC67/((1+Inputs!$B$3)^(Q67-Inputs!$B$5))</f>
        <v>637.87063696987491</v>
      </c>
      <c r="AE67" s="12">
        <f>AC67/((1+Inputs!$B$4)^(Q67-Inputs!$B$5))</f>
        <v>1717.682884598629</v>
      </c>
    </row>
    <row r="68" spans="1:47" s="148" customFormat="1" ht="15" customHeight="1">
      <c r="A68" s="110">
        <f t="shared" si="25"/>
        <v>2047</v>
      </c>
      <c r="B68" s="46">
        <f t="shared" si="31"/>
        <v>16051.929441108898</v>
      </c>
      <c r="C68" s="45">
        <f t="shared" si="32"/>
        <v>1.8138680268453054E-4</v>
      </c>
      <c r="D68" s="45">
        <f t="shared" si="33"/>
        <v>1.3483620730531476E-2</v>
      </c>
      <c r="E68" s="45">
        <f t="shared" si="34"/>
        <v>3.1890531882367235E-2</v>
      </c>
      <c r="F68" s="20">
        <f t="shared" si="35"/>
        <v>1977.1161492613828</v>
      </c>
      <c r="G68" s="20">
        <f t="shared" si="36"/>
        <v>2664.3634563530195</v>
      </c>
      <c r="H68" s="20">
        <f t="shared" si="37"/>
        <v>143.50739347065254</v>
      </c>
      <c r="I68" s="638">
        <f>SUM(F68:H68)*(1-Inputs!$B$8)</f>
        <v>1993.7445829521059</v>
      </c>
      <c r="J68" s="12">
        <f>I68/((1+Inputs!$B$3)^(A68-Inputs!$B$5))</f>
        <v>320.8540480376854</v>
      </c>
      <c r="K68" s="12">
        <f>I68/((1+Inputs!$B$4)^(A68-Inputs!$B$5))</f>
        <v>897.56199123686565</v>
      </c>
      <c r="M68" s="638">
        <f>I68*Inputs!$B$46</f>
        <v>159.49956663616848</v>
      </c>
      <c r="N68" s="12">
        <f>M68/((1+Inputs!$B$3)^(A68-Inputs!$B$5))</f>
        <v>25.668323843014836</v>
      </c>
      <c r="O68" s="12">
        <f>M68/((1+Inputs!$B$4)^(A68-Inputs!$B$5))</f>
        <v>71.804959298949257</v>
      </c>
      <c r="Q68" s="110">
        <f t="shared" si="30"/>
        <v>2047</v>
      </c>
      <c r="R68" s="46">
        <f t="shared" si="39"/>
        <v>160519.29441108895</v>
      </c>
      <c r="S68" s="45">
        <f t="shared" si="40"/>
        <v>1.813868026845305E-3</v>
      </c>
      <c r="T68" s="45">
        <f t="shared" si="41"/>
        <v>0.13483620730531473</v>
      </c>
      <c r="U68" s="45">
        <f t="shared" si="42"/>
        <v>0.31890531882367229</v>
      </c>
      <c r="V68" s="20">
        <f t="shared" si="43"/>
        <v>19771.161492613825</v>
      </c>
      <c r="W68" s="20">
        <f t="shared" si="44"/>
        <v>26643.634563530191</v>
      </c>
      <c r="X68" s="20">
        <f t="shared" si="45"/>
        <v>1435.0739347065253</v>
      </c>
      <c r="Y68" s="638">
        <f>SUM(V68:X68)*(1-Inputs!$B$8)</f>
        <v>19937.445829521057</v>
      </c>
      <c r="Z68" s="12">
        <f>Y68/((1+Inputs!$B$3)^(Q68-Inputs!$B$5))</f>
        <v>3208.5404803768538</v>
      </c>
      <c r="AA68" s="12">
        <f>Y68/((1+Inputs!$B$4)^(Q68-Inputs!$B$5))</f>
        <v>8975.6199123686547</v>
      </c>
      <c r="AC68" s="638">
        <f>Y68*Inputs!$B$46</f>
        <v>1594.9956663616847</v>
      </c>
      <c r="AD68" s="12">
        <f>AC68/((1+Inputs!$B$3)^(Q68-Inputs!$B$5))</f>
        <v>256.68323843014832</v>
      </c>
      <c r="AE68" s="12">
        <f>AC68/((1+Inputs!$B$4)^(Q68-Inputs!$B$5))</f>
        <v>718.04959298949245</v>
      </c>
    </row>
    <row r="69" spans="1:47" s="86" customFormat="1" ht="15" customHeight="1">
      <c r="A69" s="155" t="s">
        <v>4</v>
      </c>
      <c r="B69" s="166">
        <f t="shared" ref="B69:K69" si="47">SUM(B48:B68)</f>
        <v>247569.73314241556</v>
      </c>
      <c r="C69" s="166">
        <f t="shared" si="47"/>
        <v>2.7975379845092954E-3</v>
      </c>
      <c r="D69" s="166">
        <f t="shared" si="47"/>
        <v>0.20795857583962915</v>
      </c>
      <c r="E69" s="166">
        <f t="shared" si="47"/>
        <v>0.49184931299710116</v>
      </c>
      <c r="F69" s="200">
        <f t="shared" si="47"/>
        <v>30493.164031151326</v>
      </c>
      <c r="G69" s="200">
        <f t="shared" si="47"/>
        <v>41092.614585910706</v>
      </c>
      <c r="H69" s="200">
        <f t="shared" si="47"/>
        <v>2213.3219084869547</v>
      </c>
      <c r="I69" s="200">
        <f t="shared" si="47"/>
        <v>69973.975691228683</v>
      </c>
      <c r="J69" s="200">
        <f t="shared" si="47"/>
        <v>22327.097862720129</v>
      </c>
      <c r="K69" s="200">
        <f t="shared" si="47"/>
        <v>41690.609113243525</v>
      </c>
      <c r="L69" s="148"/>
      <c r="M69" s="200">
        <f>SUM(M48:M68)</f>
        <v>5597.9180552982943</v>
      </c>
      <c r="N69" s="200">
        <f>SUM(N48:N68)</f>
        <v>1786.1678290176101</v>
      </c>
      <c r="O69" s="200">
        <f>SUM(O48:O68)</f>
        <v>3335.2487290594831</v>
      </c>
      <c r="Q69" s="155" t="s">
        <v>4</v>
      </c>
      <c r="R69" s="166">
        <f t="shared" ref="R69:AA69" si="48">SUM(R48:R68)</f>
        <v>2475697.3314241557</v>
      </c>
      <c r="S69" s="166">
        <f t="shared" si="48"/>
        <v>2.7975379845092959E-2</v>
      </c>
      <c r="T69" s="166">
        <f t="shared" si="48"/>
        <v>2.0795857583962909</v>
      </c>
      <c r="U69" s="166">
        <f t="shared" si="48"/>
        <v>4.9184931299710115</v>
      </c>
      <c r="V69" s="200">
        <f t="shared" si="48"/>
        <v>304931.64031151321</v>
      </c>
      <c r="W69" s="200">
        <f t="shared" si="48"/>
        <v>410926.14585910703</v>
      </c>
      <c r="X69" s="200">
        <f t="shared" si="48"/>
        <v>22133.21908486955</v>
      </c>
      <c r="Y69" s="200">
        <f t="shared" si="48"/>
        <v>699739.75691228709</v>
      </c>
      <c r="Z69" s="200">
        <f t="shared" si="48"/>
        <v>223270.97862720129</v>
      </c>
      <c r="AA69" s="200">
        <f t="shared" si="48"/>
        <v>416906.09113243537</v>
      </c>
      <c r="AC69" s="200">
        <f>SUM(AC48:AC68)</f>
        <v>55979.180552982951</v>
      </c>
      <c r="AD69" s="200">
        <f>SUM(AD48:AD68)</f>
        <v>17861.678290176107</v>
      </c>
      <c r="AE69" s="200">
        <f>SUM(AE48:AE68)</f>
        <v>33352.487290594821</v>
      </c>
    </row>
    <row r="70" spans="1:47">
      <c r="L70" s="148"/>
      <c r="M70" s="148"/>
      <c r="N70" s="148"/>
      <c r="O70" s="148"/>
      <c r="P70" s="148"/>
      <c r="Q70" s="148"/>
      <c r="R70" s="148"/>
      <c r="S70" s="148"/>
    </row>
    <row r="72" spans="1:47">
      <c r="A72" s="167" t="s">
        <v>69</v>
      </c>
      <c r="L72" s="206" t="s">
        <v>479</v>
      </c>
      <c r="M72" s="206"/>
      <c r="N72" s="206"/>
      <c r="O72" s="206"/>
      <c r="P72" s="206"/>
      <c r="Q72" s="206"/>
      <c r="R72" s="206"/>
      <c r="S72" s="206"/>
      <c r="Y72" s="167" t="s">
        <v>69</v>
      </c>
      <c r="AJ72" s="206" t="s">
        <v>479</v>
      </c>
      <c r="AK72" s="206"/>
      <c r="AL72" s="206"/>
      <c r="AM72" s="206"/>
      <c r="AN72" s="206"/>
      <c r="AO72" s="206"/>
      <c r="AP72" s="206"/>
      <c r="AQ72" s="206"/>
    </row>
    <row r="73" spans="1:47" ht="60">
      <c r="A73" s="190" t="s">
        <v>1</v>
      </c>
      <c r="B73" s="190" t="s">
        <v>95</v>
      </c>
      <c r="C73" s="190" t="s">
        <v>96</v>
      </c>
      <c r="D73" s="190" t="s">
        <v>0</v>
      </c>
      <c r="E73" s="190" t="s">
        <v>13</v>
      </c>
      <c r="F73" s="190" t="s">
        <v>14</v>
      </c>
      <c r="H73" s="343" t="s">
        <v>747</v>
      </c>
      <c r="I73" s="343" t="s">
        <v>13</v>
      </c>
      <c r="J73" s="343" t="s">
        <v>14</v>
      </c>
      <c r="L73" s="205" t="s">
        <v>1</v>
      </c>
      <c r="M73" s="205" t="s">
        <v>265</v>
      </c>
      <c r="N73" s="205" t="s">
        <v>396</v>
      </c>
      <c r="O73" s="205" t="s">
        <v>405</v>
      </c>
      <c r="P73" s="205" t="s">
        <v>406</v>
      </c>
      <c r="Q73" s="205" t="s">
        <v>0</v>
      </c>
      <c r="R73" s="205" t="s">
        <v>13</v>
      </c>
      <c r="S73" s="205" t="s">
        <v>14</v>
      </c>
      <c r="U73" s="343" t="s">
        <v>747</v>
      </c>
      <c r="V73" s="343" t="s">
        <v>13</v>
      </c>
      <c r="W73" s="343" t="s">
        <v>14</v>
      </c>
      <c r="Y73" s="193" t="s">
        <v>1</v>
      </c>
      <c r="Z73" s="193" t="s">
        <v>95</v>
      </c>
      <c r="AA73" s="193" t="s">
        <v>96</v>
      </c>
      <c r="AB73" s="193" t="s">
        <v>0</v>
      </c>
      <c r="AC73" s="193" t="s">
        <v>13</v>
      </c>
      <c r="AD73" s="193" t="s">
        <v>14</v>
      </c>
      <c r="AF73" s="346" t="s">
        <v>747</v>
      </c>
      <c r="AG73" s="346" t="s">
        <v>13</v>
      </c>
      <c r="AH73" s="346" t="s">
        <v>14</v>
      </c>
      <c r="AJ73" s="204" t="s">
        <v>1</v>
      </c>
      <c r="AK73" s="204" t="s">
        <v>265</v>
      </c>
      <c r="AL73" s="204" t="s">
        <v>396</v>
      </c>
      <c r="AM73" s="204" t="s">
        <v>405</v>
      </c>
      <c r="AN73" s="204" t="s">
        <v>406</v>
      </c>
      <c r="AO73" s="204" t="s">
        <v>0</v>
      </c>
      <c r="AP73" s="204" t="s">
        <v>13</v>
      </c>
      <c r="AQ73" s="204" t="s">
        <v>14</v>
      </c>
      <c r="AS73" s="346" t="s">
        <v>747</v>
      </c>
      <c r="AT73" s="346" t="s">
        <v>13</v>
      </c>
      <c r="AU73" s="346" t="s">
        <v>14</v>
      </c>
    </row>
    <row r="74" spans="1:47">
      <c r="A74" s="110">
        <f>Inputs!$B$7</f>
        <v>2027</v>
      </c>
      <c r="B74" s="20">
        <f t="shared" ref="B74:B92" si="49">(F12)*$C$7</f>
        <v>5228.4494147637815</v>
      </c>
      <c r="C74" s="20">
        <f t="shared" ref="C74:C92" si="50">(G12)*$C$8</f>
        <v>468.44249409771521</v>
      </c>
      <c r="D74" s="638">
        <f>SUM(B74:C74)*Inputs!$B$8</f>
        <v>3323.1869468358732</v>
      </c>
      <c r="E74" s="12">
        <f>D74/((1+Inputs!$B$3)^(A74-Inputs!$B$5))</f>
        <v>2069.5138133762825</v>
      </c>
      <c r="F74" s="12">
        <f>D74/((1+Inputs!$B$4)^(A74-Inputs!$B$5))</f>
        <v>2702.0550970792856</v>
      </c>
      <c r="H74" s="638">
        <f>C74*Inputs!$B$8</f>
        <v>273.25812155700055</v>
      </c>
      <c r="I74" s="12">
        <f>H74/((1+Inputs!$B$3)^(A74-Inputs!$B$5))</f>
        <v>170.17142466749033</v>
      </c>
      <c r="J74" s="12">
        <f>H74/((1+Inputs!$B$4)^(A74-Inputs!$B$5))</f>
        <v>222.18385904362745</v>
      </c>
      <c r="L74" s="110">
        <f>Inputs!$B$7</f>
        <v>2027</v>
      </c>
      <c r="M74" s="46">
        <f>'I-87 Detour Data'!N180</f>
        <v>1705516.4853891411</v>
      </c>
      <c r="N74" s="168">
        <f t="shared" ref="N74:N92" si="51">M74*$D$5</f>
        <v>3411.0329707782826</v>
      </c>
      <c r="O74" s="20">
        <f>(N74)*$C$7*(1-Inputs!$B$46)*Inputs!$B$12</f>
        <v>93808.727907837179</v>
      </c>
      <c r="P74" s="20">
        <f>(N74*Inputs!$B$46)*$C$8</f>
        <v>8404.7852399976873</v>
      </c>
      <c r="Q74" s="638">
        <f>SUM(O74:P74)*Inputs!$B$8</f>
        <v>59624.549336237011</v>
      </c>
      <c r="R74" s="12">
        <f>Q74/((1+Inputs!$B$3)^(L74-Inputs!$B$5))</f>
        <v>37131.172709126666</v>
      </c>
      <c r="S74" s="12">
        <f>Q74/((1+Inputs!$B$4)^(L74-Inputs!$B$5))</f>
        <v>48480.214932967312</v>
      </c>
      <c r="U74" s="638">
        <f>P74*Inputs!$B$8</f>
        <v>4902.7913899986515</v>
      </c>
      <c r="V74" s="12">
        <f>U74/((1+Inputs!$B$3)^(L74-Inputs!$B$5))</f>
        <v>3053.2120726356561</v>
      </c>
      <c r="W74" s="12">
        <f>U74/((1+Inputs!$B$4)^(L74-Inputs!$B$5))</f>
        <v>3986.4180610951857</v>
      </c>
      <c r="Y74" s="110">
        <f>Inputs!$B$7</f>
        <v>2027</v>
      </c>
      <c r="Z74" s="20">
        <f t="shared" ref="Z74:Z92" si="52">(N12)*$C$7</f>
        <v>52284.494147637823</v>
      </c>
      <c r="AA74" s="20">
        <f t="shared" ref="AA74:AA92" si="53">(O12)*$C$8</f>
        <v>4684.4249409771519</v>
      </c>
      <c r="AB74" s="638">
        <f>SUM(Z74:AA74)*Inputs!$B$8</f>
        <v>33231.869468358738</v>
      </c>
      <c r="AC74" s="12">
        <f>AB74/((1+Inputs!$B$3)^(Y74-Inputs!$B$5))</f>
        <v>20695.13813376283</v>
      </c>
      <c r="AD74" s="12">
        <f>AB74/((1+Inputs!$B$4)^(Y74-Inputs!$B$5))</f>
        <v>27020.550970792861</v>
      </c>
      <c r="AF74" s="638">
        <f>AA74*Inputs!$B$8</f>
        <v>2732.5812155700055</v>
      </c>
      <c r="AG74" s="12">
        <f>AF74/((1+Inputs!$B$3)^(Y74-Inputs!$B$5))</f>
        <v>1701.7142466749031</v>
      </c>
      <c r="AH74" s="12">
        <f>AF74/((1+Inputs!$B$4)^(Y74-Inputs!$B$5))</f>
        <v>2221.8385904362744</v>
      </c>
      <c r="AJ74" s="110">
        <f>Y74</f>
        <v>2027</v>
      </c>
      <c r="AK74" s="46">
        <f>'I-87 Detour Data'!N256</f>
        <v>1705516.4853891411</v>
      </c>
      <c r="AL74" s="168">
        <f>AK74*$D$6</f>
        <v>34110.329707782825</v>
      </c>
      <c r="AM74" s="20">
        <f>(AL74)*$C$7*(1-Inputs!$B$46)*Inputs!$B$12</f>
        <v>938087.27907837194</v>
      </c>
      <c r="AN74" s="20">
        <f>(AL74*Inputs!$B$46)*$C$8</f>
        <v>84047.85239997688</v>
      </c>
      <c r="AO74" s="638">
        <f>SUM(AM74:AN74)*Inputs!$B$8</f>
        <v>596245.49336237018</v>
      </c>
      <c r="AP74" s="12">
        <f>AO74/((1+Inputs!$B$3)^(AJ74-Inputs!$B$5))</f>
        <v>371311.72709126672</v>
      </c>
      <c r="AQ74" s="12">
        <f>AO74/((1+Inputs!$B$4)^(AJ74-Inputs!$B$5))</f>
        <v>484802.14932967315</v>
      </c>
      <c r="AS74" s="638">
        <f>AN74*Inputs!$B$8</f>
        <v>49027.913899986517</v>
      </c>
      <c r="AT74" s="12">
        <f>AS74/((1+Inputs!$B$3)^(AJ74-Inputs!$B$5))</f>
        <v>30532.120726356559</v>
      </c>
      <c r="AU74" s="12">
        <f>AS74/((1+Inputs!$B$4)^(AJ74-Inputs!$B$5))</f>
        <v>39864.180610951858</v>
      </c>
    </row>
    <row r="75" spans="1:47">
      <c r="A75" s="109">
        <f>A13</f>
        <v>2028</v>
      </c>
      <c r="B75" s="20">
        <f t="shared" si="49"/>
        <v>5402.9733960370495</v>
      </c>
      <c r="C75" s="20">
        <f t="shared" si="50"/>
        <v>484.07895580597221</v>
      </c>
      <c r="D75" s="20">
        <f>SUM(B75:C75)</f>
        <v>5887.0523518430218</v>
      </c>
      <c r="E75" s="12">
        <f>D75/((1+Inputs!$B$3)^(A75-Inputs!$B$5))</f>
        <v>3426.3180678236608</v>
      </c>
      <c r="F75" s="12">
        <f>D75/((1+Inputs!$B$4)^(A75-Inputs!$B$5))</f>
        <v>4647.2934894344544</v>
      </c>
      <c r="H75" s="20">
        <f t="shared" ref="H75:H92" si="54">C75</f>
        <v>484.07895580597221</v>
      </c>
      <c r="I75" s="12">
        <f>H75/((1+Inputs!$B$3)^(A75-Inputs!$B$5))</f>
        <v>281.73835960741269</v>
      </c>
      <c r="J75" s="12">
        <f>H75/((1+Inputs!$B$4)^(A75-Inputs!$B$5))</f>
        <v>382.13639785028209</v>
      </c>
      <c r="L75" s="110">
        <f>A75</f>
        <v>2028</v>
      </c>
      <c r="M75" s="46">
        <f>'I-87 Detour Data'!N181</f>
        <v>1762446.0841181271</v>
      </c>
      <c r="N75" s="168">
        <f t="shared" si="51"/>
        <v>3524.8921682362543</v>
      </c>
      <c r="O75" s="20">
        <f>(N75)*$C$7*(1-Inputs!$B$46)*Inputs!$B$12</f>
        <v>96940.033458279431</v>
      </c>
      <c r="P75" s="20">
        <f>(N75*Inputs!$B$46)*$C$8</f>
        <v>8685.334302534131</v>
      </c>
      <c r="Q75" s="20">
        <f>SUM(O75:P75)</f>
        <v>105625.36776081356</v>
      </c>
      <c r="R75" s="12">
        <f>Q75/((1+Inputs!$B$3)^(L75-Inputs!$B$5))</f>
        <v>61474.925709823983</v>
      </c>
      <c r="S75" s="12">
        <f>Q75/((1+Inputs!$B$4)^(L75-Inputs!$B$5))</f>
        <v>83381.640688191706</v>
      </c>
      <c r="U75" s="20">
        <f t="shared" ref="U75:U92" si="55">P75</f>
        <v>8685.334302534131</v>
      </c>
      <c r="V75" s="12">
        <f>U75/((1+Inputs!$B$3)^(L75-Inputs!$B$5))</f>
        <v>5054.9436402659021</v>
      </c>
      <c r="W75" s="12">
        <f>U75/((1+Inputs!$B$4)^(L75-Inputs!$B$5))</f>
        <v>6856.2831015240299</v>
      </c>
      <c r="Y75" s="110">
        <f t="shared" ref="Y75:Y95" si="56">A75</f>
        <v>2028</v>
      </c>
      <c r="Z75" s="20">
        <f t="shared" si="52"/>
        <v>54029.733960370497</v>
      </c>
      <c r="AA75" s="20">
        <f t="shared" si="53"/>
        <v>4840.7895580597224</v>
      </c>
      <c r="AB75" s="20">
        <f t="shared" ref="AB75:AB92" si="57">SUM(Z75:AA75)</f>
        <v>58870.523518430222</v>
      </c>
      <c r="AC75" s="12">
        <f>AB75/((1+Inputs!$B$3)^(Y75-Inputs!$B$5))</f>
        <v>34263.180678236611</v>
      </c>
      <c r="AD75" s="12">
        <f>AB75/((1+Inputs!$B$4)^(Y75-Inputs!$B$5))</f>
        <v>46472.934894344551</v>
      </c>
      <c r="AF75" s="20">
        <f t="shared" ref="AF75:AF92" si="58">AA75</f>
        <v>4840.7895580597224</v>
      </c>
      <c r="AG75" s="12">
        <f>AF75/((1+Inputs!$B$3)^(Y75-Inputs!$B$5))</f>
        <v>2817.3835960741271</v>
      </c>
      <c r="AH75" s="12">
        <f>AF75/((1+Inputs!$B$4)^(Y75-Inputs!$B$5))</f>
        <v>3821.3639785028208</v>
      </c>
      <c r="AJ75" s="110">
        <f>Y75</f>
        <v>2028</v>
      </c>
      <c r="AK75" s="46">
        <f>'I-87 Detour Data'!N257</f>
        <v>1762446.0841181271</v>
      </c>
      <c r="AL75" s="168">
        <f t="shared" ref="AL75:AL92" si="59">AK75*$D$6</f>
        <v>35248.921682362547</v>
      </c>
      <c r="AM75" s="20">
        <f>(AL75)*$C$7*(1-Inputs!$B$46)*Inputs!$B$12</f>
        <v>969400.33458279457</v>
      </c>
      <c r="AN75" s="20">
        <f>(AL75*Inputs!$B$46)*$C$8</f>
        <v>86853.343025341324</v>
      </c>
      <c r="AO75" s="20">
        <f>SUM(AM75:AN75)</f>
        <v>1056253.6776081359</v>
      </c>
      <c r="AP75" s="12">
        <f>AO75/((1+Inputs!$B$3)^(AJ75-Inputs!$B$5))</f>
        <v>614749.25709823996</v>
      </c>
      <c r="AQ75" s="12">
        <f>AO75/((1+Inputs!$B$4)^(AJ75-Inputs!$B$5))</f>
        <v>833816.40688191727</v>
      </c>
      <c r="AS75" s="20">
        <f t="shared" ref="AS75:AS92" si="60">AN75</f>
        <v>86853.343025341324</v>
      </c>
      <c r="AT75" s="12">
        <f>AS75/((1+Inputs!$B$3)^(AJ75-Inputs!$B$5))</f>
        <v>50549.436402659034</v>
      </c>
      <c r="AU75" s="12">
        <f>AS75/((1+Inputs!$B$4)^(AJ75-Inputs!$B$5))</f>
        <v>68562.831015240314</v>
      </c>
    </row>
    <row r="76" spans="1:47">
      <c r="A76" s="109">
        <f>A14</f>
        <v>2029</v>
      </c>
      <c r="B76" s="20">
        <f t="shared" si="49"/>
        <v>5583.3229323885525</v>
      </c>
      <c r="C76" s="20">
        <f t="shared" si="50"/>
        <v>500.23735764099911</v>
      </c>
      <c r="D76" s="20">
        <f>SUM(B76:C76)</f>
        <v>6083.5602900295517</v>
      </c>
      <c r="E76" s="12">
        <f>D76/((1+Inputs!$B$3)^(A76-Inputs!$B$5))</f>
        <v>3309.0537167920788</v>
      </c>
      <c r="F76" s="12">
        <f>D76/((1+Inputs!$B$4)^(A76-Inputs!$B$5))</f>
        <v>4662.5423984998961</v>
      </c>
      <c r="H76" s="20">
        <f t="shared" si="54"/>
        <v>500.23735764099911</v>
      </c>
      <c r="I76" s="12">
        <f>H76/((1+Inputs!$B$3)^(A76-Inputs!$B$5))</f>
        <v>272.09597812207357</v>
      </c>
      <c r="J76" s="12">
        <f>H76/((1+Inputs!$B$4)^(A76-Inputs!$B$5))</f>
        <v>383.39028103942479</v>
      </c>
      <c r="L76" s="110">
        <f t="shared" ref="L76:L94" si="61">L75+1</f>
        <v>2029</v>
      </c>
      <c r="M76" s="46">
        <f>'I-87 Detour Data'!N182</f>
        <v>1821275.9747758096</v>
      </c>
      <c r="N76" s="168">
        <f t="shared" si="51"/>
        <v>3642.5519495516191</v>
      </c>
      <c r="O76" s="20">
        <f>(N76)*$C$7*(1-Inputs!$B$46)*Inputs!$B$12</f>
        <v>100175.86099371081</v>
      </c>
      <c r="P76" s="20">
        <f>(N76*Inputs!$B$46)*$C$8</f>
        <v>8975.2480036951893</v>
      </c>
      <c r="Q76" s="20">
        <f t="shared" ref="Q76:Q92" si="62">SUM(O76:P76)</f>
        <v>109151.108997406</v>
      </c>
      <c r="R76" s="12">
        <f>Q76/((1+Inputs!$B$3)^(L76-Inputs!$B$5))</f>
        <v>59370.97122416932</v>
      </c>
      <c r="S76" s="12">
        <f>Q76/((1+Inputs!$B$4)^(L76-Inputs!$B$5))</f>
        <v>83655.236289474968</v>
      </c>
      <c r="U76" s="20">
        <f t="shared" si="55"/>
        <v>8975.2480036951893</v>
      </c>
      <c r="V76" s="12">
        <f>U76/((1+Inputs!$B$3)^(L76-Inputs!$B$5))</f>
        <v>4881.9402372708273</v>
      </c>
      <c r="W76" s="12">
        <f>U76/((1+Inputs!$B$4)^(L76-Inputs!$B$5))</f>
        <v>6878.7802469657281</v>
      </c>
      <c r="Y76" s="110">
        <f t="shared" si="56"/>
        <v>2029</v>
      </c>
      <c r="Z76" s="20">
        <f t="shared" si="52"/>
        <v>55833.229323885527</v>
      </c>
      <c r="AA76" s="20">
        <f t="shared" si="53"/>
        <v>5002.3735764099911</v>
      </c>
      <c r="AB76" s="20">
        <f t="shared" si="57"/>
        <v>60835.602900295518</v>
      </c>
      <c r="AC76" s="12">
        <f>AB76/((1+Inputs!$B$3)^(Y76-Inputs!$B$5))</f>
        <v>33090.537167920789</v>
      </c>
      <c r="AD76" s="12">
        <f>AB76/((1+Inputs!$B$4)^(Y76-Inputs!$B$5))</f>
        <v>46625.423984998968</v>
      </c>
      <c r="AF76" s="20">
        <f t="shared" si="58"/>
        <v>5002.3735764099911</v>
      </c>
      <c r="AG76" s="12">
        <f>AF76/((1+Inputs!$B$3)^(Y76-Inputs!$B$5))</f>
        <v>2720.9597812207357</v>
      </c>
      <c r="AH76" s="12">
        <f>AF76/((1+Inputs!$B$4)^(Y76-Inputs!$B$5))</f>
        <v>3833.9028103942478</v>
      </c>
      <c r="AJ76" s="110">
        <f t="shared" ref="AJ76:AJ94" si="63">AJ75+1</f>
        <v>2029</v>
      </c>
      <c r="AK76" s="46">
        <f>'I-87 Detour Data'!N258</f>
        <v>1821275.9747758096</v>
      </c>
      <c r="AL76" s="168">
        <f t="shared" si="59"/>
        <v>36425.519495516193</v>
      </c>
      <c r="AM76" s="20">
        <f>(AL76)*$C$7*(1-Inputs!$B$46)*Inputs!$B$12</f>
        <v>1001758.6099371082</v>
      </c>
      <c r="AN76" s="20">
        <f>(AL76*Inputs!$B$46)*$C$8</f>
        <v>89752.480036951907</v>
      </c>
      <c r="AO76" s="20">
        <f t="shared" ref="AO76:AO92" si="64">SUM(AM76:AN76)</f>
        <v>1091511.0899740602</v>
      </c>
      <c r="AP76" s="12">
        <f>AO76/((1+Inputs!$B$3)^(AJ76-Inputs!$B$5))</f>
        <v>593709.71224169328</v>
      </c>
      <c r="AQ76" s="12">
        <f>AO76/((1+Inputs!$B$4)^(AJ76-Inputs!$B$5))</f>
        <v>836552.36289474985</v>
      </c>
      <c r="AS76" s="20">
        <f t="shared" si="60"/>
        <v>89752.480036951907</v>
      </c>
      <c r="AT76" s="12">
        <f>AS76/((1+Inputs!$B$3)^(AJ76-Inputs!$B$5))</f>
        <v>48819.402372708282</v>
      </c>
      <c r="AU76" s="12">
        <f>AS76/((1+Inputs!$B$4)^(AJ76-Inputs!$B$5))</f>
        <v>68787.802469657283</v>
      </c>
    </row>
    <row r="77" spans="1:47">
      <c r="A77" s="109">
        <f t="shared" ref="A77:A94" si="65">A76+1</f>
        <v>2030</v>
      </c>
      <c r="B77" s="20">
        <f t="shared" si="49"/>
        <v>5769.6924789970117</v>
      </c>
      <c r="C77" s="20">
        <f t="shared" si="50"/>
        <v>516.93512179849586</v>
      </c>
      <c r="D77" s="20">
        <f t="shared" ref="D77:D92" si="66">SUM(B77:C77)</f>
        <v>6286.6276007955075</v>
      </c>
      <c r="E77" s="12">
        <f>D77/((1+Inputs!$B$3)^(A77-Inputs!$B$5))</f>
        <v>3195.8026907789754</v>
      </c>
      <c r="F77" s="12">
        <f>D77/((1+Inputs!$B$4)^(A77-Inputs!$B$5))</f>
        <v>4677.8413429737357</v>
      </c>
      <c r="H77" s="20">
        <f t="shared" si="54"/>
        <v>516.93512179849586</v>
      </c>
      <c r="I77" s="12">
        <f>H77/((1+Inputs!$B$3)^(A77-Inputs!$B$5))</f>
        <v>262.78360324583952</v>
      </c>
      <c r="J77" s="12">
        <f>H77/((1+Inputs!$B$4)^(A77-Inputs!$B$5))</f>
        <v>384.64827852665826</v>
      </c>
      <c r="L77" s="110">
        <f t="shared" si="61"/>
        <v>2030</v>
      </c>
      <c r="M77" s="46">
        <f>'I-87 Detour Data'!N183</f>
        <v>1882069.5885033677</v>
      </c>
      <c r="N77" s="168">
        <f t="shared" si="51"/>
        <v>3764.1391770067357</v>
      </c>
      <c r="O77" s="20">
        <f>(N77)*$C$7*(1-Inputs!$B$46)*Inputs!$B$12</f>
        <v>103519.69942480135</v>
      </c>
      <c r="P77" s="20">
        <f>(N77*Inputs!$B$46)*$C$8</f>
        <v>9274.8389321445975</v>
      </c>
      <c r="Q77" s="20">
        <f t="shared" si="62"/>
        <v>112794.53835694595</v>
      </c>
      <c r="R77" s="12">
        <f>Q77/((1+Inputs!$B$3)^(L77-Inputs!$B$5))</f>
        <v>57339.023730415749</v>
      </c>
      <c r="S77" s="12">
        <f>Q77/((1+Inputs!$B$4)^(L77-Inputs!$B$5))</f>
        <v>83929.729624988744</v>
      </c>
      <c r="U77" s="20">
        <f t="shared" si="55"/>
        <v>9274.8389321445975</v>
      </c>
      <c r="V77" s="12">
        <f>U77/((1+Inputs!$B$3)^(L77-Inputs!$B$5))</f>
        <v>4714.8578058192279</v>
      </c>
      <c r="W77" s="12">
        <f>U77/((1+Inputs!$B$4)^(L77-Inputs!$B$5))</f>
        <v>6901.3512110560359</v>
      </c>
      <c r="Y77" s="110">
        <f t="shared" si="56"/>
        <v>2030</v>
      </c>
      <c r="Z77" s="20">
        <f t="shared" si="52"/>
        <v>57696.924789970129</v>
      </c>
      <c r="AA77" s="20">
        <f t="shared" si="53"/>
        <v>5169.3512179849586</v>
      </c>
      <c r="AB77" s="20">
        <f t="shared" si="57"/>
        <v>62866.276007955086</v>
      </c>
      <c r="AC77" s="12">
        <f>AB77/((1+Inputs!$B$3)^(Y77-Inputs!$B$5))</f>
        <v>31958.026907789761</v>
      </c>
      <c r="AD77" s="12">
        <f>AB77/((1+Inputs!$B$4)^(Y77-Inputs!$B$5))</f>
        <v>46778.413429737368</v>
      </c>
      <c r="AF77" s="20">
        <f t="shared" si="58"/>
        <v>5169.3512179849586</v>
      </c>
      <c r="AG77" s="12">
        <f>AF77/((1+Inputs!$B$3)^(Y77-Inputs!$B$5))</f>
        <v>2627.836032458395</v>
      </c>
      <c r="AH77" s="12">
        <f>AF77/((1+Inputs!$B$4)^(Y77-Inputs!$B$5))</f>
        <v>3846.4827852665826</v>
      </c>
      <c r="AJ77" s="110">
        <f t="shared" si="63"/>
        <v>2030</v>
      </c>
      <c r="AK77" s="46">
        <f>'I-87 Detour Data'!N259</f>
        <v>1882069.5885033677</v>
      </c>
      <c r="AL77" s="168">
        <f t="shared" si="59"/>
        <v>37641.391770067356</v>
      </c>
      <c r="AM77" s="20">
        <f>(AL77)*$C$7*(1-Inputs!$B$46)*Inputs!$B$12</f>
        <v>1035196.9942480134</v>
      </c>
      <c r="AN77" s="20">
        <f>(AL77*Inputs!$B$46)*$C$8</f>
        <v>92748.389321445968</v>
      </c>
      <c r="AO77" s="20">
        <f t="shared" si="64"/>
        <v>1127945.3835694594</v>
      </c>
      <c r="AP77" s="12">
        <f>AO77/((1+Inputs!$B$3)^(AJ77-Inputs!$B$5))</f>
        <v>573390.23730415746</v>
      </c>
      <c r="AQ77" s="12">
        <f>AO77/((1+Inputs!$B$4)^(AJ77-Inputs!$B$5))</f>
        <v>839297.29624988744</v>
      </c>
      <c r="AS77" s="20">
        <f t="shared" si="60"/>
        <v>92748.389321445968</v>
      </c>
      <c r="AT77" s="12">
        <f>AS77/((1+Inputs!$B$3)^(AJ77-Inputs!$B$5))</f>
        <v>47148.578058192274</v>
      </c>
      <c r="AU77" s="12">
        <f>AS77/((1+Inputs!$B$4)^(AJ77-Inputs!$B$5))</f>
        <v>69013.512110560347</v>
      </c>
    </row>
    <row r="78" spans="1:47">
      <c r="A78" s="109">
        <f t="shared" si="65"/>
        <v>2031</v>
      </c>
      <c r="B78" s="20">
        <f t="shared" si="49"/>
        <v>5962.2829818932669</v>
      </c>
      <c r="C78" s="20">
        <f t="shared" si="50"/>
        <v>534.19025202152204</v>
      </c>
      <c r="D78" s="20">
        <f t="shared" si="66"/>
        <v>6496.4732339147886</v>
      </c>
      <c r="E78" s="12">
        <f>D78/((1+Inputs!$B$3)^(A78-Inputs!$B$5))</f>
        <v>3086.4276353576852</v>
      </c>
      <c r="F78" s="12">
        <f>D78/((1+Inputs!$B$4)^(A78-Inputs!$B$5))</f>
        <v>4693.1904870344115</v>
      </c>
      <c r="H78" s="20">
        <f t="shared" si="54"/>
        <v>534.19025202152204</v>
      </c>
      <c r="I78" s="12">
        <f>H78/((1+Inputs!$B$3)^(A78-Inputs!$B$5))</f>
        <v>253.78994063589457</v>
      </c>
      <c r="J78" s="12">
        <f>H78/((1+Inputs!$B$4)^(A78-Inputs!$B$5))</f>
        <v>385.91040381200253</v>
      </c>
      <c r="L78" s="110">
        <f t="shared" si="61"/>
        <v>2031</v>
      </c>
      <c r="M78" s="46">
        <f>'I-87 Detour Data'!N184</f>
        <v>1944892.4737533317</v>
      </c>
      <c r="N78" s="168">
        <f t="shared" si="51"/>
        <v>3889.7849475066637</v>
      </c>
      <c r="O78" s="20">
        <f>(N78)*$C$7*(1-Inputs!$B$46)*Inputs!$B$12</f>
        <v>106975.15412095137</v>
      </c>
      <c r="P78" s="20">
        <f>(N78*Inputs!$B$46)*$C$8</f>
        <v>9584.4301106564199</v>
      </c>
      <c r="Q78" s="20">
        <f t="shared" si="62"/>
        <v>116559.58423160779</v>
      </c>
      <c r="R78" s="12">
        <f>Q78/((1+Inputs!$B$3)^(L78-Inputs!$B$5))</f>
        <v>55376.618818368996</v>
      </c>
      <c r="S78" s="12">
        <f>Q78/((1+Inputs!$B$4)^(L78-Inputs!$B$5))</f>
        <v>84205.123640419057</v>
      </c>
      <c r="U78" s="20">
        <f t="shared" si="55"/>
        <v>9584.4301106564199</v>
      </c>
      <c r="V78" s="12">
        <f>U78/((1+Inputs!$B$3)^(L78-Inputs!$B$5))</f>
        <v>4553.4937030531455</v>
      </c>
      <c r="W78" s="12">
        <f>U78/((1+Inputs!$B$4)^(L78-Inputs!$B$5))</f>
        <v>6923.9962360120271</v>
      </c>
      <c r="Y78" s="110">
        <f t="shared" si="56"/>
        <v>2031</v>
      </c>
      <c r="Z78" s="20">
        <f t="shared" si="52"/>
        <v>59622.82981893266</v>
      </c>
      <c r="AA78" s="20">
        <f t="shared" si="53"/>
        <v>5341.9025202152206</v>
      </c>
      <c r="AB78" s="20">
        <f t="shared" si="57"/>
        <v>64964.732339147879</v>
      </c>
      <c r="AC78" s="12">
        <f>AB78/((1+Inputs!$B$3)^(Y78-Inputs!$B$5))</f>
        <v>30864.27635357685</v>
      </c>
      <c r="AD78" s="12">
        <f>AB78/((1+Inputs!$B$4)^(Y78-Inputs!$B$5))</f>
        <v>46931.904870344108</v>
      </c>
      <c r="AF78" s="20">
        <f t="shared" si="58"/>
        <v>5341.9025202152206</v>
      </c>
      <c r="AG78" s="12">
        <f>AF78/((1+Inputs!$B$3)^(Y78-Inputs!$B$5))</f>
        <v>2537.8994063589457</v>
      </c>
      <c r="AH78" s="12">
        <f>AF78/((1+Inputs!$B$4)^(Y78-Inputs!$B$5))</f>
        <v>3859.1040381200255</v>
      </c>
      <c r="AJ78" s="110">
        <f t="shared" si="63"/>
        <v>2031</v>
      </c>
      <c r="AK78" s="46">
        <f>'I-87 Detour Data'!N260</f>
        <v>1944892.4737533317</v>
      </c>
      <c r="AL78" s="168">
        <f t="shared" si="59"/>
        <v>38897.849475066636</v>
      </c>
      <c r="AM78" s="20">
        <f>(AL78)*$C$7*(1-Inputs!$B$46)*Inputs!$B$12</f>
        <v>1069751.5412095136</v>
      </c>
      <c r="AN78" s="20">
        <f>(AL78*Inputs!$B$46)*$C$8</f>
        <v>95844.301106564191</v>
      </c>
      <c r="AO78" s="20">
        <f t="shared" si="64"/>
        <v>1165595.8423160778</v>
      </c>
      <c r="AP78" s="12">
        <f>AO78/((1+Inputs!$B$3)^(AJ78-Inputs!$B$5))</f>
        <v>553766.18818368996</v>
      </c>
      <c r="AQ78" s="12">
        <f>AO78/((1+Inputs!$B$4)^(AJ78-Inputs!$B$5))</f>
        <v>842051.23640419054</v>
      </c>
      <c r="AS78" s="20">
        <f t="shared" si="60"/>
        <v>95844.301106564191</v>
      </c>
      <c r="AT78" s="12">
        <f>AS78/((1+Inputs!$B$3)^(AJ78-Inputs!$B$5))</f>
        <v>45534.937030531451</v>
      </c>
      <c r="AU78" s="12">
        <f>AS78/((1+Inputs!$B$4)^(AJ78-Inputs!$B$5))</f>
        <v>69239.962360120262</v>
      </c>
    </row>
    <row r="79" spans="1:47">
      <c r="A79" s="109">
        <f t="shared" si="65"/>
        <v>2032</v>
      </c>
      <c r="B79" s="20">
        <f t="shared" si="49"/>
        <v>6161.3020946228644</v>
      </c>
      <c r="C79" s="20">
        <f t="shared" si="50"/>
        <v>552.02135301236513</v>
      </c>
      <c r="D79" s="20">
        <f t="shared" si="66"/>
        <v>6713.32344763523</v>
      </c>
      <c r="E79" s="12">
        <f>D79/((1+Inputs!$B$3)^(A79-Inputs!$B$5))</f>
        <v>2980.795897001286</v>
      </c>
      <c r="F79" s="12">
        <f>D79/((1+Inputs!$B$4)^(A79-Inputs!$B$5))</f>
        <v>4708.5899953990756</v>
      </c>
      <c r="H79" s="20">
        <f t="shared" si="54"/>
        <v>552.02135301236513</v>
      </c>
      <c r="I79" s="12">
        <f>H79/((1+Inputs!$B$3)^(A79-Inputs!$B$5))</f>
        <v>245.1040824937418</v>
      </c>
      <c r="J79" s="12">
        <f>H79/((1+Inputs!$B$4)^(A79-Inputs!$B$5))</f>
        <v>387.17667043977565</v>
      </c>
      <c r="L79" s="110">
        <f t="shared" si="61"/>
        <v>2032</v>
      </c>
      <c r="M79" s="46">
        <f>'I-87 Detour Data'!N185</f>
        <v>2009812.3669647654</v>
      </c>
      <c r="N79" s="168">
        <f t="shared" si="51"/>
        <v>4019.624733929531</v>
      </c>
      <c r="O79" s="20">
        <f>(N79)*$C$7*(1-Inputs!$B$46)*Inputs!$B$12</f>
        <v>110545.950797647</v>
      </c>
      <c r="P79" s="20">
        <f>(N79*Inputs!$B$46)*$C$8</f>
        <v>9904.3553444023655</v>
      </c>
      <c r="Q79" s="20">
        <f t="shared" si="62"/>
        <v>120450.30614204938</v>
      </c>
      <c r="R79" s="12">
        <f>Q79/((1+Inputs!$B$3)^(L79-Inputs!$B$5))</f>
        <v>53481.376421277717</v>
      </c>
      <c r="S79" s="12">
        <f>Q79/((1+Inputs!$B$4)^(L79-Inputs!$B$5))</f>
        <v>84481.421291117542</v>
      </c>
      <c r="U79" s="20">
        <f t="shared" si="55"/>
        <v>9904.3553444023655</v>
      </c>
      <c r="V79" s="12">
        <f>U79/((1+Inputs!$B$3)^(L79-Inputs!$B$5))</f>
        <v>4397.6522214845418</v>
      </c>
      <c r="W79" s="12">
        <f>U79/((1+Inputs!$B$4)^(L79-Inputs!$B$5))</f>
        <v>6946.7155648455646</v>
      </c>
      <c r="Y79" s="110">
        <f t="shared" si="56"/>
        <v>2032</v>
      </c>
      <c r="Z79" s="20">
        <f t="shared" si="52"/>
        <v>61613.020946228644</v>
      </c>
      <c r="AA79" s="20">
        <f t="shared" si="53"/>
        <v>5520.2135301236513</v>
      </c>
      <c r="AB79" s="20">
        <f t="shared" si="57"/>
        <v>67133.2344763523</v>
      </c>
      <c r="AC79" s="12">
        <f>AB79/((1+Inputs!$B$3)^(Y79-Inputs!$B$5))</f>
        <v>29807.958970012864</v>
      </c>
      <c r="AD79" s="12">
        <f>AB79/((1+Inputs!$B$4)^(Y79-Inputs!$B$5))</f>
        <v>47085.899953990753</v>
      </c>
      <c r="AF79" s="20">
        <f t="shared" si="58"/>
        <v>5520.2135301236513</v>
      </c>
      <c r="AG79" s="12">
        <f>AF79/((1+Inputs!$B$3)^(Y79-Inputs!$B$5))</f>
        <v>2451.0408249374182</v>
      </c>
      <c r="AH79" s="12">
        <f>AF79/((1+Inputs!$B$4)^(Y79-Inputs!$B$5))</f>
        <v>3871.7667043977563</v>
      </c>
      <c r="AJ79" s="110">
        <f t="shared" si="63"/>
        <v>2032</v>
      </c>
      <c r="AK79" s="46">
        <f>'I-87 Detour Data'!N261</f>
        <v>2009812.3669647654</v>
      </c>
      <c r="AL79" s="168">
        <f t="shared" si="59"/>
        <v>40196.247339295311</v>
      </c>
      <c r="AM79" s="20">
        <f>(AL79)*$C$7*(1-Inputs!$B$46)*Inputs!$B$12</f>
        <v>1105459.5079764703</v>
      </c>
      <c r="AN79" s="20">
        <f>(AL79*Inputs!$B$46)*$C$8</f>
        <v>99043.553444023652</v>
      </c>
      <c r="AO79" s="20">
        <f t="shared" si="64"/>
        <v>1204503.061420494</v>
      </c>
      <c r="AP79" s="12">
        <f>AO79/((1+Inputs!$B$3)^(AJ79-Inputs!$B$5))</f>
        <v>534813.76421277726</v>
      </c>
      <c r="AQ79" s="12">
        <f>AO79/((1+Inputs!$B$4)^(AJ79-Inputs!$B$5))</f>
        <v>844814.21291117556</v>
      </c>
      <c r="AS79" s="20">
        <f t="shared" si="60"/>
        <v>99043.553444023652</v>
      </c>
      <c r="AT79" s="12">
        <f>AS79/((1+Inputs!$B$3)^(AJ79-Inputs!$B$5))</f>
        <v>43976.52221484542</v>
      </c>
      <c r="AU79" s="12">
        <f>AS79/((1+Inputs!$B$4)^(AJ79-Inputs!$B$5))</f>
        <v>69467.155648455649</v>
      </c>
    </row>
    <row r="80" spans="1:47">
      <c r="A80" s="109">
        <f t="shared" si="65"/>
        <v>2033</v>
      </c>
      <c r="B80" s="20">
        <f t="shared" si="49"/>
        <v>6366.9644021407585</v>
      </c>
      <c r="C80" s="20">
        <f t="shared" si="50"/>
        <v>570.44765049236594</v>
      </c>
      <c r="D80" s="20">
        <f t="shared" si="66"/>
        <v>6937.4120526331244</v>
      </c>
      <c r="E80" s="12">
        <f>D80/((1+Inputs!$B$3)^(A80-Inputs!$B$5))</f>
        <v>2878.779362196191</v>
      </c>
      <c r="F80" s="12">
        <f>D80/((1+Inputs!$B$4)^(A80-Inputs!$B$5))</f>
        <v>4724.0400333253492</v>
      </c>
      <c r="H80" s="20">
        <f t="shared" si="54"/>
        <v>570.44765049236594</v>
      </c>
      <c r="I80" s="12">
        <f>H80/((1+Inputs!$B$3)^(A80-Inputs!$B$5))</f>
        <v>236.71549433587811</v>
      </c>
      <c r="J80" s="12">
        <f>H80/((1+Inputs!$B$4)^(A80-Inputs!$B$5))</f>
        <v>388.4470919987366</v>
      </c>
      <c r="L80" s="110">
        <f t="shared" si="61"/>
        <v>2033</v>
      </c>
      <c r="M80" s="46">
        <f>'I-87 Detour Data'!N186</f>
        <v>2076899.2655975581</v>
      </c>
      <c r="N80" s="168">
        <f t="shared" si="51"/>
        <v>4153.7985311951161</v>
      </c>
      <c r="O80" s="20">
        <f>(N80)*$C$7*(1-Inputs!$B$46)*Inputs!$B$12</f>
        <v>114235.93953357435</v>
      </c>
      <c r="P80" s="20">
        <f>(N80*Inputs!$B$46)*$C$8</f>
        <v>10234.959580864766</v>
      </c>
      <c r="Q80" s="20">
        <f t="shared" si="62"/>
        <v>124470.89911443912</v>
      </c>
      <c r="R80" s="12">
        <f>Q80/((1+Inputs!$B$3)^(L80-Inputs!$B$5))</f>
        <v>51650.997929213096</v>
      </c>
      <c r="S80" s="12">
        <f>Q80/((1+Inputs!$B$4)^(L80-Inputs!$B$5))</f>
        <v>84758.625542132984</v>
      </c>
      <c r="U80" s="20">
        <f t="shared" si="55"/>
        <v>10234.959580864766</v>
      </c>
      <c r="V80" s="12">
        <f>U80/((1+Inputs!$B$3)^(L80-Inputs!$B$5))</f>
        <v>4247.1443516350464</v>
      </c>
      <c r="W80" s="12">
        <f>U80/((1+Inputs!$B$4)^(L80-Inputs!$B$5))</f>
        <v>6969.5094413658771</v>
      </c>
      <c r="Y80" s="110">
        <f t="shared" si="56"/>
        <v>2033</v>
      </c>
      <c r="Z80" s="20">
        <f t="shared" si="52"/>
        <v>63669.644021407585</v>
      </c>
      <c r="AA80" s="20">
        <f t="shared" si="53"/>
        <v>5704.4765049236594</v>
      </c>
      <c r="AB80" s="20">
        <f t="shared" si="57"/>
        <v>69374.120526331244</v>
      </c>
      <c r="AC80" s="12">
        <f>AB80/((1+Inputs!$B$3)^(Y80-Inputs!$B$5))</f>
        <v>28787.793621961908</v>
      </c>
      <c r="AD80" s="12">
        <f>AB80/((1+Inputs!$B$4)^(Y80-Inputs!$B$5))</f>
        <v>47240.400333253492</v>
      </c>
      <c r="AF80" s="20">
        <f t="shared" si="58"/>
        <v>5704.4765049236594</v>
      </c>
      <c r="AG80" s="12">
        <f>AF80/((1+Inputs!$B$3)^(Y80-Inputs!$B$5))</f>
        <v>2367.1549433587811</v>
      </c>
      <c r="AH80" s="12">
        <f>AF80/((1+Inputs!$B$4)^(Y80-Inputs!$B$5))</f>
        <v>3884.470919987366</v>
      </c>
      <c r="AJ80" s="110">
        <f t="shared" si="63"/>
        <v>2033</v>
      </c>
      <c r="AK80" s="46">
        <f>'I-87 Detour Data'!N262</f>
        <v>2076899.2655975581</v>
      </c>
      <c r="AL80" s="168">
        <f t="shared" si="59"/>
        <v>41537.985311951161</v>
      </c>
      <c r="AM80" s="20">
        <f>(AL80)*$C$7*(1-Inputs!$B$46)*Inputs!$B$12</f>
        <v>1142359.3953357434</v>
      </c>
      <c r="AN80" s="20">
        <f>(AL80*Inputs!$B$46)*$C$8</f>
        <v>102349.59580864766</v>
      </c>
      <c r="AO80" s="20">
        <f t="shared" si="64"/>
        <v>1244708.991144391</v>
      </c>
      <c r="AP80" s="12">
        <f>AO80/((1+Inputs!$B$3)^(AJ80-Inputs!$B$5))</f>
        <v>516509.97929213085</v>
      </c>
      <c r="AQ80" s="12">
        <f>AO80/((1+Inputs!$B$4)^(AJ80-Inputs!$B$5))</f>
        <v>847586.25542132964</v>
      </c>
      <c r="AS80" s="20">
        <f t="shared" si="60"/>
        <v>102349.59580864766</v>
      </c>
      <c r="AT80" s="12">
        <f>AS80/((1+Inputs!$B$3)^(AJ80-Inputs!$B$5))</f>
        <v>42471.44351635046</v>
      </c>
      <c r="AU80" s="12">
        <f>AS80/((1+Inputs!$B$4)^(AJ80-Inputs!$B$5))</f>
        <v>69695.094413658764</v>
      </c>
    </row>
    <row r="81" spans="1:47">
      <c r="A81" s="109">
        <f t="shared" si="65"/>
        <v>2034</v>
      </c>
      <c r="B81" s="20">
        <f t="shared" si="49"/>
        <v>6579.4916521795703</v>
      </c>
      <c r="C81" s="20">
        <f t="shared" si="50"/>
        <v>589.48901193134009</v>
      </c>
      <c r="D81" s="20">
        <f t="shared" si="66"/>
        <v>7168.9806641109108</v>
      </c>
      <c r="E81" s="12">
        <f>D81/((1+Inputs!$B$3)^(A81-Inputs!$B$5))</f>
        <v>2780.2543020620428</v>
      </c>
      <c r="F81" s="12">
        <f>D81/((1+Inputs!$B$4)^(A81-Inputs!$B$5))</f>
        <v>4739.5407666131132</v>
      </c>
      <c r="H81" s="20">
        <f t="shared" si="54"/>
        <v>589.48901193134009</v>
      </c>
      <c r="I81" s="12">
        <f>H81/((1+Inputs!$B$3)^(A81-Inputs!$B$5))</f>
        <v>228.61400221724122</v>
      </c>
      <c r="J81" s="12">
        <f>H81/((1+Inputs!$B$4)^(A81-Inputs!$B$5))</f>
        <v>389.7216821222334</v>
      </c>
      <c r="L81" s="110">
        <f t="shared" si="61"/>
        <v>2034</v>
      </c>
      <c r="M81" s="46">
        <f>'I-87 Detour Data'!N187</f>
        <v>2146225.5036045844</v>
      </c>
      <c r="N81" s="168">
        <f t="shared" si="51"/>
        <v>4292.4510072091689</v>
      </c>
      <c r="O81" s="20">
        <f>(N81)*$C$7*(1-Inputs!$B$46)*Inputs!$B$12</f>
        <v>118049.09892182337</v>
      </c>
      <c r="P81" s="20">
        <f>(N81*Inputs!$B$46)*$C$8</f>
        <v>10576.599281763392</v>
      </c>
      <c r="Q81" s="20">
        <f t="shared" si="62"/>
        <v>128625.69820358677</v>
      </c>
      <c r="R81" s="12">
        <f>Q81/((1+Inputs!$B$3)^(L81-Inputs!$B$5))</f>
        <v>49883.263401242104</v>
      </c>
      <c r="S81" s="12">
        <f>Q81/((1+Inputs!$B$4)^(L81-Inputs!$B$5))</f>
        <v>85036.739368243201</v>
      </c>
      <c r="U81" s="20">
        <f t="shared" si="55"/>
        <v>10576.599281763392</v>
      </c>
      <c r="V81" s="12">
        <f>U81/((1+Inputs!$B$3)^(L81-Inputs!$B$5))</f>
        <v>4101.7875527992992</v>
      </c>
      <c r="W81" s="12">
        <f>U81/((1+Inputs!$B$4)^(L81-Inputs!$B$5))</f>
        <v>6992.3781101821987</v>
      </c>
      <c r="Y81" s="110">
        <f t="shared" si="56"/>
        <v>2034</v>
      </c>
      <c r="Z81" s="20">
        <f t="shared" si="52"/>
        <v>65794.916521795705</v>
      </c>
      <c r="AA81" s="20">
        <f t="shared" si="53"/>
        <v>5894.8901193134006</v>
      </c>
      <c r="AB81" s="20">
        <f t="shared" si="57"/>
        <v>71689.806641109113</v>
      </c>
      <c r="AC81" s="12">
        <f>AB81/((1+Inputs!$B$3)^(Y81-Inputs!$B$5))</f>
        <v>27802.543020620433</v>
      </c>
      <c r="AD81" s="12">
        <f>AB81/((1+Inputs!$B$4)^(Y81-Inputs!$B$5))</f>
        <v>47395.407666131134</v>
      </c>
      <c r="AF81" s="20">
        <f t="shared" si="58"/>
        <v>5894.8901193134006</v>
      </c>
      <c r="AG81" s="12">
        <f>AF81/((1+Inputs!$B$3)^(Y81-Inputs!$B$5))</f>
        <v>2286.140022172412</v>
      </c>
      <c r="AH81" s="12">
        <f>AF81/((1+Inputs!$B$4)^(Y81-Inputs!$B$5))</f>
        <v>3897.2168212223341</v>
      </c>
      <c r="AJ81" s="110">
        <f t="shared" si="63"/>
        <v>2034</v>
      </c>
      <c r="AK81" s="46">
        <f>'I-87 Detour Data'!N263</f>
        <v>2146225.5036045844</v>
      </c>
      <c r="AL81" s="168">
        <f t="shared" si="59"/>
        <v>42924.510072091689</v>
      </c>
      <c r="AM81" s="20">
        <f>(AL81)*$C$7*(1-Inputs!$B$46)*Inputs!$B$12</f>
        <v>1180490.9892182339</v>
      </c>
      <c r="AN81" s="20">
        <f>(AL81*Inputs!$B$46)*$C$8</f>
        <v>105765.99281763393</v>
      </c>
      <c r="AO81" s="20">
        <f t="shared" si="64"/>
        <v>1286256.9820358679</v>
      </c>
      <c r="AP81" s="12">
        <f>AO81/((1+Inputs!$B$3)^(AJ81-Inputs!$B$5))</f>
        <v>498832.63401242113</v>
      </c>
      <c r="AQ81" s="12">
        <f>AO81/((1+Inputs!$B$4)^(AJ81-Inputs!$B$5))</f>
        <v>850367.39368243213</v>
      </c>
      <c r="AS81" s="20">
        <f t="shared" si="60"/>
        <v>105765.99281763393</v>
      </c>
      <c r="AT81" s="12">
        <f>AS81/((1+Inputs!$B$3)^(AJ81-Inputs!$B$5))</f>
        <v>41017.87552799299</v>
      </c>
      <c r="AU81" s="12">
        <f>AS81/((1+Inputs!$B$4)^(AJ81-Inputs!$B$5))</f>
        <v>69923.781101821995</v>
      </c>
    </row>
    <row r="82" spans="1:47">
      <c r="A82" s="109">
        <f t="shared" si="65"/>
        <v>2035</v>
      </c>
      <c r="B82" s="20">
        <f t="shared" si="49"/>
        <v>6799.1129943408141</v>
      </c>
      <c r="C82" s="20">
        <f t="shared" si="50"/>
        <v>609.16596796893589</v>
      </c>
      <c r="D82" s="20">
        <f t="shared" si="66"/>
        <v>7408.2789623097497</v>
      </c>
      <c r="E82" s="12">
        <f>D82/((1+Inputs!$B$3)^(A82-Inputs!$B$5))</f>
        <v>2685.1012222893996</v>
      </c>
      <c r="F82" s="12">
        <f>D82/((1+Inputs!$B$4)^(A82-Inputs!$B$5))</f>
        <v>4755.092361606271</v>
      </c>
      <c r="H82" s="20">
        <f t="shared" si="54"/>
        <v>609.16596796893589</v>
      </c>
      <c r="I82" s="12">
        <f>H82/((1+Inputs!$B$3)^(A82-Inputs!$B$5))</f>
        <v>220.78978039192597</v>
      </c>
      <c r="J82" s="12">
        <f>H82/((1+Inputs!$B$4)^(A82-Inputs!$B$5))</f>
        <v>391.00045448834771</v>
      </c>
      <c r="L82" s="110">
        <f t="shared" si="61"/>
        <v>2035</v>
      </c>
      <c r="M82" s="46">
        <f>'I-87 Detour Data'!N188</f>
        <v>2217865.8294230979</v>
      </c>
      <c r="N82" s="168">
        <f t="shared" si="51"/>
        <v>4435.7316588461963</v>
      </c>
      <c r="O82" s="20">
        <f>(N82)*$C$7*(1-Inputs!$B$46)*Inputs!$B$12</f>
        <v>121989.54035965817</v>
      </c>
      <c r="P82" s="20">
        <f>(N82*Inputs!$B$46)*$C$8</f>
        <v>10929.642807397027</v>
      </c>
      <c r="Q82" s="20">
        <f t="shared" si="62"/>
        <v>132919.18316705519</v>
      </c>
      <c r="R82" s="12">
        <f>Q82/((1+Inputs!$B$3)^(L82-Inputs!$B$5))</f>
        <v>48176.028873012889</v>
      </c>
      <c r="S82" s="12">
        <f>Q82/((1+Inputs!$B$4)^(L82-Inputs!$B$5))</f>
        <v>85315.765753987056</v>
      </c>
      <c r="U82" s="20">
        <f t="shared" si="55"/>
        <v>10929.642807397027</v>
      </c>
      <c r="V82" s="12">
        <f>U82/((1+Inputs!$B$3)^(L82-Inputs!$B$5))</f>
        <v>3961.4055316537979</v>
      </c>
      <c r="W82" s="12">
        <f>U82/((1+Inputs!$B$4)^(L82-Inputs!$B$5))</f>
        <v>7015.3218167063842</v>
      </c>
      <c r="Y82" s="110">
        <f t="shared" si="56"/>
        <v>2035</v>
      </c>
      <c r="Z82" s="20">
        <f t="shared" si="52"/>
        <v>67991.12994340813</v>
      </c>
      <c r="AA82" s="20">
        <f t="shared" si="53"/>
        <v>6091.6596796893591</v>
      </c>
      <c r="AB82" s="20">
        <f t="shared" si="57"/>
        <v>74082.789623097487</v>
      </c>
      <c r="AC82" s="12">
        <f>AB82/((1+Inputs!$B$3)^(Y82-Inputs!$B$5))</f>
        <v>26851.012222893991</v>
      </c>
      <c r="AD82" s="12">
        <f>AB82/((1+Inputs!$B$4)^(Y82-Inputs!$B$5))</f>
        <v>47550.923616062704</v>
      </c>
      <c r="AF82" s="20">
        <f t="shared" si="58"/>
        <v>6091.6596796893591</v>
      </c>
      <c r="AG82" s="12">
        <f>AF82/((1+Inputs!$B$3)^(Y82-Inputs!$B$5))</f>
        <v>2207.8978039192598</v>
      </c>
      <c r="AH82" s="12">
        <f>AF82/((1+Inputs!$B$4)^(Y82-Inputs!$B$5))</f>
        <v>3910.0045448834776</v>
      </c>
      <c r="AJ82" s="110">
        <f t="shared" si="63"/>
        <v>2035</v>
      </c>
      <c r="AK82" s="46">
        <f>'I-87 Detour Data'!N264</f>
        <v>2217865.8294230979</v>
      </c>
      <c r="AL82" s="168">
        <f t="shared" si="59"/>
        <v>44357.316588461959</v>
      </c>
      <c r="AM82" s="20">
        <f>(AL82)*$C$7*(1-Inputs!$B$46)*Inputs!$B$12</f>
        <v>1219895.4035965819</v>
      </c>
      <c r="AN82" s="20">
        <f>(AL82*Inputs!$B$46)*$C$8</f>
        <v>109296.42807397027</v>
      </c>
      <c r="AO82" s="20">
        <f t="shared" si="64"/>
        <v>1329191.8316705523</v>
      </c>
      <c r="AP82" s="12">
        <f>AO82/((1+Inputs!$B$3)^(AJ82-Inputs!$B$5))</f>
        <v>481760.28873012902</v>
      </c>
      <c r="AQ82" s="12">
        <f>AO82/((1+Inputs!$B$4)^(AJ82-Inputs!$B$5))</f>
        <v>853157.65753987082</v>
      </c>
      <c r="AS82" s="20">
        <f t="shared" si="60"/>
        <v>109296.42807397027</v>
      </c>
      <c r="AT82" s="12">
        <f>AS82/((1+Inputs!$B$3)^(AJ82-Inputs!$B$5))</f>
        <v>39614.055316537975</v>
      </c>
      <c r="AU82" s="12">
        <f>AS82/((1+Inputs!$B$4)^(AJ82-Inputs!$B$5))</f>
        <v>70153.218167063838</v>
      </c>
    </row>
    <row r="83" spans="1:47">
      <c r="A83" s="109">
        <f t="shared" si="65"/>
        <v>2036</v>
      </c>
      <c r="B83" s="20">
        <f t="shared" si="49"/>
        <v>7026.0652271669551</v>
      </c>
      <c r="C83" s="20">
        <f t="shared" si="50"/>
        <v>629.49973455103554</v>
      </c>
      <c r="D83" s="20">
        <f t="shared" si="66"/>
        <v>7655.5649617179906</v>
      </c>
      <c r="E83" s="12">
        <f>D83/((1+Inputs!$B$3)^(A83-Inputs!$B$5))</f>
        <v>2593.2047182132706</v>
      </c>
      <c r="F83" s="12">
        <f>D83/((1+Inputs!$B$4)^(A83-Inputs!$B$5))</f>
        <v>4770.6949851945519</v>
      </c>
      <c r="H83" s="20">
        <f t="shared" si="54"/>
        <v>629.49973455103554</v>
      </c>
      <c r="I83" s="12">
        <f>H83/((1+Inputs!$B$3)^(A83-Inputs!$B$5))</f>
        <v>213.23333939621014</v>
      </c>
      <c r="J83" s="12">
        <f>H83/((1+Inputs!$B$4)^(A83-Inputs!$B$5))</f>
        <v>392.28342282004331</v>
      </c>
      <c r="L83" s="110">
        <f t="shared" si="61"/>
        <v>2036</v>
      </c>
      <c r="M83" s="46">
        <f>'I-87 Detour Data'!N189</f>
        <v>2291897.486569453</v>
      </c>
      <c r="N83" s="168">
        <f t="shared" si="51"/>
        <v>4583.7949731389062</v>
      </c>
      <c r="O83" s="20">
        <f>(N83)*$C$7*(1-Inputs!$B$46)*Inputs!$B$12</f>
        <v>126061.51248147803</v>
      </c>
      <c r="P83" s="20">
        <f>(N83*Inputs!$B$46)*$C$8</f>
        <v>11294.470813814267</v>
      </c>
      <c r="Q83" s="20">
        <f t="shared" si="62"/>
        <v>137355.9832952923</v>
      </c>
      <c r="R83" s="12">
        <f>Q83/((1+Inputs!$B$3)^(L83-Inputs!$B$5))</f>
        <v>46527.223756487052</v>
      </c>
      <c r="S83" s="12">
        <f>Q83/((1+Inputs!$B$4)^(L83-Inputs!$B$5))</f>
        <v>85595.707693696459</v>
      </c>
      <c r="U83" s="20">
        <f t="shared" si="55"/>
        <v>11294.470813814267</v>
      </c>
      <c r="V83" s="12">
        <f>U83/((1+Inputs!$B$3)^(L83-Inputs!$B$5))</f>
        <v>3825.8280284427892</v>
      </c>
      <c r="W83" s="12">
        <f>U83/((1+Inputs!$B$4)^(L83-Inputs!$B$5))</f>
        <v>7038.3408071555505</v>
      </c>
      <c r="Y83" s="110">
        <f t="shared" si="56"/>
        <v>2036</v>
      </c>
      <c r="Z83" s="20">
        <f t="shared" si="52"/>
        <v>70260.652271669547</v>
      </c>
      <c r="AA83" s="20">
        <f t="shared" si="53"/>
        <v>6294.9973455103564</v>
      </c>
      <c r="AB83" s="20">
        <f t="shared" si="57"/>
        <v>76555.649617179908</v>
      </c>
      <c r="AC83" s="12">
        <f>AB83/((1+Inputs!$B$3)^(Y83-Inputs!$B$5))</f>
        <v>25932.047182132708</v>
      </c>
      <c r="AD83" s="12">
        <f>AB83/((1+Inputs!$B$4)^(Y83-Inputs!$B$5))</f>
        <v>47706.949851945523</v>
      </c>
      <c r="AF83" s="20">
        <f t="shared" si="58"/>
        <v>6294.9973455103564</v>
      </c>
      <c r="AG83" s="12">
        <f>AF83/((1+Inputs!$B$3)^(Y83-Inputs!$B$5))</f>
        <v>2132.3333939621016</v>
      </c>
      <c r="AH83" s="12">
        <f>AF83/((1+Inputs!$B$4)^(Y83-Inputs!$B$5))</f>
        <v>3922.8342282004337</v>
      </c>
      <c r="AJ83" s="110">
        <f t="shared" si="63"/>
        <v>2036</v>
      </c>
      <c r="AK83" s="46">
        <f>'I-87 Detour Data'!N265</f>
        <v>2291897.486569453</v>
      </c>
      <c r="AL83" s="168">
        <f t="shared" si="59"/>
        <v>45837.949731389061</v>
      </c>
      <c r="AM83" s="20">
        <f>(AL83)*$C$7*(1-Inputs!$B$46)*Inputs!$B$12</f>
        <v>1260615.12481478</v>
      </c>
      <c r="AN83" s="20">
        <f>(AL83*Inputs!$B$46)*$C$8</f>
        <v>112944.70813814265</v>
      </c>
      <c r="AO83" s="20">
        <f t="shared" si="64"/>
        <v>1373559.8329529227</v>
      </c>
      <c r="AP83" s="12">
        <f>AO83/((1+Inputs!$B$3)^(AJ83-Inputs!$B$5))</f>
        <v>465272.23756487045</v>
      </c>
      <c r="AQ83" s="12">
        <f>AO83/((1+Inputs!$B$4)^(AJ83-Inputs!$B$5))</f>
        <v>855957.07693696441</v>
      </c>
      <c r="AS83" s="20">
        <f t="shared" si="60"/>
        <v>112944.70813814265</v>
      </c>
      <c r="AT83" s="12">
        <f>AS83/((1+Inputs!$B$3)^(AJ83-Inputs!$B$5))</f>
        <v>38258.280284427885</v>
      </c>
      <c r="AU83" s="12">
        <f>AS83/((1+Inputs!$B$4)^(AJ83-Inputs!$B$5))</f>
        <v>70383.408071555503</v>
      </c>
    </row>
    <row r="84" spans="1:47">
      <c r="A84" s="109">
        <f t="shared" si="65"/>
        <v>2037</v>
      </c>
      <c r="B84" s="20">
        <f t="shared" si="49"/>
        <v>7260.5930534606041</v>
      </c>
      <c r="C84" s="20">
        <f t="shared" si="50"/>
        <v>650.51223580505723</v>
      </c>
      <c r="D84" s="20">
        <f t="shared" si="66"/>
        <v>7911.1052892656617</v>
      </c>
      <c r="E84" s="12">
        <f>D84/((1+Inputs!$B$3)^(A84-Inputs!$B$5))</f>
        <v>2504.4533348466748</v>
      </c>
      <c r="F84" s="12">
        <f>D84/((1+Inputs!$B$4)^(A84-Inputs!$B$5))</f>
        <v>4786.3488048152813</v>
      </c>
      <c r="H84" s="20">
        <f t="shared" si="54"/>
        <v>650.51223580505723</v>
      </c>
      <c r="I84" s="12">
        <f>H84/((1+Inputs!$B$3)^(A84-Inputs!$B$5))</f>
        <v>205.93551453943149</v>
      </c>
      <c r="J84" s="12">
        <f>H84/((1+Inputs!$B$4)^(A84-Inputs!$B$5))</f>
        <v>393.57060088531148</v>
      </c>
      <c r="L84" s="110">
        <f t="shared" si="61"/>
        <v>2037</v>
      </c>
      <c r="M84" s="46">
        <f>'I-87 Detour Data'!N190</f>
        <v>2368400.2969240546</v>
      </c>
      <c r="N84" s="168">
        <f t="shared" si="51"/>
        <v>4736.8005938481092</v>
      </c>
      <c r="O84" s="20">
        <f>(N84)*$C$7*(1-Inputs!$B$46)*Inputs!$B$12</f>
        <v>130269.40573974939</v>
      </c>
      <c r="P84" s="20">
        <f>(N84*Inputs!$B$46)*$C$8</f>
        <v>11671.476663241741</v>
      </c>
      <c r="Q84" s="20">
        <f t="shared" si="62"/>
        <v>141940.88240299112</v>
      </c>
      <c r="R84" s="12">
        <f>Q84/((1+Inputs!$B$3)^(L84-Inputs!$B$5))</f>
        <v>44934.848328664855</v>
      </c>
      <c r="S84" s="12">
        <f>Q84/((1+Inputs!$B$4)^(L84-Inputs!$B$5))</f>
        <v>85876.56819152832</v>
      </c>
      <c r="U84" s="20">
        <f t="shared" si="55"/>
        <v>11671.476663241741</v>
      </c>
      <c r="V84" s="12">
        <f>U84/((1+Inputs!$B$3)^(L84-Inputs!$B$5))</f>
        <v>3694.8906104818407</v>
      </c>
      <c r="W84" s="12">
        <f>U84/((1+Inputs!$B$4)^(L84-Inputs!$B$5))</f>
        <v>7061.4353285547086</v>
      </c>
      <c r="Y84" s="110">
        <f t="shared" si="56"/>
        <v>2037</v>
      </c>
      <c r="Z84" s="20">
        <f t="shared" si="52"/>
        <v>72605.930534606043</v>
      </c>
      <c r="AA84" s="20">
        <f t="shared" si="53"/>
        <v>6505.1223580505721</v>
      </c>
      <c r="AB84" s="20">
        <f t="shared" si="57"/>
        <v>79111.052892656618</v>
      </c>
      <c r="AC84" s="12">
        <f>AB84/((1+Inputs!$B$3)^(Y84-Inputs!$B$5))</f>
        <v>25044.533348466746</v>
      </c>
      <c r="AD84" s="12">
        <f>AB84/((1+Inputs!$B$4)^(Y84-Inputs!$B$5))</f>
        <v>47863.488048152816</v>
      </c>
      <c r="AF84" s="20">
        <f t="shared" si="58"/>
        <v>6505.1223580505721</v>
      </c>
      <c r="AG84" s="12">
        <f>AF84/((1+Inputs!$B$3)^(Y84-Inputs!$B$5))</f>
        <v>2059.3551453943146</v>
      </c>
      <c r="AH84" s="12">
        <f>AF84/((1+Inputs!$B$4)^(Y84-Inputs!$B$5))</f>
        <v>3935.7060088531143</v>
      </c>
      <c r="AJ84" s="110">
        <f t="shared" si="63"/>
        <v>2037</v>
      </c>
      <c r="AK84" s="46">
        <f>'I-87 Detour Data'!N266</f>
        <v>2368400.2969240546</v>
      </c>
      <c r="AL84" s="168">
        <f t="shared" si="59"/>
        <v>47368.005938481096</v>
      </c>
      <c r="AM84" s="20">
        <f>(AL84)*$C$7*(1-Inputs!$B$46)*Inputs!$B$12</f>
        <v>1302694.0573974941</v>
      </c>
      <c r="AN84" s="20">
        <f>(AL84*Inputs!$B$46)*$C$8</f>
        <v>116714.76663241744</v>
      </c>
      <c r="AO84" s="20">
        <f t="shared" si="64"/>
        <v>1419408.8240299115</v>
      </c>
      <c r="AP84" s="12">
        <f>AO84/((1+Inputs!$B$3)^(AJ84-Inputs!$B$5))</f>
        <v>449348.48328664864</v>
      </c>
      <c r="AQ84" s="12">
        <f>AO84/((1+Inputs!$B$4)^(AJ84-Inputs!$B$5))</f>
        <v>858765.68191528344</v>
      </c>
      <c r="AS84" s="20">
        <f t="shared" si="60"/>
        <v>116714.76663241744</v>
      </c>
      <c r="AT84" s="12">
        <f>AS84/((1+Inputs!$B$3)^(AJ84-Inputs!$B$5))</f>
        <v>36948.906104818416</v>
      </c>
      <c r="AU84" s="12">
        <f>AS84/((1+Inputs!$B$4)^(AJ84-Inputs!$B$5))</f>
        <v>70614.353285547098</v>
      </c>
    </row>
    <row r="85" spans="1:47">
      <c r="A85" s="109">
        <f t="shared" si="65"/>
        <v>2038</v>
      </c>
      <c r="B85" s="20">
        <f t="shared" si="49"/>
        <v>7502.9493441262239</v>
      </c>
      <c r="C85" s="20">
        <f t="shared" si="50"/>
        <v>672.22612767883049</v>
      </c>
      <c r="D85" s="20">
        <f t="shared" si="66"/>
        <v>8175.1754718050543</v>
      </c>
      <c r="E85" s="12">
        <f>D85/((1+Inputs!$B$3)^(A85-Inputs!$B$5))</f>
        <v>2418.7394317045132</v>
      </c>
      <c r="F85" s="12">
        <f>D85/((1+Inputs!$B$4)^(A85-Inputs!$B$5))</f>
        <v>4802.053988455189</v>
      </c>
      <c r="H85" s="20">
        <f t="shared" si="54"/>
        <v>672.22612767883049</v>
      </c>
      <c r="I85" s="12">
        <f>H85/((1+Inputs!$B$3)^(A85-Inputs!$B$5))</f>
        <v>198.88745478876154</v>
      </c>
      <c r="J85" s="12">
        <f>H85/((1+Inputs!$B$4)^(A85-Inputs!$B$5))</f>
        <v>394.86200249731979</v>
      </c>
      <c r="L85" s="110">
        <f t="shared" si="61"/>
        <v>2038</v>
      </c>
      <c r="M85" s="46">
        <f>'I-87 Detour Data'!N191</f>
        <v>2447456.7467963253</v>
      </c>
      <c r="N85" s="168">
        <f t="shared" si="51"/>
        <v>4894.9134935926504</v>
      </c>
      <c r="O85" s="20">
        <f>(N85)*$C$7*(1-Inputs!$B$46)*Inputs!$B$12</f>
        <v>134617.7571388479</v>
      </c>
      <c r="P85" s="20">
        <f>(N85*Inputs!$B$46)*$C$8</f>
        <v>12061.066848212293</v>
      </c>
      <c r="Q85" s="20">
        <f t="shared" si="62"/>
        <v>146678.8239870602</v>
      </c>
      <c r="R85" s="12">
        <f>Q85/((1+Inputs!$B$3)^(L85-Inputs!$B$5))</f>
        <v>43396.971306258019</v>
      </c>
      <c r="S85" s="12">
        <f>Q85/((1+Inputs!$B$4)^(L85-Inputs!$B$5))</f>
        <v>86158.35026149702</v>
      </c>
      <c r="U85" s="20">
        <f t="shared" si="55"/>
        <v>12061.066848212293</v>
      </c>
      <c r="V85" s="12">
        <f>U85/((1+Inputs!$B$3)^(L85-Inputs!$B$5))</f>
        <v>3568.4344727286848</v>
      </c>
      <c r="W85" s="12">
        <f>U85/((1+Inputs!$B$4)^(L85-Inputs!$B$5))</f>
        <v>7084.6056287394158</v>
      </c>
      <c r="Y85" s="110">
        <f t="shared" si="56"/>
        <v>2038</v>
      </c>
      <c r="Z85" s="20">
        <f t="shared" si="52"/>
        <v>75029.493441262239</v>
      </c>
      <c r="AA85" s="20">
        <f t="shared" si="53"/>
        <v>6722.2612767883047</v>
      </c>
      <c r="AB85" s="20">
        <f t="shared" si="57"/>
        <v>81751.75471805055</v>
      </c>
      <c r="AC85" s="12">
        <f>AB85/((1+Inputs!$B$3)^(Y85-Inputs!$B$5))</f>
        <v>24187.394317045135</v>
      </c>
      <c r="AD85" s="12">
        <f>AB85/((1+Inputs!$B$4)^(Y85-Inputs!$B$5))</f>
        <v>48020.539884551894</v>
      </c>
      <c r="AF85" s="20">
        <f t="shared" si="58"/>
        <v>6722.2612767883047</v>
      </c>
      <c r="AG85" s="12">
        <f>AF85/((1+Inputs!$B$3)^(Y85-Inputs!$B$5))</f>
        <v>1988.8745478876153</v>
      </c>
      <c r="AH85" s="12">
        <f>AF85/((1+Inputs!$B$4)^(Y85-Inputs!$B$5))</f>
        <v>3948.6200249731983</v>
      </c>
      <c r="AJ85" s="110">
        <f t="shared" si="63"/>
        <v>2038</v>
      </c>
      <c r="AK85" s="46">
        <f>'I-87 Detour Data'!N267</f>
        <v>2447456.7467963253</v>
      </c>
      <c r="AL85" s="168">
        <f t="shared" si="59"/>
        <v>48949.134935926508</v>
      </c>
      <c r="AM85" s="20">
        <f>(AL85)*$C$7*(1-Inputs!$B$46)*Inputs!$B$12</f>
        <v>1346177.5713884789</v>
      </c>
      <c r="AN85" s="20">
        <f>(AL85*Inputs!$B$46)*$C$8</f>
        <v>120610.66848212291</v>
      </c>
      <c r="AO85" s="20">
        <f t="shared" si="64"/>
        <v>1466788.2398706018</v>
      </c>
      <c r="AP85" s="12">
        <f>AO85/((1+Inputs!$B$3)^(AJ85-Inputs!$B$5))</f>
        <v>433969.71306258015</v>
      </c>
      <c r="AQ85" s="12">
        <f>AO85/((1+Inputs!$B$4)^(AJ85-Inputs!$B$5))</f>
        <v>861583.5026149702</v>
      </c>
      <c r="AS85" s="20">
        <f t="shared" si="60"/>
        <v>120610.66848212291</v>
      </c>
      <c r="AT85" s="12">
        <f>AS85/((1+Inputs!$B$3)^(AJ85-Inputs!$B$5))</f>
        <v>35684.344727286843</v>
      </c>
      <c r="AU85" s="12">
        <f>AS85/((1+Inputs!$B$4)^(AJ85-Inputs!$B$5))</f>
        <v>70846.056287394153</v>
      </c>
    </row>
    <row r="86" spans="1:47">
      <c r="A86" s="109">
        <f t="shared" si="65"/>
        <v>2039</v>
      </c>
      <c r="B86" s="20">
        <f t="shared" si="49"/>
        <v>7753.3954108187727</v>
      </c>
      <c r="C86" s="20">
        <f t="shared" si="50"/>
        <v>694.66482236852949</v>
      </c>
      <c r="D86" s="20">
        <f t="shared" si="66"/>
        <v>8448.0602331873015</v>
      </c>
      <c r="E86" s="12">
        <f>D86/((1+Inputs!$B$3)^(A86-Inputs!$B$5))</f>
        <v>2335.9590522537846</v>
      </c>
      <c r="F86" s="12">
        <f>D86/((1+Inputs!$B$4)^(A86-Inputs!$B$5))</f>
        <v>4817.8107046522109</v>
      </c>
      <c r="H86" s="20">
        <f t="shared" si="54"/>
        <v>694.66482236852949</v>
      </c>
      <c r="I86" s="12">
        <f>H86/((1+Inputs!$B$3)^(A86-Inputs!$B$5))</f>
        <v>192.080612034393</v>
      </c>
      <c r="J86" s="12">
        <f>H86/((1+Inputs!$B$4)^(A86-Inputs!$B$5))</f>
        <v>396.15764151456034</v>
      </c>
      <c r="L86" s="110">
        <f t="shared" si="61"/>
        <v>2039</v>
      </c>
      <c r="M86" s="46">
        <f>'I-87 Detour Data'!N192</f>
        <v>2529152.0758625073</v>
      </c>
      <c r="N86" s="168">
        <f t="shared" si="51"/>
        <v>5058.3041517250149</v>
      </c>
      <c r="O86" s="20">
        <f>(N86)*$C$7*(1-Inputs!$B$46)*Inputs!$B$12</f>
        <v>139111.25512691459</v>
      </c>
      <c r="P86" s="20">
        <f>(N86*Inputs!$B$46)*$C$8</f>
        <v>12463.661429850437</v>
      </c>
      <c r="Q86" s="20">
        <f t="shared" si="62"/>
        <v>151574.91655676503</v>
      </c>
      <c r="R86" s="12">
        <f>Q86/((1+Inputs!$B$3)^(L86-Inputs!$B$5))</f>
        <v>41911.727503368194</v>
      </c>
      <c r="S86" s="12">
        <f>Q86/((1+Inputs!$B$4)^(L86-Inputs!$B$5))</f>
        <v>86441.056927506594</v>
      </c>
      <c r="U86" s="20">
        <f t="shared" si="55"/>
        <v>12463.661429850437</v>
      </c>
      <c r="V86" s="12">
        <f>U86/((1+Inputs!$B$3)^(L86-Inputs!$B$5))</f>
        <v>3446.3062451794408</v>
      </c>
      <c r="W86" s="12">
        <f>U86/((1+Inputs!$B$4)^(L86-Inputs!$B$5))</f>
        <v>7107.8519563584423</v>
      </c>
      <c r="Y86" s="110">
        <f t="shared" si="56"/>
        <v>2039</v>
      </c>
      <c r="Z86" s="20">
        <f t="shared" si="52"/>
        <v>77533.954108187725</v>
      </c>
      <c r="AA86" s="20">
        <f t="shared" si="53"/>
        <v>6946.6482236852962</v>
      </c>
      <c r="AB86" s="20">
        <f t="shared" si="57"/>
        <v>84480.602331873015</v>
      </c>
      <c r="AC86" s="12">
        <f>AB86/((1+Inputs!$B$3)^(Y86-Inputs!$B$5))</f>
        <v>23359.590522537848</v>
      </c>
      <c r="AD86" s="12">
        <f>AB86/((1+Inputs!$B$4)^(Y86-Inputs!$B$5))</f>
        <v>48178.107046522106</v>
      </c>
      <c r="AF86" s="20">
        <f t="shared" si="58"/>
        <v>6946.6482236852962</v>
      </c>
      <c r="AG86" s="12">
        <f>AF86/((1+Inputs!$B$3)^(Y86-Inputs!$B$5))</f>
        <v>1920.8061203439304</v>
      </c>
      <c r="AH86" s="12">
        <f>AF86/((1+Inputs!$B$4)^(Y86-Inputs!$B$5))</f>
        <v>3961.5764151456042</v>
      </c>
      <c r="AJ86" s="110">
        <f t="shared" si="63"/>
        <v>2039</v>
      </c>
      <c r="AK86" s="46">
        <f>'I-87 Detour Data'!N268</f>
        <v>2529152.0758625073</v>
      </c>
      <c r="AL86" s="168">
        <f t="shared" si="59"/>
        <v>50583.041517250145</v>
      </c>
      <c r="AM86" s="20">
        <f>(AL86)*$C$7*(1-Inputs!$B$46)*Inputs!$B$12</f>
        <v>1391112.5512691457</v>
      </c>
      <c r="AN86" s="20">
        <f>(AL86*Inputs!$B$46)*$C$8</f>
        <v>124636.61429850437</v>
      </c>
      <c r="AO86" s="20">
        <f t="shared" si="64"/>
        <v>1515749.16556765</v>
      </c>
      <c r="AP86" s="12">
        <f>AO86/((1+Inputs!$B$3)^(AJ86-Inputs!$B$5))</f>
        <v>419117.27503368183</v>
      </c>
      <c r="AQ86" s="12">
        <f>AO86/((1+Inputs!$B$4)^(AJ86-Inputs!$B$5))</f>
        <v>864410.56927506579</v>
      </c>
      <c r="AS86" s="20">
        <f t="shared" si="60"/>
        <v>124636.61429850437</v>
      </c>
      <c r="AT86" s="12">
        <f>AS86/((1+Inputs!$B$3)^(AJ86-Inputs!$B$5))</f>
        <v>34463.062451794402</v>
      </c>
      <c r="AU86" s="12">
        <f>AS86/((1+Inputs!$B$4)^(AJ86-Inputs!$B$5))</f>
        <v>71078.519563584414</v>
      </c>
    </row>
    <row r="87" spans="1:47">
      <c r="A87" s="109">
        <f t="shared" si="65"/>
        <v>2040</v>
      </c>
      <c r="B87" s="20">
        <f t="shared" si="49"/>
        <v>8012.2012876932895</v>
      </c>
      <c r="C87" s="20">
        <f t="shared" si="50"/>
        <v>717.85251356200399</v>
      </c>
      <c r="D87" s="20">
        <f t="shared" si="66"/>
        <v>8730.0538012552934</v>
      </c>
      <c r="E87" s="12">
        <f>D87/((1+Inputs!$B$3)^(A87-Inputs!$B$5))</f>
        <v>2256.0117978318167</v>
      </c>
      <c r="F87" s="12">
        <f>D87/((1+Inputs!$B$4)^(A87-Inputs!$B$5))</f>
        <v>4833.6191224973054</v>
      </c>
      <c r="H87" s="20">
        <f t="shared" si="54"/>
        <v>717.85251356200399</v>
      </c>
      <c r="I87" s="12">
        <f>H87/((1+Inputs!$B$3)^(A87-Inputs!$B$5))</f>
        <v>185.50673072212223</v>
      </c>
      <c r="J87" s="12">
        <f>H87/((1+Inputs!$B$4)^(A87-Inputs!$B$5))</f>
        <v>397.4575318409988</v>
      </c>
      <c r="L87" s="110">
        <f t="shared" si="61"/>
        <v>2040</v>
      </c>
      <c r="M87" s="46">
        <f>'I-87 Detour Data'!N193</f>
        <v>2613574.36907217</v>
      </c>
      <c r="N87" s="168">
        <f t="shared" si="51"/>
        <v>5227.1487381443403</v>
      </c>
      <c r="O87" s="20">
        <f>(N87)*$C$7*(1-Inputs!$B$46)*Inputs!$B$12</f>
        <v>143754.74465100086</v>
      </c>
      <c r="P87" s="20">
        <f>(N87*Inputs!$B$46)*$C$8</f>
        <v>12879.694490787655</v>
      </c>
      <c r="Q87" s="20">
        <f t="shared" si="62"/>
        <v>156634.43914178852</v>
      </c>
      <c r="R87" s="12">
        <f>Q87/((1+Inputs!$B$3)^(L87-Inputs!$B$5))</f>
        <v>40477.315569330596</v>
      </c>
      <c r="S87" s="12">
        <f>Q87/((1+Inputs!$B$4)^(L87-Inputs!$B$5))</f>
        <v>86724.691223383343</v>
      </c>
      <c r="U87" s="20">
        <f t="shared" si="55"/>
        <v>12879.694490787655</v>
      </c>
      <c r="V87" s="12">
        <f>U87/((1+Inputs!$B$3)^(L87-Inputs!$B$5))</f>
        <v>3328.3578068566244</v>
      </c>
      <c r="W87" s="12">
        <f>U87/((1+Inputs!$B$4)^(L87-Inputs!$B$5))</f>
        <v>7131.1745608764386</v>
      </c>
      <c r="Y87" s="110">
        <f t="shared" si="56"/>
        <v>2040</v>
      </c>
      <c r="Z87" s="20">
        <f t="shared" si="52"/>
        <v>80122.012876932873</v>
      </c>
      <c r="AA87" s="20">
        <f t="shared" si="53"/>
        <v>7178.5251356200388</v>
      </c>
      <c r="AB87" s="20">
        <f t="shared" si="57"/>
        <v>87300.538012552919</v>
      </c>
      <c r="AC87" s="12">
        <f>AB87/((1+Inputs!$B$3)^(Y87-Inputs!$B$5))</f>
        <v>22560.117978318165</v>
      </c>
      <c r="AD87" s="12">
        <f>AB87/((1+Inputs!$B$4)^(Y87-Inputs!$B$5))</f>
        <v>48336.191224973045</v>
      </c>
      <c r="AF87" s="20">
        <f t="shared" si="58"/>
        <v>7178.5251356200388</v>
      </c>
      <c r="AG87" s="12">
        <f>AF87/((1+Inputs!$B$3)^(Y87-Inputs!$B$5))</f>
        <v>1855.0673072212219</v>
      </c>
      <c r="AH87" s="12">
        <f>AF87/((1+Inputs!$B$4)^(Y87-Inputs!$B$5))</f>
        <v>3974.5753184099876</v>
      </c>
      <c r="AJ87" s="110">
        <f t="shared" si="63"/>
        <v>2040</v>
      </c>
      <c r="AK87" s="46">
        <f>'I-87 Detour Data'!N269</f>
        <v>2613574.3690721695</v>
      </c>
      <c r="AL87" s="168">
        <f t="shared" si="59"/>
        <v>52271.487381443389</v>
      </c>
      <c r="AM87" s="20">
        <f>(AL87)*$C$7*(1-Inputs!$B$46)*Inputs!$B$12</f>
        <v>1437547.4465100081</v>
      </c>
      <c r="AN87" s="20">
        <f>(AL87*Inputs!$B$46)*$C$8</f>
        <v>128796.9449078765</v>
      </c>
      <c r="AO87" s="20">
        <f t="shared" si="64"/>
        <v>1566344.3914178845</v>
      </c>
      <c r="AP87" s="12">
        <f>AO87/((1+Inputs!$B$3)^(AJ87-Inputs!$B$5))</f>
        <v>404773.15569330577</v>
      </c>
      <c r="AQ87" s="12">
        <f>AO87/((1+Inputs!$B$4)^(AJ87-Inputs!$B$5))</f>
        <v>867246.91223383311</v>
      </c>
      <c r="AS87" s="20">
        <f t="shared" si="60"/>
        <v>128796.9449078765</v>
      </c>
      <c r="AT87" s="12">
        <f>AS87/((1+Inputs!$B$3)^(AJ87-Inputs!$B$5))</f>
        <v>33283.578068566232</v>
      </c>
      <c r="AU87" s="12">
        <f>AS87/((1+Inputs!$B$4)^(AJ87-Inputs!$B$5))</f>
        <v>71311.745608764351</v>
      </c>
    </row>
    <row r="88" spans="1:47">
      <c r="A88" s="109">
        <f t="shared" si="65"/>
        <v>2041</v>
      </c>
      <c r="B88" s="20">
        <f t="shared" si="49"/>
        <v>8279.6460225591454</v>
      </c>
      <c r="C88" s="20">
        <f t="shared" si="50"/>
        <v>741.81420252471992</v>
      </c>
      <c r="D88" s="20">
        <f t="shared" si="66"/>
        <v>9021.4602250838652</v>
      </c>
      <c r="E88" s="12">
        <f>D88/((1+Inputs!$B$3)^(A88-Inputs!$B$5))</f>
        <v>2178.8007058795811</v>
      </c>
      <c r="F88" s="12">
        <f>D88/((1+Inputs!$B$4)^(A88-Inputs!$B$5))</f>
        <v>4849.4794116362455</v>
      </c>
      <c r="H88" s="20">
        <f t="shared" si="54"/>
        <v>741.81420252471992</v>
      </c>
      <c r="I88" s="12">
        <f>H88/((1+Inputs!$B$3)^(A88-Inputs!$B$5))</f>
        <v>179.1578378407508</v>
      </c>
      <c r="J88" s="12">
        <f>H88/((1+Inputs!$B$4)^(A88-Inputs!$B$5))</f>
        <v>398.7616874262223</v>
      </c>
      <c r="L88" s="110">
        <f t="shared" si="61"/>
        <v>2041</v>
      </c>
      <c r="M88" s="46">
        <f>'I-87 Detour Data'!N194</f>
        <v>2700814.6516225273</v>
      </c>
      <c r="N88" s="168">
        <f t="shared" si="51"/>
        <v>5401.6293032450549</v>
      </c>
      <c r="O88" s="20">
        <f>(N88)*$C$7*(1-Inputs!$B$46)*Inputs!$B$12</f>
        <v>148553.23238095205</v>
      </c>
      <c r="P88" s="20">
        <f>(N88*Inputs!$B$46)*$C$8</f>
        <v>13309.614603195816</v>
      </c>
      <c r="Q88" s="20">
        <f t="shared" si="62"/>
        <v>161862.84698414785</v>
      </c>
      <c r="R88" s="12">
        <f>Q88/((1+Inputs!$B$3)^(L88-Inputs!$B$5))</f>
        <v>39091.995803978782</v>
      </c>
      <c r="S88" s="12">
        <f>Q88/((1+Inputs!$B$4)^(L88-Inputs!$B$5))</f>
        <v>87009.256192908157</v>
      </c>
      <c r="U88" s="20">
        <f t="shared" si="55"/>
        <v>13309.614603195816</v>
      </c>
      <c r="V88" s="12">
        <f>U88/((1+Inputs!$B$3)^(L88-Inputs!$B$5))</f>
        <v>3214.4461061633338</v>
      </c>
      <c r="W88" s="12">
        <f>U88/((1+Inputs!$B$4)^(L88-Inputs!$B$5))</f>
        <v>7154.5736925766032</v>
      </c>
      <c r="Y88" s="110">
        <f t="shared" si="56"/>
        <v>2041</v>
      </c>
      <c r="Z88" s="20">
        <f t="shared" si="52"/>
        <v>82796.460225591436</v>
      </c>
      <c r="AA88" s="20">
        <f t="shared" si="53"/>
        <v>7418.142025247198</v>
      </c>
      <c r="AB88" s="20">
        <f t="shared" si="57"/>
        <v>90214.602250838638</v>
      </c>
      <c r="AC88" s="12">
        <f>AB88/((1+Inputs!$B$3)^(Y88-Inputs!$B$5))</f>
        <v>21788.007058795807</v>
      </c>
      <c r="AD88" s="12">
        <f>AB88/((1+Inputs!$B$4)^(Y88-Inputs!$B$5))</f>
        <v>48494.794116362449</v>
      </c>
      <c r="AF88" s="20">
        <f t="shared" si="58"/>
        <v>7418.142025247198</v>
      </c>
      <c r="AG88" s="12">
        <f>AF88/((1+Inputs!$B$3)^(Y88-Inputs!$B$5))</f>
        <v>1791.5783784075077</v>
      </c>
      <c r="AH88" s="12">
        <f>AF88/((1+Inputs!$B$4)^(Y88-Inputs!$B$5))</f>
        <v>3987.6168742622226</v>
      </c>
      <c r="AJ88" s="110">
        <f t="shared" si="63"/>
        <v>2041</v>
      </c>
      <c r="AK88" s="46">
        <f>'I-87 Detour Data'!N270</f>
        <v>2700814.6516225273</v>
      </c>
      <c r="AL88" s="168">
        <f t="shared" si="59"/>
        <v>54016.293032450543</v>
      </c>
      <c r="AM88" s="20">
        <f>(AL88)*$C$7*(1-Inputs!$B$46)*Inputs!$B$12</f>
        <v>1485532.3238095206</v>
      </c>
      <c r="AN88" s="20">
        <f>(AL88*Inputs!$B$46)*$C$8</f>
        <v>133096.14603195814</v>
      </c>
      <c r="AO88" s="20">
        <f t="shared" si="64"/>
        <v>1618628.4698414786</v>
      </c>
      <c r="AP88" s="12">
        <f>AO88/((1+Inputs!$B$3)^(AJ88-Inputs!$B$5))</f>
        <v>390919.95803978789</v>
      </c>
      <c r="AQ88" s="12">
        <f>AO88/((1+Inputs!$B$4)^(AJ88-Inputs!$B$5))</f>
        <v>870092.56192908168</v>
      </c>
      <c r="AS88" s="20">
        <f t="shared" si="60"/>
        <v>133096.14603195814</v>
      </c>
      <c r="AT88" s="12">
        <f>AS88/((1+Inputs!$B$3)^(AJ88-Inputs!$B$5))</f>
        <v>32144.461061633334</v>
      </c>
      <c r="AU88" s="12">
        <f>AS88/((1+Inputs!$B$4)^(AJ88-Inputs!$B$5))</f>
        <v>71545.736925766032</v>
      </c>
    </row>
    <row r="89" spans="1:47">
      <c r="A89" s="109">
        <f t="shared" si="65"/>
        <v>2042</v>
      </c>
      <c r="B89" s="20">
        <f t="shared" si="49"/>
        <v>8556.0179777529902</v>
      </c>
      <c r="C89" s="20">
        <f t="shared" si="50"/>
        <v>766.57572505644669</v>
      </c>
      <c r="D89" s="20">
        <f t="shared" si="66"/>
        <v>9322.5937028094377</v>
      </c>
      <c r="E89" s="12">
        <f>D89/((1+Inputs!$B$3)^(A89-Inputs!$B$5))</f>
        <v>2104.2321323424462</v>
      </c>
      <c r="F89" s="12">
        <f>D89/((1+Inputs!$B$4)^(A89-Inputs!$B$5))</f>
        <v>4865.3917422714603</v>
      </c>
      <c r="H89" s="20">
        <f t="shared" si="54"/>
        <v>766.57572505644669</v>
      </c>
      <c r="I89" s="12">
        <f>H89/((1+Inputs!$B$3)^(A89-Inputs!$B$5))</f>
        <v>173.02623325216641</v>
      </c>
      <c r="J89" s="12">
        <f>H89/((1+Inputs!$B$4)^(A89-Inputs!$B$5))</f>
        <v>400.07012226559021</v>
      </c>
      <c r="L89" s="110">
        <f t="shared" si="61"/>
        <v>2042</v>
      </c>
      <c r="M89" s="46">
        <f>'I-87 Detour Data'!N195</f>
        <v>2790966.9871029751</v>
      </c>
      <c r="N89" s="168">
        <f t="shared" si="51"/>
        <v>5581.9339742059501</v>
      </c>
      <c r="O89" s="20">
        <f>(N89)*$C$7*(1-Inputs!$B$46)*Inputs!$B$12</f>
        <v>153511.89210766339</v>
      </c>
      <c r="P89" s="20">
        <f>(N89*Inputs!$B$46)*$C$8</f>
        <v>13753.885312443463</v>
      </c>
      <c r="Q89" s="20">
        <f t="shared" si="62"/>
        <v>167265.77742010684</v>
      </c>
      <c r="R89" s="12">
        <f>Q89/((1+Inputs!$B$3)^(L89-Inputs!$B$5))</f>
        <v>37754.088047681478</v>
      </c>
      <c r="S89" s="12">
        <f>Q89/((1+Inputs!$B$4)^(L89-Inputs!$B$5))</f>
        <v>87294.754889849457</v>
      </c>
      <c r="U89" s="20">
        <f t="shared" si="55"/>
        <v>13753.885312443463</v>
      </c>
      <c r="V89" s="12">
        <f>U89/((1+Inputs!$B$3)^(L89-Inputs!$B$5))</f>
        <v>3104.4329873857582</v>
      </c>
      <c r="W89" s="12">
        <f>U89/((1+Inputs!$B$4)^(L89-Inputs!$B$5))</f>
        <v>7178.0496025633802</v>
      </c>
      <c r="Y89" s="110">
        <f t="shared" si="56"/>
        <v>2042</v>
      </c>
      <c r="Z89" s="20">
        <f t="shared" si="52"/>
        <v>85560.179777529891</v>
      </c>
      <c r="AA89" s="20">
        <f t="shared" si="53"/>
        <v>7665.7572505644666</v>
      </c>
      <c r="AB89" s="20">
        <f t="shared" si="57"/>
        <v>93225.937028094355</v>
      </c>
      <c r="AC89" s="12">
        <f>AB89/((1+Inputs!$B$3)^(Y89-Inputs!$B$5))</f>
        <v>21042.321323424458</v>
      </c>
      <c r="AD89" s="12">
        <f>AB89/((1+Inputs!$B$4)^(Y89-Inputs!$B$5))</f>
        <v>48653.917422714592</v>
      </c>
      <c r="AF89" s="20">
        <f t="shared" si="58"/>
        <v>7665.7572505644666</v>
      </c>
      <c r="AG89" s="12">
        <f>AF89/((1+Inputs!$B$3)^(Y89-Inputs!$B$5))</f>
        <v>1730.2623325216641</v>
      </c>
      <c r="AH89" s="12">
        <f>AF89/((1+Inputs!$B$4)^(Y89-Inputs!$B$5))</f>
        <v>4000.7012226559023</v>
      </c>
      <c r="AJ89" s="110">
        <f t="shared" si="63"/>
        <v>2042</v>
      </c>
      <c r="AK89" s="46">
        <f>'I-87 Detour Data'!N271</f>
        <v>2790966.9871029751</v>
      </c>
      <c r="AL89" s="168">
        <f t="shared" si="59"/>
        <v>55819.339742059507</v>
      </c>
      <c r="AM89" s="20">
        <f>(AL89)*$C$7*(1-Inputs!$B$46)*Inputs!$B$12</f>
        <v>1535118.921076634</v>
      </c>
      <c r="AN89" s="20">
        <f>(AL89*Inputs!$B$46)*$C$8</f>
        <v>137538.85312443462</v>
      </c>
      <c r="AO89" s="20">
        <f t="shared" si="64"/>
        <v>1672657.7742010686</v>
      </c>
      <c r="AP89" s="12">
        <f>AO89/((1+Inputs!$B$3)^(AJ89-Inputs!$B$5))</f>
        <v>377540.88047681481</v>
      </c>
      <c r="AQ89" s="12">
        <f>AO89/((1+Inputs!$B$4)^(AJ89-Inputs!$B$5))</f>
        <v>872947.54889849469</v>
      </c>
      <c r="AS89" s="20">
        <f t="shared" si="60"/>
        <v>137538.85312443462</v>
      </c>
      <c r="AT89" s="12">
        <f>AS89/((1+Inputs!$B$3)^(AJ89-Inputs!$B$5))</f>
        <v>31044.32987385758</v>
      </c>
      <c r="AU89" s="12">
        <f>AS89/((1+Inputs!$B$4)^(AJ89-Inputs!$B$5))</f>
        <v>71780.496025633794</v>
      </c>
    </row>
    <row r="90" spans="1:47">
      <c r="A90" s="109">
        <f t="shared" si="65"/>
        <v>2043</v>
      </c>
      <c r="B90" s="20">
        <f t="shared" si="49"/>
        <v>8841.6151410547154</v>
      </c>
      <c r="C90" s="20">
        <f t="shared" si="50"/>
        <v>792.16377934774687</v>
      </c>
      <c r="D90" s="20">
        <f t="shared" si="66"/>
        <v>9633.778920402463</v>
      </c>
      <c r="E90" s="12">
        <f>D90/((1+Inputs!$B$3)^(A90-Inputs!$B$5))</f>
        <v>2032.2156380957019</v>
      </c>
      <c r="F90" s="12">
        <f>D90/((1+Inputs!$B$4)^(A90-Inputs!$B$5))</f>
        <v>4881.3562851638599</v>
      </c>
      <c r="H90" s="20">
        <f t="shared" si="54"/>
        <v>792.16377934774687</v>
      </c>
      <c r="I90" s="12">
        <f>H90/((1+Inputs!$B$3)^(A90-Inputs!$B$5))</f>
        <v>167.1044803523715</v>
      </c>
      <c r="J90" s="12">
        <f>H90/((1+Inputs!$B$4)^(A90-Inputs!$B$5))</f>
        <v>401.38285040038471</v>
      </c>
      <c r="L90" s="110">
        <f t="shared" si="61"/>
        <v>2043</v>
      </c>
      <c r="M90" s="46">
        <f>'I-87 Detour Data'!N196</f>
        <v>2884128.5789156547</v>
      </c>
      <c r="N90" s="168">
        <f t="shared" si="51"/>
        <v>5768.2571578313091</v>
      </c>
      <c r="O90" s="20">
        <f>(N90)*$C$7*(1-Inputs!$B$46)*Inputs!$B$12</f>
        <v>158636.07032152719</v>
      </c>
      <c r="P90" s="20">
        <f>(N90*Inputs!$B$46)*$C$8</f>
        <v>14212.985636896346</v>
      </c>
      <c r="Q90" s="20">
        <f t="shared" si="62"/>
        <v>172849.05595842353</v>
      </c>
      <c r="R90" s="12">
        <f>Q90/((1+Inputs!$B$3)^(L90-Inputs!$B$5))</f>
        <v>36461.969643591612</v>
      </c>
      <c r="S90" s="12">
        <f>Q90/((1+Inputs!$B$4)^(L90-Inputs!$B$5))</f>
        <v>87581.19037799575</v>
      </c>
      <c r="U90" s="20">
        <f t="shared" si="55"/>
        <v>14212.985636896346</v>
      </c>
      <c r="V90" s="12">
        <f>U90/((1+Inputs!$B$3)^(L90-Inputs!$B$5))</f>
        <v>2998.1850231335488</v>
      </c>
      <c r="W90" s="12">
        <f>U90/((1+Inputs!$B$4)^(L90-Inputs!$B$5))</f>
        <v>7201.6025427651466</v>
      </c>
      <c r="Y90" s="110">
        <f t="shared" si="56"/>
        <v>2043</v>
      </c>
      <c r="Z90" s="20">
        <f t="shared" si="52"/>
        <v>88416.151410547158</v>
      </c>
      <c r="AA90" s="20">
        <f t="shared" si="53"/>
        <v>7921.6377934774682</v>
      </c>
      <c r="AB90" s="20">
        <f t="shared" si="57"/>
        <v>96337.789204024622</v>
      </c>
      <c r="AC90" s="12">
        <f>AB90/((1+Inputs!$B$3)^(Y90-Inputs!$B$5))</f>
        <v>20322.156380957018</v>
      </c>
      <c r="AD90" s="12">
        <f>AB90/((1+Inputs!$B$4)^(Y90-Inputs!$B$5))</f>
        <v>48813.562851638599</v>
      </c>
      <c r="AF90" s="20">
        <f t="shared" si="58"/>
        <v>7921.6377934774682</v>
      </c>
      <c r="AG90" s="12">
        <f>AF90/((1+Inputs!$B$3)^(Y90-Inputs!$B$5))</f>
        <v>1671.044803523715</v>
      </c>
      <c r="AH90" s="12">
        <f>AF90/((1+Inputs!$B$4)^(Y90-Inputs!$B$5))</f>
        <v>4013.8285040038468</v>
      </c>
      <c r="AJ90" s="110">
        <f t="shared" si="63"/>
        <v>2043</v>
      </c>
      <c r="AK90" s="46">
        <f>'I-87 Detour Data'!N272</f>
        <v>2884128.5789156547</v>
      </c>
      <c r="AL90" s="168">
        <f t="shared" si="59"/>
        <v>57682.571578313095</v>
      </c>
      <c r="AM90" s="20">
        <f>(AL90)*$C$7*(1-Inputs!$B$46)*Inputs!$B$12</f>
        <v>1586360.7032152722</v>
      </c>
      <c r="AN90" s="20">
        <f>(AL90*Inputs!$B$46)*$C$8</f>
        <v>142129.85636896346</v>
      </c>
      <c r="AO90" s="20">
        <f t="shared" si="64"/>
        <v>1728490.5595842355</v>
      </c>
      <c r="AP90" s="12">
        <f>AO90/((1+Inputs!$B$3)^(AJ90-Inputs!$B$5))</f>
        <v>364619.69643591612</v>
      </c>
      <c r="AQ90" s="12">
        <f>AO90/((1+Inputs!$B$4)^(AJ90-Inputs!$B$5))</f>
        <v>875811.90377995756</v>
      </c>
      <c r="AS90" s="20">
        <f t="shared" si="60"/>
        <v>142129.85636896346</v>
      </c>
      <c r="AT90" s="12">
        <f>AS90/((1+Inputs!$B$3)^(AJ90-Inputs!$B$5))</f>
        <v>29981.850231335487</v>
      </c>
      <c r="AU90" s="12">
        <f>AS90/((1+Inputs!$B$4)^(AJ90-Inputs!$B$5))</f>
        <v>72016.025427651475</v>
      </c>
    </row>
    <row r="91" spans="1:47">
      <c r="A91" s="109">
        <f t="shared" si="65"/>
        <v>2044</v>
      </c>
      <c r="B91" s="20">
        <f t="shared" si="49"/>
        <v>9136.7454469816748</v>
      </c>
      <c r="C91" s="20">
        <f t="shared" si="50"/>
        <v>818.60595476630613</v>
      </c>
      <c r="D91" s="20">
        <f t="shared" si="66"/>
        <v>9955.3514017479811</v>
      </c>
      <c r="E91" s="12">
        <f>D91/((1+Inputs!$B$3)^(A91-Inputs!$B$5))</f>
        <v>1962.6638792571264</v>
      </c>
      <c r="F91" s="12">
        <f>D91/((1+Inputs!$B$4)^(A91-Inputs!$B$5))</f>
        <v>4897.3732116346573</v>
      </c>
      <c r="H91" s="20">
        <f t="shared" si="54"/>
        <v>818.60595476630613</v>
      </c>
      <c r="I91" s="12">
        <f>H91/((1+Inputs!$B$3)^(A91-Inputs!$B$5))</f>
        <v>161.38539705213455</v>
      </c>
      <c r="J91" s="12">
        <f>H91/((1+Inputs!$B$4)^(A91-Inputs!$B$5))</f>
        <v>402.69988591796044</v>
      </c>
      <c r="L91" s="110">
        <f t="shared" si="61"/>
        <v>2044</v>
      </c>
      <c r="M91" s="46">
        <f>'I-87 Detour Data'!N197</f>
        <v>2980399.875081406</v>
      </c>
      <c r="N91" s="168">
        <f t="shared" si="51"/>
        <v>5960.7997501628124</v>
      </c>
      <c r="O91" s="20">
        <f>(N91)*$C$7*(1-Inputs!$B$46)*Inputs!$B$12</f>
        <v>163931.29197708759</v>
      </c>
      <c r="P91" s="20">
        <f>(N91*Inputs!$B$46)*$C$8</f>
        <v>14687.41058440117</v>
      </c>
      <c r="Q91" s="20">
        <f t="shared" si="62"/>
        <v>178618.70256148875</v>
      </c>
      <c r="R91" s="12">
        <f>Q91/((1+Inputs!$B$3)^(L91-Inputs!$B$5))</f>
        <v>35214.073469636925</v>
      </c>
      <c r="S91" s="12">
        <f>Q91/((1+Inputs!$B$4)^(L91-Inputs!$B$5))</f>
        <v>87868.565731188675</v>
      </c>
      <c r="U91" s="20">
        <f t="shared" si="55"/>
        <v>14687.41058440117</v>
      </c>
      <c r="V91" s="12">
        <f>U91/((1+Inputs!$B$3)^(L91-Inputs!$B$5))</f>
        <v>2895.5733525148667</v>
      </c>
      <c r="W91" s="12">
        <f>U91/((1+Inputs!$B$4)^(L91-Inputs!$B$5))</f>
        <v>7225.2327659369257</v>
      </c>
      <c r="Y91" s="110">
        <f t="shared" si="56"/>
        <v>2044</v>
      </c>
      <c r="Z91" s="20">
        <f t="shared" si="52"/>
        <v>91367.454469816774</v>
      </c>
      <c r="AA91" s="20">
        <f t="shared" si="53"/>
        <v>8186.0595476630615</v>
      </c>
      <c r="AB91" s="20">
        <f t="shared" si="57"/>
        <v>99553.514017479829</v>
      </c>
      <c r="AC91" s="12">
        <f>AB91/((1+Inputs!$B$3)^(Y91-Inputs!$B$5))</f>
        <v>19626.638792571266</v>
      </c>
      <c r="AD91" s="12">
        <f>AB91/((1+Inputs!$B$4)^(Y91-Inputs!$B$5))</f>
        <v>48973.732116346582</v>
      </c>
      <c r="AF91" s="20">
        <f t="shared" si="58"/>
        <v>8186.0595476630615</v>
      </c>
      <c r="AG91" s="12">
        <f>AF91/((1+Inputs!$B$3)^(Y91-Inputs!$B$5))</f>
        <v>1613.8539705213454</v>
      </c>
      <c r="AH91" s="12">
        <f>AF91/((1+Inputs!$B$4)^(Y91-Inputs!$B$5))</f>
        <v>4026.9988591796046</v>
      </c>
      <c r="AJ91" s="110">
        <f t="shared" si="63"/>
        <v>2044</v>
      </c>
      <c r="AK91" s="46">
        <f>'I-87 Detour Data'!N273</f>
        <v>2980399.875081406</v>
      </c>
      <c r="AL91" s="168">
        <f t="shared" si="59"/>
        <v>59607.997501628124</v>
      </c>
      <c r="AM91" s="20">
        <f>(AL91)*$C$7*(1-Inputs!$B$46)*Inputs!$B$12</f>
        <v>1639312.9197708757</v>
      </c>
      <c r="AN91" s="20">
        <f>(AL91*Inputs!$B$46)*$C$8</f>
        <v>146874.1058440117</v>
      </c>
      <c r="AO91" s="20">
        <f t="shared" si="64"/>
        <v>1786187.0256148875</v>
      </c>
      <c r="AP91" s="12">
        <f>AO91/((1+Inputs!$B$3)^(AJ91-Inputs!$B$5))</f>
        <v>352140.73469636921</v>
      </c>
      <c r="AQ91" s="12">
        <f>AO91/((1+Inputs!$B$4)^(AJ91-Inputs!$B$5))</f>
        <v>878685.65731188667</v>
      </c>
      <c r="AS91" s="20">
        <f t="shared" si="60"/>
        <v>146874.1058440117</v>
      </c>
      <c r="AT91" s="12">
        <f>AS91/((1+Inputs!$B$3)^(AJ91-Inputs!$B$5))</f>
        <v>28955.733525148666</v>
      </c>
      <c r="AU91" s="12">
        <f>AS91/((1+Inputs!$B$4)^(AJ91-Inputs!$B$5))</f>
        <v>72252.327659369257</v>
      </c>
    </row>
    <row r="92" spans="1:47">
      <c r="A92" s="109">
        <f t="shared" si="65"/>
        <v>2045</v>
      </c>
      <c r="B92" s="20">
        <f t="shared" si="49"/>
        <v>9441.7271088076413</v>
      </c>
      <c r="C92" s="20">
        <f t="shared" si="50"/>
        <v>845.93076160414284</v>
      </c>
      <c r="D92" s="20">
        <f t="shared" si="66"/>
        <v>10287.657870411784</v>
      </c>
      <c r="E92" s="12">
        <f>D92/((1+Inputs!$B$3)^(A92-Inputs!$B$5))</f>
        <v>1895.4925012535659</v>
      </c>
      <c r="F92" s="12">
        <f>D92/((1+Inputs!$B$4)^(A92-Inputs!$B$5))</f>
        <v>4913.4426935672136</v>
      </c>
      <c r="H92" s="20">
        <f t="shared" si="54"/>
        <v>845.93076160414284</v>
      </c>
      <c r="I92" s="12">
        <f>H92/((1+Inputs!$B$3)^(A92-Inputs!$B$5))</f>
        <v>155.86204706632503</v>
      </c>
      <c r="J92" s="12">
        <f>H92/((1+Inputs!$B$4)^(A92-Inputs!$B$5))</f>
        <v>404.02124295189594</v>
      </c>
      <c r="L92" s="110">
        <f t="shared" si="61"/>
        <v>2045</v>
      </c>
      <c r="M92" s="46">
        <f>'I-87 Detour Data'!N198</f>
        <v>3079884.676544108</v>
      </c>
      <c r="N92" s="168">
        <f t="shared" si="51"/>
        <v>6159.7693530882161</v>
      </c>
      <c r="O92" s="20">
        <f>(N92)*$C$7*(1-Inputs!$B$46)*Inputs!$B$12</f>
        <v>169403.26645011676</v>
      </c>
      <c r="P92" s="20">
        <f>(N92*Inputs!$B$46)*$C$8</f>
        <v>15177.671686009366</v>
      </c>
      <c r="Q92" s="20">
        <f t="shared" si="62"/>
        <v>184580.93813612612</v>
      </c>
      <c r="R92" s="12">
        <f>Q92/((1+Inputs!$B$3)^(L92-Inputs!$B$5))</f>
        <v>34008.88603786462</v>
      </c>
      <c r="S92" s="12">
        <f>Q92/((1+Inputs!$B$4)^(L92-Inputs!$B$5))</f>
        <v>88156.884033355702</v>
      </c>
      <c r="U92" s="20">
        <f t="shared" si="55"/>
        <v>15177.671686009366</v>
      </c>
      <c r="V92" s="12">
        <f>U92/((1+Inputs!$B$3)^(L92-Inputs!$B$5))</f>
        <v>2796.4735248498087</v>
      </c>
      <c r="W92" s="12">
        <f>U92/((1+Inputs!$B$4)^(L92-Inputs!$B$5))</f>
        <v>7248.9405256630771</v>
      </c>
      <c r="Y92" s="110">
        <f t="shared" si="56"/>
        <v>2045</v>
      </c>
      <c r="Z92" s="20">
        <f t="shared" si="52"/>
        <v>94417.271088076406</v>
      </c>
      <c r="AA92" s="20">
        <f t="shared" si="53"/>
        <v>8459.3076160414294</v>
      </c>
      <c r="AB92" s="20">
        <f t="shared" si="57"/>
        <v>102876.57870411784</v>
      </c>
      <c r="AC92" s="12">
        <f>AB92/((1+Inputs!$B$3)^(Y92-Inputs!$B$5))</f>
        <v>18954.925012535659</v>
      </c>
      <c r="AD92" s="12">
        <f>AB92/((1+Inputs!$B$4)^(Y92-Inputs!$B$5))</f>
        <v>49134.426935672134</v>
      </c>
      <c r="AF92" s="20">
        <f t="shared" si="58"/>
        <v>8459.3076160414294</v>
      </c>
      <c r="AG92" s="12">
        <f>AF92/((1+Inputs!$B$3)^(Y92-Inputs!$B$5))</f>
        <v>1558.6204706632507</v>
      </c>
      <c r="AH92" s="12">
        <f>AF92/((1+Inputs!$B$4)^(Y92-Inputs!$B$5))</f>
        <v>4040.2124295189601</v>
      </c>
      <c r="AJ92" s="110">
        <f t="shared" si="63"/>
        <v>2045</v>
      </c>
      <c r="AK92" s="46">
        <f>'I-87 Detour Data'!N274</f>
        <v>3079884.676544108</v>
      </c>
      <c r="AL92" s="168">
        <f t="shared" si="59"/>
        <v>61597.693530882163</v>
      </c>
      <c r="AM92" s="20">
        <f>(AL92)*$C$7*(1-Inputs!$B$46)*Inputs!$B$12</f>
        <v>1694032.6645011674</v>
      </c>
      <c r="AN92" s="20">
        <f>(AL92*Inputs!$B$46)*$C$8</f>
        <v>151776.71686009367</v>
      </c>
      <c r="AO92" s="20">
        <f t="shared" si="64"/>
        <v>1845809.381361261</v>
      </c>
      <c r="AP92" s="12">
        <f>AO92/((1+Inputs!$B$3)^(AJ92-Inputs!$B$5))</f>
        <v>340088.86037864618</v>
      </c>
      <c r="AQ92" s="12">
        <f>AO92/((1+Inputs!$B$4)^(AJ92-Inputs!$B$5))</f>
        <v>881568.84033355687</v>
      </c>
      <c r="AS92" s="20">
        <f t="shared" si="60"/>
        <v>151776.71686009367</v>
      </c>
      <c r="AT92" s="12">
        <f>AS92/((1+Inputs!$B$3)^(AJ92-Inputs!$B$5))</f>
        <v>27964.735248498091</v>
      </c>
      <c r="AU92" s="12">
        <f>AS92/((1+Inputs!$B$4)^(AJ92-Inputs!$B$5))</f>
        <v>72489.40525663078</v>
      </c>
    </row>
    <row r="93" spans="1:47" s="416" customFormat="1">
      <c r="A93" s="109">
        <f t="shared" si="65"/>
        <v>2046</v>
      </c>
      <c r="B93" s="20">
        <f t="shared" ref="B93:B94" si="67">(F31)*$C$7</f>
        <v>9756.8889616644137</v>
      </c>
      <c r="C93" s="20">
        <f t="shared" ref="C93:C94" si="68">(G31)*$C$8</f>
        <v>874.16766181777029</v>
      </c>
      <c r="D93" s="20">
        <f t="shared" ref="D93" si="69">SUM(B93:C93)</f>
        <v>10631.056623482184</v>
      </c>
      <c r="E93" s="12">
        <f>D93/((1+Inputs!$B$3)^(A93-Inputs!$B$5))</f>
        <v>1830.6200365130373</v>
      </c>
      <c r="F93" s="12">
        <f>D93/((1+Inputs!$B$4)^(A93-Inputs!$B$5))</f>
        <v>4929.5649034088783</v>
      </c>
      <c r="H93" s="20">
        <f t="shared" ref="H93" si="70">C93</f>
        <v>874.16766181777029</v>
      </c>
      <c r="I93" s="12">
        <f>H93/((1+Inputs!$B$3)^(A93-Inputs!$B$5))</f>
        <v>150.52773150136773</v>
      </c>
      <c r="J93" s="12">
        <f>H93/((1+Inputs!$B$4)^(A93-Inputs!$B$5))</f>
        <v>405.34693568214573</v>
      </c>
      <c r="L93" s="110">
        <f t="shared" si="61"/>
        <v>2046</v>
      </c>
      <c r="M93" s="46">
        <f>'I-87 Detour Data'!N199</f>
        <v>3182690.2490901891</v>
      </c>
      <c r="N93" s="168">
        <f t="shared" ref="N93:N94" si="71">M93*$D$5</f>
        <v>6365.3804981803787</v>
      </c>
      <c r="O93" s="20">
        <f>(N93)*$C$7*(1-Inputs!$B$46)*Inputs!$B$12</f>
        <v>175057.89369353757</v>
      </c>
      <c r="P93" s="20">
        <f>(N93*Inputs!$B$46)*$C$8</f>
        <v>15684.297547516453</v>
      </c>
      <c r="Q93" s="20">
        <f t="shared" ref="Q93" si="72">SUM(O93:P93)</f>
        <v>190742.19124105401</v>
      </c>
      <c r="R93" s="12">
        <f>Q93/((1+Inputs!$B$3)^(L93-Inputs!$B$5))</f>
        <v>32844.945658835451</v>
      </c>
      <c r="S93" s="12">
        <f>Q93/((1+Inputs!$B$4)^(L93-Inputs!$B$5))</f>
        <v>88446.148378543628</v>
      </c>
      <c r="U93" s="20">
        <f t="shared" ref="U93" si="73">P93</f>
        <v>15684.297547516453</v>
      </c>
      <c r="V93" s="12">
        <f>U93/((1+Inputs!$B$3)^(L93-Inputs!$B$5))</f>
        <v>2700.765348732697</v>
      </c>
      <c r="W93" s="12">
        <f>U93/((1+Inputs!$B$4)^(L93-Inputs!$B$5))</f>
        <v>7272.7260763600452</v>
      </c>
      <c r="Y93" s="110">
        <f t="shared" ref="Y93:Y94" si="74">A93</f>
        <v>2046</v>
      </c>
      <c r="Z93" s="20">
        <f t="shared" ref="Z93:Z94" si="75">(N31)*$C$7</f>
        <v>97568.889616644155</v>
      </c>
      <c r="AA93" s="20">
        <f t="shared" ref="AA93:AA94" si="76">(O31)*$C$8</f>
        <v>8741.6766181777039</v>
      </c>
      <c r="AB93" s="20">
        <f t="shared" ref="AB93" si="77">SUM(Z93:AA93)</f>
        <v>106310.56623482186</v>
      </c>
      <c r="AC93" s="12">
        <f>AB93/((1+Inputs!$B$3)^(Y93-Inputs!$B$5))</f>
        <v>18306.200365130378</v>
      </c>
      <c r="AD93" s="12">
        <f>AB93/((1+Inputs!$B$4)^(Y93-Inputs!$B$5))</f>
        <v>49295.649034088798</v>
      </c>
      <c r="AF93" s="20">
        <f t="shared" ref="AF93" si="78">AA93</f>
        <v>8741.6766181777039</v>
      </c>
      <c r="AG93" s="12">
        <f>AF93/((1+Inputs!$B$3)^(Y93-Inputs!$B$5))</f>
        <v>1505.2773150136775</v>
      </c>
      <c r="AH93" s="12">
        <f>AF93/((1+Inputs!$B$4)^(Y93-Inputs!$B$5))</f>
        <v>4053.4693568214579</v>
      </c>
      <c r="AJ93" s="110">
        <f t="shared" si="63"/>
        <v>2046</v>
      </c>
      <c r="AK93" s="46">
        <f>'I-87 Detour Data'!N275</f>
        <v>3182690.2490901891</v>
      </c>
      <c r="AL93" s="168">
        <f t="shared" ref="AL93:AL94" si="79">AK93*$D$6</f>
        <v>63653.804981803783</v>
      </c>
      <c r="AM93" s="20">
        <f>(AL93)*$C$7*(1-Inputs!$B$46)*Inputs!$B$12</f>
        <v>1750578.9369353754</v>
      </c>
      <c r="AN93" s="20">
        <f>(AL93*Inputs!$B$46)*$C$8</f>
        <v>156842.97547516454</v>
      </c>
      <c r="AO93" s="20">
        <f t="shared" ref="AO93" si="80">SUM(AM93:AN93)</f>
        <v>1907421.91241054</v>
      </c>
      <c r="AP93" s="12">
        <f>AO93/((1+Inputs!$B$3)^(AJ93-Inputs!$B$5))</f>
        <v>328449.45658835454</v>
      </c>
      <c r="AQ93" s="12">
        <f>AO93/((1+Inputs!$B$4)^(AJ93-Inputs!$B$5))</f>
        <v>884461.48378543626</v>
      </c>
      <c r="AS93" s="20">
        <f t="shared" ref="AS93" si="81">AN93</f>
        <v>156842.97547516454</v>
      </c>
      <c r="AT93" s="12">
        <f>AS93/((1+Inputs!$B$3)^(AJ93-Inputs!$B$5))</f>
        <v>27007.653487326974</v>
      </c>
      <c r="AU93" s="12">
        <f>AS93/((1+Inputs!$B$4)^(AJ93-Inputs!$B$5))</f>
        <v>72727.260763600454</v>
      </c>
    </row>
    <row r="94" spans="1:47">
      <c r="A94" s="109">
        <f t="shared" si="65"/>
        <v>2047</v>
      </c>
      <c r="B94" s="20">
        <f t="shared" si="67"/>
        <v>10082.570817096073</v>
      </c>
      <c r="C94" s="20">
        <f t="shared" si="68"/>
        <v>903.34710079445426</v>
      </c>
      <c r="D94" s="638">
        <f>SUM(B94:C94)*(1-Inputs!$B$8)</f>
        <v>4577.4657991210524</v>
      </c>
      <c r="E94" s="12">
        <f>D94/((1+Inputs!$B$3)^(A94-Inputs!$B$5))</f>
        <v>736.65325235761634</v>
      </c>
      <c r="F94" s="12">
        <f>D94/((1+Inputs!$B$4)^(A94-Inputs!$B$5))</f>
        <v>2060.7250059053522</v>
      </c>
      <c r="G94" s="416"/>
      <c r="H94" s="638">
        <f>C94*(1-Inputs!$B$8)</f>
        <v>376.39462533102255</v>
      </c>
      <c r="I94" s="12">
        <f>H94/((1+Inputs!$B$3)^(A94-Inputs!$B$5))</f>
        <v>60.573325304421715</v>
      </c>
      <c r="J94" s="12">
        <f>H94/((1+Inputs!$B$4)^(A94-Inputs!$B$5))</f>
        <v>169.44874097299663</v>
      </c>
      <c r="K94" s="416"/>
      <c r="L94" s="110">
        <f t="shared" si="61"/>
        <v>2047</v>
      </c>
      <c r="M94" s="46">
        <f>'I-87 Detour Data'!N200</f>
        <v>3288927.439003963</v>
      </c>
      <c r="N94" s="168">
        <f t="shared" si="71"/>
        <v>6577.8548780079263</v>
      </c>
      <c r="O94" s="20">
        <f>(N94)*$C$7*(1-Inputs!$B$46)*Inputs!$B$12</f>
        <v>180901.27059882766</v>
      </c>
      <c r="P94" s="20">
        <f>(N94*Inputs!$B$46)*$C$8</f>
        <v>16207.834419411531</v>
      </c>
      <c r="Q94" s="638">
        <f>SUM(O94:P94)*(1-Inputs!$B$8)</f>
        <v>82128.793757599648</v>
      </c>
      <c r="R94" s="12">
        <f>Q94/((1+Inputs!$B$3)^(L94-Inputs!$B$5))</f>
        <v>13217.016945350142</v>
      </c>
      <c r="S94" s="12">
        <f>Q94/((1+Inputs!$B$4)^(L94-Inputs!$B$5))</f>
        <v>36973.484112896425</v>
      </c>
      <c r="T94" s="416"/>
      <c r="U94" s="638">
        <f>P94*(1-Inputs!$B$8)</f>
        <v>6753.2643414214708</v>
      </c>
      <c r="V94" s="12">
        <f>U94/((1+Inputs!$B$3)^(L94-Inputs!$B$5))</f>
        <v>1086.8053109417197</v>
      </c>
      <c r="W94" s="12">
        <f>U94/((1+Inputs!$B$4)^(L94-Inputs!$B$5))</f>
        <v>3040.2456971996121</v>
      </c>
      <c r="X94" s="416"/>
      <c r="Y94" s="110">
        <f t="shared" si="74"/>
        <v>2047</v>
      </c>
      <c r="Z94" s="20">
        <f t="shared" si="75"/>
        <v>100825.70817096074</v>
      </c>
      <c r="AA94" s="20">
        <f t="shared" si="76"/>
        <v>9033.4710079445431</v>
      </c>
      <c r="AB94" s="638">
        <f>SUM(Z94:AA94)*(1-Inputs!$B$8)</f>
        <v>45774.657991210537</v>
      </c>
      <c r="AC94" s="12">
        <f>AB94/((1+Inputs!$B$3)^(Y94-Inputs!$B$5))</f>
        <v>7366.5325235761657</v>
      </c>
      <c r="AD94" s="12">
        <f>AB94/((1+Inputs!$B$4)^(Y94-Inputs!$B$5))</f>
        <v>20607.250059053527</v>
      </c>
      <c r="AE94" s="416"/>
      <c r="AF94" s="638">
        <f>AA94*(1-Inputs!$B$8)</f>
        <v>3763.946253310226</v>
      </c>
      <c r="AG94" s="12">
        <f>AF94/((1+Inputs!$B$3)^(Y94-Inputs!$B$5))</f>
        <v>605.73325304421724</v>
      </c>
      <c r="AH94" s="12">
        <f>AF94/((1+Inputs!$B$4)^(Y94-Inputs!$B$5))</f>
        <v>1694.4874097299664</v>
      </c>
      <c r="AI94" s="416"/>
      <c r="AJ94" s="110">
        <f t="shared" si="63"/>
        <v>2047</v>
      </c>
      <c r="AK94" s="46">
        <f>'I-87 Detour Data'!N276</f>
        <v>3288927.439003963</v>
      </c>
      <c r="AL94" s="168">
        <f t="shared" si="79"/>
        <v>65778.548780079262</v>
      </c>
      <c r="AM94" s="20">
        <f>(AL94)*$C$7*(1-Inputs!$B$46)*Inputs!$B$12</f>
        <v>1809012.7059882767</v>
      </c>
      <c r="AN94" s="20">
        <f>(AL94*Inputs!$B$46)*$C$8</f>
        <v>162078.34419411531</v>
      </c>
      <c r="AO94" s="638">
        <f>SUM(AM94:AN94)*(1-Inputs!$B$8)</f>
        <v>821287.93757599662</v>
      </c>
      <c r="AP94" s="12">
        <f>AO94/((1+Inputs!$B$3)^(AJ94-Inputs!$B$5))</f>
        <v>132170.16945350144</v>
      </c>
      <c r="AQ94" s="12">
        <f>AO94/((1+Inputs!$B$4)^(AJ94-Inputs!$B$5))</f>
        <v>369734.84112896433</v>
      </c>
      <c r="AR94" s="416"/>
      <c r="AS94" s="638">
        <f>AN94*(1-Inputs!$B$8)</f>
        <v>67532.643414214705</v>
      </c>
      <c r="AT94" s="12">
        <f>AS94/((1+Inputs!$B$3)^(AJ94-Inputs!$B$5))</f>
        <v>10868.053109417195</v>
      </c>
      <c r="AU94" s="12">
        <f>AS94/((1+Inputs!$B$4)^(AJ94-Inputs!$B$5))</f>
        <v>30402.456971996122</v>
      </c>
    </row>
    <row r="95" spans="1:47">
      <c r="A95" s="34" t="s">
        <v>4</v>
      </c>
      <c r="B95" s="157">
        <f>SUM(B74:B94)</f>
        <v>155504.00814654614</v>
      </c>
      <c r="C95" s="157">
        <f>SUM(C74:C94)</f>
        <v>13932.368784646756</v>
      </c>
      <c r="D95" s="157">
        <f>SUM(D74:D94)</f>
        <v>160654.21985039779</v>
      </c>
      <c r="E95" s="157">
        <f>SUM(E74:E94)</f>
        <v>51261.093188226732</v>
      </c>
      <c r="F95" s="157">
        <f>SUM(F74:F94)</f>
        <v>95718.046831167798</v>
      </c>
      <c r="H95" s="200">
        <f>SUM(H74:H94)</f>
        <v>13210.231936642609</v>
      </c>
      <c r="I95" s="200">
        <f>SUM(I74:I94)</f>
        <v>4215.0833695679539</v>
      </c>
      <c r="J95" s="200">
        <f>SUM(J74:J94)</f>
        <v>7870.6777844965172</v>
      </c>
      <c r="L95" s="34" t="s">
        <v>4</v>
      </c>
      <c r="M95" s="156">
        <f t="shared" ref="M95:S95" si="82">SUM(M74:M94)</f>
        <v>50725297.004715115</v>
      </c>
      <c r="N95" s="156">
        <f t="shared" si="82"/>
        <v>101450.59400943024</v>
      </c>
      <c r="O95" s="157">
        <f t="shared" si="82"/>
        <v>2790049.5981859863</v>
      </c>
      <c r="P95" s="157">
        <f t="shared" si="82"/>
        <v>249974.26363923607</v>
      </c>
      <c r="Q95" s="157">
        <f t="shared" si="82"/>
        <v>2882454.5867529847</v>
      </c>
      <c r="R95" s="157">
        <f t="shared" si="82"/>
        <v>919725.44088769809</v>
      </c>
      <c r="S95" s="157">
        <f t="shared" si="82"/>
        <v>1717371.1551458722</v>
      </c>
      <c r="U95" s="200">
        <f>SUM(U74:U94)</f>
        <v>237017.699711247</v>
      </c>
      <c r="V95" s="200">
        <f>SUM(V74:V94)</f>
        <v>75626.935934028574</v>
      </c>
      <c r="W95" s="200">
        <f>SUM(W74:W94)</f>
        <v>141215.53297450236</v>
      </c>
      <c r="Y95" s="110" t="str">
        <f t="shared" si="56"/>
        <v xml:space="preserve">Total </v>
      </c>
      <c r="Z95" s="157">
        <f>SUM(Z74:Z94)</f>
        <v>1555040.0814654615</v>
      </c>
      <c r="AA95" s="157">
        <f>SUM(AA74:AA94)</f>
        <v>139323.68784646754</v>
      </c>
      <c r="AB95" s="157">
        <f>SUM(AB74:AB94)</f>
        <v>1606542.1985039783</v>
      </c>
      <c r="AC95" s="157">
        <f>SUM(AC74:AC94)</f>
        <v>512610.93188226741</v>
      </c>
      <c r="AD95" s="157">
        <f>SUM(AD74:AD94)</f>
        <v>957180.46831167815</v>
      </c>
      <c r="AF95" s="200">
        <f>SUM(AF74:AF94)</f>
        <v>132102.31936642609</v>
      </c>
      <c r="AG95" s="200">
        <f>SUM(AG74:AG94)</f>
        <v>42150.833695679532</v>
      </c>
      <c r="AH95" s="200">
        <f>SUM(AH74:AH94)</f>
        <v>78706.777844965167</v>
      </c>
      <c r="AJ95" s="34" t="s">
        <v>4</v>
      </c>
      <c r="AK95" s="156">
        <f t="shared" ref="AK95:AQ95" si="83">SUM(AK74:AK94)</f>
        <v>50725297.004715115</v>
      </c>
      <c r="AL95" s="156">
        <f t="shared" si="83"/>
        <v>1014505.9400943023</v>
      </c>
      <c r="AM95" s="157">
        <f t="shared" si="83"/>
        <v>27900495.981859859</v>
      </c>
      <c r="AN95" s="157">
        <f t="shared" si="83"/>
        <v>2499742.6363923606</v>
      </c>
      <c r="AO95" s="157">
        <f t="shared" si="83"/>
        <v>28824545.867529843</v>
      </c>
      <c r="AP95" s="157">
        <f t="shared" si="83"/>
        <v>9197254.4088769797</v>
      </c>
      <c r="AQ95" s="157">
        <f t="shared" si="83"/>
        <v>17173711.55145872</v>
      </c>
      <c r="AS95" s="200">
        <f>SUM(AS74:AS94)</f>
        <v>2370176.9971124702</v>
      </c>
      <c r="AT95" s="200">
        <f>SUM(AT74:AT94)</f>
        <v>756269.35934028542</v>
      </c>
      <c r="AU95" s="200">
        <f>SUM(AU74:AU94)</f>
        <v>1412155.329745024</v>
      </c>
    </row>
    <row r="98" spans="1:19">
      <c r="A98" s="167" t="s">
        <v>819</v>
      </c>
      <c r="K98" s="206" t="s">
        <v>819</v>
      </c>
    </row>
    <row r="99" spans="1:19" ht="45">
      <c r="A99" s="190" t="s">
        <v>1</v>
      </c>
      <c r="B99" s="190" t="s">
        <v>90</v>
      </c>
      <c r="C99" s="190" t="s">
        <v>0</v>
      </c>
      <c r="D99" s="190" t="s">
        <v>13</v>
      </c>
      <c r="E99" s="190" t="s">
        <v>14</v>
      </c>
      <c r="G99" s="416"/>
      <c r="H99" s="416"/>
      <c r="I99" s="416"/>
      <c r="K99" s="193" t="s">
        <v>1</v>
      </c>
      <c r="L99" s="193" t="s">
        <v>90</v>
      </c>
      <c r="M99" s="193" t="s">
        <v>0</v>
      </c>
      <c r="N99" s="193" t="s">
        <v>13</v>
      </c>
      <c r="O99" s="193" t="s">
        <v>14</v>
      </c>
      <c r="Q99" s="416"/>
      <c r="R99" s="416"/>
      <c r="S99" s="416"/>
    </row>
    <row r="100" spans="1:19">
      <c r="A100" s="110">
        <f>Inputs!$B$7</f>
        <v>2027</v>
      </c>
      <c r="B100" s="20">
        <f>(G12)*Inputs!$B$81</f>
        <v>636.65593516007664</v>
      </c>
      <c r="C100" s="638">
        <f>B100*Inputs!$B$8</f>
        <v>371.38262884337809</v>
      </c>
      <c r="D100" s="12">
        <f>C100/((1+Inputs!$B$3)^(A100-Inputs!$B$5))</f>
        <v>231.27843625263461</v>
      </c>
      <c r="E100" s="12">
        <f>C100/((1+Inputs!$B$4)^(A100-Inputs!$B$5))</f>
        <v>301.96806297293011</v>
      </c>
      <c r="G100" s="416"/>
      <c r="H100" s="416"/>
      <c r="I100" s="416"/>
      <c r="K100" s="110">
        <f>Inputs!$B$7</f>
        <v>2027</v>
      </c>
      <c r="L100" s="20">
        <f>(O12)*Inputs!$B$81</f>
        <v>6366.5593516007666</v>
      </c>
      <c r="M100" s="638">
        <f>L100*Inputs!$B$8</f>
        <v>3713.826288433781</v>
      </c>
      <c r="N100" s="12">
        <f>M100/((1+Inputs!$B$3)^(K100-Inputs!$B$5))</f>
        <v>2312.7843625263463</v>
      </c>
      <c r="O100" s="12">
        <f>M100/((1+Inputs!$B$4)^(K100-Inputs!$B$5))</f>
        <v>3019.680629729301</v>
      </c>
      <c r="Q100" s="416"/>
      <c r="R100" s="416"/>
      <c r="S100" s="416"/>
    </row>
    <row r="101" spans="1:19">
      <c r="A101" s="109">
        <f>A75</f>
        <v>2028</v>
      </c>
      <c r="B101" s="20">
        <f>(G13)*Inputs!$B$81</f>
        <v>657.90730811811682</v>
      </c>
      <c r="C101" s="20">
        <f>B101</f>
        <v>657.90730811811682</v>
      </c>
      <c r="D101" s="12">
        <f>C101/((1+Inputs!$B$3)^(A101-Inputs!$B$5))</f>
        <v>382.90804328462002</v>
      </c>
      <c r="E101" s="12">
        <f>C101/((1+Inputs!$B$4)^(A101-Inputs!$B$5))</f>
        <v>519.35810435106521</v>
      </c>
      <c r="G101" s="416"/>
      <c r="H101" s="416"/>
      <c r="I101" s="416"/>
      <c r="K101" s="110">
        <f>A101</f>
        <v>2028</v>
      </c>
      <c r="L101" s="20">
        <f>(O13)*Inputs!$B$81</f>
        <v>6579.0730811811691</v>
      </c>
      <c r="M101" s="20">
        <f t="shared" ref="M101:M118" si="84">L101</f>
        <v>6579.0730811811691</v>
      </c>
      <c r="N101" s="12">
        <f>M101/((1+Inputs!$B$3)^(K101-Inputs!$B$5))</f>
        <v>3829.0804328462004</v>
      </c>
      <c r="O101" s="12">
        <f>M101/((1+Inputs!$B$4)^(K101-Inputs!$B$5))</f>
        <v>5193.5810435106532</v>
      </c>
      <c r="Q101" s="416"/>
      <c r="R101" s="416"/>
      <c r="S101" s="416"/>
    </row>
    <row r="102" spans="1:19">
      <c r="A102" s="109">
        <f>A76</f>
        <v>2029</v>
      </c>
      <c r="B102" s="20">
        <f>(G14)*Inputs!$B$81</f>
        <v>679.86804515753977</v>
      </c>
      <c r="C102" s="20">
        <f>B102</f>
        <v>679.86804515753977</v>
      </c>
      <c r="D102" s="12">
        <f>C102/((1+Inputs!$B$3)^(A102-Inputs!$B$5))</f>
        <v>369.80317026590916</v>
      </c>
      <c r="E102" s="12">
        <f>C102/((1+Inputs!$B$4)^(A102-Inputs!$B$5))</f>
        <v>521.06224559449106</v>
      </c>
      <c r="G102" s="416"/>
      <c r="H102" s="416"/>
      <c r="I102" s="416"/>
      <c r="K102" s="110">
        <f>A102</f>
        <v>2029</v>
      </c>
      <c r="L102" s="20">
        <f>(O14)*Inputs!$B$81</f>
        <v>6798.6804515753975</v>
      </c>
      <c r="M102" s="20">
        <f t="shared" si="84"/>
        <v>6798.6804515753975</v>
      </c>
      <c r="N102" s="12">
        <f>M102/((1+Inputs!$B$3)^(K102-Inputs!$B$5))</f>
        <v>3698.0317026590915</v>
      </c>
      <c r="O102" s="12">
        <f>M102/((1+Inputs!$B$4)^(K102-Inputs!$B$5))</f>
        <v>5210.6224559449101</v>
      </c>
      <c r="Q102" s="416"/>
      <c r="R102" s="416"/>
      <c r="S102" s="416"/>
    </row>
    <row r="103" spans="1:19">
      <c r="A103" s="109">
        <f t="shared" ref="A103:A120" si="85">A102+1</f>
        <v>2030</v>
      </c>
      <c r="B103" s="20">
        <f>(G15)*Inputs!$B$81</f>
        <v>702.56182462613765</v>
      </c>
      <c r="C103" s="20">
        <f t="shared" ref="C103:C118" si="86">B103</f>
        <v>702.56182462613765</v>
      </c>
      <c r="D103" s="12">
        <f>C103/((1+Inputs!$B$3)^(A103-Inputs!$B$5))</f>
        <v>357.1468062295728</v>
      </c>
      <c r="E103" s="12">
        <f>C103/((1+Inputs!$B$4)^(A103-Inputs!$B$5))</f>
        <v>522.77197854304927</v>
      </c>
      <c r="G103" s="416"/>
      <c r="H103" s="416"/>
      <c r="I103" s="416"/>
      <c r="K103" s="110">
        <f t="shared" ref="K103:K120" si="87">K102+1</f>
        <v>2030</v>
      </c>
      <c r="L103" s="20">
        <f>(O15)*Inputs!$B$81</f>
        <v>7025.618246261377</v>
      </c>
      <c r="M103" s="20">
        <f t="shared" si="84"/>
        <v>7025.618246261377</v>
      </c>
      <c r="N103" s="12">
        <f>M103/((1+Inputs!$B$3)^(K103-Inputs!$B$5))</f>
        <v>3571.4680622957285</v>
      </c>
      <c r="O103" s="12">
        <f>M103/((1+Inputs!$B$4)^(K103-Inputs!$B$5))</f>
        <v>5227.7197854304923</v>
      </c>
      <c r="Q103" s="416"/>
      <c r="R103" s="416"/>
      <c r="S103" s="416"/>
    </row>
    <row r="104" spans="1:19">
      <c r="A104" s="109">
        <f t="shared" si="85"/>
        <v>2031</v>
      </c>
      <c r="B104" s="20">
        <f>(G16)*Inputs!$B$81</f>
        <v>726.01311524743244</v>
      </c>
      <c r="C104" s="20">
        <f t="shared" si="86"/>
        <v>726.01311524743244</v>
      </c>
      <c r="D104" s="12">
        <f>C104/((1+Inputs!$B$3)^(A104-Inputs!$B$5))</f>
        <v>344.92360113696589</v>
      </c>
      <c r="E104" s="12">
        <f>C104/((1+Inputs!$B$4)^(A104-Inputs!$B$5))</f>
        <v>524.48732154449453</v>
      </c>
      <c r="G104" s="416"/>
      <c r="H104" s="416"/>
      <c r="I104" s="416"/>
      <c r="K104" s="110">
        <f t="shared" si="87"/>
        <v>2031</v>
      </c>
      <c r="L104" s="20">
        <f>(O16)*Inputs!$B$81</f>
        <v>7260.1311524743232</v>
      </c>
      <c r="M104" s="20">
        <f t="shared" si="84"/>
        <v>7260.1311524743232</v>
      </c>
      <c r="N104" s="12">
        <f>M104/((1+Inputs!$B$3)^(K104-Inputs!$B$5))</f>
        <v>3449.2360113696586</v>
      </c>
      <c r="O104" s="12">
        <f>M104/((1+Inputs!$B$4)^(K104-Inputs!$B$5))</f>
        <v>5244.8732154449435</v>
      </c>
      <c r="Q104" s="416"/>
      <c r="R104" s="416"/>
      <c r="S104" s="416"/>
    </row>
    <row r="105" spans="1:19">
      <c r="A105" s="109">
        <f t="shared" si="85"/>
        <v>2032</v>
      </c>
      <c r="B105" s="20">
        <f>(G17)*Inputs!$B$81</f>
        <v>750.24720250316898</v>
      </c>
      <c r="C105" s="20">
        <f t="shared" si="86"/>
        <v>750.24720250316898</v>
      </c>
      <c r="D105" s="12">
        <f>C105/((1+Inputs!$B$3)^(A105-Inputs!$B$5))</f>
        <v>333.11873029831276</v>
      </c>
      <c r="E105" s="12">
        <f>C105/((1+Inputs!$B$4)^(A105-Inputs!$B$5))</f>
        <v>526.20829300678599</v>
      </c>
      <c r="G105" s="416"/>
      <c r="H105" s="416"/>
      <c r="I105" s="416"/>
      <c r="K105" s="110">
        <f t="shared" si="87"/>
        <v>2032</v>
      </c>
      <c r="L105" s="20">
        <f>(O17)*Inputs!$B$81</f>
        <v>7502.4720250316905</v>
      </c>
      <c r="M105" s="20">
        <f t="shared" si="84"/>
        <v>7502.4720250316905</v>
      </c>
      <c r="N105" s="12">
        <f>M105/((1+Inputs!$B$3)^(K105-Inputs!$B$5))</f>
        <v>3331.1873029831277</v>
      </c>
      <c r="O105" s="12">
        <f>M105/((1+Inputs!$B$4)^(K105-Inputs!$B$5))</f>
        <v>5262.0829300678597</v>
      </c>
      <c r="Q105" s="416"/>
      <c r="R105" s="416"/>
      <c r="S105" s="416"/>
    </row>
    <row r="106" spans="1:19">
      <c r="A106" s="109">
        <f t="shared" si="85"/>
        <v>2033</v>
      </c>
      <c r="B106" s="20">
        <f>(G18)*Inputs!$B$81</f>
        <v>775.29021589644287</v>
      </c>
      <c r="C106" s="20">
        <f t="shared" si="86"/>
        <v>775.29021589644287</v>
      </c>
      <c r="D106" s="12">
        <f>C106/((1+Inputs!$B$3)^(A106-Inputs!$B$5))</f>
        <v>321.71787639285253</v>
      </c>
      <c r="E106" s="12">
        <f>C106/((1+Inputs!$B$4)^(A106-Inputs!$B$5))</f>
        <v>527.93491139828302</v>
      </c>
      <c r="G106" s="416"/>
      <c r="H106" s="416"/>
      <c r="I106" s="416"/>
      <c r="K106" s="110">
        <f t="shared" si="87"/>
        <v>2033</v>
      </c>
      <c r="L106" s="20">
        <f>(O18)*Inputs!$B$81</f>
        <v>7752.902158964429</v>
      </c>
      <c r="M106" s="20">
        <f t="shared" si="84"/>
        <v>7752.902158964429</v>
      </c>
      <c r="N106" s="12">
        <f>M106/((1+Inputs!$B$3)^(K106-Inputs!$B$5))</f>
        <v>3217.1787639285258</v>
      </c>
      <c r="O106" s="12">
        <f>M106/((1+Inputs!$B$4)^(K106-Inputs!$B$5))</f>
        <v>5279.3491139828302</v>
      </c>
      <c r="Q106" s="416"/>
      <c r="R106" s="416"/>
      <c r="S106" s="416"/>
    </row>
    <row r="107" spans="1:19">
      <c r="A107" s="109">
        <f t="shared" si="85"/>
        <v>2034</v>
      </c>
      <c r="B107" s="20">
        <f>(G19)*Inputs!$B$81</f>
        <v>801.16915712486684</v>
      </c>
      <c r="C107" s="20">
        <f t="shared" si="86"/>
        <v>801.16915712486684</v>
      </c>
      <c r="D107" s="12">
        <f>C107/((1+Inputs!$B$3)^(A107-Inputs!$B$5))</f>
        <v>310.70721210434152</v>
      </c>
      <c r="E107" s="12">
        <f>C107/((1+Inputs!$B$4)^(A107-Inputs!$B$5))</f>
        <v>529.66719524794462</v>
      </c>
      <c r="G107" s="416"/>
      <c r="H107" s="416"/>
      <c r="I107" s="416"/>
      <c r="K107" s="110">
        <f t="shared" si="87"/>
        <v>2034</v>
      </c>
      <c r="L107" s="20">
        <f>(O19)*Inputs!$B$81</f>
        <v>8011.691571248668</v>
      </c>
      <c r="M107" s="20">
        <f t="shared" si="84"/>
        <v>8011.691571248668</v>
      </c>
      <c r="N107" s="12">
        <f>M107/((1+Inputs!$B$3)^(K107-Inputs!$B$5))</f>
        <v>3107.0721210434149</v>
      </c>
      <c r="O107" s="12">
        <f>M107/((1+Inputs!$B$4)^(K107-Inputs!$B$5))</f>
        <v>5296.6719524794453</v>
      </c>
      <c r="Q107" s="416"/>
      <c r="R107" s="416"/>
      <c r="S107" s="416"/>
    </row>
    <row r="108" spans="1:19">
      <c r="A108" s="109">
        <f t="shared" si="85"/>
        <v>2035</v>
      </c>
      <c r="B108" s="20">
        <f>(G20)*Inputs!$B$81</f>
        <v>827.91192919414482</v>
      </c>
      <c r="C108" s="20">
        <f t="shared" si="86"/>
        <v>827.91192919414482</v>
      </c>
      <c r="D108" s="12">
        <f>C108/((1+Inputs!$B$3)^(A108-Inputs!$B$5))</f>
        <v>300.07338335084489</v>
      </c>
      <c r="E108" s="12">
        <f>C108/((1+Inputs!$B$4)^(A108-Inputs!$B$5))</f>
        <v>531.40516314552724</v>
      </c>
      <c r="G108" s="416"/>
      <c r="H108" s="416"/>
      <c r="I108" s="416"/>
      <c r="K108" s="110">
        <f t="shared" si="87"/>
        <v>2035</v>
      </c>
      <c r="L108" s="20">
        <f>(O20)*Inputs!$B$81</f>
        <v>8279.119291941448</v>
      </c>
      <c r="M108" s="20">
        <f t="shared" si="84"/>
        <v>8279.119291941448</v>
      </c>
      <c r="N108" s="12">
        <f>M108/((1+Inputs!$B$3)^(K108-Inputs!$B$5))</f>
        <v>3000.7338335084492</v>
      </c>
      <c r="O108" s="12">
        <f>M108/((1+Inputs!$B$4)^(K108-Inputs!$B$5))</f>
        <v>5314.0516314552724</v>
      </c>
      <c r="Q108" s="416"/>
      <c r="R108" s="416"/>
      <c r="S108" s="416"/>
    </row>
    <row r="109" spans="1:19">
      <c r="A109" s="109">
        <f t="shared" si="85"/>
        <v>2036</v>
      </c>
      <c r="B109" s="20">
        <f>(G21)*Inputs!$B$81</f>
        <v>855.54736650345296</v>
      </c>
      <c r="C109" s="20">
        <f t="shared" si="86"/>
        <v>855.54736650345296</v>
      </c>
      <c r="D109" s="12">
        <f>C109/((1+Inputs!$B$3)^(A109-Inputs!$B$5))</f>
        <v>289.80349308848565</v>
      </c>
      <c r="E109" s="12">
        <f>C109/((1+Inputs!$B$4)^(A109-Inputs!$B$5))</f>
        <v>533.14883374178623</v>
      </c>
      <c r="G109" s="416"/>
      <c r="H109" s="416"/>
      <c r="I109" s="416"/>
      <c r="K109" s="110">
        <f t="shared" si="87"/>
        <v>2036</v>
      </c>
      <c r="L109" s="20">
        <f>(O21)*Inputs!$B$81</f>
        <v>8555.4736650345312</v>
      </c>
      <c r="M109" s="20">
        <f t="shared" si="84"/>
        <v>8555.4736650345312</v>
      </c>
      <c r="N109" s="12">
        <f>M109/((1+Inputs!$B$3)^(K109-Inputs!$B$5))</f>
        <v>2898.0349308848572</v>
      </c>
      <c r="O109" s="12">
        <f>M109/((1+Inputs!$B$4)^(K109-Inputs!$B$5))</f>
        <v>5331.4883374178626</v>
      </c>
      <c r="Q109" s="416"/>
      <c r="R109" s="416"/>
      <c r="S109" s="416"/>
    </row>
    <row r="110" spans="1:19">
      <c r="A110" s="109">
        <f t="shared" si="85"/>
        <v>2037</v>
      </c>
      <c r="B110" s="20">
        <f>(G22)*Inputs!$B$81</f>
        <v>884.10526593505506</v>
      </c>
      <c r="C110" s="20">
        <f t="shared" si="86"/>
        <v>884.10526593505506</v>
      </c>
      <c r="D110" s="12">
        <f>C110/((1+Inputs!$B$3)^(A110-Inputs!$B$5))</f>
        <v>279.88508566950009</v>
      </c>
      <c r="E110" s="12">
        <f>C110/((1+Inputs!$B$4)^(A110-Inputs!$B$5))</f>
        <v>534.89822574867333</v>
      </c>
      <c r="G110" s="416"/>
      <c r="H110" s="416"/>
      <c r="I110" s="416"/>
      <c r="K110" s="110">
        <f t="shared" si="87"/>
        <v>2037</v>
      </c>
      <c r="L110" s="20">
        <f>(O22)*Inputs!$B$81</f>
        <v>8841.052659350551</v>
      </c>
      <c r="M110" s="20">
        <f t="shared" si="84"/>
        <v>8841.052659350551</v>
      </c>
      <c r="N110" s="12">
        <f>M110/((1+Inputs!$B$3)^(K110-Inputs!$B$5))</f>
        <v>2798.8508566950009</v>
      </c>
      <c r="O110" s="12">
        <f>M110/((1+Inputs!$B$4)^(K110-Inputs!$B$5))</f>
        <v>5348.982257486733</v>
      </c>
      <c r="Q110" s="416"/>
      <c r="R110" s="416"/>
      <c r="S110" s="416"/>
    </row>
    <row r="111" spans="1:19">
      <c r="A111" s="109">
        <f t="shared" si="85"/>
        <v>2038</v>
      </c>
      <c r="B111" s="20">
        <f>(G23)*Inputs!$B$81</f>
        <v>913.6164189816833</v>
      </c>
      <c r="C111" s="20">
        <f t="shared" si="86"/>
        <v>913.6164189816833</v>
      </c>
      <c r="D111" s="12">
        <f>C111/((1+Inputs!$B$3)^(A111-Inputs!$B$5))</f>
        <v>270.30613173563501</v>
      </c>
      <c r="E111" s="12">
        <f>C111/((1+Inputs!$B$4)^(A111-Inputs!$B$5))</f>
        <v>536.65335793953921</v>
      </c>
      <c r="G111" s="416"/>
      <c r="H111" s="416"/>
      <c r="I111" s="416"/>
      <c r="K111" s="110">
        <f t="shared" si="87"/>
        <v>2038</v>
      </c>
      <c r="L111" s="20">
        <f>(O23)*Inputs!$B$81</f>
        <v>9136.1641898168346</v>
      </c>
      <c r="M111" s="20">
        <f t="shared" si="84"/>
        <v>9136.1641898168346</v>
      </c>
      <c r="N111" s="12">
        <f>M111/((1+Inputs!$B$3)^(K111-Inputs!$B$5))</f>
        <v>2703.0613173563506</v>
      </c>
      <c r="O111" s="12">
        <f>M111/((1+Inputs!$B$4)^(K111-Inputs!$B$5))</f>
        <v>5366.5335793953936</v>
      </c>
      <c r="Q111" s="416"/>
      <c r="R111" s="416"/>
      <c r="S111" s="416"/>
    </row>
    <row r="112" spans="1:19">
      <c r="A112" s="109">
        <f t="shared" si="85"/>
        <v>2039</v>
      </c>
      <c r="B112" s="20">
        <f>(G24)*Inputs!$B$81</f>
        <v>944.11264494631973</v>
      </c>
      <c r="C112" s="20">
        <f t="shared" si="86"/>
        <v>944.11264494631973</v>
      </c>
      <c r="D112" s="12">
        <f>C112/((1+Inputs!$B$3)^(A112-Inputs!$B$5))</f>
        <v>261.05501362856143</v>
      </c>
      <c r="E112" s="12">
        <f>C112/((1+Inputs!$B$4)^(A112-Inputs!$B$5))</f>
        <v>538.4142491493343</v>
      </c>
      <c r="G112" s="416"/>
      <c r="H112" s="416"/>
      <c r="I112" s="416"/>
      <c r="K112" s="110">
        <f t="shared" si="87"/>
        <v>2039</v>
      </c>
      <c r="L112" s="20">
        <f>(O24)*Inputs!$B$81</f>
        <v>9441.1264494631996</v>
      </c>
      <c r="M112" s="20">
        <f t="shared" si="84"/>
        <v>9441.1264494631996</v>
      </c>
      <c r="N112" s="12">
        <f>M112/((1+Inputs!$B$3)^(K112-Inputs!$B$5))</f>
        <v>2610.5501362856148</v>
      </c>
      <c r="O112" s="12">
        <f>M112/((1+Inputs!$B$4)^(K112-Inputs!$B$5))</f>
        <v>5384.142491493345</v>
      </c>
      <c r="Q112" s="416"/>
      <c r="R112" s="416"/>
      <c r="S112" s="416"/>
    </row>
    <row r="113" spans="1:19">
      <c r="A113" s="109">
        <f t="shared" si="85"/>
        <v>2040</v>
      </c>
      <c r="B113" s="20">
        <f>(G25)*Inputs!$B$81</f>
        <v>975.62682525017817</v>
      </c>
      <c r="C113" s="20">
        <f t="shared" si="86"/>
        <v>975.62682525017817</v>
      </c>
      <c r="D113" s="12">
        <f>C113/((1+Inputs!$B$3)^(A113-Inputs!$B$5))</f>
        <v>252.12051129961159</v>
      </c>
      <c r="E113" s="12">
        <f>C113/((1+Inputs!$B$4)^(A113-Inputs!$B$5))</f>
        <v>540.18091827481203</v>
      </c>
      <c r="G113" s="416"/>
      <c r="H113" s="416"/>
      <c r="I113" s="416"/>
      <c r="K113" s="110">
        <f t="shared" si="87"/>
        <v>2040</v>
      </c>
      <c r="L113" s="20">
        <f>(O25)*Inputs!$B$81</f>
        <v>9756.2682525017808</v>
      </c>
      <c r="M113" s="20">
        <f t="shared" si="84"/>
        <v>9756.2682525017808</v>
      </c>
      <c r="N113" s="12">
        <f>M113/((1+Inputs!$B$3)^(K113-Inputs!$B$5))</f>
        <v>2521.2051129961155</v>
      </c>
      <c r="O113" s="12">
        <f>M113/((1+Inputs!$B$4)^(K113-Inputs!$B$5))</f>
        <v>5401.8091827481194</v>
      </c>
      <c r="Q113" s="416"/>
      <c r="R113" s="416"/>
      <c r="S113" s="416"/>
    </row>
    <row r="114" spans="1:19">
      <c r="A114" s="109">
        <f t="shared" si="85"/>
        <v>2041</v>
      </c>
      <c r="B114" s="20">
        <f>(G26)*Inputs!$B$81</f>
        <v>1008.1929388858695</v>
      </c>
      <c r="C114" s="20">
        <f t="shared" si="86"/>
        <v>1008.1929388858695</v>
      </c>
      <c r="D114" s="12">
        <f>C114/((1+Inputs!$B$3)^(A114-Inputs!$B$5))</f>
        <v>243.49178870174771</v>
      </c>
      <c r="E114" s="12">
        <f>C114/((1+Inputs!$B$4)^(A114-Inputs!$B$5))</f>
        <v>541.9533842747295</v>
      </c>
      <c r="G114" s="416"/>
      <c r="H114" s="416"/>
      <c r="I114" s="416"/>
      <c r="K114" s="110">
        <f t="shared" si="87"/>
        <v>2041</v>
      </c>
      <c r="L114" s="20">
        <f>(O26)*Inputs!$B$81</f>
        <v>10081.929388858694</v>
      </c>
      <c r="M114" s="20">
        <f t="shared" si="84"/>
        <v>10081.929388858694</v>
      </c>
      <c r="N114" s="12">
        <f>M114/((1+Inputs!$B$3)^(K114-Inputs!$B$5))</f>
        <v>2434.9178870174769</v>
      </c>
      <c r="O114" s="12">
        <f>M114/((1+Inputs!$B$4)^(K114-Inputs!$B$5))</f>
        <v>5419.5338427472943</v>
      </c>
      <c r="Q114" s="416"/>
      <c r="R114" s="416"/>
      <c r="S114" s="416"/>
    </row>
    <row r="115" spans="1:19">
      <c r="A115" s="109">
        <f t="shared" si="85"/>
        <v>2042</v>
      </c>
      <c r="B115" s="20">
        <f>(G27)*Inputs!$B$81</f>
        <v>1041.8460990539891</v>
      </c>
      <c r="C115" s="20">
        <f t="shared" si="86"/>
        <v>1041.8460990539891</v>
      </c>
      <c r="D115" s="12">
        <f>C115/((1+Inputs!$B$3)^(A115-Inputs!$B$5))</f>
        <v>235.15838064726256</v>
      </c>
      <c r="E115" s="12">
        <f>C115/((1+Inputs!$B$4)^(A115-Inputs!$B$5))</f>
        <v>543.73166617005222</v>
      </c>
      <c r="G115" s="416"/>
      <c r="H115" s="416"/>
      <c r="I115" s="416"/>
      <c r="K115" s="110">
        <f t="shared" si="87"/>
        <v>2042</v>
      </c>
      <c r="L115" s="20">
        <f>(O27)*Inputs!$B$81</f>
        <v>10418.46099053989</v>
      </c>
      <c r="M115" s="20">
        <f t="shared" si="84"/>
        <v>10418.46099053989</v>
      </c>
      <c r="N115" s="12">
        <f>M115/((1+Inputs!$B$3)^(K115-Inputs!$B$5))</f>
        <v>2351.5838064726254</v>
      </c>
      <c r="O115" s="12">
        <f>M115/((1+Inputs!$B$4)^(K115-Inputs!$B$5))</f>
        <v>5437.3166617005227</v>
      </c>
      <c r="Q115" s="416"/>
      <c r="R115" s="416"/>
      <c r="S115" s="416"/>
    </row>
    <row r="116" spans="1:19">
      <c r="A116" s="109">
        <f t="shared" si="85"/>
        <v>2043</v>
      </c>
      <c r="B116" s="20">
        <f>(G28)*Inputs!$B$81</f>
        <v>1076.6225910226199</v>
      </c>
      <c r="C116" s="20">
        <f t="shared" si="86"/>
        <v>1076.6225910226199</v>
      </c>
      <c r="D116" s="12">
        <f>C116/((1+Inputs!$B$3)^(A116-Inputs!$B$5))</f>
        <v>227.11018011526861</v>
      </c>
      <c r="E116" s="12">
        <f>C116/((1+Inputs!$B$4)^(A116-Inputs!$B$5))</f>
        <v>545.51578304415932</v>
      </c>
      <c r="G116" s="416"/>
      <c r="H116" s="416"/>
      <c r="I116" s="416"/>
      <c r="K116" s="110">
        <f t="shared" si="87"/>
        <v>2043</v>
      </c>
      <c r="L116" s="20">
        <f>(O28)*Inputs!$B$81</f>
        <v>10766.225910226198</v>
      </c>
      <c r="M116" s="20">
        <f t="shared" si="84"/>
        <v>10766.225910226198</v>
      </c>
      <c r="N116" s="12">
        <f>M116/((1+Inputs!$B$3)^(K116-Inputs!$B$5))</f>
        <v>2271.1018011526858</v>
      </c>
      <c r="O116" s="12">
        <f>M116/((1+Inputs!$B$4)^(K116-Inputs!$B$5))</f>
        <v>5455.1578304415925</v>
      </c>
      <c r="Q116" s="416"/>
      <c r="R116" s="416"/>
      <c r="S116" s="416"/>
    </row>
    <row r="117" spans="1:19">
      <c r="A117" s="109">
        <f t="shared" si="85"/>
        <v>2044</v>
      </c>
      <c r="B117" s="20">
        <f>(G29)*Inputs!$B$81</f>
        <v>1112.5599112505708</v>
      </c>
      <c r="C117" s="20">
        <f t="shared" si="86"/>
        <v>1112.5599112505708</v>
      </c>
      <c r="D117" s="12">
        <f>C117/((1+Inputs!$B$3)^(A117-Inputs!$B$5))</f>
        <v>219.33742599358291</v>
      </c>
      <c r="E117" s="12">
        <f>C117/((1+Inputs!$B$4)^(A117-Inputs!$B$5))</f>
        <v>547.30575404304636</v>
      </c>
      <c r="G117" s="416"/>
      <c r="H117" s="416"/>
      <c r="I117" s="416"/>
      <c r="K117" s="110">
        <f t="shared" si="87"/>
        <v>2044</v>
      </c>
      <c r="L117" s="20">
        <f>(O29)*Inputs!$B$81</f>
        <v>11125.599112505708</v>
      </c>
      <c r="M117" s="20">
        <f t="shared" si="84"/>
        <v>11125.599112505708</v>
      </c>
      <c r="N117" s="12">
        <f>M117/((1+Inputs!$B$3)^(K117-Inputs!$B$5))</f>
        <v>2193.3742599358288</v>
      </c>
      <c r="O117" s="12">
        <f>M117/((1+Inputs!$B$4)^(K117-Inputs!$B$5))</f>
        <v>5473.0575404304636</v>
      </c>
      <c r="Q117" s="416"/>
      <c r="R117" s="416"/>
      <c r="S117" s="416"/>
    </row>
    <row r="118" spans="1:19">
      <c r="A118" s="109">
        <f t="shared" si="85"/>
        <v>2045</v>
      </c>
      <c r="B118" s="20">
        <f>(G30)*Inputs!$B$81</f>
        <v>1149.6968078165398</v>
      </c>
      <c r="C118" s="20">
        <f t="shared" si="86"/>
        <v>1149.6968078165398</v>
      </c>
      <c r="D118" s="12">
        <f>C118/((1+Inputs!$B$3)^(A118-Inputs!$B$5))</f>
        <v>211.83069124014182</v>
      </c>
      <c r="E118" s="12">
        <f>C118/((1+Inputs!$B$4)^(A118-Inputs!$B$5))</f>
        <v>549.10159837553147</v>
      </c>
      <c r="G118" s="416"/>
      <c r="H118" s="416"/>
      <c r="I118" s="416"/>
      <c r="K118" s="110">
        <f t="shared" si="87"/>
        <v>2045</v>
      </c>
      <c r="L118" s="20">
        <f>(O30)*Inputs!$B$81</f>
        <v>11496.968078165399</v>
      </c>
      <c r="M118" s="20">
        <f t="shared" si="84"/>
        <v>11496.968078165399</v>
      </c>
      <c r="N118" s="12">
        <f>M118/((1+Inputs!$B$3)^(K118-Inputs!$B$5))</f>
        <v>2118.3069124014182</v>
      </c>
      <c r="O118" s="12">
        <f>M118/((1+Inputs!$B$4)^(K118-Inputs!$B$5))</f>
        <v>5491.0159837553147</v>
      </c>
      <c r="Q118" s="416"/>
      <c r="R118" s="416"/>
      <c r="S118" s="416"/>
    </row>
    <row r="119" spans="1:19" s="416" customFormat="1">
      <c r="A119" s="109">
        <f t="shared" si="85"/>
        <v>2046</v>
      </c>
      <c r="B119" s="20">
        <f>(G31)*Inputs!$B$81</f>
        <v>1188.073322197788</v>
      </c>
      <c r="C119" s="20">
        <f t="shared" ref="C119" si="88">B119</f>
        <v>1188.073322197788</v>
      </c>
      <c r="D119" s="12">
        <f>C119/((1+Inputs!$B$3)^(A119-Inputs!$B$5))</f>
        <v>204.58087144958617</v>
      </c>
      <c r="E119" s="12">
        <f>C119/((1+Inputs!$B$4)^(A119-Inputs!$B$5))</f>
        <v>550.90333531346175</v>
      </c>
      <c r="K119" s="110">
        <f t="shared" si="87"/>
        <v>2046</v>
      </c>
      <c r="L119" s="20">
        <f>(O31)*Inputs!$B$81</f>
        <v>11880.73322197788</v>
      </c>
      <c r="M119" s="20">
        <f t="shared" ref="M119" si="89">L119</f>
        <v>11880.73322197788</v>
      </c>
      <c r="N119" s="12">
        <f>M119/((1+Inputs!$B$3)^(K119-Inputs!$B$5))</f>
        <v>2045.8087144958618</v>
      </c>
      <c r="O119" s="12">
        <f>M119/((1+Inputs!$B$4)^(K119-Inputs!$B$5))</f>
        <v>5509.0333531346178</v>
      </c>
    </row>
    <row r="120" spans="1:19">
      <c r="A120" s="109">
        <f t="shared" si="85"/>
        <v>2047</v>
      </c>
      <c r="B120" s="20">
        <f>(G32)*Inputs!$B$81</f>
        <v>1227.730832443372</v>
      </c>
      <c r="C120" s="638">
        <f>B120*(1-Inputs!$B$8)</f>
        <v>511.55451351807164</v>
      </c>
      <c r="D120" s="12">
        <f>C120/((1+Inputs!$B$3)^(A120-Inputs!$B$5))</f>
        <v>82.324655754645889</v>
      </c>
      <c r="E120" s="12">
        <f>C120/((1+Inputs!$B$4)^(A120-Inputs!$B$5))</f>
        <v>230.2962434133</v>
      </c>
      <c r="F120" s="416"/>
      <c r="G120" s="416"/>
      <c r="H120" s="416"/>
      <c r="I120" s="416"/>
      <c r="J120" s="416"/>
      <c r="K120" s="110">
        <f t="shared" si="87"/>
        <v>2047</v>
      </c>
      <c r="L120" s="20">
        <f>(O32)*Inputs!$B$81</f>
        <v>12277.308324433721</v>
      </c>
      <c r="M120" s="638">
        <f>L120*(1-Inputs!$B$8)</f>
        <v>5115.5451351807169</v>
      </c>
      <c r="N120" s="12">
        <f>M120/((1+Inputs!$B$3)^(K120-Inputs!$B$5))</f>
        <v>823.24655754645892</v>
      </c>
      <c r="O120" s="12">
        <f>M120/((1+Inputs!$B$4)^(K120-Inputs!$B$5))</f>
        <v>2302.9624341330004</v>
      </c>
      <c r="Q120" s="416"/>
      <c r="R120" s="416"/>
      <c r="S120" s="416"/>
    </row>
    <row r="121" spans="1:19">
      <c r="A121" s="34" t="s">
        <v>4</v>
      </c>
      <c r="B121" s="157">
        <f>SUM(B100:B120)</f>
        <v>18935.355757315363</v>
      </c>
      <c r="C121" s="157">
        <f>SUM(C100:C120)</f>
        <v>17953.906132073367</v>
      </c>
      <c r="D121" s="157">
        <f>SUM(D100:D120)</f>
        <v>5728.6814886400844</v>
      </c>
      <c r="E121" s="157">
        <f>SUM(E100:E120)</f>
        <v>10696.966625292996</v>
      </c>
      <c r="G121" s="416"/>
      <c r="H121" s="416"/>
      <c r="I121" s="416"/>
      <c r="K121" s="34" t="s">
        <v>4</v>
      </c>
      <c r="L121" s="157">
        <f>SUM(L100:L120)</f>
        <v>189353.55757315367</v>
      </c>
      <c r="M121" s="157">
        <f>SUM(M100:M120)</f>
        <v>179539.06132073369</v>
      </c>
      <c r="N121" s="157">
        <f>SUM(N100:N120)</f>
        <v>57286.814886400833</v>
      </c>
      <c r="O121" s="157">
        <f>SUM(O100:O120)</f>
        <v>106969.66625292996</v>
      </c>
      <c r="Q121" s="416"/>
      <c r="R121" s="416"/>
      <c r="S121" s="416"/>
    </row>
    <row r="122" spans="1:19">
      <c r="D122" s="416"/>
      <c r="G122" s="416"/>
      <c r="H122" s="416"/>
      <c r="I122" s="416"/>
    </row>
    <row r="124" spans="1:19">
      <c r="A124" s="167" t="s">
        <v>441</v>
      </c>
      <c r="K124" s="167" t="s">
        <v>441</v>
      </c>
    </row>
    <row r="125" spans="1:19" ht="45">
      <c r="A125" s="190" t="s">
        <v>1</v>
      </c>
      <c r="B125" s="190" t="s">
        <v>441</v>
      </c>
      <c r="C125" s="190" t="s">
        <v>0</v>
      </c>
      <c r="D125" s="405" t="s">
        <v>796</v>
      </c>
      <c r="E125" s="190" t="s">
        <v>13</v>
      </c>
      <c r="F125" s="190" t="s">
        <v>14</v>
      </c>
      <c r="G125" s="416"/>
      <c r="H125" s="416"/>
      <c r="I125" s="416"/>
      <c r="K125" s="193" t="s">
        <v>1</v>
      </c>
      <c r="L125" s="193" t="s">
        <v>441</v>
      </c>
      <c r="M125" s="193" t="s">
        <v>0</v>
      </c>
      <c r="N125" s="405" t="s">
        <v>796</v>
      </c>
      <c r="O125" s="193" t="s">
        <v>13</v>
      </c>
      <c r="P125" s="193" t="s">
        <v>14</v>
      </c>
      <c r="Q125" s="416"/>
      <c r="R125" s="416"/>
      <c r="S125" s="416"/>
    </row>
    <row r="126" spans="1:19">
      <c r="A126" s="109">
        <f>A100</f>
        <v>2027</v>
      </c>
      <c r="B126" s="20">
        <f>(D12)*Inputs!$B$82*(1-Inputs!$B$46)</f>
        <v>3292.9501368615192</v>
      </c>
      <c r="C126" s="20">
        <f>B126</f>
        <v>3292.9501368615192</v>
      </c>
      <c r="D126" s="640">
        <f>C126*(1-VLOOKUP(A126,'Transportation Electrification'!$O$7:$P$35,2,FALSE))*Inputs!$B$8</f>
        <v>1800.1460748176307</v>
      </c>
      <c r="E126" s="12">
        <f>D126/((1+Inputs!$B$3)^(A126-Inputs!$B$5))</f>
        <v>1121.0405034472394</v>
      </c>
      <c r="F126" s="12">
        <f>D126/((1+Inputs!$B$4)^(A126-Inputs!$B$5))</f>
        <v>1463.6834926122733</v>
      </c>
      <c r="G126" s="416"/>
      <c r="H126" s="416"/>
      <c r="I126" s="416"/>
      <c r="K126" s="110">
        <f>A126</f>
        <v>2027</v>
      </c>
      <c r="L126" s="20">
        <f>(L12)*Inputs!$B$82*(1-Inputs!$B$46)</f>
        <v>32929.501368615194</v>
      </c>
      <c r="M126" s="20">
        <f>L126</f>
        <v>32929.501368615194</v>
      </c>
      <c r="N126" s="640">
        <f>M126*(1-VLOOKUP(K126,'Transportation Electrification'!$O$7:$P$35,2,FALSE))*Inputs!$B$8</f>
        <v>18001.460748176309</v>
      </c>
      <c r="O126" s="12">
        <f>N126/((1+Inputs!$B$3)^(K126-Inputs!$B$5))</f>
        <v>11210.405034472395</v>
      </c>
      <c r="P126" s="12">
        <f>N126/((1+Inputs!$B$4)^(K126-Inputs!$B$5))</f>
        <v>14636.834926122734</v>
      </c>
      <c r="Q126" s="416"/>
      <c r="R126" s="416"/>
      <c r="S126" s="416"/>
    </row>
    <row r="127" spans="1:19">
      <c r="A127" s="109">
        <f>A101</f>
        <v>2028</v>
      </c>
      <c r="B127" s="20">
        <f>(D13)*Inputs!$B$82*(1-Inputs!$B$46)</f>
        <v>3402.8677668182368</v>
      </c>
      <c r="C127" s="20">
        <f>B127</f>
        <v>3402.8677668182368</v>
      </c>
      <c r="D127" s="406">
        <f>C127*(1-VLOOKUP(A127,'Transportation Electrification'!$O$7:$P$35,2,FALSE))</f>
        <v>3159.8057834740771</v>
      </c>
      <c r="E127" s="12">
        <f>D127/((1+Inputs!$B$3)^(A127-Inputs!$B$5))</f>
        <v>1839.0357346391772</v>
      </c>
      <c r="F127" s="12">
        <f>D127/((1+Inputs!$B$4)^(A127-Inputs!$B$5))</f>
        <v>2494.379864113017</v>
      </c>
      <c r="G127" s="416"/>
      <c r="H127" s="416"/>
      <c r="I127" s="416"/>
      <c r="K127" s="110">
        <f>A127</f>
        <v>2028</v>
      </c>
      <c r="L127" s="20">
        <f>(L13)*Inputs!$B$82*(1-Inputs!$B$46)</f>
        <v>34028.677668182369</v>
      </c>
      <c r="M127" s="20">
        <f>L127</f>
        <v>34028.677668182369</v>
      </c>
      <c r="N127" s="406">
        <f>M127*(1-VLOOKUP(K127,'Transportation Electrification'!$O$7:$P$35,2,FALSE))</f>
        <v>31598.057834740772</v>
      </c>
      <c r="O127" s="12">
        <f>N127/((1+Inputs!$B$3)^(K127-Inputs!$B$5))</f>
        <v>18390.357346391775</v>
      </c>
      <c r="P127" s="12">
        <f>N127/((1+Inputs!$B$4)^(K127-Inputs!$B$5))</f>
        <v>24943.798641130172</v>
      </c>
      <c r="Q127" s="416"/>
      <c r="R127" s="416"/>
      <c r="S127" s="416"/>
    </row>
    <row r="128" spans="1:19">
      <c r="A128" s="109">
        <f>A102</f>
        <v>2029</v>
      </c>
      <c r="B128" s="20">
        <f>(D14)*Inputs!$B$82*(1-Inputs!$B$46)</f>
        <v>3516.4544123607234</v>
      </c>
      <c r="C128" s="20">
        <f>B128</f>
        <v>3516.4544123607234</v>
      </c>
      <c r="D128" s="406">
        <f>C128*(1-VLOOKUP(A128,'Transportation Electrification'!$O$7:$P$35,2,FALSE))</f>
        <v>3235.1380593718654</v>
      </c>
      <c r="E128" s="12">
        <f>D128/((1+Inputs!$B$3)^(A128-Inputs!$B$5))</f>
        <v>1759.7007524105563</v>
      </c>
      <c r="F128" s="12">
        <f>D128/((1+Inputs!$B$4)^(A128-Inputs!$B$5))</f>
        <v>2479.4639401442878</v>
      </c>
      <c r="G128" s="416"/>
      <c r="H128" s="416"/>
      <c r="I128" s="416"/>
      <c r="K128" s="110">
        <f>A128</f>
        <v>2029</v>
      </c>
      <c r="L128" s="20">
        <f>(L14)*Inputs!$B$82*(1-Inputs!$B$46)</f>
        <v>35164.544123607229</v>
      </c>
      <c r="M128" s="20">
        <f>L128</f>
        <v>35164.544123607229</v>
      </c>
      <c r="N128" s="406">
        <f>M128*(1-VLOOKUP(K128,'Transportation Electrification'!$O$7:$P$35,2,FALSE))</f>
        <v>32351.380593718648</v>
      </c>
      <c r="O128" s="12">
        <f>N128/((1+Inputs!$B$3)^(K128-Inputs!$B$5))</f>
        <v>17597.00752410556</v>
      </c>
      <c r="P128" s="12">
        <f>N128/((1+Inputs!$B$4)^(K128-Inputs!$B$5))</f>
        <v>24794.639401442873</v>
      </c>
      <c r="Q128" s="416"/>
      <c r="R128" s="416"/>
      <c r="S128" s="416"/>
    </row>
    <row r="129" spans="1:19">
      <c r="A129" s="109">
        <f t="shared" ref="A129:A146" si="90">A128+1</f>
        <v>2030</v>
      </c>
      <c r="B129" s="20">
        <f>(D15)*Inputs!$B$82*(1-Inputs!$B$46)</f>
        <v>3633.8325440642079</v>
      </c>
      <c r="C129" s="20">
        <f t="shared" ref="C129:C144" si="91">B129</f>
        <v>3633.8325440642079</v>
      </c>
      <c r="D129" s="406">
        <f>C129*(1-VLOOKUP(A129,'Transportation Electrification'!$O$7:$P$35,2,FALSE))</f>
        <v>3311.978804447092</v>
      </c>
      <c r="E129" s="12">
        <f>D129/((1+Inputs!$B$3)^(A129-Inputs!$B$5))</f>
        <v>1683.6420808058681</v>
      </c>
      <c r="F129" s="12">
        <f>D129/((1+Inputs!$B$4)^(A129-Inputs!$B$5))</f>
        <v>2464.4232746560119</v>
      </c>
      <c r="G129" s="416"/>
      <c r="H129" s="416"/>
      <c r="I129" s="416"/>
      <c r="K129" s="110">
        <f t="shared" ref="K129:K146" si="92">K128+1</f>
        <v>2030</v>
      </c>
      <c r="L129" s="20">
        <f>(L15)*Inputs!$B$82*(1-Inputs!$B$46)</f>
        <v>36338.325440642075</v>
      </c>
      <c r="M129" s="20">
        <f t="shared" ref="M129:M144" si="93">L129</f>
        <v>36338.325440642075</v>
      </c>
      <c r="N129" s="406">
        <f>M129*(1-VLOOKUP(K129,'Transportation Electrification'!$O$7:$P$35,2,FALSE))</f>
        <v>33119.788044470915</v>
      </c>
      <c r="O129" s="12">
        <f>N129/((1+Inputs!$B$3)^(K129-Inputs!$B$5))</f>
        <v>16836.42080805868</v>
      </c>
      <c r="P129" s="12">
        <f>N129/((1+Inputs!$B$4)^(K129-Inputs!$B$5))</f>
        <v>24644.232746560119</v>
      </c>
      <c r="Q129" s="416"/>
      <c r="R129" s="416"/>
      <c r="S129" s="416"/>
    </row>
    <row r="130" spans="1:19">
      <c r="A130" s="109">
        <f t="shared" si="90"/>
        <v>2031</v>
      </c>
      <c r="B130" s="20">
        <f>(D16)*Inputs!$B$82*(1-Inputs!$B$46)</f>
        <v>3755.1287205328285</v>
      </c>
      <c r="C130" s="20">
        <f t="shared" si="91"/>
        <v>3755.1287205328285</v>
      </c>
      <c r="D130" s="406">
        <f>C130*(1-VLOOKUP(A130,'Transportation Electrification'!$O$7:$P$35,2,FALSE))</f>
        <v>3390.3447876810678</v>
      </c>
      <c r="E130" s="12">
        <f>D130/((1+Inputs!$B$3)^(A130-Inputs!$B$5))</f>
        <v>1610.7283858974772</v>
      </c>
      <c r="F130" s="12">
        <f>D130/((1+Inputs!$B$4)^(A130-Inputs!$B$5))</f>
        <v>2449.2572096265167</v>
      </c>
      <c r="G130" s="416"/>
      <c r="H130" s="416"/>
      <c r="I130" s="416"/>
      <c r="K130" s="110">
        <f t="shared" si="92"/>
        <v>2031</v>
      </c>
      <c r="L130" s="20">
        <f>(L16)*Inputs!$B$82*(1-Inputs!$B$46)</f>
        <v>37551.287205328277</v>
      </c>
      <c r="M130" s="20">
        <f t="shared" si="93"/>
        <v>37551.287205328277</v>
      </c>
      <c r="N130" s="406">
        <f>M130*(1-VLOOKUP(K130,'Transportation Electrification'!$O$7:$P$35,2,FALSE))</f>
        <v>33903.447876810671</v>
      </c>
      <c r="O130" s="12">
        <f>N130/((1+Inputs!$B$3)^(K130-Inputs!$B$5))</f>
        <v>16107.28385897477</v>
      </c>
      <c r="P130" s="12">
        <f>N130/((1+Inputs!$B$4)^(K130-Inputs!$B$5))</f>
        <v>24492.572096265161</v>
      </c>
      <c r="Q130" s="416"/>
      <c r="R130" s="416"/>
      <c r="S130" s="416"/>
    </row>
    <row r="131" spans="1:19">
      <c r="A131" s="109">
        <f t="shared" si="90"/>
        <v>2032</v>
      </c>
      <c r="B131" s="20">
        <f>(D17)*Inputs!$B$82*(1-Inputs!$B$46)</f>
        <v>3880.4737248567521</v>
      </c>
      <c r="C131" s="20">
        <f t="shared" si="91"/>
        <v>3880.4737248567521</v>
      </c>
      <c r="D131" s="406">
        <f>C131*(1-VLOOKUP(A131,'Transportation Electrification'!$O$7:$P$35,2,FALSE))</f>
        <v>3470.2522168004666</v>
      </c>
      <c r="E131" s="12">
        <f>D131/((1+Inputs!$B$3)^(A131-Inputs!$B$5))</f>
        <v>1540.8334858410801</v>
      </c>
      <c r="F131" s="12">
        <f>D131/((1+Inputs!$B$4)^(A131-Inputs!$B$5))</f>
        <v>2433.9650840589111</v>
      </c>
      <c r="G131" s="416"/>
      <c r="H131" s="416"/>
      <c r="I131" s="416"/>
      <c r="K131" s="110">
        <f t="shared" si="92"/>
        <v>2032</v>
      </c>
      <c r="L131" s="20">
        <f>(L17)*Inputs!$B$82*(1-Inputs!$B$46)</f>
        <v>38804.737248567522</v>
      </c>
      <c r="M131" s="20">
        <f t="shared" si="93"/>
        <v>38804.737248567522</v>
      </c>
      <c r="N131" s="406">
        <f>M131*(1-VLOOKUP(K131,'Transportation Electrification'!$O$7:$P$35,2,FALSE))</f>
        <v>34702.522168004667</v>
      </c>
      <c r="O131" s="12">
        <f>N131/((1+Inputs!$B$3)^(K131-Inputs!$B$5))</f>
        <v>15408.334858410801</v>
      </c>
      <c r="P131" s="12">
        <f>N131/((1+Inputs!$B$4)^(K131-Inputs!$B$5))</f>
        <v>24339.650840589111</v>
      </c>
      <c r="Q131" s="416"/>
      <c r="R131" s="416"/>
      <c r="S131" s="416"/>
    </row>
    <row r="132" spans="1:19">
      <c r="A132" s="109">
        <f t="shared" si="90"/>
        <v>2033</v>
      </c>
      <c r="B132" s="20">
        <f>(D18)*Inputs!$B$82*(1-Inputs!$B$46)</f>
        <v>4010.002705624162</v>
      </c>
      <c r="C132" s="20">
        <f t="shared" si="91"/>
        <v>4010.002705624162</v>
      </c>
      <c r="D132" s="406">
        <f>C132*(1-VLOOKUP(A132,'Transportation Electrification'!$O$7:$P$35,2,FALSE))</f>
        <v>3551.7166821242577</v>
      </c>
      <c r="E132" s="12">
        <f>D132/((1+Inputs!$B$3)^(A132-Inputs!$B$5))</f>
        <v>1473.8361520542012</v>
      </c>
      <c r="F132" s="12">
        <f>D132/((1+Inputs!$B$4)^(A132-Inputs!$B$5))</f>
        <v>2418.5462339686374</v>
      </c>
      <c r="G132" s="416"/>
      <c r="H132" s="416"/>
      <c r="I132" s="416"/>
      <c r="K132" s="110">
        <f t="shared" si="92"/>
        <v>2033</v>
      </c>
      <c r="L132" s="20">
        <f>(L18)*Inputs!$B$82*(1-Inputs!$B$46)</f>
        <v>40100.027056241619</v>
      </c>
      <c r="M132" s="20">
        <f t="shared" si="93"/>
        <v>40100.027056241619</v>
      </c>
      <c r="N132" s="406">
        <f>M132*(1-VLOOKUP(K132,'Transportation Electrification'!$O$7:$P$35,2,FALSE))</f>
        <v>35517.166821242572</v>
      </c>
      <c r="O132" s="12">
        <f>N132/((1+Inputs!$B$3)^(K132-Inputs!$B$5))</f>
        <v>14738.36152054201</v>
      </c>
      <c r="P132" s="12">
        <f>N132/((1+Inputs!$B$4)^(K132-Inputs!$B$5))</f>
        <v>24185.462339686368</v>
      </c>
      <c r="Q132" s="416"/>
      <c r="R132" s="416"/>
      <c r="S132" s="416"/>
    </row>
    <row r="133" spans="1:19">
      <c r="A133" s="109">
        <f t="shared" si="90"/>
        <v>2034</v>
      </c>
      <c r="B133" s="20">
        <f>(D19)*Inputs!$B$82*(1-Inputs!$B$46)</f>
        <v>4143.8553226401991</v>
      </c>
      <c r="C133" s="20">
        <f t="shared" si="91"/>
        <v>4143.8553226401991</v>
      </c>
      <c r="D133" s="406">
        <f>C133*(1-VLOOKUP(A133,'Transportation Electrification'!$O$7:$P$35,2,FALSE))</f>
        <v>3634.7530972872601</v>
      </c>
      <c r="E133" s="12">
        <f>D133/((1+Inputs!$B$3)^(A133-Inputs!$B$5))</f>
        <v>1409.6199179691216</v>
      </c>
      <c r="F133" s="12">
        <f>D133/((1+Inputs!$B$4)^(A133-Inputs!$B$5))</f>
        <v>2402.9999923709838</v>
      </c>
      <c r="G133" s="416"/>
      <c r="H133" s="416"/>
      <c r="I133" s="416"/>
      <c r="K133" s="110">
        <f t="shared" si="92"/>
        <v>2034</v>
      </c>
      <c r="L133" s="20">
        <f>(L19)*Inputs!$B$82*(1-Inputs!$B$46)</f>
        <v>41438.553226401993</v>
      </c>
      <c r="M133" s="20">
        <f t="shared" si="93"/>
        <v>41438.553226401993</v>
      </c>
      <c r="N133" s="406">
        <f>M133*(1-VLOOKUP(K133,'Transportation Electrification'!$O$7:$P$35,2,FALSE))</f>
        <v>36347.530972872606</v>
      </c>
      <c r="O133" s="12">
        <f>N133/((1+Inputs!$B$3)^(K133-Inputs!$B$5))</f>
        <v>14096.199179691217</v>
      </c>
      <c r="P133" s="12">
        <f>N133/((1+Inputs!$B$4)^(K133-Inputs!$B$5))</f>
        <v>24029.999923709842</v>
      </c>
      <c r="Q133" s="416"/>
      <c r="R133" s="416"/>
      <c r="S133" s="416"/>
    </row>
    <row r="134" spans="1:19">
      <c r="A134" s="109">
        <f t="shared" si="90"/>
        <v>2035</v>
      </c>
      <c r="B134" s="20">
        <f>(D20)*Inputs!$B$82*(1-Inputs!$B$46)</f>
        <v>4282.1758975099583</v>
      </c>
      <c r="C134" s="20">
        <f t="shared" si="91"/>
        <v>4282.1758975099583</v>
      </c>
      <c r="D134" s="406">
        <f>C134*(1-VLOOKUP(A134,'Transportation Electrification'!$O$7:$P$35,2,FALSE))</f>
        <v>3719.3756366943635</v>
      </c>
      <c r="E134" s="12">
        <f>D134/((1+Inputs!$B$3)^(A134-Inputs!$B$5))</f>
        <v>1348.0728950746393</v>
      </c>
      <c r="F134" s="12">
        <f>D134/((1+Inputs!$B$4)^(A134-Inputs!$B$5))</f>
        <v>2387.3256892685508</v>
      </c>
      <c r="G134" s="416"/>
      <c r="H134" s="416"/>
      <c r="I134" s="416"/>
      <c r="K134" s="110">
        <f t="shared" si="92"/>
        <v>2035</v>
      </c>
      <c r="L134" s="20">
        <f>(L20)*Inputs!$B$82*(1-Inputs!$B$46)</f>
        <v>42821.75897509959</v>
      </c>
      <c r="M134" s="20">
        <f t="shared" si="93"/>
        <v>42821.75897509959</v>
      </c>
      <c r="N134" s="406">
        <f>M134*(1-VLOOKUP(K134,'Transportation Electrification'!$O$7:$P$35,2,FALSE))</f>
        <v>37193.756366943642</v>
      </c>
      <c r="O134" s="12">
        <f>N134/((1+Inputs!$B$3)^(K134-Inputs!$B$5))</f>
        <v>13480.728950746396</v>
      </c>
      <c r="P134" s="12">
        <f>N134/((1+Inputs!$B$4)^(K134-Inputs!$B$5))</f>
        <v>23873.256892685513</v>
      </c>
      <c r="Q134" s="416"/>
      <c r="R134" s="416"/>
      <c r="S134" s="416"/>
    </row>
    <row r="135" spans="1:19">
      <c r="A135" s="109">
        <f t="shared" si="90"/>
        <v>2036</v>
      </c>
      <c r="B135" s="20">
        <f>(D21)*Inputs!$B$82*(1-Inputs!$B$46)</f>
        <v>4425.1135692478865</v>
      </c>
      <c r="C135" s="20">
        <f t="shared" si="91"/>
        <v>4425.1135692478865</v>
      </c>
      <c r="D135" s="406">
        <f>C135*(1-VLOOKUP(A135,'Transportation Electrification'!$O$7:$P$35,2,FALSE))</f>
        <v>3805.5976695531822</v>
      </c>
      <c r="E135" s="12">
        <f>D135/((1+Inputs!$B$3)^(A135-Inputs!$B$5))</f>
        <v>1289.0875959717673</v>
      </c>
      <c r="F135" s="12">
        <f>D135/((1+Inputs!$B$4)^(A135-Inputs!$B$5))</f>
        <v>2371.522651638657</v>
      </c>
      <c r="G135" s="416"/>
      <c r="H135" s="416"/>
      <c r="I135" s="416"/>
      <c r="K135" s="110">
        <f t="shared" si="92"/>
        <v>2036</v>
      </c>
      <c r="L135" s="20">
        <f>(L21)*Inputs!$B$82*(1-Inputs!$B$46)</f>
        <v>44251.135692478863</v>
      </c>
      <c r="M135" s="20">
        <f t="shared" si="93"/>
        <v>44251.135692478863</v>
      </c>
      <c r="N135" s="406">
        <f>M135*(1-VLOOKUP(K135,'Transportation Electrification'!$O$7:$P$35,2,FALSE))</f>
        <v>38055.976695531819</v>
      </c>
      <c r="O135" s="12">
        <f>N135/((1+Inputs!$B$3)^(K135-Inputs!$B$5))</f>
        <v>12890.875959717672</v>
      </c>
      <c r="P135" s="12">
        <f>N135/((1+Inputs!$B$4)^(K135-Inputs!$B$5))</f>
        <v>23715.226516386567</v>
      </c>
      <c r="Q135" s="416"/>
      <c r="R135" s="416"/>
      <c r="S135" s="416"/>
    </row>
    <row r="136" spans="1:19">
      <c r="A136" s="109">
        <f t="shared" si="90"/>
        <v>2037</v>
      </c>
      <c r="B136" s="20">
        <f>(D22)*Inputs!$B$82*(1-Inputs!$B$46)</f>
        <v>4572.8224550813729</v>
      </c>
      <c r="C136" s="20">
        <f t="shared" si="91"/>
        <v>4572.8224550813729</v>
      </c>
      <c r="D136" s="406">
        <f>C136*(1-VLOOKUP(A136,'Transportation Electrification'!$O$7:$P$35,2,FALSE))</f>
        <v>3893.4316903264262</v>
      </c>
      <c r="E136" s="12">
        <f>D136/((1+Inputs!$B$3)^(A136-Inputs!$B$5))</f>
        <v>1232.5607641787385</v>
      </c>
      <c r="F136" s="12">
        <f>D136/((1+Inputs!$B$4)^(A136-Inputs!$B$5))</f>
        <v>2355.5902034206943</v>
      </c>
      <c r="G136" s="416"/>
      <c r="H136" s="416"/>
      <c r="I136" s="416"/>
      <c r="K136" s="110">
        <f t="shared" si="92"/>
        <v>2037</v>
      </c>
      <c r="L136" s="20">
        <f>(L22)*Inputs!$B$82*(1-Inputs!$B$46)</f>
        <v>45728.224550813735</v>
      </c>
      <c r="M136" s="20">
        <f t="shared" si="93"/>
        <v>45728.224550813735</v>
      </c>
      <c r="N136" s="406">
        <f>M136*(1-VLOOKUP(K136,'Transportation Electrification'!$O$7:$P$35,2,FALSE))</f>
        <v>38934.316903264262</v>
      </c>
      <c r="O136" s="12">
        <f>N136/((1+Inputs!$B$3)^(K136-Inputs!$B$5))</f>
        <v>12325.607641787385</v>
      </c>
      <c r="P136" s="12">
        <f>N136/((1+Inputs!$B$4)^(K136-Inputs!$B$5))</f>
        <v>23555.902034206942</v>
      </c>
      <c r="Q136" s="416"/>
      <c r="R136" s="416"/>
      <c r="S136" s="416"/>
    </row>
    <row r="137" spans="1:19">
      <c r="A137" s="109">
        <f t="shared" si="90"/>
        <v>2038</v>
      </c>
      <c r="B137" s="20">
        <f>(D23)*Inputs!$B$82*(1-Inputs!$B$46)</f>
        <v>4725.4618166219234</v>
      </c>
      <c r="C137" s="20">
        <f t="shared" si="91"/>
        <v>4725.4618166219234</v>
      </c>
      <c r="D137" s="406">
        <f>C137*(1-VLOOKUP(A137,'Transportation Electrification'!$O$7:$P$35,2,FALSE))</f>
        <v>3982.8892454384782</v>
      </c>
      <c r="E137" s="12">
        <f>D137/((1+Inputs!$B$3)^(A137-Inputs!$B$5))</f>
        <v>1178.3932104306036</v>
      </c>
      <c r="F137" s="12">
        <f>D137/((1+Inputs!$B$4)^(A137-Inputs!$B$5))</f>
        <v>2339.5276655034472</v>
      </c>
      <c r="G137" s="416"/>
      <c r="H137" s="416"/>
      <c r="I137" s="416"/>
      <c r="K137" s="110">
        <f t="shared" si="92"/>
        <v>2038</v>
      </c>
      <c r="L137" s="20">
        <f>(L23)*Inputs!$B$82*(1-Inputs!$B$46)</f>
        <v>47254.618166219232</v>
      </c>
      <c r="M137" s="20">
        <f t="shared" si="93"/>
        <v>47254.618166219232</v>
      </c>
      <c r="N137" s="406">
        <f>M137*(1-VLOOKUP(K137,'Transportation Electrification'!$O$7:$P$35,2,FALSE))</f>
        <v>39828.892454384782</v>
      </c>
      <c r="O137" s="12">
        <f>N137/((1+Inputs!$B$3)^(K137-Inputs!$B$5))</f>
        <v>11783.932104306035</v>
      </c>
      <c r="P137" s="12">
        <f>N137/((1+Inputs!$B$4)^(K137-Inputs!$B$5))</f>
        <v>23395.276655034475</v>
      </c>
      <c r="Q137" s="416"/>
      <c r="R137" s="416"/>
      <c r="S137" s="416"/>
    </row>
    <row r="138" spans="1:19">
      <c r="A138" s="109">
        <f t="shared" si="90"/>
        <v>2039</v>
      </c>
      <c r="B138" s="20">
        <f>(D24)*Inputs!$B$82*(1-Inputs!$B$46)</f>
        <v>4883.1962315830588</v>
      </c>
      <c r="C138" s="20">
        <f t="shared" si="91"/>
        <v>4883.1962315830588</v>
      </c>
      <c r="D138" s="406">
        <f>C138*(1-VLOOKUP(A138,'Transportation Electrification'!$O$7:$P$35,2,FALSE))</f>
        <v>4073.9808560635806</v>
      </c>
      <c r="E138" s="12">
        <f>D138/((1+Inputs!$B$3)^(A138-Inputs!$B$5))</f>
        <v>1126.4896552282135</v>
      </c>
      <c r="F138" s="12">
        <f>D138/((1+Inputs!$B$4)^(A138-Inputs!$B$5))</f>
        <v>2323.3343557123444</v>
      </c>
      <c r="G138" s="416"/>
      <c r="H138" s="416"/>
      <c r="I138" s="416"/>
      <c r="K138" s="110">
        <f t="shared" si="92"/>
        <v>2039</v>
      </c>
      <c r="L138" s="20">
        <f>(L24)*Inputs!$B$82*(1-Inputs!$B$46)</f>
        <v>48831.962315830591</v>
      </c>
      <c r="M138" s="20">
        <f t="shared" si="93"/>
        <v>48831.962315830591</v>
      </c>
      <c r="N138" s="406">
        <f>M138*(1-VLOOKUP(K138,'Transportation Electrification'!$O$7:$P$35,2,FALSE))</f>
        <v>40739.808560635807</v>
      </c>
      <c r="O138" s="12">
        <f>N138/((1+Inputs!$B$3)^(K138-Inputs!$B$5))</f>
        <v>11264.896552282135</v>
      </c>
      <c r="P138" s="12">
        <f>N138/((1+Inputs!$B$4)^(K138-Inputs!$B$5))</f>
        <v>23233.343557123444</v>
      </c>
      <c r="Q138" s="416"/>
      <c r="R138" s="416"/>
      <c r="S138" s="416"/>
    </row>
    <row r="139" spans="1:19">
      <c r="A139" s="109">
        <f t="shared" si="90"/>
        <v>2040</v>
      </c>
      <c r="B139" s="20">
        <f>(D25)*Inputs!$B$82*(1-Inputs!$B$46)</f>
        <v>5046.1957712301319</v>
      </c>
      <c r="C139" s="20">
        <f t="shared" si="91"/>
        <v>5046.1957712301319</v>
      </c>
      <c r="D139" s="406">
        <f>C139*(1-VLOOKUP(A139,'Transportation Electrification'!$O$7:$P$35,2,FALSE))</f>
        <v>4166.7159368157372</v>
      </c>
      <c r="E139" s="12">
        <f>D139/((1+Inputs!$B$3)^(A139-Inputs!$B$5))</f>
        <v>1076.7585774005775</v>
      </c>
      <c r="F139" s="12">
        <f>D139/((1+Inputs!$B$4)^(A139-Inputs!$B$5))</f>
        <v>2307.0095887966745</v>
      </c>
      <c r="G139" s="416"/>
      <c r="H139" s="416"/>
      <c r="I139" s="416"/>
      <c r="K139" s="110">
        <f t="shared" si="92"/>
        <v>2040</v>
      </c>
      <c r="L139" s="20">
        <f>(L25)*Inputs!$B$82*(1-Inputs!$B$46)</f>
        <v>50461.957712301315</v>
      </c>
      <c r="M139" s="20">
        <f t="shared" si="93"/>
        <v>50461.957712301315</v>
      </c>
      <c r="N139" s="406">
        <f>M139*(1-VLOOKUP(K139,'Transportation Electrification'!$O$7:$P$35,2,FALSE))</f>
        <v>41667.159368157372</v>
      </c>
      <c r="O139" s="12">
        <f>N139/((1+Inputs!$B$3)^(K139-Inputs!$B$5))</f>
        <v>10767.585774005776</v>
      </c>
      <c r="P139" s="12">
        <f>N139/((1+Inputs!$B$4)^(K139-Inputs!$B$5))</f>
        <v>23070.095887966745</v>
      </c>
      <c r="Q139" s="416"/>
      <c r="R139" s="416"/>
      <c r="S139" s="416"/>
    </row>
    <row r="140" spans="1:19">
      <c r="A140" s="109">
        <f t="shared" si="90"/>
        <v>2041</v>
      </c>
      <c r="B140" s="20">
        <f>(D26)*Inputs!$B$82*(1-Inputs!$B$46)</f>
        <v>5214.6361837533159</v>
      </c>
      <c r="C140" s="20">
        <f t="shared" si="91"/>
        <v>5214.6361837533159</v>
      </c>
      <c r="D140" s="406">
        <f>C140*(1-VLOOKUP(A140,'Transportation Electrification'!$O$7:$P$35,2,FALSE))</f>
        <v>4261.1027101527097</v>
      </c>
      <c r="E140" s="12">
        <f>D140/((1+Inputs!$B$3)^(A140-Inputs!$B$5))</f>
        <v>1029.1120684533987</v>
      </c>
      <c r="F140" s="12">
        <f>D140/((1+Inputs!$B$4)^(A140-Inputs!$B$5))</f>
        <v>2290.5526764167357</v>
      </c>
      <c r="G140" s="416"/>
      <c r="H140" s="416"/>
      <c r="I140" s="416"/>
      <c r="K140" s="110">
        <f t="shared" si="92"/>
        <v>2041</v>
      </c>
      <c r="L140" s="20">
        <f>(L26)*Inputs!$B$82*(1-Inputs!$B$46)</f>
        <v>52146.36183753315</v>
      </c>
      <c r="M140" s="20">
        <f t="shared" si="93"/>
        <v>52146.36183753315</v>
      </c>
      <c r="N140" s="406">
        <f>M140*(1-VLOOKUP(K140,'Transportation Electrification'!$O$7:$P$35,2,FALSE))</f>
        <v>42611.027101527092</v>
      </c>
      <c r="O140" s="12">
        <f>N140/((1+Inputs!$B$3)^(K140-Inputs!$B$5))</f>
        <v>10291.120684533986</v>
      </c>
      <c r="P140" s="12">
        <f>N140/((1+Inputs!$B$4)^(K140-Inputs!$B$5))</f>
        <v>22905.526764167353</v>
      </c>
      <c r="Q140" s="416"/>
      <c r="R140" s="416"/>
      <c r="S140" s="416"/>
    </row>
    <row r="141" spans="1:19">
      <c r="A141" s="109">
        <f t="shared" si="90"/>
        <v>2042</v>
      </c>
      <c r="B141" s="20">
        <f>(D27)*Inputs!$B$82*(1-Inputs!$B$46)</f>
        <v>5388.699083761574</v>
      </c>
      <c r="C141" s="20">
        <f t="shared" si="91"/>
        <v>5388.699083761574</v>
      </c>
      <c r="D141" s="406">
        <f>C141*(1-VLOOKUP(A141,'Transportation Electrification'!$O$7:$P$35,2,FALSE))</f>
        <v>4357.1481162986447</v>
      </c>
      <c r="E141" s="12">
        <f>D141/((1+Inputs!$B$3)^(A141-Inputs!$B$5))</f>
        <v>983.46569248512719</v>
      </c>
      <c r="F141" s="12">
        <f>D141/((1+Inputs!$B$4)^(A141-Inputs!$B$5))</f>
        <v>2273.9629271309464</v>
      </c>
      <c r="G141" s="416"/>
      <c r="H141" s="416"/>
      <c r="I141" s="416"/>
      <c r="K141" s="110">
        <f t="shared" si="92"/>
        <v>2042</v>
      </c>
      <c r="L141" s="20">
        <f>(L27)*Inputs!$B$82*(1-Inputs!$B$46)</f>
        <v>53886.990837615733</v>
      </c>
      <c r="M141" s="20">
        <f t="shared" si="93"/>
        <v>53886.990837615733</v>
      </c>
      <c r="N141" s="406">
        <f>M141*(1-VLOOKUP(K141,'Transportation Electrification'!$O$7:$P$35,2,FALSE))</f>
        <v>43571.481162986434</v>
      </c>
      <c r="O141" s="12">
        <f>N141/((1+Inputs!$B$3)^(K141-Inputs!$B$5))</f>
        <v>9834.6569248512697</v>
      </c>
      <c r="P141" s="12">
        <f>N141/((1+Inputs!$B$4)^(K141-Inputs!$B$5))</f>
        <v>22739.629271309455</v>
      </c>
      <c r="Q141" s="416"/>
      <c r="R141" s="416"/>
      <c r="S141" s="416"/>
    </row>
    <row r="142" spans="1:19">
      <c r="A142" s="109">
        <f t="shared" si="90"/>
        <v>2043</v>
      </c>
      <c r="B142" s="20">
        <f>(D28)*Inputs!$B$82*(1-Inputs!$B$46)</f>
        <v>5568.5721481018491</v>
      </c>
      <c r="C142" s="20">
        <f t="shared" si="91"/>
        <v>5568.5721481018491</v>
      </c>
      <c r="D142" s="406">
        <f>C142*(1-VLOOKUP(A142,'Transportation Electrification'!$O$7:$P$35,2,FALSE))</f>
        <v>4454.8577184814794</v>
      </c>
      <c r="E142" s="12">
        <f>D142/((1+Inputs!$B$3)^(A142-Inputs!$B$5))</f>
        <v>939.73835146003046</v>
      </c>
      <c r="F142" s="12">
        <f>D142/((1+Inputs!$B$4)^(A142-Inputs!$B$5))</f>
        <v>2257.2396463829014</v>
      </c>
      <c r="G142" s="416"/>
      <c r="H142" s="416"/>
      <c r="I142" s="416"/>
      <c r="K142" s="110">
        <f t="shared" si="92"/>
        <v>2043</v>
      </c>
      <c r="L142" s="20">
        <f>(L28)*Inputs!$B$82*(1-Inputs!$B$46)</f>
        <v>55685.721481018474</v>
      </c>
      <c r="M142" s="20">
        <f t="shared" si="93"/>
        <v>55685.721481018474</v>
      </c>
      <c r="N142" s="406">
        <f>M142*(1-VLOOKUP(K142,'Transportation Electrification'!$O$7:$P$35,2,FALSE))</f>
        <v>44548.577184814785</v>
      </c>
      <c r="O142" s="12">
        <f>N142/((1+Inputs!$B$3)^(K142-Inputs!$B$5))</f>
        <v>9397.3835146003021</v>
      </c>
      <c r="P142" s="12">
        <f>N142/((1+Inputs!$B$4)^(K142-Inputs!$B$5))</f>
        <v>22572.396463829009</v>
      </c>
      <c r="Q142" s="416"/>
      <c r="R142" s="416"/>
      <c r="S142" s="416"/>
    </row>
    <row r="143" spans="1:19">
      <c r="A143" s="109">
        <f t="shared" si="90"/>
        <v>2044</v>
      </c>
      <c r="B143" s="20">
        <f>(D29)*Inputs!$B$82*(1-Inputs!$B$46)</f>
        <v>5754.4493182146389</v>
      </c>
      <c r="C143" s="20">
        <f t="shared" si="91"/>
        <v>5754.4493182146389</v>
      </c>
      <c r="D143" s="406">
        <f>C143*(1-VLOOKUP(A143,'Transportation Electrification'!$O$7:$P$35,2,FALSE))</f>
        <v>4554.2356032727284</v>
      </c>
      <c r="E143" s="12">
        <f>D143/((1+Inputs!$B$3)^(A143-Inputs!$B$5))</f>
        <v>897.8521556356859</v>
      </c>
      <c r="F143" s="12">
        <f>D143/((1+Inputs!$B$4)^(A143-Inputs!$B$5))</f>
        <v>2240.3821364883729</v>
      </c>
      <c r="G143" s="416"/>
      <c r="H143" s="416"/>
      <c r="I143" s="416"/>
      <c r="K143" s="110">
        <f t="shared" si="92"/>
        <v>2044</v>
      </c>
      <c r="L143" s="20">
        <f>(L29)*Inputs!$B$82*(1-Inputs!$B$46)</f>
        <v>57544.493182146391</v>
      </c>
      <c r="M143" s="20">
        <f t="shared" si="93"/>
        <v>57544.493182146391</v>
      </c>
      <c r="N143" s="406">
        <f>M143*(1-VLOOKUP(K143,'Transportation Electrification'!$O$7:$P$35,2,FALSE))</f>
        <v>45542.356032727286</v>
      </c>
      <c r="O143" s="12">
        <f>N143/((1+Inputs!$B$3)^(K143-Inputs!$B$5))</f>
        <v>8978.5215563568599</v>
      </c>
      <c r="P143" s="12">
        <f>N143/((1+Inputs!$B$4)^(K143-Inputs!$B$5))</f>
        <v>22403.821364883734</v>
      </c>
      <c r="Q143" s="416"/>
      <c r="R143" s="416"/>
      <c r="S143" s="416"/>
    </row>
    <row r="144" spans="1:19">
      <c r="A144" s="109">
        <f t="shared" si="90"/>
        <v>2045</v>
      </c>
      <c r="B144" s="20">
        <f>(D30)*Inputs!$B$82*(1-Inputs!$B$46)</f>
        <v>5946.5310092441459</v>
      </c>
      <c r="C144" s="20">
        <f t="shared" si="91"/>
        <v>5946.5310092441459</v>
      </c>
      <c r="D144" s="406">
        <f>C144*(1-VLOOKUP(A144,'Transportation Electrification'!$O$7:$P$35,2,FALSE))</f>
        <v>4655.2842758082743</v>
      </c>
      <c r="E144" s="12">
        <f>D144/((1+Inputs!$B$3)^(A144-Inputs!$B$5))</f>
        <v>857.73229894988924</v>
      </c>
      <c r="F144" s="12">
        <f>D144/((1+Inputs!$B$4)^(A144-Inputs!$B$5))</f>
        <v>2223.3896966222637</v>
      </c>
      <c r="G144" s="416"/>
      <c r="H144" s="416"/>
      <c r="I144" s="416"/>
      <c r="K144" s="110">
        <f t="shared" si="92"/>
        <v>2045</v>
      </c>
      <c r="L144" s="20">
        <f>(L30)*Inputs!$B$82*(1-Inputs!$B$46)</f>
        <v>59465.310092441468</v>
      </c>
      <c r="M144" s="20">
        <f t="shared" si="93"/>
        <v>59465.310092441468</v>
      </c>
      <c r="N144" s="406">
        <f>M144*(1-VLOOKUP(K144,'Transportation Electrification'!$O$7:$P$35,2,FALSE))</f>
        <v>46552.842758082756</v>
      </c>
      <c r="O144" s="12">
        <f>N144/((1+Inputs!$B$3)^(K144-Inputs!$B$5))</f>
        <v>8577.3229894988945</v>
      </c>
      <c r="P144" s="12">
        <f>N144/((1+Inputs!$B$4)^(K144-Inputs!$B$5))</f>
        <v>22233.896966222645</v>
      </c>
      <c r="Q144" s="416"/>
      <c r="R144" s="416"/>
      <c r="S144" s="416"/>
    </row>
    <row r="145" spans="1:19" s="416" customFormat="1">
      <c r="A145" s="109">
        <f t="shared" si="90"/>
        <v>2046</v>
      </c>
      <c r="B145" s="20">
        <f>(D31)*Inputs!$B$82*(1-Inputs!$B$46)</f>
        <v>6145.024326128445</v>
      </c>
      <c r="C145" s="20">
        <f t="shared" ref="C145:C146" si="94">B145</f>
        <v>6145.024326128445</v>
      </c>
      <c r="D145" s="406">
        <f>C145*(1-VLOOKUP(A145,'Transportation Electrification'!$O$7:$P$35,2,FALSE))</f>
        <v>4758.0045496594539</v>
      </c>
      <c r="E145" s="12">
        <f>D145/((1+Inputs!$B$3)^(A145-Inputs!$B$5))</f>
        <v>819.30693917927886</v>
      </c>
      <c r="F145" s="12">
        <f>D145/((1+Inputs!$B$4)^(A145-Inputs!$B$5))</f>
        <v>2206.2616228055044</v>
      </c>
      <c r="K145" s="110">
        <f t="shared" si="92"/>
        <v>2046</v>
      </c>
      <c r="L145" s="20">
        <f>(L31)*Inputs!$B$82*(1-Inputs!$B$46)</f>
        <v>61450.243261284457</v>
      </c>
      <c r="M145" s="20">
        <f t="shared" ref="M145:M146" si="95">L145</f>
        <v>61450.243261284457</v>
      </c>
      <c r="N145" s="406">
        <f>M145*(1-VLOOKUP(K145,'Transportation Electrification'!$O$7:$P$35,2,FALSE))</f>
        <v>47580.045496594539</v>
      </c>
      <c r="O145" s="12">
        <f>N145/((1+Inputs!$B$3)^(K145-Inputs!$B$5))</f>
        <v>8193.0693917927892</v>
      </c>
      <c r="P145" s="12">
        <f>N145/((1+Inputs!$B$4)^(K145-Inputs!$B$5))</f>
        <v>22062.616228055045</v>
      </c>
    </row>
    <row r="146" spans="1:19">
      <c r="A146" s="109">
        <f t="shared" si="90"/>
        <v>2047</v>
      </c>
      <c r="B146" s="20">
        <f>(D32)*Inputs!$B$82*(1-Inputs!$B$46)</f>
        <v>6350.1432869026803</v>
      </c>
      <c r="C146" s="20">
        <f t="shared" si="94"/>
        <v>6350.1432869026803</v>
      </c>
      <c r="D146" s="640">
        <f>C146*(1-VLOOKUP(A146,'Transportation Electrification'!$O$7:$P$35,2,FALSE))*(1-Inputs!$B$8)</f>
        <v>2025.9980962975221</v>
      </c>
      <c r="E146" s="12">
        <f>D146/((1+Inputs!$B$3)^(A146-Inputs!$B$5))</f>
        <v>326.04461778709191</v>
      </c>
      <c r="F146" s="12">
        <f>D146/((1+Inputs!$B$4)^(A146-Inputs!$B$5))</f>
        <v>912.0821699549598</v>
      </c>
      <c r="G146" s="416"/>
      <c r="H146" s="416"/>
      <c r="I146" s="416"/>
      <c r="J146" s="416"/>
      <c r="K146" s="110">
        <f t="shared" si="92"/>
        <v>2047</v>
      </c>
      <c r="L146" s="20">
        <f>(L32)*Inputs!$B$82*(1-Inputs!$B$46)</f>
        <v>63501.432869026794</v>
      </c>
      <c r="M146" s="20">
        <f t="shared" si="95"/>
        <v>63501.432869026794</v>
      </c>
      <c r="N146" s="640">
        <f>M146*(1-VLOOKUP(K146,'Transportation Electrification'!$O$7:$P$35,2,FALSE))*(1-Inputs!$B$8)</f>
        <v>20259.980962975216</v>
      </c>
      <c r="O146" s="12">
        <f>N146/((1+Inputs!$B$3)^(K146-Inputs!$B$5))</f>
        <v>3260.4461778709183</v>
      </c>
      <c r="P146" s="12">
        <f>N146/((1+Inputs!$B$4)^(K146-Inputs!$B$5))</f>
        <v>9120.821699549595</v>
      </c>
      <c r="Q146" s="416"/>
      <c r="R146" s="416"/>
      <c r="S146" s="416"/>
    </row>
    <row r="147" spans="1:19">
      <c r="A147" s="34" t="s">
        <v>4</v>
      </c>
      <c r="B147" s="157">
        <f>SUM(B126:B146)</f>
        <v>97938.586431139629</v>
      </c>
      <c r="C147" s="157">
        <f>SUM(C126:C146)</f>
        <v>97938.586431139629</v>
      </c>
      <c r="D147" s="407">
        <f t="shared" ref="D147" si="96">SUM(D126:D146)</f>
        <v>78262.757610866291</v>
      </c>
      <c r="E147" s="157">
        <f>SUM(E126:E146)</f>
        <v>25543.051835299761</v>
      </c>
      <c r="F147" s="157">
        <f>SUM(F126:F146)</f>
        <v>47094.900121692684</v>
      </c>
      <c r="G147" s="416"/>
      <c r="H147" s="416"/>
      <c r="I147" s="416"/>
      <c r="K147" s="34" t="s">
        <v>4</v>
      </c>
      <c r="L147" s="157">
        <f>SUM(L126:L146)</f>
        <v>979385.86431139591</v>
      </c>
      <c r="M147" s="157">
        <f>SUM(M126:M146)</f>
        <v>979385.86431139591</v>
      </c>
      <c r="N147" s="407">
        <f t="shared" ref="N147" si="97">SUM(N126:N146)</f>
        <v>782627.57610866299</v>
      </c>
      <c r="O147" s="157">
        <f>SUM(O126:O146)</f>
        <v>255430.51835299761</v>
      </c>
      <c r="P147" s="157">
        <f>SUM(P126:P146)</f>
        <v>470949.00121692696</v>
      </c>
      <c r="Q147" s="416"/>
      <c r="R147" s="416"/>
      <c r="S147" s="416"/>
    </row>
    <row r="148" spans="1:19">
      <c r="G148" s="416"/>
      <c r="H148" s="416"/>
      <c r="I148" s="416"/>
      <c r="Q148" s="416"/>
      <c r="R148" s="416"/>
      <c r="S148" s="416"/>
    </row>
    <row r="149" spans="1:19">
      <c r="G149" s="416"/>
      <c r="H149" s="416"/>
      <c r="I149" s="416"/>
      <c r="Q149" s="416"/>
      <c r="R149" s="416"/>
      <c r="S149" s="416"/>
    </row>
    <row r="150" spans="1:19">
      <c r="G150" s="416"/>
      <c r="H150" s="416"/>
      <c r="I150" s="416"/>
      <c r="Q150" s="416"/>
      <c r="R150" s="416"/>
      <c r="S150" s="416"/>
    </row>
    <row r="151" spans="1:19">
      <c r="G151" s="416"/>
      <c r="H151" s="416"/>
      <c r="I151" s="416"/>
    </row>
    <row r="152" spans="1:19">
      <c r="G152" s="416"/>
      <c r="H152" s="416"/>
      <c r="I152" s="416"/>
    </row>
    <row r="153" spans="1:19">
      <c r="G153" s="416"/>
      <c r="H153" s="416"/>
      <c r="I153" s="416"/>
    </row>
    <row r="154" spans="1:19">
      <c r="G154" s="416"/>
      <c r="H154" s="416"/>
      <c r="I154" s="416"/>
    </row>
    <row r="155" spans="1:19">
      <c r="G155" s="416"/>
      <c r="H155" s="416"/>
      <c r="I155" s="416"/>
    </row>
    <row r="156" spans="1:19">
      <c r="G156" s="416"/>
      <c r="H156" s="416"/>
      <c r="I156" s="416"/>
    </row>
    <row r="157" spans="1:19">
      <c r="G157" s="416"/>
      <c r="H157" s="416"/>
      <c r="I157" s="416"/>
    </row>
    <row r="158" spans="1:19">
      <c r="G158" s="416"/>
      <c r="H158" s="416"/>
      <c r="I158" s="416"/>
    </row>
    <row r="159" spans="1:19">
      <c r="G159" s="416"/>
      <c r="H159" s="416"/>
      <c r="I159" s="416"/>
    </row>
    <row r="160" spans="1:19">
      <c r="G160" s="416"/>
      <c r="H160" s="416"/>
      <c r="I160" s="416"/>
    </row>
    <row r="161" spans="7:9">
      <c r="G161" s="416"/>
      <c r="H161" s="416"/>
      <c r="I161" s="416"/>
    </row>
    <row r="162" spans="7:9">
      <c r="G162" s="416"/>
      <c r="H162" s="416"/>
      <c r="I162" s="416"/>
    </row>
    <row r="163" spans="7:9">
      <c r="G163" s="416"/>
      <c r="H163" s="416"/>
      <c r="I163" s="416"/>
    </row>
  </sheetData>
  <sheetProtection algorithmName="SHA-512" hashValue="HRJlZVA01BvYJMRqc6H3oVPOxltXNk1dqcMil4BemgCNDP5X6NZ/5noGX8hJQw3B9rPdAWNl7mTf1d/PcwzPkg==" saltValue="s27v56VQ0CGuko9qrCK5lA==" spinCount="100000" sheet="1" objects="1" scenarios="1"/>
  <mergeCells count="3">
    <mergeCell ref="H36:J36"/>
    <mergeCell ref="F46:I46"/>
    <mergeCell ref="V46:Y46"/>
  </mergeCells>
  <hyperlinks>
    <hyperlink ref="A42" r:id="rId1" xr:uid="{001447F1-A309-4186-8F2F-F70535E44E22}"/>
  </hyperlinks>
  <pageMargins left="0.7" right="0.7" top="0.75" bottom="0.75" header="0.3" footer="0.3"/>
  <pageSetup orientation="portrait" horizontalDpi="300" verticalDpi="3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G34"/>
  <sheetViews>
    <sheetView zoomScaleNormal="100" workbookViewId="0">
      <selection activeCell="C36" sqref="C36"/>
    </sheetView>
  </sheetViews>
  <sheetFormatPr defaultRowHeight="15"/>
  <cols>
    <col min="1" max="1" width="8.85546875" style="147"/>
    <col min="2" max="2" width="23.140625" customWidth="1"/>
    <col min="3" max="3" width="14.7109375" customWidth="1"/>
    <col min="4" max="4" width="16.28515625" customWidth="1"/>
    <col min="5" max="6" width="14.7109375" customWidth="1"/>
  </cols>
  <sheetData>
    <row r="1" spans="2:7">
      <c r="B1" t="s">
        <v>382</v>
      </c>
    </row>
    <row r="3" spans="2:7">
      <c r="B3" t="s">
        <v>360</v>
      </c>
      <c r="F3" s="188"/>
    </row>
    <row r="4" spans="2:7">
      <c r="B4" t="s">
        <v>361</v>
      </c>
      <c r="F4" s="188"/>
      <c r="G4" s="167"/>
    </row>
    <row r="5" spans="2:7">
      <c r="B5" t="s">
        <v>362</v>
      </c>
      <c r="E5" s="8">
        <v>40000000</v>
      </c>
      <c r="F5" s="188"/>
      <c r="G5" s="167"/>
    </row>
    <row r="6" spans="2:7">
      <c r="B6" s="78" t="str">
        <f>Inputs!A16</f>
        <v>50-year storm annual likelihood</v>
      </c>
      <c r="C6" s="78"/>
      <c r="E6" s="78">
        <f>Inputs!B16</f>
        <v>0.02</v>
      </c>
      <c r="F6" s="188"/>
      <c r="G6" s="167"/>
    </row>
    <row r="7" spans="2:7">
      <c r="B7" t="s">
        <v>383</v>
      </c>
      <c r="E7" s="8">
        <f>E5*E6</f>
        <v>800000</v>
      </c>
    </row>
    <row r="11" spans="2:7">
      <c r="B11" t="s">
        <v>229</v>
      </c>
    </row>
    <row r="12" spans="2:7" customFormat="1" ht="45">
      <c r="B12" s="159" t="s">
        <v>1</v>
      </c>
      <c r="C12" s="160" t="s">
        <v>371</v>
      </c>
      <c r="D12" s="159" t="s">
        <v>385</v>
      </c>
      <c r="E12" s="159" t="s">
        <v>386</v>
      </c>
      <c r="F12" s="159" t="s">
        <v>387</v>
      </c>
    </row>
    <row r="13" spans="2:7" s="167" customFormat="1">
      <c r="B13" s="110">
        <f>Inputs!$B$7</f>
        <v>2027</v>
      </c>
      <c r="C13" s="12">
        <f>$E$5</f>
        <v>40000000</v>
      </c>
      <c r="D13" s="638">
        <f>C13*$E$6*Inputs!$B$8</f>
        <v>466666.66666666669</v>
      </c>
      <c r="E13" s="12">
        <f>D13/((1+Inputs!$B$3)^($B13-Inputs!$B$5))</f>
        <v>290616.54621280922</v>
      </c>
      <c r="F13" s="12">
        <f>D13/((1+Inputs!$B$4)^($B13-Inputs!$B$5))</f>
        <v>379442.70529356512</v>
      </c>
    </row>
    <row r="14" spans="2:7" customFormat="1">
      <c r="B14" s="110">
        <f>B13+1</f>
        <v>2028</v>
      </c>
      <c r="C14" s="12">
        <f t="shared" ref="C14:C33" si="0">$E$5</f>
        <v>40000000</v>
      </c>
      <c r="D14" s="12">
        <f>C14*$E$6</f>
        <v>800000</v>
      </c>
      <c r="E14" s="12">
        <f>D14/((1+Inputs!$B$3)^($B14-Inputs!$B$5))</f>
        <v>465607.28365203075</v>
      </c>
      <c r="F14" s="12">
        <f>D14/((1+Inputs!$B$4)^($B14-Inputs!$B$5))</f>
        <v>631527.38745114859</v>
      </c>
    </row>
    <row r="15" spans="2:7" customFormat="1">
      <c r="B15" s="110">
        <f t="shared" ref="B15:B33" si="1">B14+1</f>
        <v>2029</v>
      </c>
      <c r="C15" s="12">
        <f t="shared" si="0"/>
        <v>40000000</v>
      </c>
      <c r="D15" s="12">
        <f t="shared" ref="D15:D31" si="2">C15*$E$6</f>
        <v>800000</v>
      </c>
      <c r="E15" s="12">
        <f>D15/((1+Inputs!$B$3)^($B15-Inputs!$B$5))</f>
        <v>435146.99406731839</v>
      </c>
      <c r="F15" s="12">
        <f>D15/((1+Inputs!$B$4)^($B15-Inputs!$B$5))</f>
        <v>613133.38587490155</v>
      </c>
    </row>
    <row r="16" spans="2:7" customFormat="1">
      <c r="B16" s="110">
        <f t="shared" si="1"/>
        <v>2030</v>
      </c>
      <c r="C16" s="12">
        <f t="shared" si="0"/>
        <v>40000000</v>
      </c>
      <c r="D16" s="12">
        <f t="shared" si="2"/>
        <v>800000</v>
      </c>
      <c r="E16" s="12">
        <f>D16/((1+Inputs!$B$3)^($B16-Inputs!$B$5))</f>
        <v>406679.43370777421</v>
      </c>
      <c r="F16" s="12">
        <f>D16/((1+Inputs!$B$4)^($B16-Inputs!$B$5))</f>
        <v>595275.13191738015</v>
      </c>
    </row>
    <row r="17" spans="1:6">
      <c r="A17"/>
      <c r="B17" s="110">
        <f t="shared" si="1"/>
        <v>2031</v>
      </c>
      <c r="C17" s="12">
        <f t="shared" si="0"/>
        <v>40000000</v>
      </c>
      <c r="D17" s="12">
        <f t="shared" si="2"/>
        <v>800000</v>
      </c>
      <c r="E17" s="12">
        <f>D17/((1+Inputs!$B$3)^($B17-Inputs!$B$5))</f>
        <v>380074.23711006931</v>
      </c>
      <c r="F17" s="12">
        <f>D17/((1+Inputs!$B$4)^($B17-Inputs!$B$5))</f>
        <v>577937.02127900987</v>
      </c>
    </row>
    <row r="18" spans="1:6">
      <c r="A18"/>
      <c r="B18" s="110">
        <f t="shared" si="1"/>
        <v>2032</v>
      </c>
      <c r="C18" s="12">
        <f t="shared" si="0"/>
        <v>40000000</v>
      </c>
      <c r="D18" s="12">
        <f t="shared" si="2"/>
        <v>800000</v>
      </c>
      <c r="E18" s="12">
        <f>D18/((1+Inputs!$B$3)^($B18-Inputs!$B$5))</f>
        <v>355209.56739258824</v>
      </c>
      <c r="F18" s="12">
        <f>D18/((1+Inputs!$B$4)^($B18-Inputs!$B$5))</f>
        <v>561103.90415437857</v>
      </c>
    </row>
    <row r="19" spans="1:6">
      <c r="A19"/>
      <c r="B19" s="110">
        <f t="shared" si="1"/>
        <v>2033</v>
      </c>
      <c r="C19" s="12">
        <f t="shared" si="0"/>
        <v>40000000</v>
      </c>
      <c r="D19" s="12">
        <f t="shared" si="2"/>
        <v>800000</v>
      </c>
      <c r="E19" s="12">
        <f>D19/((1+Inputs!$B$3)^($B19-Inputs!$B$5))</f>
        <v>331971.55831083009</v>
      </c>
      <c r="F19" s="12">
        <f>D19/((1+Inputs!$B$4)^($B19-Inputs!$B$5))</f>
        <v>544761.07199454238</v>
      </c>
    </row>
    <row r="20" spans="1:6">
      <c r="A20"/>
      <c r="B20" s="110">
        <f t="shared" si="1"/>
        <v>2034</v>
      </c>
      <c r="C20" s="12">
        <f t="shared" si="0"/>
        <v>40000000</v>
      </c>
      <c r="D20" s="12">
        <f t="shared" si="2"/>
        <v>800000</v>
      </c>
      <c r="E20" s="12">
        <f>D20/((1+Inputs!$B$3)^($B20-Inputs!$B$5))</f>
        <v>310253.79281385994</v>
      </c>
      <c r="F20" s="12">
        <f>D20/((1+Inputs!$B$4)^($B20-Inputs!$B$5))</f>
        <v>528894.24465489539</v>
      </c>
    </row>
    <row r="21" spans="1:6">
      <c r="A21"/>
      <c r="B21" s="110">
        <f t="shared" si="1"/>
        <v>2035</v>
      </c>
      <c r="C21" s="12">
        <f t="shared" si="0"/>
        <v>40000000</v>
      </c>
      <c r="D21" s="12">
        <f t="shared" si="2"/>
        <v>800000</v>
      </c>
      <c r="E21" s="12">
        <f>D21/((1+Inputs!$B$3)^($B21-Inputs!$B$5))</f>
        <v>289956.81571388774</v>
      </c>
      <c r="F21" s="12">
        <f>D21/((1+Inputs!$B$4)^($B21-Inputs!$B$5))</f>
        <v>513489.55791737413</v>
      </c>
    </row>
    <row r="22" spans="1:6">
      <c r="A22"/>
      <c r="B22" s="110">
        <f t="shared" si="1"/>
        <v>2036</v>
      </c>
      <c r="C22" s="12">
        <f t="shared" si="0"/>
        <v>40000000</v>
      </c>
      <c r="D22" s="12">
        <f t="shared" si="2"/>
        <v>800000</v>
      </c>
      <c r="E22" s="12">
        <f>D22/((1+Inputs!$B$3)^($B22-Inputs!$B$5))</f>
        <v>270987.67823727831</v>
      </c>
      <c r="F22" s="12">
        <f>D22/((1+Inputs!$B$4)^($B22-Inputs!$B$5))</f>
        <v>498533.55137609149</v>
      </c>
    </row>
    <row r="23" spans="1:6">
      <c r="A23"/>
      <c r="B23" s="110">
        <f t="shared" si="1"/>
        <v>2037</v>
      </c>
      <c r="C23" s="12">
        <f t="shared" si="0"/>
        <v>40000000</v>
      </c>
      <c r="D23" s="12">
        <f t="shared" si="2"/>
        <v>800000</v>
      </c>
      <c r="E23" s="12">
        <f>D23/((1+Inputs!$B$3)^($B23-Inputs!$B$5))</f>
        <v>253259.51237128812</v>
      </c>
      <c r="F23" s="12">
        <f>D23/((1+Inputs!$B$4)^($B23-Inputs!$B$5))</f>
        <v>484013.15667581698</v>
      </c>
    </row>
    <row r="24" spans="1:6">
      <c r="A24"/>
      <c r="B24" s="110">
        <f t="shared" si="1"/>
        <v>2038</v>
      </c>
      <c r="C24" s="12">
        <f t="shared" si="0"/>
        <v>40000000</v>
      </c>
      <c r="D24" s="12">
        <f t="shared" si="2"/>
        <v>800000</v>
      </c>
      <c r="E24" s="12">
        <f>D24/((1+Inputs!$B$3)^($B24-Inputs!$B$5))</f>
        <v>236691.13305727861</v>
      </c>
      <c r="F24" s="12">
        <f>D24/((1+Inputs!$B$4)^($B24-Inputs!$B$5))</f>
        <v>469915.68609302619</v>
      </c>
    </row>
    <row r="25" spans="1:6">
      <c r="A25"/>
      <c r="B25" s="110">
        <f t="shared" si="1"/>
        <v>2039</v>
      </c>
      <c r="C25" s="12">
        <f t="shared" si="0"/>
        <v>40000000</v>
      </c>
      <c r="D25" s="12">
        <f t="shared" si="2"/>
        <v>800000</v>
      </c>
      <c r="E25" s="12">
        <f>D25/((1+Inputs!$B$3)^($B25-Inputs!$B$5))</f>
        <v>221206.66640867159</v>
      </c>
      <c r="F25" s="12">
        <f>D25/((1+Inputs!$B$4)^($B25-Inputs!$B$5))</f>
        <v>456228.82144954003</v>
      </c>
    </row>
    <row r="26" spans="1:6">
      <c r="A26"/>
      <c r="B26" s="110">
        <f t="shared" si="1"/>
        <v>2040</v>
      </c>
      <c r="C26" s="12">
        <f t="shared" si="0"/>
        <v>40000000</v>
      </c>
      <c r="D26" s="12">
        <f t="shared" si="2"/>
        <v>800000</v>
      </c>
      <c r="E26" s="12">
        <f>D26/((1+Inputs!$B$3)^($B26-Inputs!$B$5))</f>
        <v>206735.20225109495</v>
      </c>
      <c r="F26" s="12">
        <f>D26/((1+Inputs!$B$4)^($B26-Inputs!$B$5))</f>
        <v>442940.60334906797</v>
      </c>
    </row>
    <row r="27" spans="1:6">
      <c r="A27"/>
      <c r="B27" s="110">
        <f t="shared" si="1"/>
        <v>2041</v>
      </c>
      <c r="C27" s="12">
        <f t="shared" si="0"/>
        <v>40000000</v>
      </c>
      <c r="D27" s="12">
        <f t="shared" si="2"/>
        <v>800000</v>
      </c>
      <c r="E27" s="12">
        <f>D27/((1+Inputs!$B$3)^($B27-Inputs!$B$5))</f>
        <v>193210.46939354669</v>
      </c>
      <c r="F27" s="12">
        <f>D27/((1+Inputs!$B$4)^($B27-Inputs!$B$5))</f>
        <v>430039.42072725052</v>
      </c>
    </row>
    <row r="28" spans="1:6">
      <c r="A28"/>
      <c r="B28" s="110">
        <f t="shared" si="1"/>
        <v>2042</v>
      </c>
      <c r="C28" s="12">
        <f t="shared" si="0"/>
        <v>40000000</v>
      </c>
      <c r="D28" s="12">
        <f t="shared" si="2"/>
        <v>800000</v>
      </c>
      <c r="E28" s="12">
        <f>D28/((1+Inputs!$B$3)^($B28-Inputs!$B$5))</f>
        <v>180570.53214350156</v>
      </c>
      <c r="F28" s="12">
        <f>D28/((1+Inputs!$B$4)^($B28-Inputs!$B$5))</f>
        <v>417514.00070606841</v>
      </c>
    </row>
    <row r="29" spans="1:6">
      <c r="A29"/>
      <c r="B29" s="110">
        <f t="shared" si="1"/>
        <v>2043</v>
      </c>
      <c r="C29" s="12">
        <f t="shared" si="0"/>
        <v>40000000</v>
      </c>
      <c r="D29" s="12">
        <f t="shared" si="2"/>
        <v>800000</v>
      </c>
      <c r="E29" s="12">
        <f>D29/((1+Inputs!$B$3)^($B29-Inputs!$B$5))</f>
        <v>168757.50667616969</v>
      </c>
      <c r="F29" s="12">
        <f>D29/((1+Inputs!$B$4)^($B29-Inputs!$B$5))</f>
        <v>405353.39874375571</v>
      </c>
    </row>
    <row r="30" spans="1:6">
      <c r="A30"/>
      <c r="B30" s="110">
        <f t="shared" si="1"/>
        <v>2044</v>
      </c>
      <c r="C30" s="12">
        <f t="shared" si="0"/>
        <v>40000000</v>
      </c>
      <c r="D30" s="12">
        <f t="shared" si="2"/>
        <v>800000</v>
      </c>
      <c r="E30" s="12">
        <f>D30/((1+Inputs!$B$3)^($B30-Inputs!$B$5))</f>
        <v>157717.29595903709</v>
      </c>
      <c r="F30" s="12">
        <f>D30/((1+Inputs!$B$4)^($B30-Inputs!$B$5))</f>
        <v>393546.98907160753</v>
      </c>
    </row>
    <row r="31" spans="1:6">
      <c r="A31"/>
      <c r="B31" s="110">
        <f t="shared" si="1"/>
        <v>2045</v>
      </c>
      <c r="C31" s="12">
        <f t="shared" si="0"/>
        <v>40000000</v>
      </c>
      <c r="D31" s="12">
        <f t="shared" si="2"/>
        <v>800000</v>
      </c>
      <c r="E31" s="12">
        <f>D31/((1+Inputs!$B$3)^($B31-Inputs!$B$5))</f>
        <v>147399.34201779167</v>
      </c>
      <c r="F31" s="12">
        <f>D31/((1+Inputs!$B$4)^($B31-Inputs!$B$5))</f>
        <v>382084.45540932775</v>
      </c>
    </row>
    <row r="32" spans="1:6" s="416" customFormat="1">
      <c r="B32" s="110">
        <f t="shared" si="1"/>
        <v>2046</v>
      </c>
      <c r="C32" s="12">
        <f t="shared" si="0"/>
        <v>40000000</v>
      </c>
      <c r="D32" s="12">
        <f t="shared" ref="D32" si="3">C32*$E$6</f>
        <v>800000</v>
      </c>
      <c r="E32" s="12">
        <f>D32/((1+Inputs!$B$3)^($B32-Inputs!$B$5))</f>
        <v>137756.39440915111</v>
      </c>
      <c r="F32" s="12">
        <f>D32/((1+Inputs!$B$4)^($B32-Inputs!$B$5))</f>
        <v>370955.78195080359</v>
      </c>
    </row>
    <row r="33" spans="1:6">
      <c r="A33"/>
      <c r="B33" s="110">
        <f t="shared" si="1"/>
        <v>2047</v>
      </c>
      <c r="C33" s="12">
        <f t="shared" si="0"/>
        <v>40000000</v>
      </c>
      <c r="D33" s="638">
        <f>C33*$E$6*(1-Inputs!$B$8)</f>
        <v>333333.33333333331</v>
      </c>
      <c r="E33" s="12">
        <f>D33/((1+Inputs!$B$3)^($B33-Inputs!$B$5))</f>
        <v>53643.455766803374</v>
      </c>
      <c r="F33" s="12">
        <f>D33/((1+Inputs!$B$4)^($B33-Inputs!$B$5))</f>
        <v>150063.01858851279</v>
      </c>
    </row>
    <row r="34" spans="1:6">
      <c r="A34"/>
      <c r="B34" s="34" t="s">
        <v>4</v>
      </c>
      <c r="C34" s="170">
        <f>SUM(C13:C33)</f>
        <v>840000000</v>
      </c>
      <c r="D34" s="170">
        <f>SUM(D13:D33)</f>
        <v>16000000.000000002</v>
      </c>
      <c r="E34" s="170">
        <f>SUM(E13:E33)</f>
        <v>5493451.4176727803</v>
      </c>
      <c r="F34" s="170">
        <f>SUM(F13:F33)</f>
        <v>9846753.2946780641</v>
      </c>
    </row>
  </sheetData>
  <sheetProtection algorithmName="SHA-512" hashValue="EKiACV1Vg/aWmXI3BMkDYlkxC7ax2sHwyR6KaLqWrGHDUvALt0H8lyUV/+qczB72qaLvGDdOeAeaBAq/nSbhUw==" saltValue="cLs6ATqt+SvoBGgQ3nVYFQ=="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theme="6" tint="0.59999389629810485"/>
  </sheetPr>
  <dimension ref="A1:W73"/>
  <sheetViews>
    <sheetView topLeftCell="A10" zoomScale="85" zoomScaleNormal="85" workbookViewId="0">
      <selection activeCell="C36" sqref="C36"/>
    </sheetView>
  </sheetViews>
  <sheetFormatPr defaultRowHeight="15"/>
  <cols>
    <col min="1" max="1" width="8.85546875" style="147"/>
    <col min="2" max="2" width="12.7109375" customWidth="1"/>
    <col min="3" max="4" width="14.7109375" customWidth="1"/>
    <col min="5" max="5" width="13.140625" customWidth="1"/>
    <col min="6" max="6" width="14.7109375" customWidth="1"/>
    <col min="8" max="8" width="17.140625" customWidth="1"/>
    <col min="9" max="9" width="16.85546875" customWidth="1"/>
    <col min="10" max="10" width="14.7109375" customWidth="1"/>
    <col min="11" max="11" width="13.28515625" customWidth="1"/>
    <col min="12" max="12" width="14.28515625" bestFit="1" customWidth="1"/>
    <col min="14" max="20" width="11.140625" customWidth="1"/>
  </cols>
  <sheetData>
    <row r="1" spans="2:23">
      <c r="B1" t="s">
        <v>289</v>
      </c>
    </row>
    <row r="2" spans="2:23">
      <c r="B2" t="s">
        <v>947</v>
      </c>
    </row>
    <row r="3" spans="2:23" s="416" customFormat="1">
      <c r="B3" s="416" t="s">
        <v>948</v>
      </c>
    </row>
    <row r="4" spans="2:23" s="416" customFormat="1">
      <c r="B4" s="416" t="s">
        <v>949</v>
      </c>
    </row>
    <row r="5" spans="2:23" s="416" customFormat="1"/>
    <row r="6" spans="2:23" s="206" customFormat="1">
      <c r="J6" s="206" t="s">
        <v>1058</v>
      </c>
    </row>
    <row r="7" spans="2:23">
      <c r="B7" t="s">
        <v>213</v>
      </c>
      <c r="C7" s="412">
        <v>42416</v>
      </c>
      <c r="D7" t="s">
        <v>1048</v>
      </c>
      <c r="I7" s="79" t="s">
        <v>808</v>
      </c>
      <c r="J7" t="s">
        <v>1056</v>
      </c>
    </row>
    <row r="8" spans="2:23">
      <c r="C8" s="412">
        <v>42616</v>
      </c>
      <c r="D8" t="s">
        <v>811</v>
      </c>
      <c r="I8" s="79" t="s">
        <v>369</v>
      </c>
      <c r="J8" t="s">
        <v>1055</v>
      </c>
    </row>
    <row r="9" spans="2:23" s="206" customFormat="1">
      <c r="C9" s="412">
        <v>42616</v>
      </c>
      <c r="D9" s="206" t="s">
        <v>814</v>
      </c>
      <c r="I9" s="79" t="s">
        <v>369</v>
      </c>
      <c r="J9" s="416" t="s">
        <v>1055</v>
      </c>
    </row>
    <row r="10" spans="2:23">
      <c r="C10" s="412">
        <v>42616</v>
      </c>
      <c r="D10" t="s">
        <v>813</v>
      </c>
      <c r="I10" s="79" t="s">
        <v>812</v>
      </c>
      <c r="J10" t="s">
        <v>1057</v>
      </c>
    </row>
    <row r="11" spans="2:23">
      <c r="B11" t="s">
        <v>768</v>
      </c>
    </row>
    <row r="12" spans="2:23">
      <c r="B12">
        <v>1</v>
      </c>
      <c r="C12" t="s">
        <v>810</v>
      </c>
      <c r="L12" s="80">
        <f>Inputs!B94</f>
        <v>4500</v>
      </c>
      <c r="M12" s="80" t="str">
        <f>Inputs!A94</f>
        <v>PDO per vehicle (2019$)</v>
      </c>
      <c r="S12" s="681" t="s">
        <v>1087</v>
      </c>
      <c r="T12" s="681" t="s">
        <v>1088</v>
      </c>
      <c r="U12" s="681" t="s">
        <v>376</v>
      </c>
      <c r="V12" s="681" t="s">
        <v>834</v>
      </c>
      <c r="W12" s="681" t="s">
        <v>1089</v>
      </c>
    </row>
    <row r="13" spans="2:23">
      <c r="B13">
        <v>2</v>
      </c>
      <c r="C13" t="s">
        <v>809</v>
      </c>
      <c r="L13" s="80">
        <f>Inputs!B86</f>
        <v>72500</v>
      </c>
      <c r="M13" s="147" t="str">
        <f>Inputs!A86</f>
        <v>C - possible injury (2019$)</v>
      </c>
      <c r="S13" s="682">
        <v>42416</v>
      </c>
      <c r="T13" s="681"/>
      <c r="U13" s="681">
        <v>1</v>
      </c>
      <c r="V13" s="681" t="s">
        <v>724</v>
      </c>
      <c r="W13" s="681"/>
    </row>
    <row r="14" spans="2:23">
      <c r="L14" s="80">
        <f>Inputs!B87</f>
        <v>142000</v>
      </c>
      <c r="M14" s="147" t="str">
        <f>Inputs!A87</f>
        <v>B - non-incapacitating injury (2019$)</v>
      </c>
      <c r="S14" s="682">
        <v>42616</v>
      </c>
      <c r="T14" s="681">
        <v>1</v>
      </c>
      <c r="U14" s="681"/>
      <c r="V14" s="681" t="s">
        <v>724</v>
      </c>
      <c r="W14" s="681"/>
    </row>
    <row r="15" spans="2:23" s="206" customFormat="1">
      <c r="B15" s="206" t="s">
        <v>769</v>
      </c>
      <c r="L15" s="80">
        <f>Inputs!B88</f>
        <v>521300</v>
      </c>
      <c r="M15" s="147" t="str">
        <f>Inputs!A88</f>
        <v>A - incapacitating (2019$)</v>
      </c>
      <c r="S15" s="682">
        <v>42616</v>
      </c>
      <c r="T15" s="681"/>
      <c r="U15" s="681">
        <v>1</v>
      </c>
      <c r="V15" s="681"/>
      <c r="W15" s="681" t="s">
        <v>724</v>
      </c>
    </row>
    <row r="16" spans="2:23" s="206" customFormat="1">
      <c r="B16">
        <v>1</v>
      </c>
      <c r="C16" t="s">
        <v>370</v>
      </c>
      <c r="L16" s="80">
        <f>Inputs!B89</f>
        <v>10900000</v>
      </c>
      <c r="M16" s="147" t="str">
        <f>Inputs!A89</f>
        <v>K - killed (2019$)</v>
      </c>
      <c r="S16" s="682">
        <v>42616</v>
      </c>
      <c r="T16" s="681"/>
      <c r="U16" s="681">
        <v>1</v>
      </c>
      <c r="V16" s="681" t="s">
        <v>724</v>
      </c>
      <c r="W16" s="681"/>
    </row>
    <row r="17" spans="1:13" s="206" customFormat="1">
      <c r="L17" s="80">
        <f>Inputs!B90</f>
        <v>197600</v>
      </c>
      <c r="M17" s="147" t="str">
        <f>Inputs!A90</f>
        <v>U - Injured (severity unknown) (2019$)</v>
      </c>
    </row>
    <row r="18" spans="1:13" s="206" customFormat="1">
      <c r="B18" s="206" t="s">
        <v>1090</v>
      </c>
      <c r="J18" s="80"/>
      <c r="L18" s="80">
        <f>Inputs!B92</f>
        <v>284100</v>
      </c>
      <c r="M18" s="416" t="str">
        <f>Inputs!A92</f>
        <v>Injury Crash (2019$)</v>
      </c>
    </row>
    <row r="19" spans="1:13">
      <c r="B19" s="97">
        <f>1/Inputs!B15</f>
        <v>0.2</v>
      </c>
      <c r="C19" t="s">
        <v>1046</v>
      </c>
    </row>
    <row r="20" spans="1:13" s="416" customFormat="1">
      <c r="A20" s="124">
        <f>3/5</f>
        <v>0.6</v>
      </c>
      <c r="B20" s="124">
        <f>B19</f>
        <v>0.2</v>
      </c>
      <c r="C20" s="416" t="s">
        <v>1047</v>
      </c>
    </row>
    <row r="21" spans="1:13" s="206" customFormat="1">
      <c r="A21" s="206" t="s">
        <v>508</v>
      </c>
      <c r="C21" s="206" t="s">
        <v>966</v>
      </c>
      <c r="M21"/>
    </row>
    <row r="22" spans="1:13" s="416" customFormat="1">
      <c r="C22" s="416" t="s">
        <v>964</v>
      </c>
    </row>
    <row r="23" spans="1:13" s="416" customFormat="1"/>
    <row r="24" spans="1:13" s="416" customFormat="1" ht="30">
      <c r="B24" s="584" t="s">
        <v>950</v>
      </c>
      <c r="C24" s="584" t="s">
        <v>951</v>
      </c>
      <c r="D24" s="584" t="s">
        <v>952</v>
      </c>
      <c r="E24" s="584" t="s">
        <v>953</v>
      </c>
      <c r="F24" s="584" t="s">
        <v>954</v>
      </c>
      <c r="G24" s="584" t="s">
        <v>955</v>
      </c>
      <c r="H24" s="584" t="s">
        <v>956</v>
      </c>
    </row>
    <row r="25" spans="1:13" s="416" customFormat="1">
      <c r="B25" s="412">
        <v>41744.863194444442</v>
      </c>
      <c r="C25">
        <v>50</v>
      </c>
      <c r="D25">
        <v>57.54</v>
      </c>
      <c r="E25">
        <v>25.72</v>
      </c>
      <c r="F25">
        <v>35.82</v>
      </c>
      <c r="G25">
        <v>-75.89</v>
      </c>
      <c r="H25" t="s">
        <v>957</v>
      </c>
    </row>
    <row r="26" spans="1:13" s="416" customFormat="1">
      <c r="B26" s="412">
        <v>41744.902083333334</v>
      </c>
      <c r="C26">
        <v>58</v>
      </c>
      <c r="D26">
        <v>66.75</v>
      </c>
      <c r="E26">
        <v>29.84</v>
      </c>
      <c r="F26">
        <v>35.340000000000003</v>
      </c>
      <c r="G26">
        <v>-75.5</v>
      </c>
      <c r="H26" t="s">
        <v>957</v>
      </c>
    </row>
    <row r="27" spans="1:13" s="416" customFormat="1">
      <c r="B27" s="412">
        <v>41744.904166666667</v>
      </c>
      <c r="C27">
        <v>59</v>
      </c>
      <c r="D27">
        <v>67.900000000000006</v>
      </c>
      <c r="E27">
        <v>30.35</v>
      </c>
      <c r="F27">
        <v>35.22</v>
      </c>
      <c r="G27">
        <v>-75.69</v>
      </c>
      <c r="H27" t="s">
        <v>957</v>
      </c>
    </row>
    <row r="28" spans="1:13" s="416" customFormat="1">
      <c r="B28" s="412">
        <v>41744.911111111112</v>
      </c>
      <c r="C28">
        <v>50</v>
      </c>
      <c r="D28">
        <v>57.54</v>
      </c>
      <c r="E28">
        <v>25.72</v>
      </c>
      <c r="F28">
        <v>35.566499999999998</v>
      </c>
      <c r="G28">
        <v>-75.467200000000005</v>
      </c>
      <c r="H28" t="s">
        <v>957</v>
      </c>
    </row>
    <row r="29" spans="1:13" s="416" customFormat="1">
      <c r="B29" s="412">
        <v>41744.912499999999</v>
      </c>
      <c r="C29">
        <v>55</v>
      </c>
      <c r="D29">
        <v>63.29</v>
      </c>
      <c r="E29">
        <v>28.29</v>
      </c>
      <c r="F29">
        <v>35.229999999999997</v>
      </c>
      <c r="G29">
        <v>-75.61</v>
      </c>
      <c r="H29" t="s">
        <v>957</v>
      </c>
    </row>
    <row r="30" spans="1:13" s="416" customFormat="1">
      <c r="B30" s="412">
        <v>41744.915277777778</v>
      </c>
      <c r="C30">
        <v>57</v>
      </c>
      <c r="D30">
        <v>65.59</v>
      </c>
      <c r="E30">
        <v>29.32</v>
      </c>
      <c r="F30">
        <v>35.58</v>
      </c>
      <c r="G30">
        <v>-75.465000000000003</v>
      </c>
      <c r="H30" t="s">
        <v>957</v>
      </c>
    </row>
    <row r="31" spans="1:13" s="416" customFormat="1">
      <c r="B31" s="412">
        <v>42416.379166666666</v>
      </c>
      <c r="C31">
        <v>67</v>
      </c>
      <c r="D31">
        <v>77.099999999999994</v>
      </c>
      <c r="E31">
        <v>34.47</v>
      </c>
      <c r="F31">
        <v>35.871400000000001</v>
      </c>
      <c r="G31">
        <v>-75.901799999999994</v>
      </c>
      <c r="H31" t="s">
        <v>957</v>
      </c>
    </row>
    <row r="32" spans="1:13" s="416" customFormat="1">
      <c r="B32" s="412">
        <v>42416.385416666664</v>
      </c>
      <c r="C32">
        <v>61</v>
      </c>
      <c r="D32">
        <v>70.2</v>
      </c>
      <c r="E32">
        <v>31.38</v>
      </c>
      <c r="F32">
        <v>35.798999999999999</v>
      </c>
      <c r="G32">
        <v>-75.557699999999997</v>
      </c>
      <c r="H32" t="s">
        <v>957</v>
      </c>
    </row>
    <row r="33" spans="2:9" s="416" customFormat="1">
      <c r="B33" s="412">
        <v>42424.90625</v>
      </c>
      <c r="C33">
        <v>50</v>
      </c>
      <c r="D33">
        <v>57.54</v>
      </c>
      <c r="E33">
        <v>25.72</v>
      </c>
      <c r="F33">
        <v>35.237499999999997</v>
      </c>
      <c r="G33">
        <v>-75.610299999999995</v>
      </c>
      <c r="H33" t="s">
        <v>957</v>
      </c>
    </row>
    <row r="34" spans="2:9" s="416" customFormat="1">
      <c r="B34" s="412">
        <v>42424.913888888892</v>
      </c>
      <c r="C34">
        <v>50</v>
      </c>
      <c r="D34">
        <v>57.54</v>
      </c>
      <c r="E34">
        <v>25.72</v>
      </c>
      <c r="F34">
        <v>35.369999999999997</v>
      </c>
      <c r="G34">
        <v>-75.499300000000005</v>
      </c>
      <c r="H34" t="s">
        <v>957</v>
      </c>
    </row>
    <row r="35" spans="2:9" s="416" customFormat="1">
      <c r="B35" s="412">
        <v>42538.02847222222</v>
      </c>
      <c r="C35">
        <v>50</v>
      </c>
      <c r="D35">
        <v>57.54</v>
      </c>
      <c r="E35">
        <v>25.72</v>
      </c>
      <c r="F35">
        <v>35.904600000000002</v>
      </c>
      <c r="G35">
        <v>-75.773099999999999</v>
      </c>
      <c r="H35" t="s">
        <v>957</v>
      </c>
    </row>
    <row r="36" spans="2:9" s="416" customFormat="1">
      <c r="B36" s="412">
        <v>42883.840277777781</v>
      </c>
      <c r="C36">
        <v>50</v>
      </c>
      <c r="D36">
        <v>57.54</v>
      </c>
      <c r="E36">
        <v>25.72</v>
      </c>
      <c r="F36">
        <v>36.07</v>
      </c>
      <c r="G36">
        <v>-75.72</v>
      </c>
      <c r="H36" t="s">
        <v>957</v>
      </c>
    </row>
    <row r="37" spans="2:9" s="416" customFormat="1">
      <c r="B37" s="412">
        <v>42930.966666666667</v>
      </c>
      <c r="C37">
        <v>50</v>
      </c>
      <c r="D37">
        <v>57.54</v>
      </c>
      <c r="E37">
        <v>25.72</v>
      </c>
      <c r="F37">
        <v>35.889299999999999</v>
      </c>
      <c r="G37">
        <v>-76.212100000000007</v>
      </c>
      <c r="H37" t="s">
        <v>958</v>
      </c>
    </row>
    <row r="38" spans="2:9" s="416" customFormat="1">
      <c r="B38" s="412">
        <v>42980.354166666664</v>
      </c>
      <c r="C38">
        <v>50</v>
      </c>
      <c r="D38">
        <v>57.54</v>
      </c>
      <c r="E38">
        <v>25.72</v>
      </c>
      <c r="F38">
        <v>35.35</v>
      </c>
      <c r="G38">
        <v>-75.5</v>
      </c>
      <c r="H38" t="s">
        <v>957</v>
      </c>
    </row>
    <row r="39" spans="2:9" s="416" customFormat="1">
      <c r="B39" s="412">
        <v>43112.923611111109</v>
      </c>
      <c r="C39">
        <v>57</v>
      </c>
      <c r="D39">
        <v>65.59</v>
      </c>
      <c r="E39">
        <v>29.32</v>
      </c>
      <c r="F39">
        <v>35.247300000000003</v>
      </c>
      <c r="G39">
        <v>-75.629000000000005</v>
      </c>
      <c r="H39" t="s">
        <v>957</v>
      </c>
    </row>
    <row r="40" spans="2:9" s="416" customFormat="1">
      <c r="B40" s="412">
        <v>43112.927777777775</v>
      </c>
      <c r="C40">
        <v>53</v>
      </c>
      <c r="D40">
        <v>60.99</v>
      </c>
      <c r="E40">
        <v>27.27</v>
      </c>
      <c r="F40">
        <v>35.26</v>
      </c>
      <c r="G40">
        <v>-75.56</v>
      </c>
      <c r="H40" t="s">
        <v>957</v>
      </c>
    </row>
    <row r="41" spans="2:9" s="416" customFormat="1">
      <c r="B41" s="412">
        <v>43112.929861111108</v>
      </c>
      <c r="C41">
        <v>67</v>
      </c>
      <c r="D41">
        <v>77.099999999999994</v>
      </c>
      <c r="E41">
        <v>34.47</v>
      </c>
      <c r="F41">
        <v>35.347299999999997</v>
      </c>
      <c r="G41">
        <v>-75.499899999999997</v>
      </c>
      <c r="H41" t="s">
        <v>957</v>
      </c>
      <c r="I41" t="s">
        <v>946</v>
      </c>
    </row>
    <row r="42" spans="2:9" s="416" customFormat="1">
      <c r="B42" s="412">
        <v>43194.65</v>
      </c>
      <c r="C42">
        <v>50</v>
      </c>
      <c r="D42">
        <v>57.54</v>
      </c>
      <c r="E42">
        <v>25.72</v>
      </c>
      <c r="F42">
        <v>36.110100000000003</v>
      </c>
      <c r="G42">
        <v>-75.720600000000005</v>
      </c>
      <c r="H42" t="s">
        <v>957</v>
      </c>
    </row>
    <row r="43" spans="2:9" s="416" customFormat="1">
      <c r="B43" s="412">
        <v>43417.254861111112</v>
      </c>
      <c r="C43">
        <v>58</v>
      </c>
      <c r="D43">
        <v>66.75</v>
      </c>
      <c r="E43">
        <v>29.84</v>
      </c>
      <c r="F43">
        <v>35.200000000000003</v>
      </c>
      <c r="G43">
        <v>-75.739999999999995</v>
      </c>
      <c r="H43" t="s">
        <v>957</v>
      </c>
    </row>
    <row r="44" spans="2:9" s="416" customFormat="1">
      <c r="B44" t="s">
        <v>965</v>
      </c>
      <c r="C44"/>
      <c r="D44"/>
      <c r="E44"/>
      <c r="F44"/>
      <c r="G44"/>
      <c r="H44"/>
    </row>
    <row r="45" spans="2:9" s="416" customFormat="1">
      <c r="B45"/>
      <c r="C45" t="s">
        <v>959</v>
      </c>
      <c r="D45"/>
      <c r="E45">
        <f>COUNT(B25:B43)</f>
        <v>19</v>
      </c>
      <c r="F45"/>
      <c r="G45"/>
      <c r="H45"/>
    </row>
    <row r="46" spans="2:9" s="416" customFormat="1">
      <c r="B46"/>
      <c r="C46" t="s">
        <v>961</v>
      </c>
      <c r="D46"/>
      <c r="E46">
        <v>10</v>
      </c>
      <c r="F46" t="s">
        <v>962</v>
      </c>
      <c r="G46"/>
      <c r="H46"/>
    </row>
    <row r="47" spans="2:9" s="416" customFormat="1">
      <c r="B47"/>
      <c r="C47" t="s">
        <v>960</v>
      </c>
      <c r="D47"/>
      <c r="E47">
        <v>5</v>
      </c>
      <c r="F47"/>
      <c r="G47"/>
      <c r="H47"/>
    </row>
    <row r="48" spans="2:9" s="416" customFormat="1">
      <c r="B48"/>
      <c r="C48"/>
      <c r="D48"/>
      <c r="E48">
        <f>E46/E47</f>
        <v>2</v>
      </c>
      <c r="F48" t="s">
        <v>963</v>
      </c>
      <c r="G48"/>
      <c r="H48"/>
    </row>
    <row r="49" spans="2:11" s="416" customFormat="1"/>
    <row r="50" spans="2:11">
      <c r="B50" s="77" t="s">
        <v>291</v>
      </c>
      <c r="C50" s="60"/>
      <c r="D50" s="77"/>
      <c r="E50" s="33"/>
      <c r="F50" s="33"/>
    </row>
    <row r="51" spans="2:11" ht="75">
      <c r="B51" s="67" t="s">
        <v>1</v>
      </c>
      <c r="C51" s="23" t="s">
        <v>765</v>
      </c>
      <c r="D51" s="67" t="s">
        <v>764</v>
      </c>
      <c r="E51" s="67" t="s">
        <v>302</v>
      </c>
      <c r="F51" s="67" t="s">
        <v>303</v>
      </c>
      <c r="H51" s="381" t="s">
        <v>766</v>
      </c>
      <c r="I51" s="380" t="s">
        <v>767</v>
      </c>
      <c r="J51" s="380" t="s">
        <v>302</v>
      </c>
      <c r="K51" s="380" t="s">
        <v>303</v>
      </c>
    </row>
    <row r="52" spans="2:11">
      <c r="B52" s="110">
        <f>Inputs!B9</f>
        <v>2024</v>
      </c>
      <c r="C52" s="12">
        <f>(Wind_Safety!$B$16*$L$18)</f>
        <v>284100</v>
      </c>
      <c r="D52" s="638">
        <f>C52*$B$19*Inputs!$B$10</f>
        <v>18940</v>
      </c>
      <c r="E52" s="12">
        <f>D52/((1+Inputs!$B$3)^($B52-Inputs!$B$5))</f>
        <v>14449.235316180127</v>
      </c>
      <c r="F52" s="12">
        <f>D52/((1+Inputs!$B$4)^($B52-Inputs!$B$5))</f>
        <v>16827.944687523148</v>
      </c>
      <c r="H52" s="12">
        <f>($B$12*$L$16)+($B$13*$L$17)</f>
        <v>11295200</v>
      </c>
      <c r="I52" s="638">
        <f>H52*$B$20*Inputs!$B$10</f>
        <v>753013.33333333326</v>
      </c>
      <c r="J52" s="12">
        <f>I52/((1+Inputs!$B$3)^($B52-Inputs!$B$5))</f>
        <v>574470.26660794707</v>
      </c>
      <c r="K52" s="12">
        <f>I52/((1+Inputs!$B$4)^($B52-Inputs!$B$5))</f>
        <v>669042.59357448597</v>
      </c>
    </row>
    <row r="53" spans="2:11">
      <c r="B53" s="110">
        <f>B52+1</f>
        <v>2025</v>
      </c>
      <c r="C53" s="12">
        <f>(Wind_Safety!$B$16*$L$18)</f>
        <v>284100</v>
      </c>
      <c r="D53" s="12">
        <f t="shared" ref="D53:D69" si="0">C53*$B$19</f>
        <v>56820</v>
      </c>
      <c r="E53" s="12">
        <f>D53/((1+Inputs!$B$3)^($B53-Inputs!$B$5))</f>
        <v>40511.874718262035</v>
      </c>
      <c r="F53" s="12">
        <f>D53/((1+Inputs!$B$4)^($B53-Inputs!$B$5))</f>
        <v>49013.431128708202</v>
      </c>
      <c r="H53" s="12">
        <f t="shared" ref="H53:H72" si="1">($B$12*$L$16)+($B$13*$L$17)</f>
        <v>11295200</v>
      </c>
      <c r="I53" s="12">
        <f>H53*$B$20</f>
        <v>2259040</v>
      </c>
      <c r="J53" s="12">
        <f>I53/((1+Inputs!$B$3)^($B53-Inputs!$B$5))</f>
        <v>1610664.2989007861</v>
      </c>
      <c r="K53" s="12">
        <f>I53/((1+Inputs!$B$4)^($B53-Inputs!$B$5))</f>
        <v>1948667.748275202</v>
      </c>
    </row>
    <row r="54" spans="2:11">
      <c r="B54" s="110">
        <f t="shared" ref="B54:B72" si="2">B53+1</f>
        <v>2026</v>
      </c>
      <c r="C54" s="12">
        <f>(Wind_Safety!$B$16*$L$18)</f>
        <v>284100</v>
      </c>
      <c r="D54" s="12">
        <f t="shared" si="0"/>
        <v>56820</v>
      </c>
      <c r="E54" s="12">
        <f>D54/((1+Inputs!$B$3)^($B54-Inputs!$B$5))</f>
        <v>37861.565157254241</v>
      </c>
      <c r="F54" s="12">
        <f>D54/((1+Inputs!$B$4)^($B54-Inputs!$B$5))</f>
        <v>47585.855464765242</v>
      </c>
      <c r="H54" s="12">
        <f t="shared" si="1"/>
        <v>11295200</v>
      </c>
      <c r="I54" s="12">
        <f t="shared" ref="I54:I71" si="3">H54*$B$20</f>
        <v>2259040</v>
      </c>
      <c r="J54" s="12">
        <f>I54/((1+Inputs!$B$3)^($B54-Inputs!$B$5))</f>
        <v>1505293.7372904546</v>
      </c>
      <c r="K54" s="12">
        <f>I54/((1+Inputs!$B$4)^($B54-Inputs!$B$5))</f>
        <v>1891910.4352186427</v>
      </c>
    </row>
    <row r="55" spans="2:11">
      <c r="B55" s="110">
        <f t="shared" si="2"/>
        <v>2027</v>
      </c>
      <c r="C55" s="12">
        <f>(Wind_Safety!$B$16*$L$18)</f>
        <v>284100</v>
      </c>
      <c r="D55" s="12">
        <f t="shared" si="0"/>
        <v>56820</v>
      </c>
      <c r="E55" s="12">
        <f>D55/((1+Inputs!$B$3)^($B55-Inputs!$B$5))</f>
        <v>35384.640333882468</v>
      </c>
      <c r="F55" s="12">
        <f>D55/((1+Inputs!$B$4)^($B55-Inputs!$B$5))</f>
        <v>46199.859674529362</v>
      </c>
      <c r="H55" s="12">
        <f t="shared" si="1"/>
        <v>11295200</v>
      </c>
      <c r="I55" s="12">
        <f t="shared" si="3"/>
        <v>2259040</v>
      </c>
      <c r="J55" s="12">
        <f>I55/((1+Inputs!$B$3)^($B55-Inputs!$B$5))</f>
        <v>1406816.5769069667</v>
      </c>
      <c r="K55" s="12">
        <f>I55/((1+Inputs!$B$4)^($B55-Inputs!$B$5))</f>
        <v>1836806.2477850898</v>
      </c>
    </row>
    <row r="56" spans="2:11">
      <c r="B56" s="110">
        <f t="shared" si="2"/>
        <v>2028</v>
      </c>
      <c r="C56" s="12">
        <f>(Wind_Safety!$B$16*$L$18)</f>
        <v>284100</v>
      </c>
      <c r="D56" s="12">
        <f t="shared" si="0"/>
        <v>56820</v>
      </c>
      <c r="E56" s="12">
        <f>D56/((1+Inputs!$B$3)^($B56-Inputs!$B$5))</f>
        <v>33069.757321385485</v>
      </c>
      <c r="F56" s="12">
        <f>D56/((1+Inputs!$B$4)^($B56-Inputs!$B$5))</f>
        <v>44854.23269371783</v>
      </c>
      <c r="H56" s="12">
        <f t="shared" si="1"/>
        <v>11295200</v>
      </c>
      <c r="I56" s="12">
        <f t="shared" si="3"/>
        <v>2259040</v>
      </c>
      <c r="J56" s="12">
        <f>I56/((1+Inputs!$B$3)^($B56-Inputs!$B$5))</f>
        <v>1314781.8475766045</v>
      </c>
      <c r="K56" s="12">
        <f>I56/((1+Inputs!$B$4)^($B56-Inputs!$B$5))</f>
        <v>1783307.0366845534</v>
      </c>
    </row>
    <row r="57" spans="2:11">
      <c r="B57" s="110">
        <f t="shared" si="2"/>
        <v>2029</v>
      </c>
      <c r="C57" s="12">
        <f>(Wind_Safety!$B$16*$L$18)</f>
        <v>284100</v>
      </c>
      <c r="D57" s="12">
        <f t="shared" si="0"/>
        <v>56820</v>
      </c>
      <c r="E57" s="12">
        <f>D57/((1+Inputs!$B$3)^($B57-Inputs!$B$5))</f>
        <v>30906.315253631288</v>
      </c>
      <c r="F57" s="12">
        <f>D57/((1+Inputs!$B$4)^($B57-Inputs!$B$5))</f>
        <v>43547.79873176488</v>
      </c>
      <c r="H57" s="12">
        <f t="shared" si="1"/>
        <v>11295200</v>
      </c>
      <c r="I57" s="12">
        <f t="shared" si="3"/>
        <v>2259040</v>
      </c>
      <c r="J57" s="12">
        <f>I57/((1+Inputs!$B$3)^($B57-Inputs!$B$5))</f>
        <v>1228768.0818472938</v>
      </c>
      <c r="K57" s="12">
        <f>I57/((1+Inputs!$B$4)^($B57-Inputs!$B$5))</f>
        <v>1731366.0550335471</v>
      </c>
    </row>
    <row r="58" spans="2:11">
      <c r="B58" s="110">
        <f t="shared" si="2"/>
        <v>2030</v>
      </c>
      <c r="C58" s="12">
        <f>(Wind_Safety!$B$16*$L$18)</f>
        <v>284100</v>
      </c>
      <c r="D58" s="12">
        <f t="shared" si="0"/>
        <v>56820</v>
      </c>
      <c r="E58" s="12">
        <f>D58/((1+Inputs!$B$3)^($B58-Inputs!$B$5))</f>
        <v>28884.406779094665</v>
      </c>
      <c r="F58" s="12">
        <f>D58/((1+Inputs!$B$4)^($B58-Inputs!$B$5))</f>
        <v>42279.416244431923</v>
      </c>
      <c r="H58" s="12">
        <f t="shared" si="1"/>
        <v>11295200</v>
      </c>
      <c r="I58" s="12">
        <f t="shared" si="3"/>
        <v>2259040</v>
      </c>
      <c r="J58" s="12">
        <f>I58/((1+Inputs!$B$3)^($B58-Inputs!$B$5))</f>
        <v>1148381.3849040128</v>
      </c>
      <c r="K58" s="12">
        <f>I58/((1+Inputs!$B$4)^($B58-Inputs!$B$5))</f>
        <v>1680937.9175082981</v>
      </c>
    </row>
    <row r="59" spans="2:11">
      <c r="B59" s="110">
        <f t="shared" si="2"/>
        <v>2031</v>
      </c>
      <c r="C59" s="12">
        <f>(Wind_Safety!$B$16*$L$18)</f>
        <v>284100</v>
      </c>
      <c r="D59" s="12">
        <f t="shared" si="0"/>
        <v>56820</v>
      </c>
      <c r="E59" s="12">
        <f>D59/((1+Inputs!$B$3)^($B59-Inputs!$B$5))</f>
        <v>26994.772690742673</v>
      </c>
      <c r="F59" s="12">
        <f>D59/((1+Inputs!$B$4)^($B59-Inputs!$B$5))</f>
        <v>41047.976936341671</v>
      </c>
      <c r="H59" s="12">
        <f t="shared" si="1"/>
        <v>11295200</v>
      </c>
      <c r="I59" s="12">
        <f t="shared" si="3"/>
        <v>2259040</v>
      </c>
      <c r="J59" s="12">
        <f>I59/((1+Inputs!$B$3)^($B59-Inputs!$B$5))</f>
        <v>1073253.6307514138</v>
      </c>
      <c r="K59" s="12">
        <f>I59/((1+Inputs!$B$4)^($B59-Inputs!$B$5))</f>
        <v>1631978.5606876679</v>
      </c>
    </row>
    <row r="60" spans="2:11">
      <c r="B60" s="110">
        <f t="shared" si="2"/>
        <v>2032</v>
      </c>
      <c r="C60" s="12">
        <f>(Wind_Safety!$B$16*$L$18)</f>
        <v>284100</v>
      </c>
      <c r="D60" s="12">
        <f t="shared" si="0"/>
        <v>56820</v>
      </c>
      <c r="E60" s="12">
        <f>D60/((1+Inputs!$B$3)^($B60-Inputs!$B$5))</f>
        <v>25228.75952405858</v>
      </c>
      <c r="F60" s="12">
        <f>D60/((1+Inputs!$B$4)^($B60-Inputs!$B$5))</f>
        <v>39852.404792564739</v>
      </c>
      <c r="H60" s="12">
        <f t="shared" si="1"/>
        <v>11295200</v>
      </c>
      <c r="I60" s="12">
        <f t="shared" si="3"/>
        <v>2259040</v>
      </c>
      <c r="J60" s="12">
        <f>I60/((1+Inputs!$B$3)^($B60-Inputs!$B$5))</f>
        <v>1003040.7764031907</v>
      </c>
      <c r="K60" s="12">
        <f>I60/((1+Inputs!$B$4)^($B60-Inputs!$B$5))</f>
        <v>1584445.2045511343</v>
      </c>
    </row>
    <row r="61" spans="2:11">
      <c r="B61" s="110">
        <f t="shared" si="2"/>
        <v>2033</v>
      </c>
      <c r="C61" s="12">
        <f>(Wind_Safety!$B$16*$L$18)</f>
        <v>284100</v>
      </c>
      <c r="D61" s="12">
        <f t="shared" si="0"/>
        <v>56820</v>
      </c>
      <c r="E61" s="12">
        <f>D61/((1+Inputs!$B$3)^($B61-Inputs!$B$5))</f>
        <v>23578.279929026707</v>
      </c>
      <c r="F61" s="12">
        <f>D61/((1+Inputs!$B$4)^($B61-Inputs!$B$5))</f>
        <v>38691.655138412367</v>
      </c>
      <c r="H61" s="12">
        <f t="shared" si="1"/>
        <v>11295200</v>
      </c>
      <c r="I61" s="12">
        <f t="shared" si="3"/>
        <v>2259040</v>
      </c>
      <c r="J61" s="12">
        <f>I61/((1+Inputs!$B$3)^($B61-Inputs!$B$5))</f>
        <v>937421.28635812202</v>
      </c>
      <c r="K61" s="12">
        <f>I61/((1+Inputs!$B$4)^($B61-Inputs!$B$5))</f>
        <v>1538296.3150981886</v>
      </c>
    </row>
    <row r="62" spans="2:11">
      <c r="B62" s="110">
        <f t="shared" si="2"/>
        <v>2034</v>
      </c>
      <c r="C62" s="12">
        <f>(Wind_Safety!$B$16*$L$18)</f>
        <v>284100</v>
      </c>
      <c r="D62" s="12">
        <f t="shared" si="0"/>
        <v>56820</v>
      </c>
      <c r="E62" s="12">
        <f>D62/((1+Inputs!$B$3)^($B62-Inputs!$B$5))</f>
        <v>22035.775634604401</v>
      </c>
      <c r="F62" s="12">
        <f>D62/((1+Inputs!$B$4)^($B62-Inputs!$B$5))</f>
        <v>37564.713726613947</v>
      </c>
      <c r="H62" s="12">
        <f t="shared" si="1"/>
        <v>11295200</v>
      </c>
      <c r="I62" s="12">
        <f t="shared" si="3"/>
        <v>2259040</v>
      </c>
      <c r="J62" s="12">
        <f>I62/((1+Inputs!$B$3)^($B62-Inputs!$B$5))</f>
        <v>876094.66014777764</v>
      </c>
      <c r="K62" s="12">
        <f>I62/((1+Inputs!$B$4)^($B62-Inputs!$B$5))</f>
        <v>1493491.5680564935</v>
      </c>
    </row>
    <row r="63" spans="2:11">
      <c r="B63" s="110">
        <f t="shared" si="2"/>
        <v>2035</v>
      </c>
      <c r="C63" s="12">
        <f>(Wind_Safety!$B$16*$L$18)</f>
        <v>284100</v>
      </c>
      <c r="D63" s="12">
        <f t="shared" si="0"/>
        <v>56820</v>
      </c>
      <c r="E63" s="12">
        <f>D63/((1+Inputs!$B$3)^($B63-Inputs!$B$5))</f>
        <v>20594.182836078875</v>
      </c>
      <c r="F63" s="12">
        <f>D63/((1+Inputs!$B$4)^($B63-Inputs!$B$5))</f>
        <v>36470.595851081496</v>
      </c>
      <c r="H63" s="12">
        <f t="shared" si="1"/>
        <v>11295200</v>
      </c>
      <c r="I63" s="12">
        <f t="shared" si="3"/>
        <v>2259040</v>
      </c>
      <c r="J63" s="12">
        <f>I63/((1+Inputs!$B$3)^($B63-Inputs!$B$5))</f>
        <v>818780.05621287622</v>
      </c>
      <c r="K63" s="12">
        <f>I63/((1+Inputs!$B$4)^($B63-Inputs!$B$5))</f>
        <v>1449991.8136470811</v>
      </c>
    </row>
    <row r="64" spans="2:11">
      <c r="B64" s="110">
        <f t="shared" si="2"/>
        <v>2036</v>
      </c>
      <c r="C64" s="12">
        <f>(Wind_Safety!$B$16*$L$18)</f>
        <v>284100</v>
      </c>
      <c r="D64" s="12">
        <f t="shared" si="0"/>
        <v>56820</v>
      </c>
      <c r="E64" s="12">
        <f>D64/((1+Inputs!$B$3)^($B64-Inputs!$B$5))</f>
        <v>19246.899846802691</v>
      </c>
      <c r="F64" s="12">
        <f>D64/((1+Inputs!$B$4)^($B64-Inputs!$B$5))</f>
        <v>35408.345486486898</v>
      </c>
      <c r="H64" s="12">
        <f t="shared" si="1"/>
        <v>11295200</v>
      </c>
      <c r="I64" s="12">
        <f t="shared" si="3"/>
        <v>2259040</v>
      </c>
      <c r="J64" s="12">
        <f>I64/((1+Inputs!$B$3)^($B64-Inputs!$B$5))</f>
        <v>765215.0058064264</v>
      </c>
      <c r="K64" s="12">
        <f>I64/((1+Inputs!$B$4)^($B64-Inputs!$B$5))</f>
        <v>1407759.0423758072</v>
      </c>
    </row>
    <row r="65" spans="2:11">
      <c r="B65" s="110">
        <f t="shared" si="2"/>
        <v>2037</v>
      </c>
      <c r="C65" s="12">
        <f>(Wind_Safety!$B$16*$L$18)</f>
        <v>284100</v>
      </c>
      <c r="D65" s="12">
        <f t="shared" si="0"/>
        <v>56820</v>
      </c>
      <c r="E65" s="12">
        <f>D65/((1+Inputs!$B$3)^($B65-Inputs!$B$5))</f>
        <v>17987.756866170737</v>
      </c>
      <c r="F65" s="12">
        <f>D65/((1+Inputs!$B$4)^($B65-Inputs!$B$5))</f>
        <v>34377.034452899898</v>
      </c>
      <c r="H65" s="12">
        <f t="shared" si="1"/>
        <v>11295200</v>
      </c>
      <c r="I65" s="12">
        <f t="shared" si="3"/>
        <v>2259040</v>
      </c>
      <c r="J65" s="12">
        <f>I65/((1+Inputs!$B$3)^($B65-Inputs!$B$5))</f>
        <v>715154.21103404346</v>
      </c>
      <c r="K65" s="12">
        <f>I65/((1+Inputs!$B$4)^($B65-Inputs!$B$5))</f>
        <v>1366756.3518211721</v>
      </c>
    </row>
    <row r="66" spans="2:11">
      <c r="B66" s="110">
        <f t="shared" si="2"/>
        <v>2038</v>
      </c>
      <c r="C66" s="12">
        <f>(Wind_Safety!$B$16*$L$18)</f>
        <v>284100</v>
      </c>
      <c r="D66" s="12">
        <f t="shared" si="0"/>
        <v>56820</v>
      </c>
      <c r="E66" s="12">
        <f>D66/((1+Inputs!$B$3)^($B66-Inputs!$B$5))</f>
        <v>16810.987725393214</v>
      </c>
      <c r="F66" s="12">
        <f>D66/((1+Inputs!$B$4)^($B66-Inputs!$B$5))</f>
        <v>33375.761604757186</v>
      </c>
      <c r="H66" s="12">
        <f t="shared" si="1"/>
        <v>11295200</v>
      </c>
      <c r="I66" s="12">
        <f t="shared" si="3"/>
        <v>2259040</v>
      </c>
      <c r="J66" s="12">
        <f>I66/((1+Inputs!$B$3)^($B66-Inputs!$B$5))</f>
        <v>668368.42152714333</v>
      </c>
      <c r="K66" s="12">
        <f>I66/((1+Inputs!$B$4)^($B66-Inputs!$B$5))</f>
        <v>1326947.9143894874</v>
      </c>
    </row>
    <row r="67" spans="2:11">
      <c r="B67" s="110">
        <f t="shared" si="2"/>
        <v>2039</v>
      </c>
      <c r="C67" s="12">
        <f>(Wind_Safety!$B$16*$L$18)</f>
        <v>284100</v>
      </c>
      <c r="D67" s="12">
        <f t="shared" si="0"/>
        <v>56820</v>
      </c>
      <c r="E67" s="12">
        <f>D67/((1+Inputs!$B$3)^($B67-Inputs!$B$5))</f>
        <v>15711.203481675901</v>
      </c>
      <c r="F67" s="12">
        <f>D67/((1+Inputs!$B$4)^($B67-Inputs!$B$5))</f>
        <v>32403.652043453578</v>
      </c>
      <c r="H67" s="12">
        <f t="shared" si="1"/>
        <v>11295200</v>
      </c>
      <c r="I67" s="12">
        <f t="shared" si="3"/>
        <v>2259040</v>
      </c>
      <c r="J67" s="12">
        <f>I67/((1+Inputs!$B$3)^($B67-Inputs!$B$5))</f>
        <v>624643.3846048069</v>
      </c>
      <c r="K67" s="12">
        <f>I67/((1+Inputs!$B$4)^($B67-Inputs!$B$5))</f>
        <v>1288298.946009211</v>
      </c>
    </row>
    <row r="68" spans="2:11">
      <c r="B68" s="110">
        <f t="shared" si="2"/>
        <v>2040</v>
      </c>
      <c r="C68" s="12">
        <f>(Wind_Safety!$B$16*$L$18)</f>
        <v>284100</v>
      </c>
      <c r="D68" s="12">
        <f t="shared" si="0"/>
        <v>56820</v>
      </c>
      <c r="E68" s="12">
        <f>D68/((1+Inputs!$B$3)^($B68-Inputs!$B$5))</f>
        <v>14683.367739884019</v>
      </c>
      <c r="F68" s="12">
        <f>D68/((1+Inputs!$B$4)^($B68-Inputs!$B$5))</f>
        <v>31459.856352867551</v>
      </c>
      <c r="H68" s="12">
        <f t="shared" si="1"/>
        <v>11295200</v>
      </c>
      <c r="I68" s="12">
        <f t="shared" si="3"/>
        <v>2259040</v>
      </c>
      <c r="J68" s="12">
        <f>I68/((1+Inputs!$B$3)^($B68-Inputs!$B$5))</f>
        <v>583778.86411664193</v>
      </c>
      <c r="K68" s="12">
        <f>I68/((1+Inputs!$B$4)^($B68-Inputs!$B$5))</f>
        <v>1250775.6757370981</v>
      </c>
    </row>
    <row r="69" spans="2:11">
      <c r="B69" s="110">
        <f t="shared" si="2"/>
        <v>2041</v>
      </c>
      <c r="C69" s="12">
        <f>(Wind_Safety!$B$16*$L$18)</f>
        <v>284100</v>
      </c>
      <c r="D69" s="12">
        <f t="shared" si="0"/>
        <v>56820</v>
      </c>
      <c r="E69" s="12">
        <f>D69/((1+Inputs!$B$3)^($B69-Inputs!$B$5))</f>
        <v>13722.773588676653</v>
      </c>
      <c r="F69" s="12">
        <f>D69/((1+Inputs!$B$4)^($B69-Inputs!$B$5))</f>
        <v>30543.549857152968</v>
      </c>
      <c r="H69" s="12">
        <f t="shared" si="1"/>
        <v>11295200</v>
      </c>
      <c r="I69" s="12">
        <f t="shared" si="3"/>
        <v>2259040</v>
      </c>
      <c r="J69" s="12">
        <f>I69/((1+Inputs!$B$3)^($B69-Inputs!$B$5))</f>
        <v>545587.72347349708</v>
      </c>
      <c r="K69" s="12">
        <f>I69/((1+Inputs!$B$4)^($B69-Inputs!$B$5))</f>
        <v>1214345.3162496099</v>
      </c>
    </row>
    <row r="70" spans="2:11" s="416" customFormat="1">
      <c r="B70" s="110">
        <f t="shared" si="2"/>
        <v>2042</v>
      </c>
      <c r="C70" s="12">
        <f>(Wind_Safety!$B$16*$L$18)</f>
        <v>284100</v>
      </c>
      <c r="D70" s="12">
        <f t="shared" ref="D70:D71" si="4">C70*$B$19</f>
        <v>56820</v>
      </c>
      <c r="E70" s="12">
        <f>D70/((1+Inputs!$B$3)^($B70-Inputs!$B$5))</f>
        <v>12825.0220454922</v>
      </c>
      <c r="F70" s="12">
        <f>D70/((1+Inputs!$B$4)^($B70-Inputs!$B$5))</f>
        <v>29653.931900148509</v>
      </c>
      <c r="H70" s="12">
        <f t="shared" si="1"/>
        <v>11295200</v>
      </c>
      <c r="I70" s="12">
        <f t="shared" si="3"/>
        <v>2259040</v>
      </c>
      <c r="J70" s="12">
        <f>I70/((1+Inputs!$B$3)^($B70-Inputs!$B$5))</f>
        <v>509895.06866681972</v>
      </c>
      <c r="K70" s="12">
        <f>I70/((1+Inputs!$B$4)^($B70-Inputs!$B$5))</f>
        <v>1178976.035193796</v>
      </c>
    </row>
    <row r="71" spans="2:11">
      <c r="B71" s="110">
        <f t="shared" si="2"/>
        <v>2043</v>
      </c>
      <c r="C71" s="12">
        <f>(Wind_Safety!$B$16*$L$18)</f>
        <v>284100</v>
      </c>
      <c r="D71" s="12">
        <f t="shared" si="4"/>
        <v>56820</v>
      </c>
      <c r="E71" s="12">
        <f>D71/((1+Inputs!$B$3)^($B71-Inputs!$B$5))</f>
        <v>11986.001911674952</v>
      </c>
      <c r="F71" s="12">
        <f>D71/((1+Inputs!$B$4)^($B71-Inputs!$B$5))</f>
        <v>28790.22514577525</v>
      </c>
      <c r="G71" s="416"/>
      <c r="H71" s="12">
        <f t="shared" si="1"/>
        <v>11295200</v>
      </c>
      <c r="I71" s="12">
        <f t="shared" si="3"/>
        <v>2259040</v>
      </c>
      <c r="J71" s="12">
        <f>I71/((1+Inputs!$B$3)^($B71-Inputs!$B$5))</f>
        <v>476537.44735216798</v>
      </c>
      <c r="K71" s="12">
        <f>I71/((1+Inputs!$B$4)^($B71-Inputs!$B$5))</f>
        <v>1144636.9273726174</v>
      </c>
    </row>
    <row r="72" spans="2:11">
      <c r="B72" s="110">
        <f t="shared" si="2"/>
        <v>2044</v>
      </c>
      <c r="C72" s="12">
        <f>(Wind_Safety!$B$16*$L$18)</f>
        <v>284100</v>
      </c>
      <c r="D72" s="638">
        <f>C72*$B$19*(1-Inputs!$B$10)</f>
        <v>37880.000000000007</v>
      </c>
      <c r="E72" s="12">
        <f>D72/((1+Inputs!$B$3)^($B72-Inputs!$B$5))</f>
        <v>7467.9139636604077</v>
      </c>
      <c r="F72" s="12">
        <f>D72/((1+Inputs!$B$4)^($B72-Inputs!$B$5))</f>
        <v>18634.449932540621</v>
      </c>
      <c r="G72" s="416"/>
      <c r="H72" s="12">
        <f t="shared" si="1"/>
        <v>11295200</v>
      </c>
      <c r="I72" s="638">
        <f>H72*$B$20*(1-Inputs!$B$10)</f>
        <v>1506026.6666666667</v>
      </c>
      <c r="J72" s="12">
        <f>I72/((1+Inputs!$B$3)^($B72-Inputs!$B$5))</f>
        <v>296908.06688608596</v>
      </c>
      <c r="K72" s="12">
        <f>I72/((1+Inputs!$B$4)^($B72-Inputs!$B$5))</f>
        <v>740865.32516027032</v>
      </c>
    </row>
    <row r="73" spans="2:11">
      <c r="B73" s="34" t="s">
        <v>4</v>
      </c>
      <c r="C73" s="170">
        <f>SUM(C52:C72)</f>
        <v>5966100</v>
      </c>
      <c r="D73" s="170">
        <f>SUM(D52:D72)</f>
        <v>1136400</v>
      </c>
      <c r="E73" s="170">
        <f>SUM(E52:E72)</f>
        <v>469941.49266363232</v>
      </c>
      <c r="F73" s="170">
        <f>SUM(F52:F72)</f>
        <v>758582.69184653729</v>
      </c>
      <c r="H73" s="170">
        <f>SUM(H52:H72)</f>
        <v>237199200</v>
      </c>
      <c r="I73" s="170">
        <f>SUM(I52:I72)</f>
        <v>45180799.999999993</v>
      </c>
      <c r="J73" s="170">
        <f>SUM(J52:J72)</f>
        <v>18683854.797375072</v>
      </c>
      <c r="K73" s="170">
        <f>SUM(K52:K72)</f>
        <v>30159603.030429453</v>
      </c>
    </row>
  </sheetData>
  <sheetProtection algorithmName="SHA-512" hashValue="fjPvcdq7ukMkRgYyFchSJDKaQPG7T8zXJAId2uhZSXBXMRScmw8tDS4S2G0aNV+1Qb/ztxQwtHy1u9EMDUlFkA==" saltValue="7wwePGO0tYdp6zEUcdOMaw==" spinCount="100000" sheet="1" objects="1" scenarios="1"/>
  <hyperlinks>
    <hyperlink ref="I8" r:id="rId1" xr:uid="{00000000-0004-0000-0F00-000000000000}"/>
    <hyperlink ref="I7" r:id="rId2" xr:uid="{6AC661E6-FDE9-4C79-95B4-6D06C65B8CD6}"/>
    <hyperlink ref="I10" r:id="rId3" xr:uid="{71D04547-D57E-459C-B604-2364116B0198}"/>
    <hyperlink ref="I9" r:id="rId4" xr:uid="{508095EE-ECAC-4BE9-9448-B9E82E34B08F}"/>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3"/>
  <sheetViews>
    <sheetView zoomScale="130" zoomScaleNormal="130" workbookViewId="0">
      <selection activeCell="F23" sqref="F23"/>
    </sheetView>
  </sheetViews>
  <sheetFormatPr defaultColWidth="8.85546875" defaultRowHeight="12.75"/>
  <cols>
    <col min="1" max="1" width="24.85546875" style="202" customWidth="1"/>
    <col min="2" max="2" width="36.28515625" style="202" customWidth="1"/>
    <col min="3" max="3" width="45.42578125" style="202" customWidth="1"/>
    <col min="4" max="4" width="41.85546875" style="211" customWidth="1"/>
    <col min="5" max="5" width="24.28515625" style="202" customWidth="1"/>
    <col min="6" max="6" width="12" style="202" customWidth="1"/>
    <col min="7" max="16384" width="8.85546875" style="202"/>
  </cols>
  <sheetData>
    <row r="1" spans="1:6" ht="26.25" thickBot="1">
      <c r="A1" s="717" t="s">
        <v>462</v>
      </c>
      <c r="B1" s="717" t="s">
        <v>463</v>
      </c>
      <c r="C1" s="717" t="s">
        <v>464</v>
      </c>
      <c r="D1" s="717" t="s">
        <v>465</v>
      </c>
      <c r="E1" s="271" t="s">
        <v>596</v>
      </c>
      <c r="F1" s="717" t="s">
        <v>466</v>
      </c>
    </row>
    <row r="2" spans="1:6" ht="14.25" thickTop="1" thickBot="1">
      <c r="A2" s="717"/>
      <c r="B2" s="717"/>
      <c r="C2" s="718"/>
      <c r="D2" s="718"/>
      <c r="E2" s="201" t="s">
        <v>13</v>
      </c>
      <c r="F2" s="718"/>
    </row>
    <row r="3" spans="1:6" ht="13.5" thickTop="1">
      <c r="A3" s="719" t="s">
        <v>1033</v>
      </c>
      <c r="B3" s="719" t="s">
        <v>1034</v>
      </c>
      <c r="C3" s="264" t="s">
        <v>467</v>
      </c>
      <c r="D3" s="264"/>
      <c r="E3" s="264"/>
      <c r="F3" s="337"/>
    </row>
    <row r="4" spans="1:6">
      <c r="A4" s="719"/>
      <c r="B4" s="719"/>
      <c r="C4" s="265" t="s">
        <v>219</v>
      </c>
      <c r="D4" s="267" t="s">
        <v>470</v>
      </c>
      <c r="E4" s="272">
        <f>Summary!C11+Summary!C12</f>
        <v>89.832656692648698</v>
      </c>
      <c r="F4" s="668">
        <v>9</v>
      </c>
    </row>
    <row r="5" spans="1:6" ht="25.5">
      <c r="A5" s="719"/>
      <c r="B5" s="719"/>
      <c r="C5" s="266" t="s">
        <v>420</v>
      </c>
      <c r="D5" s="267" t="s">
        <v>483</v>
      </c>
      <c r="E5" s="272">
        <f>Summary!C13+Summary!C14</f>
        <v>0.24559807648992144</v>
      </c>
      <c r="F5" s="668">
        <v>9</v>
      </c>
    </row>
    <row r="6" spans="1:6">
      <c r="A6" s="719"/>
      <c r="B6" s="719"/>
      <c r="C6" s="265" t="s">
        <v>289</v>
      </c>
      <c r="D6" s="267" t="s">
        <v>470</v>
      </c>
      <c r="E6" s="272">
        <f>Summary!C15+Summary!C16</f>
        <v>19.153796290038706</v>
      </c>
      <c r="F6" s="668">
        <v>12</v>
      </c>
    </row>
    <row r="7" spans="1:6">
      <c r="A7" s="719"/>
      <c r="B7" s="719"/>
      <c r="C7" s="267" t="s">
        <v>469</v>
      </c>
      <c r="D7" s="267"/>
      <c r="E7" s="272"/>
      <c r="F7" s="668"/>
    </row>
    <row r="8" spans="1:6">
      <c r="A8" s="719"/>
      <c r="B8" s="719"/>
      <c r="C8" s="266" t="s">
        <v>20</v>
      </c>
      <c r="D8" s="267" t="s">
        <v>489</v>
      </c>
      <c r="E8" s="272">
        <f>Summary!C19</f>
        <v>48.149180278584325</v>
      </c>
      <c r="F8" s="668">
        <v>14</v>
      </c>
    </row>
    <row r="9" spans="1:6" ht="25.5">
      <c r="A9" s="719"/>
      <c r="B9" s="719"/>
      <c r="C9" s="266" t="s">
        <v>69</v>
      </c>
      <c r="D9" s="269" t="s">
        <v>487</v>
      </c>
      <c r="E9" s="272">
        <f>Summary!C20+Summary!C21</f>
        <v>319.42910433124842</v>
      </c>
      <c r="F9" s="668">
        <v>15</v>
      </c>
    </row>
    <row r="10" spans="1:6">
      <c r="A10" s="719"/>
      <c r="B10" s="719"/>
      <c r="C10" s="266" t="s">
        <v>1030</v>
      </c>
      <c r="D10" s="269" t="s">
        <v>488</v>
      </c>
      <c r="E10" s="272">
        <f>Summary!C24</f>
        <v>42.777463242124064</v>
      </c>
      <c r="F10" s="668">
        <v>16</v>
      </c>
    </row>
    <row r="11" spans="1:6">
      <c r="A11" s="719"/>
      <c r="B11" s="719"/>
      <c r="C11" s="266" t="s">
        <v>1031</v>
      </c>
      <c r="D11" s="267" t="s">
        <v>470</v>
      </c>
      <c r="E11" s="272">
        <f>Summary!C25+Summary!C26</f>
        <v>20.603012949970825</v>
      </c>
      <c r="F11" s="668">
        <v>16</v>
      </c>
    </row>
    <row r="12" spans="1:6">
      <c r="A12" s="719"/>
      <c r="B12" s="719"/>
      <c r="C12" s="202" t="s">
        <v>1035</v>
      </c>
      <c r="F12" s="668"/>
    </row>
    <row r="13" spans="1:6" ht="25.5">
      <c r="A13" s="719"/>
      <c r="B13" s="719"/>
      <c r="C13" s="266" t="s">
        <v>418</v>
      </c>
      <c r="D13" s="267" t="s">
        <v>483</v>
      </c>
      <c r="E13" s="272">
        <f>Summary!C29+Summary!C30</f>
        <v>0.56387202507049405</v>
      </c>
      <c r="F13" s="668">
        <v>19</v>
      </c>
    </row>
    <row r="14" spans="1:6" ht="25.5">
      <c r="A14" s="719"/>
      <c r="B14" s="719"/>
      <c r="C14" s="658" t="s">
        <v>1032</v>
      </c>
      <c r="D14" s="267" t="s">
        <v>484</v>
      </c>
      <c r="E14" s="272">
        <f>Summary!C31</f>
        <v>6.3015496375040919E-2</v>
      </c>
      <c r="F14" s="668">
        <v>19</v>
      </c>
    </row>
    <row r="15" spans="1:6" ht="25.5">
      <c r="A15" s="719"/>
      <c r="B15" s="719"/>
      <c r="C15" s="266" t="s">
        <v>419</v>
      </c>
      <c r="D15" s="267" t="s">
        <v>485</v>
      </c>
      <c r="E15" s="272">
        <f>Summary!C32+Summary!C33</f>
        <v>10.116979849764679</v>
      </c>
      <c r="F15" s="668">
        <v>19</v>
      </c>
    </row>
    <row r="16" spans="1:6" ht="25.5">
      <c r="A16" s="719"/>
      <c r="B16" s="719"/>
      <c r="C16" s="266" t="s">
        <v>440</v>
      </c>
      <c r="D16" s="267" t="s">
        <v>486</v>
      </c>
      <c r="E16" s="272">
        <f>Summary!C34</f>
        <v>0.28097357018829738</v>
      </c>
      <c r="F16" s="668">
        <v>20</v>
      </c>
    </row>
    <row r="17" spans="1:6">
      <c r="A17" s="719"/>
      <c r="B17" s="719"/>
      <c r="C17" s="266" t="s">
        <v>1039</v>
      </c>
      <c r="D17" s="267" t="s">
        <v>489</v>
      </c>
      <c r="E17" s="272">
        <f>Summary!C35</f>
        <v>5.4934514176727802</v>
      </c>
      <c r="F17" s="668">
        <v>20</v>
      </c>
    </row>
    <row r="18" spans="1:6">
      <c r="A18" s="719"/>
      <c r="B18" s="719"/>
      <c r="C18" s="266" t="s">
        <v>423</v>
      </c>
      <c r="D18" s="267" t="s">
        <v>468</v>
      </c>
      <c r="E18" s="272">
        <f>Summary!C36</f>
        <v>5.8126419637825508</v>
      </c>
      <c r="F18" s="668">
        <v>20</v>
      </c>
    </row>
    <row r="19" spans="1:6">
      <c r="A19" s="719"/>
      <c r="B19" s="719"/>
      <c r="C19" s="268" t="s">
        <v>424</v>
      </c>
      <c r="D19" s="270" t="s">
        <v>468</v>
      </c>
      <c r="E19" s="272">
        <f>Summary!C37</f>
        <v>49.877903536717767</v>
      </c>
      <c r="F19" s="668">
        <v>22</v>
      </c>
    </row>
    <row r="20" spans="1:6">
      <c r="A20" s="719"/>
      <c r="B20" s="719"/>
      <c r="C20" s="667" t="s">
        <v>861</v>
      </c>
      <c r="D20" s="659" t="s">
        <v>1038</v>
      </c>
      <c r="E20" s="666" t="s">
        <v>822</v>
      </c>
      <c r="F20" s="668">
        <v>22</v>
      </c>
    </row>
    <row r="21" spans="1:6">
      <c r="A21" s="719"/>
      <c r="B21" s="719"/>
      <c r="C21" s="661" t="s">
        <v>1036</v>
      </c>
      <c r="D21" s="662"/>
      <c r="E21" s="663"/>
      <c r="F21" s="668"/>
    </row>
    <row r="22" spans="1:6" ht="25.5">
      <c r="A22" s="719"/>
      <c r="B22" s="719"/>
      <c r="C22" s="664" t="s">
        <v>100</v>
      </c>
      <c r="D22" s="665" t="s">
        <v>1037</v>
      </c>
      <c r="E22" s="660">
        <f>Summary!C41</f>
        <v>5.4547766964365714</v>
      </c>
      <c r="F22" s="668">
        <v>23</v>
      </c>
    </row>
    <row r="23" spans="1:6">
      <c r="C23" s="202" t="s">
        <v>471</v>
      </c>
    </row>
  </sheetData>
  <sheetProtection algorithmName="SHA-512" hashValue="cWKqv90XsD0vkpFfsb9EB4MhxxacoyalL+rhqE94SlIYDWXkT5P0/zOR6bbJ/LCN0w1ybagzJJ5ircqPv0nIVg==" saltValue="bJNakRr0hPBcrmyMXoQtPw==" spinCount="100000" sheet="1" objects="1" scenarios="1"/>
  <mergeCells count="7">
    <mergeCell ref="F1:F2"/>
    <mergeCell ref="A1:A2"/>
    <mergeCell ref="B1:B2"/>
    <mergeCell ref="C1:C2"/>
    <mergeCell ref="A3:A22"/>
    <mergeCell ref="B3:B22"/>
    <mergeCell ref="D1:D2"/>
  </mergeCells>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6" tint="0.59999389629810485"/>
  </sheetPr>
  <dimension ref="A1:Y105"/>
  <sheetViews>
    <sheetView zoomScale="85" zoomScaleNormal="85" workbookViewId="0">
      <selection activeCell="C36" sqref="C36"/>
    </sheetView>
  </sheetViews>
  <sheetFormatPr defaultRowHeight="15"/>
  <cols>
    <col min="1" max="1" width="17.5703125" customWidth="1"/>
    <col min="2" max="2" width="15.85546875" customWidth="1"/>
    <col min="3" max="3" width="13.140625" customWidth="1"/>
    <col min="4" max="4" width="15.42578125" customWidth="1"/>
    <col min="5" max="5" width="14" customWidth="1"/>
    <col min="12" max="12" width="15.85546875" customWidth="1"/>
    <col min="13" max="13" width="12.7109375" customWidth="1"/>
    <col min="14" max="14" width="14" customWidth="1"/>
    <col min="25" max="25" width="9.140625" style="416"/>
  </cols>
  <sheetData>
    <row r="1" spans="1:25">
      <c r="A1" t="s">
        <v>226</v>
      </c>
      <c r="K1" s="188"/>
      <c r="L1" t="s">
        <v>828</v>
      </c>
      <c r="U1" t="s">
        <v>829</v>
      </c>
    </row>
    <row r="2" spans="1:25">
      <c r="A2" t="s">
        <v>715</v>
      </c>
      <c r="B2" s="112">
        <f>10.37*Deflator!C86/Deflator!C84</f>
        <v>10.817272980243018</v>
      </c>
      <c r="C2" t="s">
        <v>102</v>
      </c>
      <c r="K2" s="188"/>
      <c r="L2" s="167"/>
      <c r="M2" t="s">
        <v>173</v>
      </c>
      <c r="N2" t="s">
        <v>129</v>
      </c>
      <c r="O2" t="s">
        <v>142</v>
      </c>
      <c r="P2" t="s">
        <v>185</v>
      </c>
      <c r="Q2" t="s">
        <v>136</v>
      </c>
      <c r="R2" t="s">
        <v>183</v>
      </c>
      <c r="S2" t="s">
        <v>0</v>
      </c>
      <c r="U2" s="148" t="s">
        <v>173</v>
      </c>
      <c r="V2" s="148" t="s">
        <v>206</v>
      </c>
      <c r="W2" s="148" t="s">
        <v>201</v>
      </c>
      <c r="X2" s="148" t="s">
        <v>147</v>
      </c>
      <c r="Y2" s="416" t="s">
        <v>0</v>
      </c>
    </row>
    <row r="3" spans="1:25">
      <c r="A3" s="7" t="s">
        <v>107</v>
      </c>
      <c r="B3" s="7"/>
      <c r="C3" s="7"/>
      <c r="D3" s="7"/>
      <c r="K3" s="188"/>
      <c r="L3" s="167">
        <v>2010</v>
      </c>
      <c r="M3">
        <v>10318</v>
      </c>
      <c r="N3">
        <v>8359</v>
      </c>
      <c r="O3">
        <v>6059</v>
      </c>
      <c r="P3">
        <v>5598</v>
      </c>
      <c r="Q3">
        <v>3675</v>
      </c>
      <c r="R3">
        <v>14956</v>
      </c>
      <c r="S3" s="111">
        <f t="shared" ref="S3:S39" si="0">SUM(M3:R3)</f>
        <v>48965</v>
      </c>
      <c r="U3" s="148">
        <f>H10</f>
        <v>10318</v>
      </c>
      <c r="V3" s="148">
        <f>H11</f>
        <v>5526</v>
      </c>
      <c r="W3" s="148">
        <f>H12</f>
        <v>1595</v>
      </c>
      <c r="X3" s="148">
        <f>H13</f>
        <v>14335</v>
      </c>
      <c r="Y3" s="111">
        <f>SUM(U3:X3)</f>
        <v>31774</v>
      </c>
    </row>
    <row r="4" spans="1:25">
      <c r="A4" s="7" t="s">
        <v>511</v>
      </c>
      <c r="B4" s="7"/>
      <c r="C4" s="7"/>
      <c r="D4" s="7"/>
      <c r="K4" s="188"/>
      <c r="L4" s="167">
        <f>L3+1</f>
        <v>2011</v>
      </c>
      <c r="M4" s="111">
        <f t="shared" ref="M4:M23" si="1">M3*(1+$C$14/100/10)</f>
        <v>10255.0602</v>
      </c>
      <c r="N4" s="111">
        <f t="shared" ref="N4:N23" si="2">N3*(1+$C$15/100/10)</f>
        <v>8316.3690999999999</v>
      </c>
      <c r="O4" s="111">
        <f t="shared" ref="O4:O23" si="3">O3*(1+$C$16/100/10)</f>
        <v>6043.8525</v>
      </c>
      <c r="P4" s="111">
        <f t="shared" ref="P4:P23" si="4">P3*(1+$C$17/100/10)</f>
        <v>5639.4252000000006</v>
      </c>
      <c r="Q4" s="111">
        <f t="shared" ref="Q4:Q23" si="5">Q3*(1+$C$18/100/10)</f>
        <v>3676.47</v>
      </c>
      <c r="R4" s="111">
        <f t="shared" ref="R4:R23" si="6">R3*(1+$C$19/100/10)</f>
        <v>14947.026399999999</v>
      </c>
      <c r="S4" s="111">
        <f t="shared" si="0"/>
        <v>48878.203399999999</v>
      </c>
      <c r="U4" s="111">
        <f t="shared" ref="U4:U23" si="7">U3*(1+$I$10/100/10)</f>
        <v>10255.0602</v>
      </c>
      <c r="V4" s="111">
        <f t="shared" ref="V4:V23" si="8">V3*(1+$I$11/100/10)</f>
        <v>5487.3180000000002</v>
      </c>
      <c r="W4" s="111">
        <f t="shared" ref="W4:W23" si="9">W3*(1+$I$12/100/10)</f>
        <v>1592.1289999999999</v>
      </c>
      <c r="X4" s="111">
        <f t="shared" ref="X4:X23" si="10">X3*(1+$I$13/100/10)</f>
        <v>14456.8475</v>
      </c>
      <c r="Y4" s="111">
        <f t="shared" ref="Y4:Y40" si="11">SUM(U4:X4)</f>
        <v>31791.3547</v>
      </c>
    </row>
    <row r="5" spans="1:25" s="69" customFormat="1">
      <c r="A5" s="47" t="s">
        <v>216</v>
      </c>
      <c r="B5" s="7"/>
      <c r="C5" s="7"/>
      <c r="D5" s="7"/>
      <c r="L5" s="416">
        <f t="shared" ref="L5:L22" si="12">L4+1</f>
        <v>2012</v>
      </c>
      <c r="M5" s="111">
        <f t="shared" si="1"/>
        <v>10192.504332779999</v>
      </c>
      <c r="N5" s="111">
        <f t="shared" si="2"/>
        <v>8273.9556175899997</v>
      </c>
      <c r="O5" s="111">
        <f t="shared" si="3"/>
        <v>6028.7428687500005</v>
      </c>
      <c r="P5" s="111">
        <f t="shared" si="4"/>
        <v>5681.1569464800014</v>
      </c>
      <c r="Q5" s="111">
        <f t="shared" si="5"/>
        <v>3677.9405879999995</v>
      </c>
      <c r="R5" s="111">
        <f t="shared" si="6"/>
        <v>14938.058184159998</v>
      </c>
      <c r="S5" s="111">
        <f t="shared" si="0"/>
        <v>48792.358537760003</v>
      </c>
      <c r="U5" s="111">
        <f t="shared" si="7"/>
        <v>10192.504332779999</v>
      </c>
      <c r="V5" s="111">
        <f t="shared" si="8"/>
        <v>5448.906774</v>
      </c>
      <c r="W5" s="111">
        <f t="shared" si="9"/>
        <v>1589.2631677999998</v>
      </c>
      <c r="X5" s="111">
        <f t="shared" si="10"/>
        <v>14579.73070375</v>
      </c>
      <c r="Y5" s="111">
        <f t="shared" si="11"/>
        <v>31810.40497833</v>
      </c>
    </row>
    <row r="6" spans="1:25" s="69" customFormat="1">
      <c r="A6" s="62" t="s">
        <v>1085</v>
      </c>
      <c r="B6" s="7"/>
      <c r="C6" s="7"/>
      <c r="D6" s="7"/>
      <c r="L6" s="416">
        <f t="shared" si="12"/>
        <v>2013</v>
      </c>
      <c r="M6" s="111">
        <f t="shared" si="1"/>
        <v>10130.330056350042</v>
      </c>
      <c r="N6" s="111">
        <f t="shared" si="2"/>
        <v>8231.7584439402908</v>
      </c>
      <c r="O6" s="111">
        <f t="shared" si="3"/>
        <v>6013.6710115781261</v>
      </c>
      <c r="P6" s="111">
        <f t="shared" si="4"/>
        <v>5723.1975078839541</v>
      </c>
      <c r="Q6" s="111">
        <f t="shared" si="5"/>
        <v>3679.4117642351994</v>
      </c>
      <c r="R6" s="111">
        <f t="shared" si="6"/>
        <v>14929.095349249501</v>
      </c>
      <c r="S6" s="111">
        <f t="shared" si="0"/>
        <v>48707.46413323711</v>
      </c>
      <c r="U6" s="111">
        <f t="shared" si="7"/>
        <v>10130.330056350042</v>
      </c>
      <c r="V6" s="111">
        <f t="shared" si="8"/>
        <v>5410.7644265819999</v>
      </c>
      <c r="W6" s="111">
        <f t="shared" si="9"/>
        <v>1586.4024940979598</v>
      </c>
      <c r="X6" s="111">
        <f t="shared" si="10"/>
        <v>14703.658414731874</v>
      </c>
      <c r="Y6" s="111">
        <f t="shared" si="11"/>
        <v>31831.155391761873</v>
      </c>
    </row>
    <row r="7" spans="1:25" s="77" customFormat="1">
      <c r="L7" s="416">
        <f t="shared" si="12"/>
        <v>2014</v>
      </c>
      <c r="M7" s="111">
        <f t="shared" si="1"/>
        <v>10068.535043006306</v>
      </c>
      <c r="N7" s="111">
        <f t="shared" si="2"/>
        <v>8189.776475876195</v>
      </c>
      <c r="O7" s="111">
        <f t="shared" si="3"/>
        <v>5998.6368340491808</v>
      </c>
      <c r="P7" s="111">
        <f t="shared" si="4"/>
        <v>5765.5491694422963</v>
      </c>
      <c r="Q7" s="111">
        <f t="shared" si="5"/>
        <v>3680.8835289408935</v>
      </c>
      <c r="R7" s="111">
        <f t="shared" si="6"/>
        <v>14920.137892039951</v>
      </c>
      <c r="S7" s="111">
        <f t="shared" si="0"/>
        <v>48623.518943354829</v>
      </c>
      <c r="U7" s="111">
        <f t="shared" si="7"/>
        <v>10068.535043006306</v>
      </c>
      <c r="V7" s="111">
        <f t="shared" si="8"/>
        <v>5372.8890755959255</v>
      </c>
      <c r="W7" s="111">
        <f t="shared" si="9"/>
        <v>1583.5469696085834</v>
      </c>
      <c r="X7" s="111">
        <f t="shared" si="10"/>
        <v>14828.639511257094</v>
      </c>
      <c r="Y7" s="111">
        <f t="shared" si="11"/>
        <v>31853.610599467909</v>
      </c>
    </row>
    <row r="8" spans="1:25" s="119" customFormat="1">
      <c r="A8" s="7" t="s">
        <v>229</v>
      </c>
      <c r="B8" s="7"/>
      <c r="C8" s="7"/>
      <c r="D8" s="7"/>
      <c r="E8" s="77"/>
      <c r="F8" s="77"/>
      <c r="G8" t="s">
        <v>291</v>
      </c>
      <c r="H8" s="77"/>
      <c r="I8" s="77"/>
      <c r="J8" s="77"/>
      <c r="K8" s="77"/>
      <c r="L8" s="416">
        <f t="shared" si="12"/>
        <v>2015</v>
      </c>
      <c r="M8" s="111">
        <f t="shared" si="1"/>
        <v>10007.116979243969</v>
      </c>
      <c r="N8" s="111">
        <f t="shared" si="2"/>
        <v>8148.0086158492268</v>
      </c>
      <c r="O8" s="111">
        <f t="shared" si="3"/>
        <v>5983.6402419640581</v>
      </c>
      <c r="P8" s="111">
        <f t="shared" si="4"/>
        <v>5808.2142332961694</v>
      </c>
      <c r="Q8" s="111">
        <f t="shared" si="5"/>
        <v>3682.3558823524695</v>
      </c>
      <c r="R8" s="111">
        <f t="shared" si="6"/>
        <v>14911.185809304727</v>
      </c>
      <c r="S8" s="111">
        <f t="shared" si="0"/>
        <v>48540.52176201062</v>
      </c>
      <c r="U8" s="111">
        <f t="shared" si="7"/>
        <v>10007.116979243969</v>
      </c>
      <c r="V8" s="111">
        <f t="shared" si="8"/>
        <v>5335.2788520667536</v>
      </c>
      <c r="W8" s="111">
        <f t="shared" si="9"/>
        <v>1580.6965850632878</v>
      </c>
      <c r="X8" s="111">
        <f t="shared" si="10"/>
        <v>14954.682947102778</v>
      </c>
      <c r="Y8" s="111">
        <f t="shared" si="11"/>
        <v>31877.775363476787</v>
      </c>
    </row>
    <row r="9" spans="1:25" ht="60">
      <c r="A9" s="119" t="s">
        <v>84</v>
      </c>
      <c r="B9" s="119" t="s">
        <v>103</v>
      </c>
      <c r="C9" s="30" t="s">
        <v>212</v>
      </c>
      <c r="D9" s="30" t="s">
        <v>827</v>
      </c>
      <c r="E9" s="30"/>
      <c r="F9" s="119"/>
      <c r="G9" s="30" t="s">
        <v>84</v>
      </c>
      <c r="H9" s="30" t="s">
        <v>103</v>
      </c>
      <c r="I9" s="30" t="s">
        <v>212</v>
      </c>
      <c r="J9" s="30" t="s">
        <v>827</v>
      </c>
      <c r="K9" s="119"/>
      <c r="L9" s="416">
        <f t="shared" si="12"/>
        <v>2016</v>
      </c>
      <c r="M9" s="111">
        <f t="shared" si="1"/>
        <v>9946.0735656705801</v>
      </c>
      <c r="N9" s="111">
        <f t="shared" si="2"/>
        <v>8106.4537719083955</v>
      </c>
      <c r="O9" s="111">
        <f t="shared" si="3"/>
        <v>5968.6811413591486</v>
      </c>
      <c r="P9" s="111">
        <f t="shared" si="4"/>
        <v>5851.1950186225613</v>
      </c>
      <c r="Q9" s="111">
        <f t="shared" si="5"/>
        <v>3683.8288247054102</v>
      </c>
      <c r="R9" s="111">
        <f t="shared" si="6"/>
        <v>14902.239097819143</v>
      </c>
      <c r="S9" s="111">
        <f t="shared" si="0"/>
        <v>48458.471420085247</v>
      </c>
      <c r="U9" s="111">
        <f t="shared" si="7"/>
        <v>9946.0735656705801</v>
      </c>
      <c r="V9" s="111">
        <f t="shared" si="8"/>
        <v>5297.9319001022859</v>
      </c>
      <c r="W9" s="111">
        <f t="shared" si="9"/>
        <v>1577.8513312101738</v>
      </c>
      <c r="X9" s="111">
        <f t="shared" si="10"/>
        <v>15081.79775215315</v>
      </c>
      <c r="Y9" s="111">
        <f t="shared" si="11"/>
        <v>31903.65454913619</v>
      </c>
    </row>
    <row r="10" spans="1:25">
      <c r="A10" s="7" t="s">
        <v>204</v>
      </c>
      <c r="B10" s="7">
        <v>345645</v>
      </c>
      <c r="C10" s="148">
        <f>VLOOKUP(A10,PopProjection3!$A$4:$E$105,5,FALSE)</f>
        <v>18.399999999999999</v>
      </c>
      <c r="D10" s="148">
        <f>VLOOKUP(A10,PopProjection4!$A$6:$E$106,5,FALSE)</f>
        <v>16.3</v>
      </c>
      <c r="E10" s="148" t="s">
        <v>821</v>
      </c>
      <c r="G10" s="148" t="s">
        <v>173</v>
      </c>
      <c r="H10" s="148">
        <f>B14</f>
        <v>10318</v>
      </c>
      <c r="I10" s="148">
        <f>VLOOKUP(G10,PopProjection3!$A$4:$E$105,5,FALSE)</f>
        <v>-6.1</v>
      </c>
      <c r="J10" s="148">
        <f>VLOOKUP(G10,PopProjection4!$A$6:$E$106,5,FALSE)</f>
        <v>-6</v>
      </c>
      <c r="L10" s="416">
        <f t="shared" si="12"/>
        <v>2017</v>
      </c>
      <c r="M10" s="111">
        <f t="shared" si="1"/>
        <v>9885.4025169199904</v>
      </c>
      <c r="N10" s="111">
        <f t="shared" si="2"/>
        <v>8065.1108576716624</v>
      </c>
      <c r="O10" s="111">
        <f t="shared" si="3"/>
        <v>5953.7594385057509</v>
      </c>
      <c r="P10" s="111">
        <f t="shared" si="4"/>
        <v>5894.4938617603684</v>
      </c>
      <c r="Q10" s="111">
        <f t="shared" si="5"/>
        <v>3685.3023562352923</v>
      </c>
      <c r="R10" s="111">
        <f t="shared" si="6"/>
        <v>14893.297754360452</v>
      </c>
      <c r="S10" s="111">
        <f t="shared" si="0"/>
        <v>48377.366785453516</v>
      </c>
      <c r="U10" s="111">
        <f t="shared" si="7"/>
        <v>9885.4025169199904</v>
      </c>
      <c r="V10" s="111">
        <f t="shared" si="8"/>
        <v>5260.8463768015699</v>
      </c>
      <c r="W10" s="111">
        <f t="shared" si="9"/>
        <v>1575.0111988139954</v>
      </c>
      <c r="X10" s="111">
        <f t="shared" si="10"/>
        <v>15209.99303304645</v>
      </c>
      <c r="Y10" s="111">
        <f t="shared" si="11"/>
        <v>31931.253125582007</v>
      </c>
    </row>
    <row r="11" spans="1:25" s="77" customFormat="1">
      <c r="A11" s="7" t="s">
        <v>154</v>
      </c>
      <c r="B11" s="7">
        <v>23023</v>
      </c>
      <c r="C11" s="148">
        <f>VLOOKUP(A11,PopProjection3!$A$4:$E$105,5,FALSE)</f>
        <v>15.8</v>
      </c>
      <c r="D11" s="148">
        <f>VLOOKUP(A11,PopProjection4!$A$6:$E$106,5,FALSE)</f>
        <v>13.9</v>
      </c>
      <c r="E11" s="148" t="s">
        <v>821</v>
      </c>
      <c r="F11"/>
      <c r="G11" s="148" t="s">
        <v>206</v>
      </c>
      <c r="H11" s="148">
        <v>5526</v>
      </c>
      <c r="I11" s="148">
        <f>VLOOKUP(G11,PopProjection3!$A$4:$E$105,5,FALSE)</f>
        <v>-7</v>
      </c>
      <c r="J11" s="148">
        <f>VLOOKUP(G11,PopProjection4!$A$6:$E$106,5,FALSE)</f>
        <v>-7</v>
      </c>
      <c r="K11"/>
      <c r="L11" s="416">
        <f t="shared" si="12"/>
        <v>2018</v>
      </c>
      <c r="M11" s="111">
        <f t="shared" si="1"/>
        <v>9825.1015615667784</v>
      </c>
      <c r="N11" s="111">
        <f t="shared" si="2"/>
        <v>8023.9787922975374</v>
      </c>
      <c r="O11" s="111">
        <f t="shared" si="3"/>
        <v>5938.875039909487</v>
      </c>
      <c r="P11" s="111">
        <f t="shared" si="4"/>
        <v>5938.1131163373957</v>
      </c>
      <c r="Q11" s="111">
        <f t="shared" si="5"/>
        <v>3686.7764771777861</v>
      </c>
      <c r="R11" s="111">
        <f t="shared" si="6"/>
        <v>14884.361775707835</v>
      </c>
      <c r="S11" s="111">
        <f t="shared" si="0"/>
        <v>48297.206762996822</v>
      </c>
      <c r="U11" s="111">
        <f t="shared" si="7"/>
        <v>9825.1015615667784</v>
      </c>
      <c r="V11" s="111">
        <f t="shared" si="8"/>
        <v>5224.0204521639589</v>
      </c>
      <c r="W11" s="111">
        <f t="shared" si="9"/>
        <v>1572.1761786561301</v>
      </c>
      <c r="X11" s="111">
        <f t="shared" si="10"/>
        <v>15339.277973827344</v>
      </c>
      <c r="Y11" s="111">
        <f t="shared" si="11"/>
        <v>31960.57616621421</v>
      </c>
    </row>
    <row r="12" spans="1:25">
      <c r="A12" s="108" t="s">
        <v>78</v>
      </c>
      <c r="B12" s="7">
        <v>37782</v>
      </c>
      <c r="C12" s="148">
        <f>VLOOKUP(A12,PopProjection3!$A$4:$E$105,5,FALSE)</f>
        <v>3.4</v>
      </c>
      <c r="D12" s="148">
        <f>VLOOKUP(A12,PopProjection4!$A$6:$E$106,5,FALSE)</f>
        <v>1.1000000000000001</v>
      </c>
      <c r="E12" s="148" t="s">
        <v>821</v>
      </c>
      <c r="F12" s="77"/>
      <c r="G12" s="148" t="s">
        <v>201</v>
      </c>
      <c r="H12" s="148">
        <v>1595</v>
      </c>
      <c r="I12" s="148">
        <f>VLOOKUP(G12,PopProjection3!$A$4:$E$105,5,FALSE)</f>
        <v>-1.8</v>
      </c>
      <c r="J12" s="148">
        <f>VLOOKUP(G12,PopProjection4!$A$6:$E$106,5,FALSE)</f>
        <v>-1.2</v>
      </c>
      <c r="K12" s="77"/>
      <c r="L12" s="416">
        <f t="shared" si="12"/>
        <v>2019</v>
      </c>
      <c r="M12" s="111">
        <f t="shared" si="1"/>
        <v>9765.1684420412203</v>
      </c>
      <c r="N12" s="111">
        <f t="shared" si="2"/>
        <v>7983.0565004568198</v>
      </c>
      <c r="O12" s="111">
        <f t="shared" si="3"/>
        <v>5924.027852309714</v>
      </c>
      <c r="P12" s="111">
        <f t="shared" si="4"/>
        <v>5982.0551533982925</v>
      </c>
      <c r="Q12" s="111">
        <f t="shared" si="5"/>
        <v>3688.251187768657</v>
      </c>
      <c r="R12" s="111">
        <f t="shared" si="6"/>
        <v>14875.43115864241</v>
      </c>
      <c r="S12" s="111">
        <f t="shared" si="0"/>
        <v>48217.990294617113</v>
      </c>
      <c r="U12" s="111">
        <f t="shared" si="7"/>
        <v>9765.1684420412203</v>
      </c>
      <c r="V12" s="111">
        <f t="shared" si="8"/>
        <v>5187.4523089988115</v>
      </c>
      <c r="W12" s="111">
        <f t="shared" si="9"/>
        <v>1569.3462615345491</v>
      </c>
      <c r="X12" s="111">
        <f t="shared" si="10"/>
        <v>15469.661836604875</v>
      </c>
      <c r="Y12" s="111">
        <f t="shared" si="11"/>
        <v>31991.628849179455</v>
      </c>
    </row>
    <row r="13" spans="1:25">
      <c r="A13" s="7" t="s">
        <v>152</v>
      </c>
      <c r="B13" s="7">
        <v>21680</v>
      </c>
      <c r="C13" s="148">
        <f>VLOOKUP(A13,PopProjection3!$A$4:$E$105,5,FALSE)</f>
        <v>-8</v>
      </c>
      <c r="D13" s="148">
        <f>VLOOKUP(A13,PopProjection4!$A$6:$E$106,5,FALSE)</f>
        <v>-8.1</v>
      </c>
      <c r="E13" s="148" t="s">
        <v>821</v>
      </c>
      <c r="G13" s="148" t="s">
        <v>147</v>
      </c>
      <c r="H13" s="148">
        <v>14335</v>
      </c>
      <c r="I13" s="148">
        <f>VLOOKUP(G13,PopProjection3!$A$4:$E$105,5,FALSE)</f>
        <v>8.5</v>
      </c>
      <c r="J13" s="148">
        <f>VLOOKUP(G13,PopProjection4!$A$6:$E$106,5,FALSE)</f>
        <v>4.0999999999999996</v>
      </c>
      <c r="L13" s="416">
        <f t="shared" si="12"/>
        <v>2020</v>
      </c>
      <c r="M13" s="111">
        <f t="shared" si="1"/>
        <v>9705.6009145447697</v>
      </c>
      <c r="N13" s="111">
        <f t="shared" si="2"/>
        <v>7942.3429123044898</v>
      </c>
      <c r="O13" s="111">
        <f t="shared" si="3"/>
        <v>5909.2177826789402</v>
      </c>
      <c r="P13" s="111">
        <f t="shared" si="4"/>
        <v>6026.32236153344</v>
      </c>
      <c r="Q13" s="111">
        <f t="shared" si="5"/>
        <v>3689.7264882437644</v>
      </c>
      <c r="R13" s="111">
        <f t="shared" si="6"/>
        <v>14866.505899947224</v>
      </c>
      <c r="S13" s="111">
        <f t="shared" si="0"/>
        <v>48139.716359252627</v>
      </c>
      <c r="U13" s="111">
        <f t="shared" si="7"/>
        <v>9705.6009145447697</v>
      </c>
      <c r="V13" s="111">
        <f t="shared" si="8"/>
        <v>5151.1401428358195</v>
      </c>
      <c r="W13" s="111">
        <f t="shared" si="9"/>
        <v>1566.5214382637869</v>
      </c>
      <c r="X13" s="111">
        <f t="shared" si="10"/>
        <v>15601.153962216016</v>
      </c>
      <c r="Y13" s="111">
        <f t="shared" si="11"/>
        <v>32024.416457860392</v>
      </c>
    </row>
    <row r="14" spans="1:25">
      <c r="A14" s="7" t="s">
        <v>173</v>
      </c>
      <c r="B14" s="7">
        <v>10318</v>
      </c>
      <c r="C14" s="148">
        <f>VLOOKUP(A14,PopProjection3!$A$4:$E$105,5,FALSE)</f>
        <v>-6.1</v>
      </c>
      <c r="D14" s="148">
        <f>VLOOKUP(A14,PopProjection4!$A$6:$E$106,5,FALSE)</f>
        <v>-6</v>
      </c>
      <c r="E14" s="148"/>
      <c r="G14" s="148"/>
      <c r="H14" s="148"/>
      <c r="I14" s="262">
        <f>AVERAGE(I10:I13)/100</f>
        <v>-1.6E-2</v>
      </c>
      <c r="J14" s="262">
        <f>AVERAGE(J10:J13)/100</f>
        <v>-2.5249999999999998E-2</v>
      </c>
      <c r="L14" s="416">
        <f t="shared" si="12"/>
        <v>2021</v>
      </c>
      <c r="M14" s="111">
        <f t="shared" si="1"/>
        <v>9646.3967489660463</v>
      </c>
      <c r="N14" s="111">
        <f t="shared" si="2"/>
        <v>7901.8369634517367</v>
      </c>
      <c r="O14" s="111">
        <f t="shared" si="3"/>
        <v>5894.4447382222434</v>
      </c>
      <c r="P14" s="111">
        <f t="shared" si="4"/>
        <v>6070.9171470087877</v>
      </c>
      <c r="Q14" s="111">
        <f t="shared" si="5"/>
        <v>3691.2023788390616</v>
      </c>
      <c r="R14" s="111">
        <f t="shared" si="6"/>
        <v>14857.585996407255</v>
      </c>
      <c r="S14" s="111">
        <f t="shared" si="0"/>
        <v>48062.383972895128</v>
      </c>
      <c r="U14" s="111">
        <f t="shared" si="7"/>
        <v>9646.3967489660463</v>
      </c>
      <c r="V14" s="111">
        <f t="shared" si="8"/>
        <v>5115.0821618359687</v>
      </c>
      <c r="W14" s="111">
        <f t="shared" si="9"/>
        <v>1563.7016996749121</v>
      </c>
      <c r="X14" s="111">
        <f t="shared" si="10"/>
        <v>15733.763770894851</v>
      </c>
      <c r="Y14" s="111">
        <f t="shared" si="11"/>
        <v>32058.944381371781</v>
      </c>
    </row>
    <row r="15" spans="1:25">
      <c r="A15" s="7" t="s">
        <v>129</v>
      </c>
      <c r="B15" s="7">
        <v>8359</v>
      </c>
      <c r="C15" s="148">
        <f>VLOOKUP(A15,PopProjection3!$A$4:$E$105,5,FALSE)</f>
        <v>-5.0999999999999996</v>
      </c>
      <c r="D15" s="148">
        <f>VLOOKUP(A15,PopProjection4!$A$6:$E$106,5,FALSE)</f>
        <v>-4.7</v>
      </c>
      <c r="E15" s="148"/>
      <c r="G15" s="148"/>
      <c r="H15" s="148" t="s">
        <v>213</v>
      </c>
      <c r="I15" s="262" t="s">
        <v>213</v>
      </c>
      <c r="J15" s="148"/>
      <c r="L15" s="416">
        <f t="shared" si="12"/>
        <v>2022</v>
      </c>
      <c r="M15" s="111">
        <f t="shared" si="1"/>
        <v>9587.553728797353</v>
      </c>
      <c r="N15" s="111">
        <f t="shared" si="2"/>
        <v>7861.5375949381332</v>
      </c>
      <c r="O15" s="111">
        <f t="shared" si="3"/>
        <v>5879.7086263766878</v>
      </c>
      <c r="P15" s="111">
        <f t="shared" si="4"/>
        <v>6115.8419338966532</v>
      </c>
      <c r="Q15" s="111">
        <f t="shared" si="5"/>
        <v>3692.678859790597</v>
      </c>
      <c r="R15" s="111">
        <f t="shared" si="6"/>
        <v>14848.67144480941</v>
      </c>
      <c r="S15" s="111">
        <f t="shared" si="0"/>
        <v>47985.992188608827</v>
      </c>
      <c r="U15" s="111">
        <f t="shared" si="7"/>
        <v>9587.553728797353</v>
      </c>
      <c r="V15" s="111">
        <f t="shared" si="8"/>
        <v>5079.2765867031167</v>
      </c>
      <c r="W15" s="111">
        <f t="shared" si="9"/>
        <v>1560.8870366154972</v>
      </c>
      <c r="X15" s="111">
        <f t="shared" si="10"/>
        <v>15867.500762947457</v>
      </c>
      <c r="Y15" s="111">
        <f t="shared" si="11"/>
        <v>32095.218115063421</v>
      </c>
    </row>
    <row r="16" spans="1:25">
      <c r="A16" s="7" t="s">
        <v>142</v>
      </c>
      <c r="B16" s="7">
        <v>6059</v>
      </c>
      <c r="C16" s="148">
        <f>VLOOKUP(A16,PopProjection3!$A$4:$E$105,5,FALSE)</f>
        <v>-2.5</v>
      </c>
      <c r="D16" s="148">
        <f>VLOOKUP(A16,PopProjection4!$A$6:$E$106,5,FALSE)</f>
        <v>-2</v>
      </c>
      <c r="E16" s="148"/>
      <c r="G16" s="148"/>
      <c r="H16" s="148" t="s">
        <v>104</v>
      </c>
      <c r="I16" s="148" t="s">
        <v>215</v>
      </c>
      <c r="J16" s="148"/>
      <c r="L16" s="416">
        <f t="shared" si="12"/>
        <v>2023</v>
      </c>
      <c r="M16" s="111">
        <f t="shared" si="1"/>
        <v>9529.06965105169</v>
      </c>
      <c r="N16" s="111">
        <f t="shared" si="2"/>
        <v>7821.4437532039492</v>
      </c>
      <c r="O16" s="111">
        <f t="shared" si="3"/>
        <v>5865.0093548107461</v>
      </c>
      <c r="P16" s="111">
        <f t="shared" si="4"/>
        <v>6161.0991642074887</v>
      </c>
      <c r="Q16" s="111">
        <f t="shared" si="5"/>
        <v>3694.1559313345133</v>
      </c>
      <c r="R16" s="111">
        <f t="shared" si="6"/>
        <v>14839.762241942524</v>
      </c>
      <c r="S16" s="111">
        <f t="shared" si="0"/>
        <v>47910.540096550911</v>
      </c>
      <c r="U16" s="111">
        <f t="shared" si="7"/>
        <v>9529.06965105169</v>
      </c>
      <c r="V16" s="111">
        <f t="shared" si="8"/>
        <v>5043.7216505961951</v>
      </c>
      <c r="W16" s="111">
        <f t="shared" si="9"/>
        <v>1558.0774399495892</v>
      </c>
      <c r="X16" s="111">
        <f t="shared" si="10"/>
        <v>16002.374519432509</v>
      </c>
      <c r="Y16" s="111">
        <f t="shared" si="11"/>
        <v>32133.243261029984</v>
      </c>
    </row>
    <row r="17" spans="1:25">
      <c r="A17" s="7" t="s">
        <v>185</v>
      </c>
      <c r="B17" s="7">
        <v>5598</v>
      </c>
      <c r="C17" s="148">
        <f>VLOOKUP(A17,PopProjection3!$A$4:$E$105,5,FALSE)</f>
        <v>7.4</v>
      </c>
      <c r="D17" s="148">
        <f>VLOOKUP(A17,PopProjection4!$A$6:$E$106,5,FALSE)</f>
        <v>8</v>
      </c>
      <c r="E17" s="148"/>
      <c r="G17" s="148"/>
      <c r="H17" s="148" t="s">
        <v>106</v>
      </c>
      <c r="I17" s="148" t="s">
        <v>214</v>
      </c>
      <c r="J17" s="148"/>
      <c r="L17" s="416">
        <f t="shared" si="12"/>
        <v>2024</v>
      </c>
      <c r="M17" s="111">
        <f t="shared" si="1"/>
        <v>9470.9423261802749</v>
      </c>
      <c r="N17" s="111">
        <f t="shared" si="2"/>
        <v>7781.5543900626089</v>
      </c>
      <c r="O17" s="111">
        <f t="shared" si="3"/>
        <v>5850.3468314237198</v>
      </c>
      <c r="P17" s="111">
        <f t="shared" si="4"/>
        <v>6206.6912980226243</v>
      </c>
      <c r="Q17" s="111">
        <f t="shared" si="5"/>
        <v>3695.6335937070471</v>
      </c>
      <c r="R17" s="111">
        <f t="shared" si="6"/>
        <v>14830.858384597359</v>
      </c>
      <c r="S17" s="111">
        <f t="shared" si="0"/>
        <v>47836.026823993641</v>
      </c>
      <c r="U17" s="111">
        <f t="shared" si="7"/>
        <v>9470.9423261802749</v>
      </c>
      <c r="V17" s="111">
        <f t="shared" si="8"/>
        <v>5008.4155990420213</v>
      </c>
      <c r="W17" s="111">
        <f t="shared" si="9"/>
        <v>1555.27290055768</v>
      </c>
      <c r="X17" s="111">
        <f t="shared" si="10"/>
        <v>16138.394702847685</v>
      </c>
      <c r="Y17" s="111">
        <f t="shared" si="11"/>
        <v>32173.025528627659</v>
      </c>
    </row>
    <row r="18" spans="1:25">
      <c r="A18" s="7" t="s">
        <v>136</v>
      </c>
      <c r="B18" s="7">
        <v>3675</v>
      </c>
      <c r="C18" s="148">
        <f>VLOOKUP(A18,PopProjection3!$A$4:$E$105,5,FALSE)</f>
        <v>0.4</v>
      </c>
      <c r="D18" s="148">
        <f>VLOOKUP(A18,PopProjection4!$A$6:$E$106,5,FALSE)</f>
        <v>0.3</v>
      </c>
      <c r="E18" s="148"/>
      <c r="G18" s="148"/>
      <c r="H18" s="148" t="s">
        <v>105</v>
      </c>
      <c r="I18" s="148"/>
      <c r="J18" s="148"/>
      <c r="L18" s="416">
        <f t="shared" si="12"/>
        <v>2025</v>
      </c>
      <c r="M18" s="111">
        <f t="shared" si="1"/>
        <v>9413.1695779905749</v>
      </c>
      <c r="N18" s="111">
        <f t="shared" si="2"/>
        <v>7741.8684626732893</v>
      </c>
      <c r="O18" s="111">
        <f t="shared" si="3"/>
        <v>5835.7209643451606</v>
      </c>
      <c r="P18" s="111">
        <f t="shared" si="4"/>
        <v>6252.620813627992</v>
      </c>
      <c r="Q18" s="111">
        <f t="shared" si="5"/>
        <v>3697.1118471445297</v>
      </c>
      <c r="R18" s="111">
        <f t="shared" si="6"/>
        <v>14821.959869566599</v>
      </c>
      <c r="S18" s="111">
        <f t="shared" si="0"/>
        <v>47762.451535348147</v>
      </c>
      <c r="U18" s="111">
        <f t="shared" si="7"/>
        <v>9413.1695779905749</v>
      </c>
      <c r="V18" s="111">
        <f t="shared" si="8"/>
        <v>4973.356689848727</v>
      </c>
      <c r="W18" s="111">
        <f t="shared" si="9"/>
        <v>1552.4734093366762</v>
      </c>
      <c r="X18" s="111">
        <f t="shared" si="10"/>
        <v>16275.57105782189</v>
      </c>
      <c r="Y18" s="111">
        <f t="shared" si="11"/>
        <v>32214.570734997869</v>
      </c>
    </row>
    <row r="19" spans="1:25">
      <c r="A19" s="7" t="s">
        <v>183</v>
      </c>
      <c r="B19" s="7">
        <v>14956</v>
      </c>
      <c r="C19" s="148">
        <f>VLOOKUP(A19,PopProjection3!$A$4:$E$105,5,FALSE)</f>
        <v>-0.6</v>
      </c>
      <c r="D19" s="148">
        <f>VLOOKUP(A19,PopProjection4!$A$6:$E$106,5,FALSE)</f>
        <v>0</v>
      </c>
      <c r="E19" s="148"/>
      <c r="F19" s="148"/>
      <c r="G19" s="148"/>
      <c r="H19" s="148"/>
      <c r="I19" s="148"/>
      <c r="J19" s="148"/>
      <c r="K19" s="148"/>
      <c r="L19" s="416">
        <f t="shared" si="12"/>
        <v>2026</v>
      </c>
      <c r="M19" s="111">
        <f t="shared" si="1"/>
        <v>9355.7492435648328</v>
      </c>
      <c r="N19" s="111">
        <f t="shared" si="2"/>
        <v>7702.3849335136556</v>
      </c>
      <c r="O19" s="111">
        <f t="shared" si="3"/>
        <v>5821.1316619342979</v>
      </c>
      <c r="P19" s="111">
        <f t="shared" si="4"/>
        <v>6298.8902076488394</v>
      </c>
      <c r="Q19" s="111">
        <f t="shared" si="5"/>
        <v>3698.5906918833875</v>
      </c>
      <c r="R19" s="111">
        <f t="shared" si="6"/>
        <v>14813.066693644858</v>
      </c>
      <c r="S19" s="111">
        <f t="shared" si="0"/>
        <v>47689.813432189869</v>
      </c>
      <c r="U19" s="111">
        <f t="shared" si="7"/>
        <v>9355.7492435648328</v>
      </c>
      <c r="V19" s="111">
        <f t="shared" si="8"/>
        <v>4938.5431930197856</v>
      </c>
      <c r="W19" s="111">
        <f t="shared" si="9"/>
        <v>1549.6789571998702</v>
      </c>
      <c r="X19" s="111">
        <f t="shared" si="10"/>
        <v>16413.913411813373</v>
      </c>
      <c r="Y19" s="111">
        <f t="shared" si="11"/>
        <v>32257.884805597863</v>
      </c>
    </row>
    <row r="20" spans="1:25" s="206" customFormat="1">
      <c r="A20"/>
      <c r="B20"/>
      <c r="C20" s="262">
        <f>AVERAGE(C14:C19)/100</f>
        <v>-1.083333333333333E-2</v>
      </c>
      <c r="D20" s="262">
        <f>AVERAGE(D14:D19)/100</f>
        <v>-7.3333333333333332E-3</v>
      </c>
      <c r="E20" s="148"/>
      <c r="F20" s="148"/>
      <c r="G20" s="148"/>
      <c r="H20" s="148"/>
      <c r="I20" s="148"/>
      <c r="J20" s="148"/>
      <c r="K20" s="148"/>
      <c r="L20" s="416">
        <f t="shared" si="12"/>
        <v>2027</v>
      </c>
      <c r="M20" s="111">
        <f t="shared" si="1"/>
        <v>9298.6791731790872</v>
      </c>
      <c r="N20" s="111">
        <f t="shared" si="2"/>
        <v>7663.1027703527361</v>
      </c>
      <c r="O20" s="111">
        <f t="shared" si="3"/>
        <v>5806.5788327794626</v>
      </c>
      <c r="P20" s="111">
        <f t="shared" si="4"/>
        <v>6345.501995185441</v>
      </c>
      <c r="Q20" s="111">
        <f t="shared" si="5"/>
        <v>3700.0701281601409</v>
      </c>
      <c r="R20" s="111">
        <f t="shared" si="6"/>
        <v>14804.178853628669</v>
      </c>
      <c r="S20" s="111">
        <f t="shared" si="0"/>
        <v>47618.111753285535</v>
      </c>
      <c r="U20" s="111">
        <f t="shared" si="7"/>
        <v>9298.6791731790872</v>
      </c>
      <c r="V20" s="111">
        <f t="shared" si="8"/>
        <v>4903.973390668647</v>
      </c>
      <c r="W20" s="111">
        <f t="shared" si="9"/>
        <v>1546.8895350769103</v>
      </c>
      <c r="X20" s="111">
        <f t="shared" si="10"/>
        <v>16553.431675813787</v>
      </c>
      <c r="Y20" s="111">
        <f t="shared" si="11"/>
        <v>32302.973774738432</v>
      </c>
    </row>
    <row r="21" spans="1:25" s="69" customFormat="1">
      <c r="A21" s="148" t="s">
        <v>243</v>
      </c>
      <c r="B21" s="206"/>
      <c r="C21" s="262"/>
      <c r="D21" s="262"/>
      <c r="E21" s="148"/>
      <c r="F21" s="148"/>
      <c r="G21" s="148"/>
      <c r="H21" s="148"/>
      <c r="I21" s="148"/>
      <c r="J21" s="148"/>
      <c r="K21" s="148"/>
      <c r="L21" s="416">
        <f t="shared" si="12"/>
        <v>2028</v>
      </c>
      <c r="M21" s="111">
        <f t="shared" si="1"/>
        <v>9241.9572302226952</v>
      </c>
      <c r="N21" s="111">
        <f t="shared" si="2"/>
        <v>7624.0209462239372</v>
      </c>
      <c r="O21" s="111">
        <f t="shared" si="3"/>
        <v>5792.0623856975144</v>
      </c>
      <c r="P21" s="111">
        <f t="shared" si="4"/>
        <v>6392.458709949814</v>
      </c>
      <c r="Q21" s="111">
        <f t="shared" si="5"/>
        <v>3701.550156211405</v>
      </c>
      <c r="R21" s="111">
        <f t="shared" si="6"/>
        <v>14795.296346316492</v>
      </c>
      <c r="S21" s="111">
        <f t="shared" si="0"/>
        <v>47547.345774621856</v>
      </c>
      <c r="U21" s="111">
        <f t="shared" si="7"/>
        <v>9241.9572302226952</v>
      </c>
      <c r="V21" s="111">
        <f t="shared" si="8"/>
        <v>4869.6455769339664</v>
      </c>
      <c r="W21" s="111">
        <f t="shared" si="9"/>
        <v>1544.1051339137719</v>
      </c>
      <c r="X21" s="111">
        <f t="shared" si="10"/>
        <v>16694.135845058205</v>
      </c>
      <c r="Y21" s="111">
        <f t="shared" si="11"/>
        <v>32349.843786128637</v>
      </c>
    </row>
    <row r="22" spans="1:25">
      <c r="A22" s="69"/>
      <c r="B22" s="69" t="s">
        <v>213</v>
      </c>
      <c r="C22" s="74" t="s">
        <v>213</v>
      </c>
      <c r="D22" s="74"/>
      <c r="E22" s="69"/>
      <c r="F22" s="69"/>
      <c r="G22" s="69"/>
      <c r="H22" s="69"/>
      <c r="I22" s="69"/>
      <c r="J22" s="69"/>
      <c r="K22" s="69"/>
      <c r="L22" s="416">
        <f t="shared" si="12"/>
        <v>2029</v>
      </c>
      <c r="M22" s="111">
        <f t="shared" si="1"/>
        <v>9185.5812911183366</v>
      </c>
      <c r="N22" s="111">
        <f t="shared" si="2"/>
        <v>7585.1384393981953</v>
      </c>
      <c r="O22" s="111">
        <f t="shared" si="3"/>
        <v>5777.5822297332707</v>
      </c>
      <c r="P22" s="111">
        <f t="shared" si="4"/>
        <v>6439.7629044034429</v>
      </c>
      <c r="Q22" s="111">
        <f t="shared" si="5"/>
        <v>3703.0307762738894</v>
      </c>
      <c r="R22" s="111">
        <f t="shared" si="6"/>
        <v>14786.419168508703</v>
      </c>
      <c r="S22" s="111">
        <f t="shared" si="0"/>
        <v>47477.514809435837</v>
      </c>
      <c r="U22" s="111">
        <f t="shared" si="7"/>
        <v>9185.5812911183366</v>
      </c>
      <c r="V22" s="111">
        <f t="shared" si="8"/>
        <v>4835.5580578954286</v>
      </c>
      <c r="W22" s="111">
        <f t="shared" si="9"/>
        <v>1541.3257446727271</v>
      </c>
      <c r="X22" s="111">
        <f t="shared" si="10"/>
        <v>16836.035999741198</v>
      </c>
      <c r="Y22" s="111">
        <f t="shared" si="11"/>
        <v>32398.501093427691</v>
      </c>
    </row>
    <row r="23" spans="1:25">
      <c r="B23" t="s">
        <v>104</v>
      </c>
      <c r="C23" t="s">
        <v>215</v>
      </c>
      <c r="L23" s="416">
        <f>L22+1</f>
        <v>2030</v>
      </c>
      <c r="M23" s="111">
        <f t="shared" si="1"/>
        <v>9129.5492452425151</v>
      </c>
      <c r="N23" s="111">
        <f t="shared" si="2"/>
        <v>7546.4542333572645</v>
      </c>
      <c r="O23" s="111">
        <f t="shared" si="3"/>
        <v>5763.1382741589377</v>
      </c>
      <c r="P23" s="111">
        <f t="shared" si="4"/>
        <v>6487.4171498960286</v>
      </c>
      <c r="Q23" s="111">
        <f t="shared" si="5"/>
        <v>3704.5119885843988</v>
      </c>
      <c r="R23" s="111">
        <f t="shared" si="6"/>
        <v>14777.547317007597</v>
      </c>
      <c r="S23" s="111">
        <f t="shared" si="0"/>
        <v>47408.618208246742</v>
      </c>
      <c r="U23" s="111">
        <f t="shared" si="7"/>
        <v>9129.5492452425151</v>
      </c>
      <c r="V23" s="111">
        <f t="shared" si="8"/>
        <v>4801.7091514901604</v>
      </c>
      <c r="W23" s="111">
        <f t="shared" si="9"/>
        <v>1538.5513583323161</v>
      </c>
      <c r="X23" s="111">
        <f t="shared" si="10"/>
        <v>16979.142305738998</v>
      </c>
      <c r="Y23" s="111">
        <f t="shared" si="11"/>
        <v>32448.952060803989</v>
      </c>
    </row>
    <row r="24" spans="1:25">
      <c r="B24" t="s">
        <v>106</v>
      </c>
      <c r="C24" s="79" t="s">
        <v>214</v>
      </c>
      <c r="L24" s="416">
        <f t="shared" ref="L24:L39" si="13">L23+1</f>
        <v>2031</v>
      </c>
      <c r="M24" s="111">
        <f t="shared" ref="M24:M40" si="14">M23*(1+$D$14/100/10)</f>
        <v>9074.7719497710605</v>
      </c>
      <c r="N24" s="111">
        <f t="shared" ref="N24:N40" si="15">N23*(1+$D$15/100/10)</f>
        <v>7510.9858984604853</v>
      </c>
      <c r="O24" s="111">
        <f t="shared" ref="O24:O40" si="16">O23*(1+$D$16/100/10)</f>
        <v>5751.6119976106202</v>
      </c>
      <c r="P24" s="111">
        <f t="shared" ref="P24:P40" si="17">P23*(1+$D$17/100/10)</f>
        <v>6539.3164870951969</v>
      </c>
      <c r="Q24" s="111">
        <f t="shared" ref="Q24:Q40" si="18">Q23*(1+$D$18/100/10)</f>
        <v>3705.6233421809739</v>
      </c>
      <c r="R24" s="111">
        <f t="shared" ref="R24:R40" si="19">R23*(1+$D$19/100/10)</f>
        <v>14777.547317007597</v>
      </c>
      <c r="S24" s="111">
        <f t="shared" si="0"/>
        <v>47359.856992125933</v>
      </c>
      <c r="U24" s="111">
        <f t="shared" ref="U24:U40" si="20">U23*(1+$J$10/100/10)</f>
        <v>9074.7719497710605</v>
      </c>
      <c r="V24" s="111">
        <f t="shared" ref="V24:V40" si="21">V23*(1+$J$11/100/10)</f>
        <v>4768.0971874297293</v>
      </c>
      <c r="W24" s="111">
        <f t="shared" ref="W24:W40" si="22">W23*(1+$J$12/100/10)</f>
        <v>1536.7050967023174</v>
      </c>
      <c r="X24" s="111">
        <f t="shared" ref="X24:X40" si="23">X23*(1+$J$13/100/10)</f>
        <v>17048.756789192528</v>
      </c>
      <c r="Y24" s="111">
        <f t="shared" si="11"/>
        <v>32428.331023095634</v>
      </c>
    </row>
    <row r="25" spans="1:25">
      <c r="B25" t="s">
        <v>105</v>
      </c>
      <c r="L25" s="416">
        <f t="shared" si="13"/>
        <v>2032</v>
      </c>
      <c r="M25" s="111">
        <f t="shared" si="14"/>
        <v>9020.3233180724346</v>
      </c>
      <c r="N25" s="111">
        <f t="shared" si="15"/>
        <v>7475.6842647377207</v>
      </c>
      <c r="O25" s="111">
        <f t="shared" si="16"/>
        <v>5740.1087736153986</v>
      </c>
      <c r="P25" s="111">
        <f t="shared" si="17"/>
        <v>6591.6310189919586</v>
      </c>
      <c r="Q25" s="111">
        <f t="shared" si="18"/>
        <v>3706.7350291836278</v>
      </c>
      <c r="R25" s="111">
        <f t="shared" si="19"/>
        <v>14777.547317007597</v>
      </c>
      <c r="S25" s="111">
        <f t="shared" si="0"/>
        <v>47312.029721608735</v>
      </c>
      <c r="U25" s="111">
        <f t="shared" si="20"/>
        <v>9020.3233180724346</v>
      </c>
      <c r="V25" s="111">
        <f t="shared" si="21"/>
        <v>4734.7205071177214</v>
      </c>
      <c r="W25" s="111">
        <f t="shared" si="22"/>
        <v>1534.8610505862746</v>
      </c>
      <c r="X25" s="111">
        <f t="shared" si="23"/>
        <v>17118.656692028217</v>
      </c>
      <c r="Y25" s="111">
        <f t="shared" si="11"/>
        <v>32408.561567804645</v>
      </c>
    </row>
    <row r="26" spans="1:25">
      <c r="A26" s="69" t="s">
        <v>229</v>
      </c>
      <c r="B26" s="60"/>
      <c r="C26" s="69"/>
      <c r="D26" s="33"/>
      <c r="E26" s="33"/>
      <c r="L26" s="416">
        <f t="shared" si="13"/>
        <v>2033</v>
      </c>
      <c r="M26" s="111">
        <f t="shared" si="14"/>
        <v>8966.2013781639998</v>
      </c>
      <c r="N26" s="111">
        <f t="shared" si="15"/>
        <v>7440.5485486934531</v>
      </c>
      <c r="O26" s="111">
        <f t="shared" si="16"/>
        <v>5728.6285560681681</v>
      </c>
      <c r="P26" s="111">
        <f t="shared" si="17"/>
        <v>6644.3640671438943</v>
      </c>
      <c r="Q26" s="111">
        <f t="shared" si="18"/>
        <v>3707.8470496923828</v>
      </c>
      <c r="R26" s="111">
        <f t="shared" si="19"/>
        <v>14777.547317007597</v>
      </c>
      <c r="S26" s="111">
        <f t="shared" si="0"/>
        <v>47265.136916769494</v>
      </c>
      <c r="U26" s="111">
        <f t="shared" si="20"/>
        <v>8966.2013781639998</v>
      </c>
      <c r="V26" s="111">
        <f t="shared" si="21"/>
        <v>4701.5774635678972</v>
      </c>
      <c r="W26" s="111">
        <f t="shared" si="22"/>
        <v>1533.0192173255712</v>
      </c>
      <c r="X26" s="111">
        <f t="shared" si="23"/>
        <v>17188.843184465532</v>
      </c>
      <c r="Y26" s="111">
        <f t="shared" si="11"/>
        <v>32389.641243523001</v>
      </c>
    </row>
    <row r="27" spans="1:25" ht="45">
      <c r="A27" s="159" t="s">
        <v>1</v>
      </c>
      <c r="B27" s="160" t="s">
        <v>108</v>
      </c>
      <c r="C27" s="159" t="s">
        <v>101</v>
      </c>
      <c r="D27" s="159" t="s">
        <v>241</v>
      </c>
      <c r="E27" s="159" t="s">
        <v>242</v>
      </c>
      <c r="G27" s="416"/>
      <c r="H27" s="416"/>
      <c r="I27" s="416"/>
      <c r="J27" s="416"/>
      <c r="K27" s="416"/>
      <c r="L27" s="416">
        <f t="shared" si="13"/>
        <v>2034</v>
      </c>
      <c r="M27" s="111">
        <f t="shared" si="14"/>
        <v>8912.404169895015</v>
      </c>
      <c r="N27" s="111">
        <f t="shared" si="15"/>
        <v>7405.5779705145933</v>
      </c>
      <c r="O27" s="111">
        <f t="shared" si="16"/>
        <v>5717.1712989560319</v>
      </c>
      <c r="P27" s="111">
        <f t="shared" si="17"/>
        <v>6697.5189796810455</v>
      </c>
      <c r="Q27" s="111">
        <f t="shared" si="18"/>
        <v>3708.9594038072905</v>
      </c>
      <c r="R27" s="111">
        <f t="shared" si="19"/>
        <v>14777.547317007597</v>
      </c>
      <c r="S27" s="111">
        <f t="shared" si="0"/>
        <v>47219.179139861575</v>
      </c>
      <c r="U27" s="111">
        <f t="shared" si="20"/>
        <v>8912.404169895015</v>
      </c>
      <c r="V27" s="111">
        <f t="shared" si="21"/>
        <v>4668.6664213229215</v>
      </c>
      <c r="W27" s="111">
        <f t="shared" si="22"/>
        <v>1531.1795942647805</v>
      </c>
      <c r="X27" s="111">
        <f t="shared" si="23"/>
        <v>17259.317441521842</v>
      </c>
      <c r="Y27" s="111">
        <f t="shared" si="11"/>
        <v>32371.567627004559</v>
      </c>
    </row>
    <row r="28" spans="1:25" s="69" customFormat="1">
      <c r="A28" s="4">
        <v>2010</v>
      </c>
      <c r="B28" s="10">
        <f>S3</f>
        <v>48965</v>
      </c>
      <c r="C28" s="12">
        <f t="shared" ref="C28:C49" si="24">B28*$B$2</f>
        <v>529667.7714775994</v>
      </c>
      <c r="D28" s="12">
        <f>C28/((1+Inputs!$B$3)^($A28-Inputs!$B$5))</f>
        <v>1041936.6755746991</v>
      </c>
      <c r="E28" s="12">
        <f>C28/((1+Inputs!$B$4)^($A28-Inputs!$B$5))</f>
        <v>711829.19369944511</v>
      </c>
      <c r="G28" s="416"/>
      <c r="H28" s="416"/>
      <c r="I28" s="416"/>
      <c r="J28" s="416"/>
      <c r="K28" s="416"/>
      <c r="L28" s="416">
        <f t="shared" si="13"/>
        <v>2035</v>
      </c>
      <c r="M28" s="111">
        <f t="shared" si="14"/>
        <v>8858.9297448756442</v>
      </c>
      <c r="N28" s="111">
        <f t="shared" si="15"/>
        <v>7370.7717540531748</v>
      </c>
      <c r="O28" s="111">
        <f t="shared" si="16"/>
        <v>5705.7369563581196</v>
      </c>
      <c r="P28" s="111">
        <f t="shared" si="17"/>
        <v>6751.0991315184938</v>
      </c>
      <c r="Q28" s="111">
        <f t="shared" si="18"/>
        <v>3710.0720916284326</v>
      </c>
      <c r="R28" s="111">
        <f t="shared" si="19"/>
        <v>14777.547317007597</v>
      </c>
      <c r="S28" s="111">
        <f t="shared" si="0"/>
        <v>47174.156995441459</v>
      </c>
      <c r="U28" s="111">
        <f t="shared" si="20"/>
        <v>8858.9297448756442</v>
      </c>
      <c r="V28" s="111">
        <f t="shared" si="21"/>
        <v>4635.9857563736614</v>
      </c>
      <c r="W28" s="111">
        <f t="shared" si="22"/>
        <v>1529.3421787516627</v>
      </c>
      <c r="X28" s="111">
        <f t="shared" si="23"/>
        <v>17330.080643032081</v>
      </c>
      <c r="Y28" s="111">
        <f t="shared" si="11"/>
        <v>32354.338323033051</v>
      </c>
    </row>
    <row r="29" spans="1:25" s="69" customFormat="1">
      <c r="A29" s="209">
        <f>A28+1</f>
        <v>2011</v>
      </c>
      <c r="B29" s="10">
        <f t="shared" ref="B29:B65" si="25">S4</f>
        <v>48878.203399999999</v>
      </c>
      <c r="C29" s="12">
        <f t="shared" si="24"/>
        <v>528728.86896164238</v>
      </c>
      <c r="D29" s="12">
        <f>C29/((1+Inputs!$B$3)^($A29-Inputs!$B$5))</f>
        <v>972046.46001502022</v>
      </c>
      <c r="E29" s="12">
        <f>C29/((1+Inputs!$B$4)^($A29-Inputs!$B$5))</f>
        <v>689871.24973751756</v>
      </c>
      <c r="G29" s="416"/>
      <c r="H29" s="416"/>
      <c r="I29" s="416"/>
      <c r="J29" s="416"/>
      <c r="K29" s="416"/>
      <c r="L29" s="416">
        <f t="shared" si="13"/>
        <v>2036</v>
      </c>
      <c r="M29" s="111">
        <f t="shared" si="14"/>
        <v>8805.776166406391</v>
      </c>
      <c r="N29" s="111">
        <f t="shared" si="15"/>
        <v>7336.1291268091245</v>
      </c>
      <c r="O29" s="111">
        <f t="shared" si="16"/>
        <v>5694.3254824454034</v>
      </c>
      <c r="P29" s="111">
        <f t="shared" si="17"/>
        <v>6805.1079245706414</v>
      </c>
      <c r="Q29" s="111">
        <f t="shared" si="18"/>
        <v>3711.1851132559209</v>
      </c>
      <c r="R29" s="111">
        <f t="shared" si="19"/>
        <v>14777.547317007597</v>
      </c>
      <c r="S29" s="111">
        <f t="shared" si="0"/>
        <v>47130.071130495082</v>
      </c>
      <c r="U29" s="111">
        <f t="shared" si="20"/>
        <v>8805.776166406391</v>
      </c>
      <c r="V29" s="111">
        <f t="shared" si="21"/>
        <v>4603.533856079046</v>
      </c>
      <c r="W29" s="111">
        <f t="shared" si="22"/>
        <v>1527.5069681371608</v>
      </c>
      <c r="X29" s="111">
        <f t="shared" si="23"/>
        <v>17401.133973668511</v>
      </c>
      <c r="Y29" s="111">
        <f t="shared" si="11"/>
        <v>32337.950964291107</v>
      </c>
    </row>
    <row r="30" spans="1:25" s="69" customFormat="1">
      <c r="A30" s="209">
        <f t="shared" ref="A30:A65" si="26">A29+1</f>
        <v>2012</v>
      </c>
      <c r="B30" s="10">
        <f t="shared" si="25"/>
        <v>48792.358537760003</v>
      </c>
      <c r="C30" s="12">
        <f t="shared" si="24"/>
        <v>527800.261652841</v>
      </c>
      <c r="D30" s="12">
        <f>C30/((1+Inputs!$B$3)^($A30-Inputs!$B$5))</f>
        <v>906859.11528358283</v>
      </c>
      <c r="E30" s="12">
        <f>C30/((1+Inputs!$B$4)^($A30-Inputs!$B$5))</f>
        <v>668601.58041037444</v>
      </c>
      <c r="G30" s="416"/>
      <c r="H30" s="416"/>
      <c r="I30" s="416"/>
      <c r="J30" s="416"/>
      <c r="K30" s="416"/>
      <c r="L30" s="416">
        <f t="shared" si="13"/>
        <v>2037</v>
      </c>
      <c r="M30" s="111">
        <f t="shared" si="14"/>
        <v>8752.9415094079523</v>
      </c>
      <c r="N30" s="111">
        <f t="shared" si="15"/>
        <v>7301.649319913121</v>
      </c>
      <c r="O30" s="111">
        <f t="shared" si="16"/>
        <v>5682.9368314805124</v>
      </c>
      <c r="P30" s="111">
        <f t="shared" si="17"/>
        <v>6859.5487879672064</v>
      </c>
      <c r="Q30" s="111">
        <f t="shared" si="18"/>
        <v>3712.2984687898975</v>
      </c>
      <c r="R30" s="111">
        <f t="shared" si="19"/>
        <v>14777.547317007597</v>
      </c>
      <c r="S30" s="111">
        <f t="shared" si="0"/>
        <v>47086.922234566286</v>
      </c>
      <c r="U30" s="111">
        <f t="shared" si="20"/>
        <v>8752.9415094079523</v>
      </c>
      <c r="V30" s="111">
        <f t="shared" si="21"/>
        <v>4571.3091190864925</v>
      </c>
      <c r="W30" s="111">
        <f t="shared" si="22"/>
        <v>1525.6739597753963</v>
      </c>
      <c r="X30" s="111">
        <f t="shared" si="23"/>
        <v>17472.478622960552</v>
      </c>
      <c r="Y30" s="111">
        <f t="shared" si="11"/>
        <v>32322.403211230394</v>
      </c>
    </row>
    <row r="31" spans="1:25" s="69" customFormat="1">
      <c r="A31" s="209">
        <f t="shared" si="26"/>
        <v>2013</v>
      </c>
      <c r="B31" s="10">
        <f t="shared" si="25"/>
        <v>48707.46413323711</v>
      </c>
      <c r="C31" s="12">
        <f t="shared" si="24"/>
        <v>526881.93570462172</v>
      </c>
      <c r="D31" s="12">
        <f>C31/((1+Inputs!$B$3)^($A31-Inputs!$B$5))</f>
        <v>846057.2526455808</v>
      </c>
      <c r="E31" s="12">
        <f>C31/((1+Inputs!$B$4)^($A31-Inputs!$B$5))</f>
        <v>647998.32288758096</v>
      </c>
      <c r="G31" s="416"/>
      <c r="H31" s="416"/>
      <c r="I31" s="416"/>
      <c r="J31" s="416"/>
      <c r="K31" s="416"/>
      <c r="L31" s="416">
        <f t="shared" si="13"/>
        <v>2038</v>
      </c>
      <c r="M31" s="111">
        <f t="shared" si="14"/>
        <v>8700.4238603515041</v>
      </c>
      <c r="N31" s="111">
        <f t="shared" si="15"/>
        <v>7267.3315681095291</v>
      </c>
      <c r="O31" s="111">
        <f t="shared" si="16"/>
        <v>5671.5709578175511</v>
      </c>
      <c r="P31" s="111">
        <f t="shared" si="17"/>
        <v>6914.4251782709443</v>
      </c>
      <c r="Q31" s="111">
        <f t="shared" si="18"/>
        <v>3713.4121583305341</v>
      </c>
      <c r="R31" s="111">
        <f t="shared" si="19"/>
        <v>14777.547317007597</v>
      </c>
      <c r="S31" s="111">
        <f t="shared" si="0"/>
        <v>47044.711039887661</v>
      </c>
      <c r="U31" s="111">
        <f t="shared" si="20"/>
        <v>8700.4238603515041</v>
      </c>
      <c r="V31" s="111">
        <f t="shared" si="21"/>
        <v>4539.3099552528874</v>
      </c>
      <c r="W31" s="111">
        <f t="shared" si="22"/>
        <v>1523.8431510236658</v>
      </c>
      <c r="X31" s="111">
        <f t="shared" si="23"/>
        <v>17544.115785314691</v>
      </c>
      <c r="Y31" s="111">
        <f t="shared" si="11"/>
        <v>32307.692751942748</v>
      </c>
    </row>
    <row r="32" spans="1:25" s="69" customFormat="1">
      <c r="A32" s="209">
        <f t="shared" si="26"/>
        <v>2014</v>
      </c>
      <c r="B32" s="10">
        <f t="shared" si="25"/>
        <v>48623.518943354829</v>
      </c>
      <c r="C32" s="12">
        <f t="shared" si="24"/>
        <v>525973.87767028681</v>
      </c>
      <c r="D32" s="12">
        <f>C32/((1+Inputs!$B$3)^($A32-Inputs!$B$5))</f>
        <v>789344.96249951248</v>
      </c>
      <c r="E32" s="12">
        <f>C32/((1+Inputs!$B$4)^($A32-Inputs!$B$5))</f>
        <v>628040.31654646923</v>
      </c>
      <c r="G32" s="416"/>
      <c r="H32" s="416"/>
      <c r="I32" s="416"/>
      <c r="J32" s="416"/>
      <c r="K32" s="416"/>
      <c r="L32" s="416">
        <f t="shared" si="13"/>
        <v>2039</v>
      </c>
      <c r="M32" s="111">
        <f t="shared" si="14"/>
        <v>8648.2213171893945</v>
      </c>
      <c r="N32" s="111">
        <f t="shared" si="15"/>
        <v>7233.1751097394144</v>
      </c>
      <c r="O32" s="111">
        <f t="shared" si="16"/>
        <v>5660.2278159019161</v>
      </c>
      <c r="P32" s="111">
        <f t="shared" si="17"/>
        <v>6969.7405796971116</v>
      </c>
      <c r="Q32" s="111">
        <f t="shared" si="18"/>
        <v>3714.526181978033</v>
      </c>
      <c r="R32" s="111">
        <f t="shared" si="19"/>
        <v>14777.547317007597</v>
      </c>
      <c r="S32" s="111">
        <f t="shared" si="0"/>
        <v>47003.438321513459</v>
      </c>
      <c r="U32" s="111">
        <f t="shared" si="20"/>
        <v>8648.2213171893945</v>
      </c>
      <c r="V32" s="111">
        <f t="shared" si="21"/>
        <v>4507.5347855661175</v>
      </c>
      <c r="W32" s="111">
        <f t="shared" si="22"/>
        <v>1522.0145392424374</v>
      </c>
      <c r="X32" s="111">
        <f t="shared" si="23"/>
        <v>17616.046660034481</v>
      </c>
      <c r="Y32" s="111">
        <f t="shared" si="11"/>
        <v>32293.817302032432</v>
      </c>
    </row>
    <row r="33" spans="1:25" s="69" customFormat="1">
      <c r="A33" s="209">
        <f t="shared" si="26"/>
        <v>2015</v>
      </c>
      <c r="B33" s="10">
        <f t="shared" si="25"/>
        <v>48540.52176201062</v>
      </c>
      <c r="C33" s="12">
        <f t="shared" si="24"/>
        <v>525076.0745030957</v>
      </c>
      <c r="D33" s="12">
        <f>C33/((1+Inputs!$B$3)^($A33-Inputs!$B$5))</f>
        <v>736446.3570434791</v>
      </c>
      <c r="E33" s="12">
        <f>C33/((1+Inputs!$B$4)^($A33-Inputs!$B$5))</f>
        <v>608707.08020665403</v>
      </c>
      <c r="G33" s="416"/>
      <c r="H33" s="416"/>
      <c r="I33" s="416"/>
      <c r="J33" s="416"/>
      <c r="K33" s="416"/>
      <c r="L33" s="416">
        <f t="shared" si="13"/>
        <v>2040</v>
      </c>
      <c r="M33" s="111">
        <f t="shared" si="14"/>
        <v>8596.3319892862582</v>
      </c>
      <c r="N33" s="111">
        <f t="shared" si="15"/>
        <v>7199.1791867236388</v>
      </c>
      <c r="O33" s="111">
        <f t="shared" si="16"/>
        <v>5648.9073602701119</v>
      </c>
      <c r="P33" s="111">
        <f t="shared" si="17"/>
        <v>7025.4985043346887</v>
      </c>
      <c r="Q33" s="111">
        <f t="shared" si="18"/>
        <v>3715.6405398326265</v>
      </c>
      <c r="R33" s="111">
        <f t="shared" si="19"/>
        <v>14777.547317007597</v>
      </c>
      <c r="S33" s="111">
        <f t="shared" si="0"/>
        <v>46963.104897454919</v>
      </c>
      <c r="U33" s="111">
        <f t="shared" si="20"/>
        <v>8596.3319892862582</v>
      </c>
      <c r="V33" s="111">
        <f t="shared" si="21"/>
        <v>4475.9820420671549</v>
      </c>
      <c r="W33" s="111">
        <f t="shared" si="22"/>
        <v>1520.1881217953464</v>
      </c>
      <c r="X33" s="111">
        <f t="shared" si="23"/>
        <v>17688.272451340621</v>
      </c>
      <c r="Y33" s="111">
        <f t="shared" si="11"/>
        <v>32280.774604489379</v>
      </c>
    </row>
    <row r="34" spans="1:25" s="69" customFormat="1">
      <c r="A34" s="209">
        <f t="shared" si="26"/>
        <v>2016</v>
      </c>
      <c r="B34" s="10">
        <f t="shared" si="25"/>
        <v>48458.471420085247</v>
      </c>
      <c r="C34" s="12">
        <f t="shared" si="24"/>
        <v>524188.51355636667</v>
      </c>
      <c r="D34" s="12">
        <f>C34/((1+Inputs!$B$3)^($A34-Inputs!$B$5))</f>
        <v>687104.21205751633</v>
      </c>
      <c r="E34" s="12">
        <f>C34/((1+Inputs!$B$4)^($A34-Inputs!$B$5))</f>
        <v>589978.79010849504</v>
      </c>
      <c r="G34" s="416"/>
      <c r="H34" s="416"/>
      <c r="I34" s="416"/>
      <c r="J34" s="416"/>
      <c r="K34" s="416"/>
      <c r="L34" s="416">
        <f t="shared" si="13"/>
        <v>2041</v>
      </c>
      <c r="M34" s="111">
        <f t="shared" si="14"/>
        <v>8544.7539973505409</v>
      </c>
      <c r="N34" s="111">
        <f t="shared" si="15"/>
        <v>7165.3430445460372</v>
      </c>
      <c r="O34" s="111">
        <f t="shared" si="16"/>
        <v>5637.6095455495715</v>
      </c>
      <c r="P34" s="111">
        <f t="shared" si="17"/>
        <v>7081.7024923693662</v>
      </c>
      <c r="Q34" s="111">
        <f t="shared" si="18"/>
        <v>3716.7552319945762</v>
      </c>
      <c r="R34" s="111">
        <f t="shared" si="19"/>
        <v>14777.547317007597</v>
      </c>
      <c r="S34" s="111">
        <f t="shared" si="0"/>
        <v>46923.711628817691</v>
      </c>
      <c r="U34" s="111">
        <f t="shared" si="20"/>
        <v>8544.7539973505409</v>
      </c>
      <c r="V34" s="111">
        <f t="shared" si="21"/>
        <v>4444.6501677726847</v>
      </c>
      <c r="W34" s="111">
        <f t="shared" si="22"/>
        <v>1518.3638960491921</v>
      </c>
      <c r="X34" s="111">
        <f t="shared" si="23"/>
        <v>17760.794368391118</v>
      </c>
      <c r="Y34" s="111">
        <f t="shared" si="11"/>
        <v>32268.562429563535</v>
      </c>
    </row>
    <row r="35" spans="1:25" s="69" customFormat="1">
      <c r="A35" s="209">
        <f t="shared" si="26"/>
        <v>2017</v>
      </c>
      <c r="B35" s="10">
        <f t="shared" si="25"/>
        <v>48377.366785453516</v>
      </c>
      <c r="C35" s="12">
        <f t="shared" si="24"/>
        <v>523311.18258359237</v>
      </c>
      <c r="D35" s="12">
        <f>C35/((1+Inputs!$B$3)^($A35-Inputs!$B$5))</f>
        <v>641078.7010457518</v>
      </c>
      <c r="E35" s="12">
        <f>C35/((1+Inputs!$B$4)^($A35-Inputs!$B$5))</f>
        <v>571836.2586110211</v>
      </c>
      <c r="G35" s="416"/>
      <c r="H35" s="416"/>
      <c r="I35" s="416"/>
      <c r="J35" s="416"/>
      <c r="K35" s="416"/>
      <c r="L35" s="416">
        <f t="shared" si="13"/>
        <v>2042</v>
      </c>
      <c r="M35" s="111">
        <f t="shared" si="14"/>
        <v>8493.4854733664379</v>
      </c>
      <c r="N35" s="111">
        <f t="shared" si="15"/>
        <v>7131.6659322366704</v>
      </c>
      <c r="O35" s="111">
        <f t="shared" si="16"/>
        <v>5626.3343264584728</v>
      </c>
      <c r="P35" s="111">
        <f t="shared" si="17"/>
        <v>7138.3561123083209</v>
      </c>
      <c r="Q35" s="111">
        <f t="shared" si="18"/>
        <v>3717.8702585641745</v>
      </c>
      <c r="R35" s="111">
        <f t="shared" si="19"/>
        <v>14777.547317007597</v>
      </c>
      <c r="S35" s="111">
        <f t="shared" si="0"/>
        <v>46885.259419941671</v>
      </c>
      <c r="U35" s="111">
        <f t="shared" si="20"/>
        <v>8493.4854733664379</v>
      </c>
      <c r="V35" s="111">
        <f t="shared" si="21"/>
        <v>4413.5376165982761</v>
      </c>
      <c r="W35" s="111">
        <f t="shared" si="22"/>
        <v>1516.5418593739332</v>
      </c>
      <c r="X35" s="111">
        <f t="shared" si="23"/>
        <v>17833.613625301521</v>
      </c>
      <c r="Y35" s="111">
        <f t="shared" si="11"/>
        <v>32257.178574640169</v>
      </c>
    </row>
    <row r="36" spans="1:25" s="69" customFormat="1">
      <c r="A36" s="209">
        <f t="shared" si="26"/>
        <v>2018</v>
      </c>
      <c r="B36" s="10">
        <f t="shared" si="25"/>
        <v>48297.206762996822</v>
      </c>
      <c r="C36" s="12">
        <f t="shared" si="24"/>
        <v>522444.0697385759</v>
      </c>
      <c r="D36" s="12">
        <f>C36/((1+Inputs!$B$3)^($A36-Inputs!$B$5))</f>
        <v>598146.21544369555</v>
      </c>
      <c r="E36" s="12">
        <f>C36/((1+Inputs!$B$4)^($A36-Inputs!$B$5))</f>
        <v>554260.91358565516</v>
      </c>
      <c r="G36" s="416"/>
      <c r="H36" s="416"/>
      <c r="I36" s="416"/>
      <c r="J36" s="416"/>
      <c r="K36" s="416"/>
      <c r="L36" s="416">
        <f t="shared" si="13"/>
        <v>2043</v>
      </c>
      <c r="M36" s="111">
        <f t="shared" si="14"/>
        <v>8442.5245605262389</v>
      </c>
      <c r="N36" s="111">
        <f t="shared" si="15"/>
        <v>7098.1471023551576</v>
      </c>
      <c r="O36" s="111">
        <f t="shared" si="16"/>
        <v>5615.0816578055556</v>
      </c>
      <c r="P36" s="111">
        <f t="shared" si="17"/>
        <v>7195.4629612067874</v>
      </c>
      <c r="Q36" s="111">
        <f t="shared" si="18"/>
        <v>3718.9856196417436</v>
      </c>
      <c r="R36" s="111">
        <f t="shared" si="19"/>
        <v>14777.547317007597</v>
      </c>
      <c r="S36" s="111">
        <f t="shared" si="0"/>
        <v>46847.749218543075</v>
      </c>
      <c r="U36" s="111">
        <f t="shared" si="20"/>
        <v>8442.5245605262389</v>
      </c>
      <c r="V36" s="111">
        <f t="shared" si="21"/>
        <v>4382.6428532820883</v>
      </c>
      <c r="W36" s="111">
        <f t="shared" si="22"/>
        <v>1514.7220091426846</v>
      </c>
      <c r="X36" s="111">
        <f t="shared" si="23"/>
        <v>17906.731441165259</v>
      </c>
      <c r="Y36" s="111">
        <f t="shared" si="11"/>
        <v>32246.62086411627</v>
      </c>
    </row>
    <row r="37" spans="1:25" s="69" customFormat="1">
      <c r="A37" s="209">
        <f t="shared" si="26"/>
        <v>2019</v>
      </c>
      <c r="B37" s="10">
        <f t="shared" si="25"/>
        <v>48217.990294617113</v>
      </c>
      <c r="C37" s="12">
        <f t="shared" si="24"/>
        <v>521587.1635755818</v>
      </c>
      <c r="D37" s="12">
        <f>C37/((1+Inputs!$B$3)^($A37-Inputs!$B$5))</f>
        <v>558098.2650258725</v>
      </c>
      <c r="E37" s="12">
        <f>C37/((1+Inputs!$B$4)^($A37-Inputs!$B$5))</f>
        <v>537234.77848284924</v>
      </c>
      <c r="G37" s="416"/>
      <c r="H37" s="416"/>
      <c r="I37" s="416"/>
      <c r="J37" s="416"/>
      <c r="K37" s="416"/>
      <c r="L37" s="416">
        <f t="shared" si="13"/>
        <v>2044</v>
      </c>
      <c r="M37" s="111">
        <f t="shared" si="14"/>
        <v>8391.8694131630818</v>
      </c>
      <c r="N37" s="111">
        <f t="shared" si="15"/>
        <v>7064.7858109740882</v>
      </c>
      <c r="O37" s="111">
        <f t="shared" si="16"/>
        <v>5603.8514944899443</v>
      </c>
      <c r="P37" s="111">
        <f t="shared" si="17"/>
        <v>7253.0266648964416</v>
      </c>
      <c r="Q37" s="111">
        <f t="shared" si="18"/>
        <v>3720.1013153276358</v>
      </c>
      <c r="R37" s="111">
        <f t="shared" si="19"/>
        <v>14777.547317007597</v>
      </c>
      <c r="S37" s="111">
        <f t="shared" si="0"/>
        <v>46811.182015858794</v>
      </c>
      <c r="U37" s="111">
        <f t="shared" si="20"/>
        <v>8391.8694131630818</v>
      </c>
      <c r="V37" s="111">
        <f t="shared" si="21"/>
        <v>4351.9643533091139</v>
      </c>
      <c r="W37" s="111">
        <f t="shared" si="22"/>
        <v>1512.9043427317133</v>
      </c>
      <c r="X37" s="111">
        <f t="shared" si="23"/>
        <v>17980.149040074037</v>
      </c>
      <c r="Y37" s="111">
        <f t="shared" si="11"/>
        <v>32236.887149277944</v>
      </c>
    </row>
    <row r="38" spans="1:25" s="69" customFormat="1">
      <c r="A38" s="209">
        <f t="shared" si="26"/>
        <v>2020</v>
      </c>
      <c r="B38" s="10">
        <f t="shared" si="25"/>
        <v>48139.716359252627</v>
      </c>
      <c r="C38" s="12">
        <f t="shared" si="24"/>
        <v>520740.45304950624</v>
      </c>
      <c r="D38" s="12">
        <f>C38/((1+Inputs!$B$3)^($A38-Inputs!$B$5))</f>
        <v>520740.45304950624</v>
      </c>
      <c r="E38" s="12">
        <f>C38/((1+Inputs!$B$4)^($A38-Inputs!$B$5))</f>
        <v>520740.45304950624</v>
      </c>
      <c r="G38" s="416"/>
      <c r="H38" s="416"/>
      <c r="I38" s="416"/>
      <c r="J38" s="416"/>
      <c r="K38" s="416"/>
      <c r="L38" s="416">
        <f t="shared" si="13"/>
        <v>2045</v>
      </c>
      <c r="M38" s="111">
        <f t="shared" si="14"/>
        <v>8341.5181966841028</v>
      </c>
      <c r="N38" s="111">
        <f t="shared" si="15"/>
        <v>7031.5813176625097</v>
      </c>
      <c r="O38" s="111">
        <f t="shared" si="16"/>
        <v>5592.6437915009647</v>
      </c>
      <c r="P38" s="111">
        <f t="shared" si="17"/>
        <v>7311.050878215613</v>
      </c>
      <c r="Q38" s="111">
        <f t="shared" si="18"/>
        <v>3721.2173457222339</v>
      </c>
      <c r="R38" s="111">
        <f t="shared" si="19"/>
        <v>14777.547317007597</v>
      </c>
      <c r="S38" s="111">
        <f t="shared" si="0"/>
        <v>46775.558846793021</v>
      </c>
      <c r="U38" s="111">
        <f t="shared" si="20"/>
        <v>8341.5181966841028</v>
      </c>
      <c r="V38" s="111">
        <f t="shared" si="21"/>
        <v>4321.5006028359503</v>
      </c>
      <c r="W38" s="111">
        <f t="shared" si="22"/>
        <v>1511.0888575204353</v>
      </c>
      <c r="X38" s="111">
        <f t="shared" si="23"/>
        <v>18053.867651138342</v>
      </c>
      <c r="Y38" s="111">
        <f t="shared" si="11"/>
        <v>32227.975308178829</v>
      </c>
    </row>
    <row r="39" spans="1:25" s="69" customFormat="1">
      <c r="A39" s="209">
        <f t="shared" si="26"/>
        <v>2021</v>
      </c>
      <c r="B39" s="10">
        <f t="shared" si="25"/>
        <v>48062.383972895128</v>
      </c>
      <c r="C39" s="12">
        <f t="shared" si="24"/>
        <v>519903.92751606356</v>
      </c>
      <c r="D39" s="12">
        <f>C39/((1+Inputs!$B$3)^($A39-Inputs!$B$5))</f>
        <v>485891.52104305004</v>
      </c>
      <c r="E39" s="12">
        <f>C39/((1+Inputs!$B$4)^($A39-Inputs!$B$5))</f>
        <v>504761.09467578988</v>
      </c>
      <c r="G39" s="416"/>
      <c r="H39" s="416"/>
      <c r="I39" s="416"/>
      <c r="J39" s="416"/>
      <c r="K39" s="416"/>
      <c r="L39" s="416">
        <f t="shared" si="13"/>
        <v>2046</v>
      </c>
      <c r="M39" s="111">
        <f t="shared" si="14"/>
        <v>8291.4690875039978</v>
      </c>
      <c r="N39" s="111">
        <f t="shared" si="15"/>
        <v>6998.5328854694953</v>
      </c>
      <c r="O39" s="111">
        <f t="shared" si="16"/>
        <v>5581.4585039179628</v>
      </c>
      <c r="P39" s="111">
        <f t="shared" si="17"/>
        <v>7369.5392852413379</v>
      </c>
      <c r="Q39" s="111">
        <f t="shared" si="18"/>
        <v>3722.3337109259505</v>
      </c>
      <c r="R39" s="111">
        <f t="shared" si="19"/>
        <v>14777.547317007597</v>
      </c>
      <c r="S39" s="111">
        <f t="shared" si="0"/>
        <v>46740.880790066338</v>
      </c>
      <c r="U39" s="111">
        <f t="shared" si="20"/>
        <v>8291.4690875039978</v>
      </c>
      <c r="V39" s="111">
        <f t="shared" si="21"/>
        <v>4291.2500986160985</v>
      </c>
      <c r="W39" s="111">
        <f t="shared" si="22"/>
        <v>1509.2755508914108</v>
      </c>
      <c r="X39" s="111">
        <f t="shared" si="23"/>
        <v>18127.888508508007</v>
      </c>
      <c r="Y39" s="111">
        <f t="shared" si="11"/>
        <v>32219.883245519515</v>
      </c>
    </row>
    <row r="40" spans="1:25" s="69" customFormat="1">
      <c r="A40" s="209">
        <f t="shared" si="26"/>
        <v>2022</v>
      </c>
      <c r="B40" s="10">
        <f t="shared" si="25"/>
        <v>47985.992188608827</v>
      </c>
      <c r="C40" s="12">
        <f t="shared" si="24"/>
        <v>519077.57673199079</v>
      </c>
      <c r="D40" s="12">
        <f>C40/((1+Inputs!$B$3)^($A40-Inputs!$B$5))</f>
        <v>453382.45849593048</v>
      </c>
      <c r="E40" s="12">
        <f>C40/((1+Inputs!$B$4)^($A40-Inputs!$B$5))</f>
        <v>489280.40035063704</v>
      </c>
      <c r="G40" s="416"/>
      <c r="H40" s="416"/>
      <c r="I40" s="416"/>
      <c r="J40" s="416"/>
      <c r="K40" s="416"/>
      <c r="L40" s="416">
        <f t="shared" ref="L40" si="27">L39+1</f>
        <v>2047</v>
      </c>
      <c r="M40" s="111">
        <f t="shared" si="14"/>
        <v>8241.7202729789733</v>
      </c>
      <c r="N40" s="111">
        <f t="shared" si="15"/>
        <v>6965.639780907788</v>
      </c>
      <c r="O40" s="111">
        <f t="shared" si="16"/>
        <v>5570.295586910127</v>
      </c>
      <c r="P40" s="111">
        <f t="shared" si="17"/>
        <v>7428.4955995232685</v>
      </c>
      <c r="Q40" s="111">
        <f t="shared" si="18"/>
        <v>3723.4504110392281</v>
      </c>
      <c r="R40" s="111">
        <f t="shared" si="19"/>
        <v>14777.547317007597</v>
      </c>
      <c r="S40" s="111">
        <f>SUM(M40:R40)</f>
        <v>46707.148968366979</v>
      </c>
      <c r="U40" s="111">
        <f t="shared" si="20"/>
        <v>8241.7202729789733</v>
      </c>
      <c r="V40" s="111">
        <f t="shared" si="21"/>
        <v>4261.211347925786</v>
      </c>
      <c r="W40" s="111">
        <f t="shared" si="22"/>
        <v>1507.4644202303411</v>
      </c>
      <c r="X40" s="111">
        <f t="shared" si="23"/>
        <v>18202.212851392891</v>
      </c>
      <c r="Y40" s="111">
        <f t="shared" si="11"/>
        <v>32212.608892527991</v>
      </c>
    </row>
    <row r="41" spans="1:25" ht="15.75" customHeight="1">
      <c r="A41" s="209">
        <f t="shared" si="26"/>
        <v>2023</v>
      </c>
      <c r="B41" s="10">
        <f t="shared" si="25"/>
        <v>47910.540096550911</v>
      </c>
      <c r="C41" s="12">
        <f t="shared" si="24"/>
        <v>518261.39085526991</v>
      </c>
      <c r="D41" s="12">
        <f>C41/((1+Inputs!$B$3)^($A41-Inputs!$B$5))</f>
        <v>423055.67302965681</v>
      </c>
      <c r="E41" s="12">
        <f>C41/((1+Inputs!$B$4)^($A41-Inputs!$B$5))</f>
        <v>474282.58920596814</v>
      </c>
      <c r="G41" s="416"/>
      <c r="H41" s="416"/>
      <c r="I41" s="416"/>
      <c r="J41" s="416"/>
      <c r="K41" s="416"/>
      <c r="L41" s="416"/>
      <c r="M41" s="416"/>
    </row>
    <row r="42" spans="1:25" s="206" customFormat="1">
      <c r="A42" s="209">
        <f t="shared" si="26"/>
        <v>2024</v>
      </c>
      <c r="B42" s="10">
        <f t="shared" si="25"/>
        <v>47836.026823993641</v>
      </c>
      <c r="C42" s="12">
        <f>B42*$B$2</f>
        <v>517455.36044536665</v>
      </c>
      <c r="D42" s="12">
        <f>C42/((1+Inputs!$B$3)^($A42-Inputs!$B$5))</f>
        <v>394764.21693209658</v>
      </c>
      <c r="E42" s="12">
        <f>C42/((1+Inputs!$B$4)^($A42-Inputs!$B$5))</f>
        <v>459752.3856302526</v>
      </c>
      <c r="G42" s="416"/>
      <c r="H42" s="416"/>
      <c r="I42" s="416"/>
      <c r="J42" s="416"/>
      <c r="K42" s="416"/>
      <c r="L42" s="416"/>
      <c r="M42" s="416"/>
      <c r="Y42" s="416"/>
    </row>
    <row r="43" spans="1:25" s="206" customFormat="1">
      <c r="A43" s="209">
        <f t="shared" si="26"/>
        <v>2025</v>
      </c>
      <c r="B43" s="10">
        <f t="shared" si="25"/>
        <v>47762.451535348147</v>
      </c>
      <c r="C43" s="12">
        <f>B43*$B$2</f>
        <v>516659.47646348819</v>
      </c>
      <c r="D43" s="12">
        <f>C43/((1+Inputs!$B$3)^($A43-Inputs!$B$5))</f>
        <v>368371.06621773471</v>
      </c>
      <c r="E43" s="12">
        <f>C43/((1+Inputs!$B$4)^($A43-Inputs!$B$5))</f>
        <v>445675.00293272821</v>
      </c>
      <c r="G43" s="416"/>
      <c r="H43" s="416"/>
      <c r="I43" s="416"/>
      <c r="J43" s="416"/>
      <c r="K43" s="416"/>
      <c r="L43" s="416"/>
      <c r="M43" s="416"/>
      <c r="N43" s="63"/>
      <c r="Y43" s="416"/>
    </row>
    <row r="44" spans="1:25" s="206" customFormat="1">
      <c r="A44" s="209">
        <f t="shared" si="26"/>
        <v>2026</v>
      </c>
      <c r="B44" s="10">
        <f t="shared" si="25"/>
        <v>47689.813432189869</v>
      </c>
      <c r="C44" s="12">
        <f>B44*$B$2</f>
        <v>515873.73027285805</v>
      </c>
      <c r="D44" s="12">
        <f>C44/((1+Inputs!$B$3)^($A44-Inputs!$B$5))</f>
        <v>343748.44863853598</v>
      </c>
      <c r="E44" s="12">
        <f>C44/((1+Inputs!$B$4)^($A44-Inputs!$B$5))</f>
        <v>432036.12754018855</v>
      </c>
      <c r="G44" s="416"/>
      <c r="H44" s="416"/>
      <c r="I44" s="416"/>
      <c r="J44" s="416"/>
      <c r="K44" s="416"/>
      <c r="L44" s="416"/>
      <c r="M44" s="416"/>
      <c r="N44" s="63"/>
      <c r="Y44" s="416"/>
    </row>
    <row r="45" spans="1:25">
      <c r="A45" s="209">
        <f t="shared" si="26"/>
        <v>2027</v>
      </c>
      <c r="B45" s="10">
        <f t="shared" si="25"/>
        <v>47618.111753285535</v>
      </c>
      <c r="C45" s="638">
        <f>B45*$B$2*Inputs!$B$8</f>
        <v>300473.89962275478</v>
      </c>
      <c r="D45" s="12">
        <f>C45/((1+Inputs!$B$3)^($A45-Inputs!$B$5))</f>
        <v>187120.04343312708</v>
      </c>
      <c r="E45" s="12">
        <f>C45/((1+Inputs!$B$4)^($A45-Inputs!$B$5))</f>
        <v>244312.77716349685</v>
      </c>
      <c r="G45" s="416"/>
      <c r="H45" s="416"/>
      <c r="I45" s="416"/>
      <c r="J45" s="416"/>
      <c r="K45" s="416"/>
      <c r="L45" s="416"/>
      <c r="M45" s="416"/>
      <c r="N45" s="63"/>
    </row>
    <row r="46" spans="1:25">
      <c r="A46" s="209">
        <f t="shared" si="26"/>
        <v>2028</v>
      </c>
      <c r="B46" s="10">
        <f t="shared" si="25"/>
        <v>47547.345774621856</v>
      </c>
      <c r="C46" s="12">
        <f t="shared" si="24"/>
        <v>514332.61873008905</v>
      </c>
      <c r="D46" s="12">
        <f>C46/((1+Inputs!$B$3)^($A46-Inputs!$B$5))</f>
        <v>299346.26687569043</v>
      </c>
      <c r="E46" s="12">
        <f>C46/((1+Inputs!$B$4)^($A46-Inputs!$B$5))</f>
        <v>406018.91873440106</v>
      </c>
      <c r="G46" s="416"/>
      <c r="H46" s="416"/>
      <c r="I46" s="416"/>
      <c r="J46" s="416"/>
      <c r="K46" s="416"/>
      <c r="L46" s="416"/>
      <c r="M46" s="416"/>
      <c r="N46" s="63"/>
    </row>
    <row r="47" spans="1:25">
      <c r="A47" s="209">
        <f t="shared" si="26"/>
        <v>2029</v>
      </c>
      <c r="B47" s="10">
        <f t="shared" si="25"/>
        <v>47477.514809435837</v>
      </c>
      <c r="C47" s="12">
        <f t="shared" si="24"/>
        <v>513577.23811719805</v>
      </c>
      <c r="D47" s="12">
        <f>C47/((1+Inputs!$B$3)^($A47-Inputs!$B$5))</f>
        <v>279351.98923511768</v>
      </c>
      <c r="E47" s="12">
        <f>C47/((1+Inputs!$B$4)^($A47-Inputs!$B$5))</f>
        <v>393614.18864384777</v>
      </c>
      <c r="G47" s="416"/>
      <c r="H47" s="416"/>
      <c r="I47" s="416"/>
      <c r="J47" s="416"/>
      <c r="K47" s="416"/>
      <c r="L47" s="416"/>
      <c r="M47" s="416"/>
    </row>
    <row r="48" spans="1:25">
      <c r="A48" s="209">
        <f t="shared" si="26"/>
        <v>2030</v>
      </c>
      <c r="B48" s="10">
        <f t="shared" si="25"/>
        <v>47408.618208246742</v>
      </c>
      <c r="C48" s="12">
        <f t="shared" si="24"/>
        <v>512831.96477472468</v>
      </c>
      <c r="D48" s="12">
        <f>C48/((1+Inputs!$B$3)^($A48-Inputs!$B$5))</f>
        <v>260697.76627728782</v>
      </c>
      <c r="E48" s="12">
        <f>C48/((1+Inputs!$B$4)^($A48-Inputs!$B$5))</f>
        <v>381595.14435340435</v>
      </c>
      <c r="G48" s="416"/>
      <c r="H48" s="416"/>
      <c r="I48" s="416"/>
      <c r="J48" s="416"/>
      <c r="K48" s="416"/>
      <c r="L48" s="416"/>
      <c r="M48" s="416"/>
    </row>
    <row r="49" spans="1:13">
      <c r="A49" s="209">
        <f t="shared" si="26"/>
        <v>2031</v>
      </c>
      <c r="B49" s="10">
        <f t="shared" si="25"/>
        <v>47359.856992125933</v>
      </c>
      <c r="C49" s="12">
        <f t="shared" si="24"/>
        <v>512304.50138909725</v>
      </c>
      <c r="D49" s="12">
        <f>C49/((1+Inputs!$B$3)^($A49-Inputs!$B$5))</f>
        <v>243392.17816689447</v>
      </c>
      <c r="E49" s="12">
        <f>C49/((1+Inputs!$B$4)^($A49-Inputs!$B$5))</f>
        <v>370099.67190080404</v>
      </c>
      <c r="G49" s="416"/>
      <c r="H49" s="416"/>
      <c r="I49" s="416"/>
      <c r="J49" s="416"/>
      <c r="K49" s="416"/>
      <c r="L49" s="416"/>
      <c r="M49" s="416"/>
    </row>
    <row r="50" spans="1:13">
      <c r="A50" s="209">
        <f t="shared" si="26"/>
        <v>2032</v>
      </c>
      <c r="B50" s="10">
        <f t="shared" si="25"/>
        <v>47312.029721608735</v>
      </c>
      <c r="C50" s="12">
        <f t="shared" ref="C50:C64" si="28">B50*$B$2</f>
        <v>511787.14074801275</v>
      </c>
      <c r="D50" s="12">
        <f>C50/((1+Inputs!$B$3)^($A50-Inputs!$B$5))</f>
        <v>227239.6110777391</v>
      </c>
      <c r="E50" s="12">
        <f>C50/((1+Inputs!$B$4)^($A50-Inputs!$B$5))</f>
        <v>358957.20346214552</v>
      </c>
      <c r="G50" s="416"/>
      <c r="H50" s="416"/>
      <c r="I50" s="416"/>
      <c r="J50" s="416"/>
      <c r="K50" s="416"/>
      <c r="L50" s="416"/>
      <c r="M50" s="416"/>
    </row>
    <row r="51" spans="1:13">
      <c r="A51" s="209">
        <f t="shared" si="26"/>
        <v>2033</v>
      </c>
      <c r="B51" s="10">
        <f t="shared" si="25"/>
        <v>47265.136916769494</v>
      </c>
      <c r="C51" s="12">
        <f t="shared" si="28"/>
        <v>511279.88847725745</v>
      </c>
      <c r="D51" s="12">
        <f>C51/((1+Inputs!$B$3)^($A51-Inputs!$B$5))</f>
        <v>212162.97663847823</v>
      </c>
      <c r="E51" s="12">
        <f>C51/((1+Inputs!$B$4)^($A51-Inputs!$B$5))</f>
        <v>348156.72517015104</v>
      </c>
      <c r="G51" s="416"/>
      <c r="H51" s="416"/>
      <c r="I51" s="416"/>
      <c r="J51" s="416"/>
      <c r="K51" s="416"/>
      <c r="L51" s="416"/>
      <c r="M51" s="416"/>
    </row>
    <row r="52" spans="1:13">
      <c r="A52" s="209">
        <f t="shared" si="26"/>
        <v>2034</v>
      </c>
      <c r="B52" s="10">
        <f t="shared" si="25"/>
        <v>47219.179139861575</v>
      </c>
      <c r="C52" s="12">
        <f t="shared" si="28"/>
        <v>510782.75065887941</v>
      </c>
      <c r="D52" s="12">
        <f>C52/((1+Inputs!$B$3)^($A52-Inputs!$B$5))</f>
        <v>198090.35711976679</v>
      </c>
      <c r="E52" s="12">
        <f>C52/((1+Inputs!$B$4)^($A52-Inputs!$B$5))</f>
        <v>337687.57136559725</v>
      </c>
      <c r="G52" s="416"/>
      <c r="H52" s="416"/>
      <c r="I52" s="416"/>
      <c r="J52" s="416"/>
      <c r="K52" s="416"/>
      <c r="L52" s="416"/>
      <c r="M52" s="416"/>
    </row>
    <row r="53" spans="1:13">
      <c r="A53" s="209">
        <f t="shared" si="26"/>
        <v>2035</v>
      </c>
      <c r="B53" s="10">
        <f t="shared" si="25"/>
        <v>47174.156995441459</v>
      </c>
      <c r="C53" s="12">
        <f t="shared" si="28"/>
        <v>510295.73383253108</v>
      </c>
      <c r="D53" s="12">
        <f>C53/((1+Inputs!$B$3)^($A53-Inputs!$B$5))</f>
        <v>184954.65756807791</v>
      </c>
      <c r="E53" s="12">
        <f>C53/((1+Inputs!$B$4)^($A53-Inputs!$B$5))</f>
        <v>327539.4134659855</v>
      </c>
    </row>
    <row r="54" spans="1:13">
      <c r="A54" s="209">
        <f t="shared" si="26"/>
        <v>2036</v>
      </c>
      <c r="B54" s="10">
        <f t="shared" si="25"/>
        <v>47130.071130495082</v>
      </c>
      <c r="C54" s="12">
        <f t="shared" si="28"/>
        <v>509818.84499683598</v>
      </c>
      <c r="D54" s="12">
        <f>C54/((1+Inputs!$B$3)^($A54-Inputs!$B$5))</f>
        <v>172693.2814091293</v>
      </c>
      <c r="E54" s="12">
        <f>C54/((1+Inputs!$B$4)^($A54-Inputs!$B$5))</f>
        <v>317702.24919341219</v>
      </c>
    </row>
    <row r="55" spans="1:13">
      <c r="A55" s="209">
        <f t="shared" si="26"/>
        <v>2037</v>
      </c>
      <c r="B55" s="10">
        <f t="shared" si="25"/>
        <v>47086.922234566286</v>
      </c>
      <c r="C55" s="12">
        <f t="shared" si="28"/>
        <v>509352.09161077806</v>
      </c>
      <c r="D55" s="12">
        <f>C55/((1+Inputs!$B$3)^($A55-Inputs!$B$5))</f>
        <v>161247.82793330165</v>
      </c>
      <c r="E55" s="12">
        <f>C55/((1+Inputs!$B$4)^($A55-Inputs!$B$5))</f>
        <v>308166.39214995329</v>
      </c>
    </row>
    <row r="56" spans="1:13">
      <c r="A56" s="209">
        <f t="shared" si="26"/>
        <v>2038</v>
      </c>
      <c r="B56" s="10">
        <f t="shared" si="25"/>
        <v>47044.711039887661</v>
      </c>
      <c r="C56" s="12">
        <f t="shared" si="28"/>
        <v>508895.48159511725</v>
      </c>
      <c r="D56" s="12">
        <f>C56/((1+Inputs!$B$3)^($A56-Inputs!$B$5))</f>
        <v>150563.81018309723</v>
      </c>
      <c r="E56" s="12">
        <f>C56/((1+Inputs!$B$4)^($A56-Inputs!$B$5))</f>
        <v>298922.46172926313</v>
      </c>
    </row>
    <row r="57" spans="1:13">
      <c r="A57" s="209">
        <f t="shared" si="26"/>
        <v>2039</v>
      </c>
      <c r="B57" s="10">
        <f t="shared" si="25"/>
        <v>47003.438321513459</v>
      </c>
      <c r="C57" s="12">
        <f t="shared" si="28"/>
        <v>508449.0233338268</v>
      </c>
      <c r="D57" s="12">
        <f>C57/((1+Inputs!$B$3)^($A57-Inputs!$B$5))</f>
        <v>140590.39186302587</v>
      </c>
      <c r="E57" s="12">
        <f>C57/((1+Inputs!$B$4)^($A57-Inputs!$B$5))</f>
        <v>289961.37335345184</v>
      </c>
    </row>
    <row r="58" spans="1:13">
      <c r="A58" s="209">
        <f t="shared" si="26"/>
        <v>2040</v>
      </c>
      <c r="B58" s="10">
        <f t="shared" si="25"/>
        <v>46963.104897454919</v>
      </c>
      <c r="C58" s="12">
        <f t="shared" si="28"/>
        <v>508012.72567555768</v>
      </c>
      <c r="D58" s="12">
        <f>C58/((1+Inputs!$B$3)^($A58-Inputs!$B$5))</f>
        <v>131280.14198583306</v>
      </c>
      <c r="E58" s="12">
        <f>C58/((1+Inputs!$B$4)^($A58-Inputs!$B$5))</f>
        <v>281274.32902467006</v>
      </c>
    </row>
    <row r="59" spans="1:13">
      <c r="A59" s="209">
        <f t="shared" si="26"/>
        <v>2041</v>
      </c>
      <c r="B59" s="10">
        <f t="shared" si="25"/>
        <v>46923.711628817691</v>
      </c>
      <c r="C59" s="12">
        <f t="shared" si="28"/>
        <v>507586.59793512471</v>
      </c>
      <c r="D59" s="12">
        <f>C59/((1+Inputs!$B$3)^($A59-Inputs!$B$5))</f>
        <v>122588.80605614862</v>
      </c>
      <c r="E59" s="12">
        <f>C59/((1+Inputs!$B$4)^($A59-Inputs!$B$5))</f>
        <v>272852.80818117107</v>
      </c>
    </row>
    <row r="60" spans="1:13">
      <c r="A60" s="209">
        <f t="shared" si="26"/>
        <v>2042</v>
      </c>
      <c r="B60" s="10">
        <f t="shared" si="25"/>
        <v>46885.259419941671</v>
      </c>
      <c r="C60" s="12">
        <f t="shared" si="28"/>
        <v>507170.64989501948</v>
      </c>
      <c r="D60" s="12">
        <f>C60/((1+Inputs!$B$3)^($A60-Inputs!$B$5))</f>
        <v>114475.09267388649</v>
      </c>
      <c r="E60" s="12">
        <f>C60/((1+Inputs!$B$4)^($A60-Inputs!$B$5))</f>
        <v>264688.55884795793</v>
      </c>
    </row>
    <row r="61" spans="1:13">
      <c r="A61" s="209">
        <f t="shared" si="26"/>
        <v>2043</v>
      </c>
      <c r="B61" s="10">
        <f t="shared" si="25"/>
        <v>46847.749218543075</v>
      </c>
      <c r="C61" s="12">
        <f t="shared" si="28"/>
        <v>506764.89180694695</v>
      </c>
      <c r="D61" s="12">
        <f>C61/((1+Inputs!$B$3)^($A61-Inputs!$B$5))</f>
        <v>106900.47451544908</v>
      </c>
      <c r="E61" s="12">
        <f>C61/((1+Inputs!$B$4)^($A61-Inputs!$B$5))</f>
        <v>256773.58907244701</v>
      </c>
    </row>
    <row r="62" spans="1:13">
      <c r="A62" s="209">
        <f t="shared" si="26"/>
        <v>2044</v>
      </c>
      <c r="B62" s="10">
        <f t="shared" si="25"/>
        <v>46811.182015858794</v>
      </c>
      <c r="C62" s="12">
        <f t="shared" si="28"/>
        <v>506369.33439338725</v>
      </c>
      <c r="D62" s="12">
        <f>C62/((1+Inputs!$B$3)^($A62-Inputs!$B$5))</f>
        <v>99829.0027213781</v>
      </c>
      <c r="E62" s="12">
        <f>C62/((1+Inputs!$B$4)^($A62-Inputs!$B$5))</f>
        <v>249100.15863588944</v>
      </c>
    </row>
    <row r="63" spans="1:13">
      <c r="A63" s="209">
        <f t="shared" si="26"/>
        <v>2045</v>
      </c>
      <c r="B63" s="10">
        <f t="shared" si="25"/>
        <v>46775.558846793021</v>
      </c>
      <c r="C63" s="12">
        <f t="shared" si="28"/>
        <v>505983.98884918145</v>
      </c>
      <c r="D63" s="12">
        <f>C63/((1+Inputs!$B$3)^($A63-Inputs!$B$5))</f>
        <v>93227.133784883728</v>
      </c>
      <c r="E63" s="12">
        <f>C63/((1+Inputs!$B$4)^($A63-Inputs!$B$5))</f>
        <v>241660.77103159856</v>
      </c>
    </row>
    <row r="64" spans="1:13">
      <c r="A64" s="209">
        <f t="shared" si="26"/>
        <v>2046</v>
      </c>
      <c r="B64" s="10">
        <f t="shared" si="25"/>
        <v>46740.880790066338</v>
      </c>
      <c r="C64" s="12">
        <f t="shared" si="28"/>
        <v>505608.86684314453</v>
      </c>
      <c r="D64" s="12">
        <f>C64/((1+Inputs!$B$3)^($A64-Inputs!$B$5))</f>
        <v>87063.568097010226</v>
      </c>
      <c r="E64" s="12">
        <f>C64/((1+Inputs!$B$4)^($A64-Inputs!$B$5))</f>
        <v>234448.16570132299</v>
      </c>
    </row>
    <row r="65" spans="1:25" s="416" customFormat="1">
      <c r="A65" s="209">
        <f t="shared" si="26"/>
        <v>2047</v>
      </c>
      <c r="B65" s="10">
        <f t="shared" si="25"/>
        <v>46707.148968366979</v>
      </c>
      <c r="C65" s="638">
        <f>B65*$B$2*(1-Inputs!$B$8)</f>
        <v>210518.32521654235</v>
      </c>
      <c r="D65" s="12">
        <f>C65/((1+Inputs!$B$3)^($A65-Inputs!$B$5))</f>
        <v>33878.791400565351</v>
      </c>
      <c r="E65" s="12">
        <f>C65/((1+Inputs!$B$4)^($A65-Inputs!$B$5))</f>
        <v>94773.04605057773</v>
      </c>
    </row>
    <row r="66" spans="1:25">
      <c r="A66" s="34" t="s">
        <v>4</v>
      </c>
      <c r="B66" s="169">
        <f>SUM(B45:B65)</f>
        <v>989301.68882370228</v>
      </c>
      <c r="C66" s="170">
        <f t="shared" ref="C66:E66" si="29">SUM(C45:C65)</f>
        <v>10192196.558502009</v>
      </c>
      <c r="D66" s="170">
        <f t="shared" si="29"/>
        <v>3506694.1690158891</v>
      </c>
      <c r="E66" s="170">
        <f t="shared" si="29"/>
        <v>6278305.5172315482</v>
      </c>
    </row>
    <row r="68" spans="1:25" s="77" customFormat="1">
      <c r="A68" s="77" t="s">
        <v>291</v>
      </c>
      <c r="B68" s="60"/>
      <c r="D68" s="33"/>
      <c r="E68" s="33"/>
      <c r="Y68" s="416"/>
    </row>
    <row r="69" spans="1:25" s="77" customFormat="1" ht="45">
      <c r="A69" s="159" t="s">
        <v>1</v>
      </c>
      <c r="B69" s="160" t="s">
        <v>108</v>
      </c>
      <c r="C69" s="159" t="s">
        <v>101</v>
      </c>
      <c r="D69" s="159" t="s">
        <v>241</v>
      </c>
      <c r="E69" s="159" t="s">
        <v>242</v>
      </c>
      <c r="Y69" s="416"/>
    </row>
    <row r="70" spans="1:25" s="77" customFormat="1">
      <c r="A70" s="4">
        <v>2010</v>
      </c>
      <c r="B70" s="10">
        <f>SUM(H10:H13)</f>
        <v>31774</v>
      </c>
      <c r="C70" s="12">
        <f t="shared" ref="C70:C103" si="30">B70*$B$2</f>
        <v>343708.03167424165</v>
      </c>
      <c r="D70" s="12">
        <f>C70/((1+Inputs!$B$3)^($A70-Inputs!$B$5))</f>
        <v>676125.72101930948</v>
      </c>
      <c r="E70" s="12">
        <f>C70/((1+Inputs!$B$4)^($A70-Inputs!$B$5))</f>
        <v>461914.8534791416</v>
      </c>
      <c r="Y70" s="416"/>
    </row>
    <row r="71" spans="1:25" s="77" customFormat="1">
      <c r="A71" s="4">
        <f>A70+1</f>
        <v>2011</v>
      </c>
      <c r="B71" s="10">
        <f t="shared" ref="B71:B90" si="31">B70*(1+$I$14)</f>
        <v>31265.615999999998</v>
      </c>
      <c r="C71" s="12">
        <f t="shared" si="30"/>
        <v>338208.70316745376</v>
      </c>
      <c r="D71" s="12">
        <f>C71/((1+Inputs!$B$3)^($A71-Inputs!$B$5))</f>
        <v>621782.90605887887</v>
      </c>
      <c r="E71" s="12">
        <f>C71/((1+Inputs!$B$4)^($A71-Inputs!$B$5))</f>
        <v>441285.64643055853</v>
      </c>
      <c r="Y71" s="416"/>
    </row>
    <row r="72" spans="1:25" s="77" customFormat="1">
      <c r="A72" s="209">
        <f t="shared" ref="A72:A104" si="32">A71+1</f>
        <v>2012</v>
      </c>
      <c r="B72" s="10">
        <f t="shared" si="31"/>
        <v>30765.366143999996</v>
      </c>
      <c r="C72" s="12">
        <f t="shared" si="30"/>
        <v>332797.36391677451</v>
      </c>
      <c r="D72" s="12">
        <f>C72/((1+Inputs!$B$3)^($A72-Inputs!$B$5))</f>
        <v>571807.83136629616</v>
      </c>
      <c r="E72" s="12">
        <f>C72/((1+Inputs!$B$4)^($A72-Inputs!$B$5))</f>
        <v>421577.74377443653</v>
      </c>
      <c r="Y72" s="416"/>
    </row>
    <row r="73" spans="1:25" s="77" customFormat="1">
      <c r="A73" s="209">
        <f t="shared" si="32"/>
        <v>2013</v>
      </c>
      <c r="B73" s="10">
        <f t="shared" si="31"/>
        <v>30273.120285695997</v>
      </c>
      <c r="C73" s="12">
        <f t="shared" si="30"/>
        <v>327472.6060941061</v>
      </c>
      <c r="D73" s="12">
        <f>C73/((1+Inputs!$B$3)^($A73-Inputs!$B$5))</f>
        <v>525849.4449200331</v>
      </c>
      <c r="E73" s="12">
        <f>C73/((1+Inputs!$B$4)^($A73-Inputs!$B$5))</f>
        <v>402749.99987771409</v>
      </c>
      <c r="Y73" s="416"/>
    </row>
    <row r="74" spans="1:25" s="77" customFormat="1">
      <c r="A74" s="209">
        <f t="shared" si="32"/>
        <v>2014</v>
      </c>
      <c r="B74" s="10">
        <f t="shared" si="31"/>
        <v>29788.750361124861</v>
      </c>
      <c r="C74" s="12">
        <f t="shared" si="30"/>
        <v>322233.04439660039</v>
      </c>
      <c r="D74" s="12">
        <f>C74/((1+Inputs!$B$3)^($A74-Inputs!$B$5))</f>
        <v>483584.91009468457</v>
      </c>
      <c r="E74" s="12">
        <f>C74/((1+Inputs!$B$4)^($A74-Inputs!$B$5))</f>
        <v>384763.10667929187</v>
      </c>
      <c r="Y74" s="416"/>
    </row>
    <row r="75" spans="1:25" s="77" customFormat="1">
      <c r="A75" s="209">
        <f t="shared" si="32"/>
        <v>2015</v>
      </c>
      <c r="B75" s="10">
        <f t="shared" si="31"/>
        <v>29312.130355346864</v>
      </c>
      <c r="C75" s="12">
        <f t="shared" si="30"/>
        <v>317077.31568625482</v>
      </c>
      <c r="D75" s="12">
        <f>C75/((1+Inputs!$B$3)^($A75-Inputs!$B$5))</f>
        <v>444717.33788146701</v>
      </c>
      <c r="E75" s="12">
        <f>C75/((1+Inputs!$B$4)^($A75-Inputs!$B$5))</f>
        <v>367579.51162371185</v>
      </c>
      <c r="Y75" s="416"/>
    </row>
    <row r="76" spans="1:25" s="77" customFormat="1">
      <c r="A76" s="209">
        <f t="shared" si="32"/>
        <v>2016</v>
      </c>
      <c r="B76" s="10">
        <f t="shared" si="31"/>
        <v>28843.136269661314</v>
      </c>
      <c r="C76" s="12">
        <f t="shared" si="30"/>
        <v>312004.07863527472</v>
      </c>
      <c r="D76" s="12">
        <f>C76/((1+Inputs!$B$3)^($A76-Inputs!$B$5))</f>
        <v>408973.70137884439</v>
      </c>
      <c r="E76" s="12">
        <f>C76/((1+Inputs!$B$4)^($A76-Inputs!$B$5))</f>
        <v>351163.33925993444</v>
      </c>
      <c r="Y76" s="416"/>
    </row>
    <row r="77" spans="1:25" s="77" customFormat="1">
      <c r="A77" s="209">
        <f t="shared" si="32"/>
        <v>2017</v>
      </c>
      <c r="B77" s="10">
        <f t="shared" si="31"/>
        <v>28381.646089346734</v>
      </c>
      <c r="C77" s="12">
        <f t="shared" si="30"/>
        <v>307012.01337711036</v>
      </c>
      <c r="D77" s="12">
        <f>C77/((1+Inputs!$B$3)^($A77-Inputs!$B$5))</f>
        <v>376102.91790353548</v>
      </c>
      <c r="E77" s="12">
        <f>C77/((1+Inputs!$B$4)^($A77-Inputs!$B$5))</f>
        <v>335480.31634152966</v>
      </c>
      <c r="Y77" s="416"/>
    </row>
    <row r="78" spans="1:25" s="77" customFormat="1">
      <c r="A78" s="209">
        <f t="shared" si="32"/>
        <v>2018</v>
      </c>
      <c r="B78" s="10">
        <f t="shared" si="31"/>
        <v>27927.539751917186</v>
      </c>
      <c r="C78" s="12">
        <f t="shared" si="30"/>
        <v>302099.82116307656</v>
      </c>
      <c r="D78" s="12">
        <f>C78/((1+Inputs!$B$3)^($A78-Inputs!$B$5))</f>
        <v>345874.0852496064</v>
      </c>
      <c r="E78" s="12">
        <f>C78/((1+Inputs!$B$4)^($A78-Inputs!$B$5))</f>
        <v>320497.7002719079</v>
      </c>
      <c r="Y78" s="416"/>
    </row>
    <row r="79" spans="1:25" s="77" customFormat="1">
      <c r="A79" s="209">
        <f t="shared" si="32"/>
        <v>2019</v>
      </c>
      <c r="B79" s="10">
        <f t="shared" si="31"/>
        <v>27480.699115886509</v>
      </c>
      <c r="C79" s="12">
        <f t="shared" si="30"/>
        <v>297266.22402446734</v>
      </c>
      <c r="D79" s="12">
        <f>C79/((1+Inputs!$B$3)^($A79-Inputs!$B$5))</f>
        <v>318074.85970618005</v>
      </c>
      <c r="E79" s="12">
        <f>C79/((1+Inputs!$B$4)^($A79-Inputs!$B$5))</f>
        <v>306184.21074520139</v>
      </c>
      <c r="Y79" s="416"/>
    </row>
    <row r="80" spans="1:25" s="77" customFormat="1">
      <c r="A80" s="209">
        <f t="shared" si="32"/>
        <v>2020</v>
      </c>
      <c r="B80" s="10">
        <f t="shared" si="31"/>
        <v>27041.007930032323</v>
      </c>
      <c r="C80" s="12">
        <f t="shared" si="30"/>
        <v>292509.96444007586</v>
      </c>
      <c r="D80" s="12">
        <f>C80/((1+Inputs!$B$3)^($A80-Inputs!$B$5))</f>
        <v>292509.96444007586</v>
      </c>
      <c r="E80" s="12">
        <f>C80/((1+Inputs!$B$4)^($A80-Inputs!$B$5))</f>
        <v>292509.96444007586</v>
      </c>
      <c r="Y80" s="416"/>
    </row>
    <row r="81" spans="1:25" s="77" customFormat="1">
      <c r="A81" s="209">
        <f t="shared" si="32"/>
        <v>2021</v>
      </c>
      <c r="B81" s="10">
        <f t="shared" si="31"/>
        <v>26608.351803151807</v>
      </c>
      <c r="C81" s="12">
        <f t="shared" si="30"/>
        <v>287829.80500903464</v>
      </c>
      <c r="D81" s="12">
        <f>C81/((1+Inputs!$B$3)^($A81-Inputs!$B$5))</f>
        <v>268999.8177654529</v>
      </c>
      <c r="E81" s="12">
        <f>C81/((1+Inputs!$B$4)^($A81-Inputs!$B$5))</f>
        <v>279446.41263013071</v>
      </c>
      <c r="Y81" s="416"/>
    </row>
    <row r="82" spans="1:25" s="77" customFormat="1">
      <c r="A82" s="209">
        <f t="shared" si="32"/>
        <v>2022</v>
      </c>
      <c r="B82" s="10">
        <f t="shared" si="31"/>
        <v>26182.618174301377</v>
      </c>
      <c r="C82" s="12">
        <f t="shared" si="30"/>
        <v>283224.52812889009</v>
      </c>
      <c r="D82" s="12">
        <f>C82/((1+Inputs!$B$3)^($A82-Inputs!$B$5))</f>
        <v>247379.27166467821</v>
      </c>
      <c r="E82" s="12">
        <f>C82/((1+Inputs!$B$4)^($A82-Inputs!$B$5))</f>
        <v>266966.28158062976</v>
      </c>
      <c r="Y82" s="416"/>
    </row>
    <row r="83" spans="1:25" s="77" customFormat="1">
      <c r="A83" s="209">
        <f t="shared" si="32"/>
        <v>2023</v>
      </c>
      <c r="B83" s="10">
        <f t="shared" si="31"/>
        <v>25763.696283512556</v>
      </c>
      <c r="C83" s="12">
        <f t="shared" si="30"/>
        <v>278692.93567882787</v>
      </c>
      <c r="D83" s="12">
        <f>C83/((1+Inputs!$B$3)^($A83-Inputs!$B$5))</f>
        <v>227496.45169910594</v>
      </c>
      <c r="E83" s="12">
        <f>C83/((1+Inputs!$B$4)^($A83-Inputs!$B$5))</f>
        <v>255043.51560712591</v>
      </c>
      <c r="Y83" s="416"/>
    </row>
    <row r="84" spans="1:25" s="77" customFormat="1">
      <c r="A84" s="209">
        <f t="shared" si="32"/>
        <v>2024</v>
      </c>
      <c r="B84" s="10">
        <f t="shared" si="31"/>
        <v>25351.477142976353</v>
      </c>
      <c r="C84" s="638">
        <f>B84*$B$2*Inputs!$B$10</f>
        <v>91411.282902655512</v>
      </c>
      <c r="D84" s="12">
        <f>C84/((1+Inputs!$B$3)^($A84-Inputs!$B$5))</f>
        <v>69737.230053557694</v>
      </c>
      <c r="E84" s="12">
        <f>C84/((1+Inputs!$B$4)^($A84-Inputs!$B$5))</f>
        <v>81217.740892366288</v>
      </c>
      <c r="Y84" s="416"/>
    </row>
    <row r="85" spans="1:25" s="77" customFormat="1">
      <c r="A85" s="209">
        <f t="shared" si="32"/>
        <v>2025</v>
      </c>
      <c r="B85" s="10">
        <f t="shared" si="31"/>
        <v>24945.853508688731</v>
      </c>
      <c r="C85" s="12">
        <f t="shared" si="30"/>
        <v>269846.10712863912</v>
      </c>
      <c r="D85" s="12">
        <f>C85/((1+Inputs!$B$3)^($A85-Inputs!$B$5))</f>
        <v>192396.5449701891</v>
      </c>
      <c r="E85" s="12">
        <f>C85/((1+Inputs!$B$4)^($A85-Inputs!$B$5))</f>
        <v>232771.6224410343</v>
      </c>
      <c r="Y85" s="416"/>
    </row>
    <row r="86" spans="1:25" s="77" customFormat="1">
      <c r="A86" s="209">
        <f t="shared" si="32"/>
        <v>2026</v>
      </c>
      <c r="B86" s="10">
        <f t="shared" si="31"/>
        <v>24546.719852549712</v>
      </c>
      <c r="C86" s="12">
        <f t="shared" si="30"/>
        <v>265528.56941458088</v>
      </c>
      <c r="D86" s="12">
        <f>C86/((1+Inputs!$B$3)^($A86-Inputs!$B$5))</f>
        <v>176932.89743052903</v>
      </c>
      <c r="E86" s="12">
        <f>C86/((1+Inputs!$B$4)^($A86-Inputs!$B$5))</f>
        <v>222375.99658444439</v>
      </c>
      <c r="Y86" s="416"/>
    </row>
    <row r="87" spans="1:25" s="77" customFormat="1">
      <c r="A87" s="209">
        <f t="shared" si="32"/>
        <v>2027</v>
      </c>
      <c r="B87" s="10">
        <f t="shared" si="31"/>
        <v>24153.972334908914</v>
      </c>
      <c r="C87" s="12">
        <f t="shared" si="30"/>
        <v>261280.11230394756</v>
      </c>
      <c r="D87" s="12">
        <f>C87/((1+Inputs!$B$3)^($A87-Inputs!$B$5))</f>
        <v>162712.12249686033</v>
      </c>
      <c r="E87" s="12">
        <f>C87/((1+Inputs!$B$4)^($A87-Inputs!$B$5))</f>
        <v>212444.64139717791</v>
      </c>
      <c r="Y87" s="416"/>
    </row>
    <row r="88" spans="1:25" s="77" customFormat="1">
      <c r="A88" s="209">
        <f t="shared" si="32"/>
        <v>2028</v>
      </c>
      <c r="B88" s="10">
        <f t="shared" si="31"/>
        <v>23767.508777550371</v>
      </c>
      <c r="C88" s="12">
        <f t="shared" si="30"/>
        <v>257099.6305070844</v>
      </c>
      <c r="D88" s="12">
        <f>C88/((1+Inputs!$B$3)^($A88-Inputs!$B$5))</f>
        <v>149634.32573543044</v>
      </c>
      <c r="E88" s="12">
        <f>C88/((1+Inputs!$B$4)^($A88-Inputs!$B$5))</f>
        <v>202956.82246099331</v>
      </c>
      <c r="Y88" s="416"/>
    </row>
    <row r="89" spans="1:25" s="77" customFormat="1">
      <c r="A89" s="209">
        <f t="shared" si="32"/>
        <v>2029</v>
      </c>
      <c r="B89" s="10">
        <f t="shared" si="31"/>
        <v>23387.228637109565</v>
      </c>
      <c r="C89" s="12">
        <f t="shared" si="30"/>
        <v>252986.03641897105</v>
      </c>
      <c r="D89" s="12">
        <f>C89/((1+Inputs!$B$3)^($A89-Inputs!$B$5))</f>
        <v>137607.64161090049</v>
      </c>
      <c r="E89" s="12">
        <f>C89/((1+Inputs!$B$4)^($A89-Inputs!$B$5))</f>
        <v>193892.73136079361</v>
      </c>
      <c r="Y89" s="416"/>
    </row>
    <row r="90" spans="1:25" s="77" customFormat="1">
      <c r="A90" s="209">
        <f t="shared" si="32"/>
        <v>2030</v>
      </c>
      <c r="B90" s="10">
        <f t="shared" si="31"/>
        <v>23013.032978915813</v>
      </c>
      <c r="C90" s="12">
        <f t="shared" si="30"/>
        <v>248938.25983626753</v>
      </c>
      <c r="D90" s="12">
        <f>C90/((1+Inputs!$B$3)^($A90-Inputs!$B$5))</f>
        <v>126547.58817301506</v>
      </c>
      <c r="E90" s="12">
        <f>C90/((1+Inputs!$B$4)^($A90-Inputs!$B$5))</f>
        <v>185233.44432914653</v>
      </c>
      <c r="Y90" s="416"/>
    </row>
    <row r="91" spans="1:25" s="77" customFormat="1">
      <c r="A91" s="209">
        <f t="shared" si="32"/>
        <v>2031</v>
      </c>
      <c r="B91" s="10">
        <f t="shared" ref="B91:B104" si="33">B90*(1+$J$14)</f>
        <v>22431.953896198189</v>
      </c>
      <c r="C91" s="12">
        <f t="shared" si="30"/>
        <v>242652.56877540177</v>
      </c>
      <c r="D91" s="12">
        <f>C91/((1+Inputs!$B$3)^($A91-Inputs!$B$5))</f>
        <v>115282.48745013682</v>
      </c>
      <c r="E91" s="12">
        <f>C91/((1+Inputs!$B$4)^($A91-Inputs!$B$5))</f>
        <v>175297.3785046947</v>
      </c>
      <c r="Y91" s="416"/>
    </row>
    <row r="92" spans="1:25" s="77" customFormat="1">
      <c r="A92" s="209">
        <f t="shared" si="32"/>
        <v>2032</v>
      </c>
      <c r="B92" s="10">
        <f t="shared" si="33"/>
        <v>21865.547060319186</v>
      </c>
      <c r="C92" s="12">
        <f t="shared" si="30"/>
        <v>236525.5914138229</v>
      </c>
      <c r="D92" s="12">
        <f>C92/((1+Inputs!$B$3)^($A92-Inputs!$B$5))</f>
        <v>105020.19125422514</v>
      </c>
      <c r="E92" s="12">
        <f>C92/((1+Inputs!$B$4)^($A92-Inputs!$B$5))</f>
        <v>165894.29096839923</v>
      </c>
      <c r="Y92" s="416"/>
    </row>
    <row r="93" spans="1:25" s="77" customFormat="1">
      <c r="A93" s="209">
        <f t="shared" si="32"/>
        <v>2033</v>
      </c>
      <c r="B93" s="10">
        <f t="shared" si="33"/>
        <v>21313.441997046128</v>
      </c>
      <c r="C93" s="12">
        <f t="shared" si="30"/>
        <v>230553.32023062388</v>
      </c>
      <c r="D93" s="12">
        <f>C93/((1+Inputs!$B$3)^($A93-Inputs!$B$5))</f>
        <v>95671.431238370045</v>
      </c>
      <c r="E93" s="12">
        <f>C93/((1+Inputs!$B$4)^($A93-Inputs!$B$5))</f>
        <v>156995.59235091959</v>
      </c>
      <c r="Y93" s="416"/>
    </row>
    <row r="94" spans="1:25" s="77" customFormat="1">
      <c r="A94" s="209">
        <f t="shared" si="32"/>
        <v>2034</v>
      </c>
      <c r="B94" s="10">
        <f t="shared" si="33"/>
        <v>20775.277586620712</v>
      </c>
      <c r="C94" s="12">
        <f t="shared" si="30"/>
        <v>224731.84889480061</v>
      </c>
      <c r="D94" s="12">
        <f>C94/((1+Inputs!$B$3)^($A94-Inputs!$B$5))</f>
        <v>87154.885607103934</v>
      </c>
      <c r="E94" s="12">
        <f>C94/((1+Inputs!$B$4)^($A94-Inputs!$B$5))</f>
        <v>148574.22683889206</v>
      </c>
      <c r="Y94" s="416"/>
    </row>
    <row r="95" spans="1:25" s="77" customFormat="1">
      <c r="A95" s="209">
        <f t="shared" si="32"/>
        <v>2035</v>
      </c>
      <c r="B95" s="10">
        <f t="shared" si="33"/>
        <v>20250.70182755854</v>
      </c>
      <c r="C95" s="12">
        <f t="shared" si="30"/>
        <v>219057.3697102069</v>
      </c>
      <c r="D95" s="12">
        <f>C95/((1+Inputs!$B$3)^($A95-Inputs!$B$5))</f>
        <v>79396.471724789299</v>
      </c>
      <c r="E95" s="12">
        <f>C95/((1+Inputs!$B$4)^($A95-Inputs!$B$5))</f>
        <v>140604.58991379617</v>
      </c>
      <c r="Y95" s="416"/>
    </row>
    <row r="96" spans="1:25" s="77" customFormat="1">
      <c r="A96" s="209">
        <f t="shared" si="32"/>
        <v>2036</v>
      </c>
      <c r="B96" s="10">
        <f t="shared" si="33"/>
        <v>19739.371606412686</v>
      </c>
      <c r="C96" s="12">
        <f t="shared" si="30"/>
        <v>213526.17112502418</v>
      </c>
      <c r="D96" s="12">
        <f>C96/((1+Inputs!$B$3)^($A96-Inputs!$B$5))</f>
        <v>72328.701695082593</v>
      </c>
      <c r="E96" s="12">
        <f>C96/((1+Inputs!$B$4)^($A96-Inputs!$B$5))</f>
        <v>133062.45050337169</v>
      </c>
      <c r="Y96" s="416"/>
    </row>
    <row r="97" spans="1:25" s="77" customFormat="1">
      <c r="A97" s="209">
        <f t="shared" si="32"/>
        <v>2037</v>
      </c>
      <c r="B97" s="10">
        <f t="shared" si="33"/>
        <v>19240.952473350764</v>
      </c>
      <c r="C97" s="12">
        <f t="shared" si="30"/>
        <v>208134.63530411728</v>
      </c>
      <c r="D97" s="12">
        <f>C97/((1+Inputs!$B$3)^($A97-Inputs!$B$5))</f>
        <v>65890.095305870796</v>
      </c>
      <c r="E97" s="12">
        <f>C97/((1+Inputs!$B$4)^($A97-Inputs!$B$5))</f>
        <v>125924.87730889469</v>
      </c>
      <c r="Y97" s="416"/>
    </row>
    <row r="98" spans="1:25" s="77" customFormat="1">
      <c r="A98" s="209">
        <f t="shared" si="32"/>
        <v>2038</v>
      </c>
      <c r="B98" s="10">
        <f t="shared" si="33"/>
        <v>18755.118423398657</v>
      </c>
      <c r="C98" s="12">
        <f t="shared" si="30"/>
        <v>202879.23576268833</v>
      </c>
      <c r="D98" s="12">
        <f>C98/((1+Inputs!$B$3)^($A98-Inputs!$B$5))</f>
        <v>60024.645233081828</v>
      </c>
      <c r="E98" s="12">
        <f>C98/((1+Inputs!$B$4)^($A98-Inputs!$B$5))</f>
        <v>119170.16908431562</v>
      </c>
      <c r="Y98" s="416"/>
    </row>
    <row r="99" spans="1:25" s="77" customFormat="1">
      <c r="A99" s="209">
        <f t="shared" si="32"/>
        <v>2039</v>
      </c>
      <c r="B99" s="10">
        <f t="shared" si="33"/>
        <v>18281.551683207839</v>
      </c>
      <c r="C99" s="12">
        <f t="shared" si="30"/>
        <v>197756.53505968043</v>
      </c>
      <c r="D99" s="12">
        <f>C99/((1+Inputs!$B$3)^($A99-Inputs!$B$5))</f>
        <v>54681.329851351875</v>
      </c>
      <c r="E99" s="12">
        <f>C99/((1+Inputs!$B$4)^($A99-Inputs!$B$5))</f>
        <v>112777.7886552783</v>
      </c>
      <c r="Y99" s="416"/>
    </row>
    <row r="100" spans="1:25" s="77" customFormat="1">
      <c r="A100" s="209">
        <f t="shared" si="32"/>
        <v>2040</v>
      </c>
      <c r="B100" s="10">
        <f t="shared" si="33"/>
        <v>17819.942503206843</v>
      </c>
      <c r="C100" s="12">
        <f t="shared" si="30"/>
        <v>192763.18254942351</v>
      </c>
      <c r="D100" s="12">
        <f>C100/((1+Inputs!$B$3)^($A100-Inputs!$B$5))</f>
        <v>49813.669413649761</v>
      </c>
      <c r="E100" s="12">
        <f>C100/((1+Inputs!$B$4)^($A100-Inputs!$B$5))</f>
        <v>106728.30047741023</v>
      </c>
      <c r="Y100" s="416"/>
    </row>
    <row r="101" spans="1:25" s="77" customFormat="1">
      <c r="A101" s="209">
        <f t="shared" si="32"/>
        <v>2041</v>
      </c>
      <c r="B101" s="10">
        <f t="shared" si="33"/>
        <v>17369.98895500087</v>
      </c>
      <c r="C101" s="12">
        <f t="shared" si="30"/>
        <v>187895.91219005059</v>
      </c>
      <c r="D101" s="12">
        <f>C101/((1+Inputs!$B$3)^($A101-Inputs!$B$5))</f>
        <v>45379.321739210376</v>
      </c>
      <c r="E101" s="12">
        <f>C101/((1+Inputs!$B$4)^($A101-Inputs!$B$5))</f>
        <v>101003.3115440346</v>
      </c>
      <c r="Y101" s="416"/>
    </row>
    <row r="102" spans="1:25" s="77" customFormat="1">
      <c r="A102" s="209">
        <f t="shared" si="32"/>
        <v>2042</v>
      </c>
      <c r="B102" s="10">
        <f t="shared" si="33"/>
        <v>16931.396733887097</v>
      </c>
      <c r="C102" s="12">
        <f t="shared" si="30"/>
        <v>183151.5404072518</v>
      </c>
      <c r="D102" s="12">
        <f>C102/((1+Inputs!$B$3)^($A102-Inputs!$B$5))</f>
        <v>41339.713892799358</v>
      </c>
      <c r="E102" s="12">
        <f>C102/((1+Inputs!$B$4)^($A102-Inputs!$B$5))</f>
        <v>95585.415463638565</v>
      </c>
      <c r="Y102" s="416"/>
    </row>
    <row r="103" spans="1:25" s="77" customFormat="1">
      <c r="A103" s="209">
        <f t="shared" si="32"/>
        <v>2043</v>
      </c>
      <c r="B103" s="10">
        <f t="shared" si="33"/>
        <v>16503.878966356449</v>
      </c>
      <c r="C103" s="12">
        <f t="shared" si="30"/>
        <v>178526.9640119687</v>
      </c>
      <c r="D103" s="12">
        <f>C103/((1+Inputs!$B$3)^($A103-Inputs!$B$5))</f>
        <v>37659.706651407643</v>
      </c>
      <c r="E103" s="12">
        <f>C103/((1+Inputs!$B$4)^($A103-Inputs!$B$5))</f>
        <v>90458.139537069597</v>
      </c>
      <c r="Y103" s="416"/>
    </row>
    <row r="104" spans="1:25" s="206" customFormat="1">
      <c r="A104" s="209">
        <f t="shared" si="32"/>
        <v>2044</v>
      </c>
      <c r="B104" s="10">
        <f t="shared" si="33"/>
        <v>16087.156022455949</v>
      </c>
      <c r="C104" s="638">
        <f>B104*$B$2*(1-Inputs!$B$10)</f>
        <v>116012.77211377767</v>
      </c>
      <c r="D104" s="12">
        <f>C104/((1+Inputs!$B$3)^($A104-Inputs!$B$5))</f>
        <v>22871.525893121245</v>
      </c>
      <c r="E104" s="12">
        <f>C104/((1+Inputs!$B$4)^($A104-Inputs!$B$5))</f>
        <v>57070.596449034696</v>
      </c>
      <c r="Y104" s="416"/>
    </row>
    <row r="105" spans="1:25" s="77" customFormat="1">
      <c r="A105" s="34" t="s">
        <v>4</v>
      </c>
      <c r="B105" s="169">
        <f>SUM(B85:B104)</f>
        <v>411180.59582474298</v>
      </c>
      <c r="C105" s="170">
        <f>SUM(C84:C104)</f>
        <v>4481257.6460609837</v>
      </c>
      <c r="D105" s="170">
        <f>SUM(D84:D104)</f>
        <v>1948082.5274206826</v>
      </c>
      <c r="E105" s="170">
        <f>SUM(E84:E104)</f>
        <v>3060040.1270657061</v>
      </c>
      <c r="Y105" s="416"/>
    </row>
  </sheetData>
  <sheetProtection algorithmName="SHA-512" hashValue="jG6iqlBwFYSWMLsczkfqhorscboi183RLqgR23Pi+jw8p2hlhZ1+rwle3CdZr8lSj2do7J4lXjIrukTVcGFciQ==" saltValue="PLISqmiMGGrSyvOL3MJaNQ==" spinCount="100000" sheet="1" objects="1" scenarios="1"/>
  <hyperlinks>
    <hyperlink ref="A5" r:id="rId1" xr:uid="{00000000-0004-0000-1100-000000000000}"/>
    <hyperlink ref="C24" r:id="rId2" xr:uid="{C8C81AFD-4CE7-459F-8F56-B43CC66B775A}"/>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theme="6" tint="0.59999389629810485"/>
  </sheetPr>
  <dimension ref="A1:O37"/>
  <sheetViews>
    <sheetView zoomScale="85" zoomScaleNormal="85" workbookViewId="0">
      <selection activeCell="C36" sqref="C36"/>
    </sheetView>
  </sheetViews>
  <sheetFormatPr defaultColWidth="9.140625" defaultRowHeight="15"/>
  <cols>
    <col min="1" max="1" width="9.140625" style="3"/>
    <col min="2" max="2" width="40.85546875" style="3" customWidth="1"/>
    <col min="3" max="3" width="14.85546875" style="3" customWidth="1"/>
    <col min="4" max="4" width="16" style="3" bestFit="1" customWidth="1"/>
    <col min="5" max="5" width="14.140625" style="3" customWidth="1"/>
    <col min="6" max="6" width="15.28515625" style="3" customWidth="1"/>
    <col min="7" max="7" width="22.28515625" style="3" customWidth="1"/>
    <col min="8" max="8" width="13.85546875" style="3" customWidth="1"/>
    <col min="9" max="9" width="13.7109375" style="3" bestFit="1" customWidth="1"/>
    <col min="10" max="10" width="6.7109375" style="3" customWidth="1"/>
    <col min="11" max="11" width="9.140625" style="3"/>
    <col min="12" max="12" width="28.42578125" style="3" bestFit="1" customWidth="1"/>
    <col min="13" max="14" width="13.7109375" style="3" bestFit="1" customWidth="1"/>
    <col min="15" max="16384" width="9.140625" style="3"/>
  </cols>
  <sheetData>
    <row r="1" spans="1:14">
      <c r="A1" s="3" t="s">
        <v>20</v>
      </c>
    </row>
    <row r="4" spans="1:14" ht="49.5" customHeight="1">
      <c r="B4" s="100" t="s">
        <v>28</v>
      </c>
      <c r="C4" s="39" t="s">
        <v>29</v>
      </c>
    </row>
    <row r="5" spans="1:14" ht="17.25" customHeight="1">
      <c r="B5" s="101" t="s">
        <v>30</v>
      </c>
      <c r="C5" s="708">
        <v>60</v>
      </c>
      <c r="D5" s="148"/>
      <c r="F5" s="124">
        <v>0.8</v>
      </c>
      <c r="G5" s="86" t="s">
        <v>220</v>
      </c>
    </row>
    <row r="6" spans="1:14" ht="17.25" customHeight="1">
      <c r="B6" s="101" t="s">
        <v>31</v>
      </c>
      <c r="C6" s="708">
        <v>60</v>
      </c>
      <c r="D6" s="41"/>
      <c r="F6" s="124">
        <v>0.8</v>
      </c>
      <c r="G6" s="86" t="s">
        <v>221</v>
      </c>
    </row>
    <row r="7" spans="1:14" s="206" customFormat="1">
      <c r="B7" s="40" t="s">
        <v>552</v>
      </c>
      <c r="C7" s="708">
        <v>40</v>
      </c>
      <c r="F7" s="124">
        <v>0.8</v>
      </c>
      <c r="G7" s="86" t="s">
        <v>550</v>
      </c>
    </row>
    <row r="8" spans="1:14" ht="17.25" customHeight="1">
      <c r="B8" s="7" t="s">
        <v>32</v>
      </c>
    </row>
    <row r="9" spans="1:14" ht="17.25" customHeight="1">
      <c r="B9" s="41" t="s">
        <v>33</v>
      </c>
    </row>
    <row r="10" spans="1:14" ht="17.25" customHeight="1">
      <c r="B10" s="153" t="s">
        <v>984</v>
      </c>
      <c r="G10" s="86" t="s">
        <v>229</v>
      </c>
      <c r="L10" s="86" t="s">
        <v>291</v>
      </c>
      <c r="M10" s="206"/>
      <c r="N10" s="206"/>
    </row>
    <row r="11" spans="1:14" s="52" customFormat="1" ht="17.25" customHeight="1">
      <c r="B11" s="52" t="s">
        <v>553</v>
      </c>
      <c r="D11" s="42"/>
      <c r="G11" s="153" t="s">
        <v>65</v>
      </c>
      <c r="H11" s="221">
        <f>Inputs!B7</f>
        <v>2027</v>
      </c>
      <c r="I11" s="148"/>
      <c r="J11" s="148"/>
      <c r="K11" s="148"/>
      <c r="L11" s="153" t="s">
        <v>65</v>
      </c>
      <c r="M11" s="221">
        <f>Inputs!B9</f>
        <v>2024</v>
      </c>
      <c r="N11" s="148"/>
    </row>
    <row r="12" spans="1:14" s="52" customFormat="1" ht="17.25" customHeight="1">
      <c r="B12" s="79" t="s">
        <v>549</v>
      </c>
      <c r="D12" s="91"/>
      <c r="G12" s="153" t="s">
        <v>66</v>
      </c>
      <c r="H12" s="295">
        <f>H11+20</f>
        <v>2047</v>
      </c>
      <c r="I12" s="148"/>
      <c r="J12" s="148"/>
      <c r="K12" s="148"/>
      <c r="L12" s="153" t="s">
        <v>66</v>
      </c>
      <c r="M12" s="295">
        <f>M11+20</f>
        <v>2044</v>
      </c>
      <c r="N12" s="148"/>
    </row>
    <row r="13" spans="1:14" s="52" customFormat="1" ht="17.25" customHeight="1">
      <c r="B13" s="43"/>
      <c r="C13" s="86"/>
      <c r="D13" s="91"/>
      <c r="L13" s="206"/>
      <c r="M13" s="206"/>
      <c r="N13" s="206"/>
    </row>
    <row r="14" spans="1:14">
      <c r="B14" s="3" t="s">
        <v>0</v>
      </c>
      <c r="C14" s="92"/>
      <c r="D14" s="93"/>
      <c r="G14" s="36"/>
      <c r="H14" s="37"/>
      <c r="K14" s="36"/>
      <c r="L14" s="36"/>
      <c r="M14" s="37"/>
      <c r="N14" s="206"/>
    </row>
    <row r="15" spans="1:14">
      <c r="C15" s="94" t="s">
        <v>801</v>
      </c>
      <c r="D15" s="86"/>
      <c r="G15" s="52"/>
      <c r="H15" s="94" t="s">
        <v>801</v>
      </c>
      <c r="K15" s="36"/>
      <c r="L15" s="206"/>
      <c r="M15" s="94" t="s">
        <v>801</v>
      </c>
      <c r="N15" s="206"/>
    </row>
    <row r="16" spans="1:14">
      <c r="A16" s="7"/>
      <c r="B16" s="3" t="s">
        <v>34</v>
      </c>
      <c r="C16" s="87">
        <f>SUM(H16,M16)</f>
        <v>29500000</v>
      </c>
      <c r="D16" s="86"/>
      <c r="G16" s="52" t="s">
        <v>34</v>
      </c>
      <c r="H16" s="58">
        <f>SUM('I-87_CostTables'!J3:J11)</f>
        <v>29500000</v>
      </c>
      <c r="K16" s="36"/>
      <c r="L16" s="206" t="s">
        <v>34</v>
      </c>
      <c r="M16" s="58"/>
      <c r="N16" s="206"/>
    </row>
    <row r="17" spans="1:15" s="52" customFormat="1">
      <c r="A17" s="7"/>
      <c r="C17" s="87"/>
      <c r="D17" s="86"/>
      <c r="H17" s="58"/>
      <c r="K17" s="36"/>
      <c r="L17" s="206"/>
      <c r="M17" s="58"/>
      <c r="N17" s="206"/>
    </row>
    <row r="18" spans="1:15">
      <c r="A18" s="7"/>
      <c r="B18" s="3" t="s">
        <v>0</v>
      </c>
      <c r="C18" s="86"/>
      <c r="D18" s="86"/>
      <c r="G18" s="36"/>
      <c r="H18" s="37"/>
      <c r="K18" s="36"/>
      <c r="L18" s="36"/>
      <c r="M18" s="37"/>
      <c r="N18" s="206"/>
    </row>
    <row r="19" spans="1:15">
      <c r="A19" s="7"/>
      <c r="C19" s="86" t="s">
        <v>35</v>
      </c>
      <c r="D19" s="86"/>
      <c r="G19" s="52"/>
      <c r="H19" s="7" t="s">
        <v>35</v>
      </c>
      <c r="I19" s="52"/>
      <c r="J19" s="52"/>
      <c r="K19" s="36"/>
      <c r="L19" s="206"/>
      <c r="M19" s="148" t="s">
        <v>35</v>
      </c>
      <c r="N19" s="206"/>
      <c r="O19" s="52"/>
    </row>
    <row r="20" spans="1:15" s="102" customFormat="1">
      <c r="B20" s="103" t="s">
        <v>76</v>
      </c>
      <c r="C20" s="88">
        <f>H20+M20</f>
        <v>243840000</v>
      </c>
      <c r="D20" s="89"/>
      <c r="G20" s="103" t="s">
        <v>76</v>
      </c>
      <c r="H20" s="31">
        <f>(SUM('I-87_CostTables'!L3:L11)*Residual!$F$5/Residual!$C$5)*(Residual!$C$5-20)</f>
        <v>243840000</v>
      </c>
      <c r="I20" s="75"/>
      <c r="J20" s="150"/>
      <c r="K20" s="76"/>
      <c r="L20" s="103" t="s">
        <v>76</v>
      </c>
      <c r="M20" s="31"/>
      <c r="N20" s="75"/>
    </row>
    <row r="21" spans="1:15" s="102" customFormat="1">
      <c r="B21" s="103" t="s">
        <v>70</v>
      </c>
      <c r="C21" s="88">
        <f>H21+M21</f>
        <v>3946666.666666667</v>
      </c>
      <c r="D21" s="89"/>
      <c r="G21" s="103" t="s">
        <v>70</v>
      </c>
      <c r="H21" s="31">
        <f>(SUM('I-87_CostTables'!K3:K11)*$F$6/Residual!$C$6)*(Residual!$C$6-20)</f>
        <v>3946666.666666667</v>
      </c>
      <c r="I21" s="75"/>
      <c r="J21" s="151"/>
      <c r="K21" s="76"/>
      <c r="L21" s="103" t="s">
        <v>70</v>
      </c>
      <c r="M21" s="31"/>
      <c r="N21" s="75"/>
    </row>
    <row r="22" spans="1:15">
      <c r="A22" s="7"/>
      <c r="B22" s="3" t="s">
        <v>548</v>
      </c>
      <c r="C22" s="88">
        <f>H22+M22</f>
        <v>20555708.061896212</v>
      </c>
      <c r="E22" s="53"/>
      <c r="G22" s="206" t="s">
        <v>548</v>
      </c>
      <c r="H22" s="31">
        <f>('I-87_CostTables'!F39*$F$7/Residual!$C$7)*(Residual!$C$7-20)</f>
        <v>14555708.061896212</v>
      </c>
      <c r="L22" s="206" t="s">
        <v>548</v>
      </c>
      <c r="M22" s="31">
        <f>('I-87_CostTables'!D120*$F$7/Residual!$C$7)*(Residual!$C$7-20)</f>
        <v>6000000</v>
      </c>
      <c r="N22" s="206"/>
      <c r="O22" s="53"/>
    </row>
    <row r="23" spans="1:15" s="206" customFormat="1">
      <c r="A23" s="148"/>
      <c r="B23" s="44" t="s">
        <v>67</v>
      </c>
      <c r="C23" s="57">
        <f>SUM(C20:C22)</f>
        <v>268342374.72856286</v>
      </c>
      <c r="E23" s="53"/>
      <c r="G23" s="44" t="s">
        <v>67</v>
      </c>
      <c r="H23" s="57">
        <f>SUM(H20:H22)</f>
        <v>262342374.72856286</v>
      </c>
      <c r="I23" s="52"/>
      <c r="J23" s="152"/>
      <c r="K23" s="36"/>
      <c r="L23" s="44" t="s">
        <v>67</v>
      </c>
      <c r="M23" s="57">
        <f>SUM(M20:M22)</f>
        <v>6000000</v>
      </c>
      <c r="O23" s="53"/>
    </row>
    <row r="24" spans="1:15" s="52" customFormat="1">
      <c r="A24" s="7"/>
      <c r="D24" s="86"/>
      <c r="E24" s="65"/>
      <c r="G24" s="44" t="s">
        <v>551</v>
      </c>
      <c r="I24" s="59">
        <f>H23+H16</f>
        <v>291842374.72856283</v>
      </c>
      <c r="J24" s="65"/>
      <c r="K24" s="36"/>
      <c r="L24" s="44" t="s">
        <v>551</v>
      </c>
      <c r="M24" s="206"/>
      <c r="N24" s="59">
        <f>M23+M16</f>
        <v>6000000</v>
      </c>
      <c r="O24" s="65"/>
    </row>
    <row r="25" spans="1:15">
      <c r="B25" s="44" t="s">
        <v>551</v>
      </c>
      <c r="C25" s="86"/>
      <c r="D25" s="90">
        <f>C23+C16</f>
        <v>297842374.72856283</v>
      </c>
      <c r="E25" s="65"/>
      <c r="G25" s="44" t="s">
        <v>14</v>
      </c>
      <c r="H25" s="52"/>
      <c r="I25" s="90">
        <f>(I24/(1+Inputs!$B$4)^($H$12-Inputs!$B$5))</f>
        <v>131384243.11142412</v>
      </c>
      <c r="J25" s="65"/>
      <c r="K25" s="36"/>
      <c r="L25" s="44" t="s">
        <v>14</v>
      </c>
      <c r="M25" s="206"/>
      <c r="N25" s="90">
        <f>(N24/(1+Inputs!$B$4)^($M$12-Inputs!$B$5))</f>
        <v>2951602.4180370565</v>
      </c>
      <c r="O25" s="65"/>
    </row>
    <row r="26" spans="1:15">
      <c r="B26" s="44"/>
      <c r="C26" s="86"/>
      <c r="D26" s="90"/>
      <c r="E26" s="65"/>
      <c r="G26" s="44" t="s">
        <v>13</v>
      </c>
      <c r="H26" s="52"/>
      <c r="I26" s="90">
        <f>(I24/(1+Inputs!$B$3)^($H$12-Inputs!$B$5))</f>
        <v>46966300.55889155</v>
      </c>
      <c r="J26" s="65"/>
      <c r="K26" s="36"/>
      <c r="L26" s="44" t="s">
        <v>13</v>
      </c>
      <c r="M26" s="206"/>
      <c r="N26" s="90">
        <f>(N24/(1+Inputs!$B$3)^($M$12-Inputs!$B$5))</f>
        <v>1182879.7196927781</v>
      </c>
      <c r="O26" s="65"/>
    </row>
    <row r="27" spans="1:15">
      <c r="C27" s="86"/>
      <c r="D27" s="86"/>
      <c r="G27" s="52"/>
      <c r="H27" s="52"/>
      <c r="I27" s="52"/>
      <c r="J27" s="52"/>
      <c r="K27" s="36"/>
      <c r="L27" s="206"/>
      <c r="M27" s="206"/>
      <c r="N27" s="206"/>
      <c r="O27" s="52"/>
    </row>
    <row r="28" spans="1:15">
      <c r="B28" s="34" t="s">
        <v>36</v>
      </c>
      <c r="C28" s="95" t="s">
        <v>37</v>
      </c>
      <c r="D28" s="86"/>
      <c r="G28" s="34" t="s">
        <v>36</v>
      </c>
      <c r="H28" s="22" t="s">
        <v>37</v>
      </c>
      <c r="I28" s="52"/>
      <c r="J28" s="52"/>
      <c r="K28" s="36"/>
      <c r="L28" s="34" t="s">
        <v>36</v>
      </c>
      <c r="M28" s="22" t="s">
        <v>37</v>
      </c>
      <c r="N28" s="206"/>
      <c r="O28" s="52"/>
    </row>
    <row r="29" spans="1:15">
      <c r="B29" s="9" t="s">
        <v>0</v>
      </c>
      <c r="C29" s="96">
        <f>H29+M29</f>
        <v>297.84237472856285</v>
      </c>
      <c r="D29" s="86"/>
      <c r="G29" s="9" t="s">
        <v>0</v>
      </c>
      <c r="H29" s="64">
        <f>I24/10^6</f>
        <v>291.84237472856285</v>
      </c>
      <c r="I29" s="52"/>
      <c r="J29" s="52"/>
      <c r="K29" s="36"/>
      <c r="L29" s="9" t="s">
        <v>0</v>
      </c>
      <c r="M29" s="64">
        <f>N24/10^6</f>
        <v>6</v>
      </c>
      <c r="N29" s="206"/>
      <c r="O29" s="52"/>
    </row>
    <row r="30" spans="1:15">
      <c r="B30" s="4" t="s">
        <v>14</v>
      </c>
      <c r="C30" s="96">
        <f>H30+M30</f>
        <v>134.33584552946118</v>
      </c>
      <c r="D30" s="86"/>
      <c r="G30" s="4" t="s">
        <v>14</v>
      </c>
      <c r="H30" s="64">
        <f>I25/10^6</f>
        <v>131.38424311142413</v>
      </c>
      <c r="I30" s="52"/>
      <c r="J30" s="52"/>
      <c r="K30" s="36"/>
      <c r="L30" s="209" t="s">
        <v>14</v>
      </c>
      <c r="M30" s="64">
        <f>N25/10^6</f>
        <v>2.9516024180370564</v>
      </c>
      <c r="N30" s="206"/>
      <c r="O30" s="52"/>
    </row>
    <row r="31" spans="1:15">
      <c r="B31" s="4" t="s">
        <v>13</v>
      </c>
      <c r="C31" s="96">
        <f>H31+M31</f>
        <v>48.149180278584325</v>
      </c>
      <c r="D31" s="86"/>
      <c r="G31" s="4" t="s">
        <v>13</v>
      </c>
      <c r="H31" s="64">
        <f>I26/10^6</f>
        <v>46.966300558891547</v>
      </c>
      <c r="I31" s="52"/>
      <c r="J31" s="52"/>
      <c r="K31" s="36"/>
      <c r="L31" s="209" t="s">
        <v>13</v>
      </c>
      <c r="M31" s="64">
        <f>N26/10^6</f>
        <v>1.1828797196927781</v>
      </c>
      <c r="N31" s="206"/>
      <c r="O31" s="52"/>
    </row>
    <row r="32" spans="1:15">
      <c r="B32" s="1"/>
      <c r="C32" s="36"/>
      <c r="D32" s="37"/>
      <c r="G32" s="36"/>
      <c r="H32" s="37"/>
      <c r="K32" s="36"/>
      <c r="L32" s="206"/>
      <c r="M32" s="206"/>
    </row>
    <row r="33" spans="7:12">
      <c r="G33" s="62"/>
      <c r="H33" s="37"/>
      <c r="K33" s="36"/>
      <c r="L33" s="37"/>
    </row>
    <row r="34" spans="7:12">
      <c r="G34" s="185"/>
      <c r="H34" s="31"/>
    </row>
    <row r="35" spans="7:12">
      <c r="G35" s="44"/>
      <c r="H35" s="81"/>
      <c r="I35" s="59"/>
    </row>
    <row r="36" spans="7:12">
      <c r="G36" s="44"/>
      <c r="H36" s="81"/>
      <c r="I36" s="90"/>
    </row>
    <row r="37" spans="7:12">
      <c r="G37" s="44"/>
      <c r="H37" s="263"/>
      <c r="I37" s="90"/>
    </row>
  </sheetData>
  <sheetProtection algorithmName="SHA-512" hashValue="Wpg+wZ//fR+PTA49istVEYj4Lovmyj74d4IPTGJdEe4vmil3goz+Y4vCaEMeJFApTJnq41Id7bVbDUh45HzS7w==" saltValue="jO/+9YPbG7GZZh4V/5Am2Q==" spinCount="100000" sheet="1" objects="1" scenarios="1"/>
  <hyperlinks>
    <hyperlink ref="B9" r:id="rId1" xr:uid="{00000000-0004-0000-1200-000000000000}"/>
    <hyperlink ref="B12" r:id="rId2" xr:uid="{63B5B47C-B4C0-446B-8003-E37338B8E4EF}"/>
  </hyperlinks>
  <pageMargins left="0.7" right="0.7" top="0.75" bottom="0.75" header="0.3" footer="0.3"/>
  <pageSetup orientation="portrait" horizontalDpi="300"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79998168889431442"/>
  </sheetPr>
  <dimension ref="A1:Y288"/>
  <sheetViews>
    <sheetView zoomScale="85" zoomScaleNormal="85" workbookViewId="0">
      <selection activeCell="C36" sqref="C36"/>
    </sheetView>
  </sheetViews>
  <sheetFormatPr defaultColWidth="8.85546875" defaultRowHeight="15"/>
  <cols>
    <col min="1" max="1" width="9.7109375" style="167" bestFit="1" customWidth="1"/>
    <col min="2" max="2" width="8.85546875" style="167" customWidth="1"/>
    <col min="3" max="3" width="10.42578125" style="167" customWidth="1"/>
    <col min="4" max="4" width="13.140625" style="167" customWidth="1"/>
    <col min="5" max="5" width="9.5703125" style="167" customWidth="1"/>
    <col min="6" max="6" width="11.7109375" style="167" customWidth="1"/>
    <col min="7" max="7" width="12.7109375" style="167" customWidth="1"/>
    <col min="8" max="8" width="9.85546875" style="167" customWidth="1"/>
    <col min="9" max="9" width="10.7109375" style="167" customWidth="1"/>
    <col min="10" max="13" width="8.85546875" style="167" customWidth="1"/>
    <col min="14" max="14" width="10.5703125" style="167" customWidth="1"/>
    <col min="15" max="15" width="10.28515625" style="167" customWidth="1"/>
    <col min="16" max="18" width="8.85546875" style="167" customWidth="1"/>
    <col min="19" max="19" width="9.7109375" style="167" customWidth="1"/>
    <col min="20" max="21" width="8.85546875" style="167" customWidth="1"/>
    <col min="22" max="22" width="11.7109375" style="167" customWidth="1"/>
    <col min="23" max="23" width="10.5703125" style="167" customWidth="1"/>
    <col min="24" max="16384" width="8.85546875" style="167"/>
  </cols>
  <sheetData>
    <row r="1" spans="1:21">
      <c r="A1" s="167" t="s">
        <v>425</v>
      </c>
    </row>
    <row r="2" spans="1:21">
      <c r="A2" s="167" t="s">
        <v>427</v>
      </c>
    </row>
    <row r="4" spans="1:21">
      <c r="A4" s="167" t="s">
        <v>426</v>
      </c>
    </row>
    <row r="5" spans="1:21">
      <c r="A5" s="178" t="s">
        <v>431</v>
      </c>
    </row>
    <row r="6" spans="1:21">
      <c r="A6" s="178" t="s">
        <v>432</v>
      </c>
    </row>
    <row r="7" spans="1:21">
      <c r="A7" s="178" t="s">
        <v>428</v>
      </c>
    </row>
    <row r="8" spans="1:21">
      <c r="A8" s="791" t="s">
        <v>429</v>
      </c>
      <c r="B8" s="791"/>
      <c r="C8" s="791"/>
      <c r="D8" s="791"/>
      <c r="E8" s="791"/>
      <c r="F8" s="791"/>
      <c r="G8" s="791"/>
      <c r="H8" s="791"/>
      <c r="I8" s="791"/>
      <c r="J8" s="791"/>
      <c r="K8" s="791"/>
      <c r="L8" s="791"/>
      <c r="M8" s="791"/>
      <c r="N8" s="791"/>
      <c r="O8" s="791"/>
      <c r="P8" s="791"/>
      <c r="Q8" s="791"/>
      <c r="R8" s="791"/>
      <c r="S8" s="791"/>
      <c r="T8" s="158">
        <v>0.5</v>
      </c>
      <c r="U8" s="167" t="s">
        <v>388</v>
      </c>
    </row>
    <row r="9" spans="1:21">
      <c r="A9" s="791"/>
      <c r="B9" s="791"/>
      <c r="C9" s="791"/>
      <c r="D9" s="791"/>
      <c r="E9" s="791"/>
      <c r="F9" s="791"/>
      <c r="G9" s="791"/>
      <c r="H9" s="791"/>
      <c r="I9" s="791"/>
      <c r="J9" s="791"/>
      <c r="K9" s="791"/>
      <c r="L9" s="791"/>
      <c r="M9" s="791"/>
      <c r="N9" s="791"/>
      <c r="O9" s="791"/>
      <c r="P9" s="791"/>
      <c r="Q9" s="791"/>
      <c r="R9" s="791"/>
      <c r="S9" s="791"/>
    </row>
    <row r="10" spans="1:21">
      <c r="A10" s="791" t="s">
        <v>433</v>
      </c>
      <c r="B10" s="791"/>
      <c r="C10" s="791"/>
      <c r="D10" s="791"/>
      <c r="E10" s="791"/>
      <c r="F10" s="791"/>
      <c r="G10" s="791"/>
      <c r="H10" s="791"/>
      <c r="I10" s="791"/>
      <c r="J10" s="791"/>
      <c r="K10" s="791"/>
      <c r="L10" s="791"/>
      <c r="M10" s="791"/>
      <c r="N10" s="791"/>
      <c r="O10" s="791"/>
      <c r="P10" s="791"/>
      <c r="Q10" s="791"/>
      <c r="R10" s="791"/>
      <c r="S10" s="791"/>
      <c r="T10" s="167">
        <v>0.5</v>
      </c>
      <c r="U10" s="167" t="s">
        <v>388</v>
      </c>
    </row>
    <row r="11" spans="1:21">
      <c r="A11" s="791"/>
      <c r="B11" s="791"/>
      <c r="C11" s="791"/>
      <c r="D11" s="791"/>
      <c r="E11" s="791"/>
      <c r="F11" s="791"/>
      <c r="G11" s="791"/>
      <c r="H11" s="791"/>
      <c r="I11" s="791"/>
      <c r="J11" s="791"/>
      <c r="K11" s="791"/>
      <c r="L11" s="791"/>
      <c r="M11" s="791"/>
      <c r="N11" s="791"/>
      <c r="O11" s="791"/>
      <c r="P11" s="791"/>
      <c r="Q11" s="791"/>
      <c r="R11" s="791"/>
      <c r="S11" s="791"/>
    </row>
    <row r="12" spans="1:21">
      <c r="A12" s="791" t="s">
        <v>430</v>
      </c>
      <c r="B12" s="791"/>
      <c r="C12" s="791"/>
      <c r="D12" s="791"/>
      <c r="E12" s="791"/>
      <c r="F12" s="791"/>
      <c r="G12" s="791"/>
      <c r="H12" s="791"/>
      <c r="I12" s="791"/>
      <c r="J12" s="791"/>
      <c r="K12" s="791"/>
      <c r="L12" s="791"/>
      <c r="M12" s="791"/>
      <c r="N12" s="791"/>
      <c r="O12" s="791"/>
      <c r="P12" s="791"/>
      <c r="Q12" s="791"/>
      <c r="R12" s="791"/>
      <c r="S12" s="791"/>
      <c r="T12" s="188">
        <f>(24+24+7)/24</f>
        <v>2.2916666666666665</v>
      </c>
      <c r="U12" s="167" t="s">
        <v>388</v>
      </c>
    </row>
    <row r="13" spans="1:21">
      <c r="A13" s="791"/>
      <c r="B13" s="791"/>
      <c r="C13" s="791"/>
      <c r="D13" s="791"/>
      <c r="E13" s="791"/>
      <c r="F13" s="791"/>
      <c r="G13" s="791"/>
      <c r="H13" s="791"/>
      <c r="I13" s="791"/>
      <c r="J13" s="791"/>
      <c r="K13" s="791"/>
      <c r="L13" s="791"/>
      <c r="M13" s="791"/>
      <c r="N13" s="791"/>
      <c r="O13" s="791"/>
      <c r="P13" s="791"/>
      <c r="Q13" s="791"/>
      <c r="R13" s="791"/>
      <c r="S13" s="791"/>
    </row>
    <row r="14" spans="1:21" ht="14.45" customHeight="1">
      <c r="A14" s="791" t="s">
        <v>434</v>
      </c>
      <c r="B14" s="791"/>
      <c r="C14" s="791"/>
      <c r="D14" s="791"/>
      <c r="E14" s="791"/>
      <c r="F14" s="791"/>
      <c r="G14" s="791"/>
      <c r="H14" s="791"/>
      <c r="I14" s="791"/>
      <c r="J14" s="791"/>
      <c r="K14" s="791"/>
      <c r="L14" s="791"/>
      <c r="M14" s="791"/>
      <c r="N14" s="791"/>
      <c r="O14" s="791"/>
      <c r="P14" s="791"/>
      <c r="Q14" s="791"/>
      <c r="R14" s="791"/>
      <c r="S14" s="791"/>
      <c r="T14" s="188">
        <f>(24+16)/24</f>
        <v>1.6666666666666667</v>
      </c>
      <c r="U14" s="167" t="s">
        <v>388</v>
      </c>
    </row>
    <row r="15" spans="1:21">
      <c r="A15" s="791"/>
      <c r="B15" s="791"/>
      <c r="C15" s="791"/>
      <c r="D15" s="791"/>
      <c r="E15" s="791"/>
      <c r="F15" s="791"/>
      <c r="G15" s="791"/>
      <c r="H15" s="791"/>
      <c r="I15" s="791"/>
      <c r="J15" s="791"/>
      <c r="K15" s="791"/>
      <c r="L15" s="791"/>
      <c r="M15" s="791"/>
      <c r="N15" s="791"/>
      <c r="O15" s="791"/>
      <c r="P15" s="791"/>
      <c r="Q15" s="791"/>
      <c r="R15" s="791"/>
      <c r="S15" s="791"/>
    </row>
    <row r="16" spans="1:21">
      <c r="A16" s="791"/>
      <c r="B16" s="791"/>
      <c r="C16" s="791"/>
      <c r="D16" s="791"/>
      <c r="E16" s="791"/>
      <c r="F16" s="791"/>
      <c r="G16" s="791"/>
      <c r="H16" s="791"/>
      <c r="I16" s="791"/>
      <c r="J16" s="791"/>
      <c r="K16" s="791"/>
      <c r="L16" s="791"/>
      <c r="M16" s="791"/>
      <c r="N16" s="791"/>
      <c r="O16" s="791"/>
      <c r="P16" s="791"/>
      <c r="Q16" s="791"/>
      <c r="R16" s="791"/>
      <c r="S16" s="791"/>
    </row>
    <row r="18" spans="1:23">
      <c r="A18" s="167" t="s">
        <v>435</v>
      </c>
    </row>
    <row r="19" spans="1:23" s="206" customFormat="1"/>
    <row r="20" spans="1:23">
      <c r="A20" s="167" t="s">
        <v>436</v>
      </c>
      <c r="K20" s="167" t="s">
        <v>373</v>
      </c>
    </row>
    <row r="21" spans="1:23">
      <c r="G21" s="167" t="s">
        <v>373</v>
      </c>
      <c r="I21" s="167" t="s">
        <v>372</v>
      </c>
      <c r="Q21" s="119"/>
      <c r="R21" s="154"/>
      <c r="S21" s="154"/>
      <c r="T21" s="154"/>
      <c r="U21" s="154"/>
      <c r="V21" s="154"/>
      <c r="W21" s="154"/>
    </row>
    <row r="22" spans="1:23">
      <c r="G22" s="188">
        <f>22/60</f>
        <v>0.36666666666666664</v>
      </c>
      <c r="H22" s="197" t="s">
        <v>94</v>
      </c>
      <c r="I22" s="188">
        <f>((60+23)/60)</f>
        <v>1.3833333333333333</v>
      </c>
      <c r="Q22" s="154"/>
      <c r="R22" s="154"/>
      <c r="S22" s="154"/>
      <c r="T22" s="154"/>
      <c r="U22" s="154"/>
      <c r="V22" s="154"/>
      <c r="W22" s="154"/>
    </row>
    <row r="23" spans="1:23">
      <c r="G23" s="167">
        <v>26</v>
      </c>
      <c r="H23" s="141" t="s">
        <v>93</v>
      </c>
      <c r="I23" s="167">
        <v>68</v>
      </c>
      <c r="Q23" s="154"/>
      <c r="R23" s="154"/>
      <c r="S23" s="154"/>
      <c r="T23" s="154"/>
      <c r="U23" s="154"/>
      <c r="V23" s="154"/>
      <c r="W23" s="154"/>
    </row>
    <row r="24" spans="1:23">
      <c r="Q24" s="154"/>
      <c r="R24" s="154"/>
      <c r="S24" s="154"/>
      <c r="T24" s="154"/>
      <c r="U24" s="154"/>
      <c r="V24" s="154"/>
      <c r="W24" s="154"/>
    </row>
    <row r="25" spans="1:23">
      <c r="G25" s="167" t="s">
        <v>389</v>
      </c>
      <c r="Q25" s="154"/>
      <c r="R25" s="154"/>
      <c r="S25" s="154"/>
      <c r="T25" s="154"/>
      <c r="U25" s="154"/>
      <c r="V25" s="154"/>
      <c r="W25" s="154"/>
    </row>
    <row r="26" spans="1:23">
      <c r="G26" s="188">
        <f>I22-G22</f>
        <v>1.0166666666666666</v>
      </c>
      <c r="H26" s="171" t="s">
        <v>94</v>
      </c>
      <c r="Q26" s="154"/>
      <c r="R26" s="154"/>
      <c r="S26" s="154"/>
      <c r="T26" s="154"/>
      <c r="U26" s="154"/>
      <c r="V26" s="154"/>
      <c r="W26" s="154"/>
    </row>
    <row r="27" spans="1:23">
      <c r="G27" s="167">
        <f>I23-G23</f>
        <v>42</v>
      </c>
      <c r="H27" s="171" t="s">
        <v>93</v>
      </c>
      <c r="Q27" s="154"/>
      <c r="R27" s="154"/>
      <c r="S27" s="154"/>
      <c r="T27" s="154"/>
      <c r="U27" s="154"/>
      <c r="V27" s="154"/>
      <c r="W27" s="154"/>
    </row>
    <row r="32" spans="1:23">
      <c r="Q32" s="119"/>
      <c r="R32" s="119"/>
      <c r="S32" s="119"/>
      <c r="T32" s="119"/>
      <c r="U32" s="119"/>
      <c r="V32" s="119"/>
      <c r="W32" s="119"/>
    </row>
    <row r="33" spans="1:23">
      <c r="Q33" s="119"/>
      <c r="R33" s="119"/>
      <c r="S33" s="119"/>
      <c r="T33" s="119"/>
      <c r="U33" s="119"/>
      <c r="V33" s="119"/>
      <c r="W33" s="119"/>
    </row>
    <row r="34" spans="1:23">
      <c r="Q34" s="119"/>
      <c r="R34" s="119"/>
      <c r="S34" s="119"/>
      <c r="T34" s="119"/>
      <c r="U34" s="119"/>
      <c r="V34" s="119"/>
      <c r="W34" s="119"/>
    </row>
    <row r="35" spans="1:23">
      <c r="Q35" s="119"/>
      <c r="R35" s="119"/>
      <c r="S35" s="119"/>
      <c r="T35" s="119"/>
      <c r="U35" s="119"/>
      <c r="V35" s="119"/>
      <c r="W35" s="119"/>
    </row>
    <row r="36" spans="1:23">
      <c r="Q36" s="119"/>
      <c r="R36" s="119"/>
      <c r="S36" s="119"/>
      <c r="T36" s="119"/>
      <c r="U36" s="119"/>
      <c r="V36" s="119"/>
      <c r="W36" s="119"/>
    </row>
    <row r="43" spans="1:23">
      <c r="A43" s="167" t="s">
        <v>437</v>
      </c>
    </row>
    <row r="44" spans="1:23">
      <c r="J44" s="167" t="s">
        <v>373</v>
      </c>
    </row>
    <row r="45" spans="1:23">
      <c r="G45" s="167" t="s">
        <v>373</v>
      </c>
      <c r="I45" s="167" t="s">
        <v>372</v>
      </c>
    </row>
    <row r="46" spans="1:23">
      <c r="G46" s="167">
        <f>9/60</f>
        <v>0.15</v>
      </c>
      <c r="H46" s="141" t="s">
        <v>94</v>
      </c>
      <c r="I46" s="196">
        <f>25/60</f>
        <v>0.41666666666666669</v>
      </c>
    </row>
    <row r="47" spans="1:23">
      <c r="G47" s="167">
        <v>9.5</v>
      </c>
      <c r="H47" s="141" t="s">
        <v>93</v>
      </c>
      <c r="I47" s="167">
        <v>20.5</v>
      </c>
    </row>
    <row r="49" spans="7:8">
      <c r="G49" s="167" t="s">
        <v>389</v>
      </c>
    </row>
    <row r="50" spans="7:8">
      <c r="G50" s="196">
        <f>I46-G46</f>
        <v>0.26666666666666672</v>
      </c>
      <c r="H50" s="171" t="s">
        <v>94</v>
      </c>
    </row>
    <row r="51" spans="7:8">
      <c r="G51" s="167">
        <f>I47-G47</f>
        <v>11</v>
      </c>
      <c r="H51" s="171" t="s">
        <v>93</v>
      </c>
    </row>
    <row r="52" spans="7:8">
      <c r="H52" s="171"/>
    </row>
    <row r="66" spans="1:16">
      <c r="A66" s="167" t="s">
        <v>438</v>
      </c>
      <c r="P66" s="167" t="s">
        <v>373</v>
      </c>
    </row>
    <row r="68" spans="1:16">
      <c r="L68" s="167" t="s">
        <v>373</v>
      </c>
      <c r="N68" s="167" t="s">
        <v>372</v>
      </c>
    </row>
    <row r="69" spans="1:16">
      <c r="L69" s="188">
        <f>1/6</f>
        <v>0.16666666666666666</v>
      </c>
      <c r="M69" s="141" t="s">
        <v>94</v>
      </c>
      <c r="N69" s="167">
        <f>102/60</f>
        <v>1.7</v>
      </c>
    </row>
    <row r="70" spans="1:16">
      <c r="L70" s="167">
        <v>11.6</v>
      </c>
      <c r="M70" s="141" t="s">
        <v>93</v>
      </c>
      <c r="N70" s="167">
        <v>80.400000000000006</v>
      </c>
    </row>
    <row r="72" spans="1:16">
      <c r="L72" s="167" t="s">
        <v>389</v>
      </c>
    </row>
    <row r="73" spans="1:16">
      <c r="L73" s="188">
        <f>N69-L69</f>
        <v>1.5333333333333332</v>
      </c>
      <c r="M73" s="171" t="s">
        <v>94</v>
      </c>
    </row>
    <row r="74" spans="1:16">
      <c r="L74" s="167">
        <f>N70-L70</f>
        <v>68.800000000000011</v>
      </c>
      <c r="M74" s="171" t="s">
        <v>93</v>
      </c>
    </row>
    <row r="102" spans="1:15">
      <c r="A102" s="167" t="s">
        <v>439</v>
      </c>
      <c r="O102" s="167" t="s">
        <v>373</v>
      </c>
    </row>
    <row r="103" spans="1:15">
      <c r="L103" s="167" t="s">
        <v>373</v>
      </c>
      <c r="N103" s="167" t="s">
        <v>372</v>
      </c>
    </row>
    <row r="104" spans="1:15">
      <c r="L104" s="188">
        <f>15/60</f>
        <v>0.25</v>
      </c>
      <c r="M104" s="141" t="s">
        <v>94</v>
      </c>
      <c r="N104" s="167">
        <f>51/60</f>
        <v>0.85</v>
      </c>
    </row>
    <row r="105" spans="1:15">
      <c r="L105" s="167">
        <v>17.5</v>
      </c>
      <c r="M105" s="141" t="s">
        <v>93</v>
      </c>
      <c r="N105" s="167">
        <v>44</v>
      </c>
    </row>
    <row r="107" spans="1:15">
      <c r="L107" s="167" t="s">
        <v>389</v>
      </c>
    </row>
    <row r="108" spans="1:15">
      <c r="L108" s="188">
        <f>N104-L104</f>
        <v>0.6</v>
      </c>
      <c r="M108" s="171" t="s">
        <v>94</v>
      </c>
    </row>
    <row r="109" spans="1:15">
      <c r="L109" s="167">
        <f>N105-L105</f>
        <v>26.5</v>
      </c>
      <c r="M109" s="171" t="s">
        <v>93</v>
      </c>
    </row>
    <row r="125" spans="1:9">
      <c r="A125" s="167" t="s">
        <v>390</v>
      </c>
      <c r="G125" s="167" t="s">
        <v>446</v>
      </c>
      <c r="H125" s="167" t="s">
        <v>818</v>
      </c>
    </row>
    <row r="126" spans="1:9">
      <c r="A126" s="4"/>
      <c r="B126" s="4" t="s">
        <v>445</v>
      </c>
      <c r="C126" s="4" t="s">
        <v>442</v>
      </c>
      <c r="D126" s="4" t="s">
        <v>443</v>
      </c>
      <c r="E126" s="4" t="s">
        <v>444</v>
      </c>
      <c r="G126" s="62" t="s">
        <v>447</v>
      </c>
      <c r="H126" s="5">
        <f>AVERAGE(Inputs!B37:B38)</f>
        <v>26100</v>
      </c>
      <c r="I126" s="167" t="s">
        <v>258</v>
      </c>
    </row>
    <row r="127" spans="1:9">
      <c r="A127" s="4" t="s">
        <v>391</v>
      </c>
      <c r="B127" s="199">
        <f>G26</f>
        <v>1.0166666666666666</v>
      </c>
      <c r="C127" s="199">
        <f>G50</f>
        <v>0.26666666666666672</v>
      </c>
      <c r="D127" s="199">
        <f>L73</f>
        <v>1.5333333333333332</v>
      </c>
      <c r="E127" s="199">
        <f>L108</f>
        <v>0.6</v>
      </c>
    </row>
    <row r="128" spans="1:9">
      <c r="A128" s="4" t="s">
        <v>392</v>
      </c>
      <c r="B128" s="199">
        <f>G27</f>
        <v>42</v>
      </c>
      <c r="C128" s="199">
        <f>G51</f>
        <v>11</v>
      </c>
      <c r="D128" s="199">
        <f>L74</f>
        <v>68.800000000000011</v>
      </c>
      <c r="E128" s="199">
        <f>L109</f>
        <v>26.5</v>
      </c>
    </row>
    <row r="129" spans="1:25">
      <c r="A129" s="4" t="s">
        <v>393</v>
      </c>
      <c r="B129" s="199">
        <f>T8</f>
        <v>0.5</v>
      </c>
      <c r="C129" s="199">
        <v>5</v>
      </c>
      <c r="D129" s="199">
        <f>T12</f>
        <v>2.2916666666666665</v>
      </c>
      <c r="E129" s="199">
        <f>T14</f>
        <v>1.6666666666666667</v>
      </c>
    </row>
    <row r="130" spans="1:25">
      <c r="A130" s="97">
        <f>Inputs!B14</f>
        <v>0.5</v>
      </c>
      <c r="B130" s="206" t="s">
        <v>473</v>
      </c>
    </row>
    <row r="131" spans="1:25">
      <c r="A131" s="33">
        <f>1-A130</f>
        <v>0.5</v>
      </c>
      <c r="B131" s="206" t="s">
        <v>480</v>
      </c>
    </row>
    <row r="133" spans="1:25">
      <c r="A133" s="78">
        <f>Inputs!B45</f>
        <v>3.3379682469616645E-2</v>
      </c>
      <c r="B133" s="78" t="str">
        <f>Inputs!A45</f>
        <v>AADT annual growth Future I-87 (2002-2019)</v>
      </c>
    </row>
    <row r="136" spans="1:25">
      <c r="A136" s="177" t="s">
        <v>448</v>
      </c>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row>
    <row r="137" spans="1:25">
      <c r="B137" s="731" t="s">
        <v>450</v>
      </c>
      <c r="C137" s="731"/>
      <c r="D137" s="731"/>
      <c r="E137" s="731"/>
      <c r="F137" s="165"/>
      <c r="G137" s="731" t="s">
        <v>449</v>
      </c>
      <c r="H137" s="731"/>
      <c r="I137" s="731"/>
      <c r="J137" s="731"/>
      <c r="K137" s="148"/>
      <c r="L137" s="731" t="s">
        <v>451</v>
      </c>
      <c r="M137" s="731"/>
      <c r="N137" s="731"/>
      <c r="O137" s="731"/>
      <c r="P137" s="148"/>
      <c r="Q137" s="731" t="s">
        <v>452</v>
      </c>
      <c r="R137" s="731"/>
      <c r="S137" s="731"/>
      <c r="T137" s="731"/>
      <c r="V137" s="731" t="s">
        <v>453</v>
      </c>
      <c r="W137" s="731"/>
      <c r="X137" s="165"/>
      <c r="Y137" s="165"/>
    </row>
    <row r="138" spans="1:25" s="119" customFormat="1" ht="60">
      <c r="B138" s="119" t="s">
        <v>374</v>
      </c>
      <c r="C138" s="119" t="s">
        <v>394</v>
      </c>
      <c r="D138" s="119" t="s">
        <v>264</v>
      </c>
      <c r="E138" s="119" t="s">
        <v>265</v>
      </c>
      <c r="G138" s="119" t="s">
        <v>374</v>
      </c>
      <c r="H138" s="119" t="s">
        <v>394</v>
      </c>
      <c r="I138" s="119" t="s">
        <v>264</v>
      </c>
      <c r="J138" s="119" t="s">
        <v>265</v>
      </c>
      <c r="K138" s="167"/>
      <c r="L138" s="119" t="s">
        <v>374</v>
      </c>
      <c r="M138" s="119" t="s">
        <v>394</v>
      </c>
      <c r="N138" s="119" t="s">
        <v>264</v>
      </c>
      <c r="O138" s="119" t="s">
        <v>265</v>
      </c>
      <c r="Q138" s="119" t="s">
        <v>374</v>
      </c>
      <c r="R138" s="119" t="s">
        <v>394</v>
      </c>
      <c r="S138" s="119" t="s">
        <v>264</v>
      </c>
      <c r="T138" s="119" t="s">
        <v>265</v>
      </c>
      <c r="V138" s="119" t="s">
        <v>264</v>
      </c>
      <c r="W138" s="119" t="s">
        <v>265</v>
      </c>
    </row>
    <row r="139" spans="1:25" s="119" customFormat="1">
      <c r="A139" s="111">
        <f>Inputs!$B$7</f>
        <v>2027</v>
      </c>
      <c r="B139" s="5">
        <f>AVERAGE($H$126)/2*(1+$A$133)^(A139-2019)</f>
        <v>16970.313287454141</v>
      </c>
      <c r="C139" s="5">
        <f t="shared" ref="C139:C159" si="0">B139*$B$129</f>
        <v>8485.1566437270703</v>
      </c>
      <c r="D139" s="5">
        <f t="shared" ref="D139:D159" si="1">C139*$B$128*$A$130</f>
        <v>178188.28951826849</v>
      </c>
      <c r="E139" s="60">
        <f t="shared" ref="E139:E159" si="2">C139*$B$127*$A$130</f>
        <v>4313.2879605612607</v>
      </c>
      <c r="F139" s="113"/>
      <c r="G139" s="5">
        <f>AVERAGE($H$126)*(1+$A$133)^(A139-2019)</f>
        <v>33940.626574908281</v>
      </c>
      <c r="H139" s="5">
        <f t="shared" ref="H139:H159" si="3">G139*$C$129</f>
        <v>169703.13287454139</v>
      </c>
      <c r="I139" s="5">
        <f t="shared" ref="I139:I159" si="4">H139*$C$128*$A$130</f>
        <v>933367.23080997763</v>
      </c>
      <c r="J139" s="60">
        <f t="shared" ref="J139:J159" si="5">H139*$C$127*$A$130</f>
        <v>22627.084383272191</v>
      </c>
      <c r="K139" s="167"/>
      <c r="L139" s="5">
        <f>AVERAGE($H$126)*(1+$A$133)^(A139-2019)</f>
        <v>33940.626574908281</v>
      </c>
      <c r="M139" s="5">
        <f t="shared" ref="M139:M159" si="6">L139*$D$129</f>
        <v>77780.602567498136</v>
      </c>
      <c r="N139" s="5">
        <f t="shared" ref="N139:N159" si="7">M139*$D$128*$A$130</f>
        <v>2675652.7283219364</v>
      </c>
      <c r="O139" s="60">
        <f t="shared" ref="O139:O159" si="8">M139*$D$127*$A$130</f>
        <v>59631.795301748563</v>
      </c>
      <c r="P139" s="167"/>
      <c r="Q139" s="5">
        <f>AVERAGE($H$126)/2*(1+$A$133)^(A139-2019)</f>
        <v>16970.313287454141</v>
      </c>
      <c r="R139" s="5">
        <f t="shared" ref="R139:R159" si="9">Q139*$E$129</f>
        <v>28283.855479090234</v>
      </c>
      <c r="S139" s="5">
        <f t="shared" ref="S139:S159" si="10">R139*$E$128*$A$130</f>
        <v>374761.08509794559</v>
      </c>
      <c r="T139" s="60">
        <f t="shared" ref="T139:T159" si="11">R139*$E$127*$A$130</f>
        <v>8485.1566437270703</v>
      </c>
      <c r="U139" s="167"/>
      <c r="V139" s="5">
        <f t="shared" ref="V139:W159" si="12">D139+I139+N139+S139</f>
        <v>4161969.3337481283</v>
      </c>
      <c r="W139" s="5">
        <f t="shared" si="12"/>
        <v>95057.324289309079</v>
      </c>
    </row>
    <row r="140" spans="1:25">
      <c r="A140" s="167">
        <f>A139+1</f>
        <v>2028</v>
      </c>
      <c r="B140" s="5">
        <f>B139*(1+$A$133)</f>
        <v>17536.776956399277</v>
      </c>
      <c r="C140" s="5">
        <f t="shared" si="0"/>
        <v>8768.3884781996385</v>
      </c>
      <c r="D140" s="5">
        <f t="shared" si="1"/>
        <v>184136.1580421924</v>
      </c>
      <c r="E140" s="60">
        <f t="shared" si="2"/>
        <v>4457.2641430848162</v>
      </c>
      <c r="F140" s="113"/>
      <c r="G140" s="5">
        <f t="shared" ref="G140:G169" si="13">AVERAGE($H$126)*(1+$A$133)^(A140-2019)</f>
        <v>35073.553912798547</v>
      </c>
      <c r="H140" s="5">
        <f t="shared" si="3"/>
        <v>175367.76956399274</v>
      </c>
      <c r="I140" s="5">
        <f t="shared" si="4"/>
        <v>964522.73260196007</v>
      </c>
      <c r="J140" s="60">
        <f t="shared" si="5"/>
        <v>23382.369275199038</v>
      </c>
      <c r="L140" s="5">
        <f t="shared" ref="L140:L169" si="14">AVERAGE($H$126)*(1+$A$133)^(A140-2019)</f>
        <v>35073.553912798547</v>
      </c>
      <c r="M140" s="5">
        <f t="shared" si="6"/>
        <v>80376.894383496663</v>
      </c>
      <c r="N140" s="5">
        <f t="shared" si="7"/>
        <v>2764965.1667922856</v>
      </c>
      <c r="O140" s="60">
        <f t="shared" si="8"/>
        <v>61622.285694014106</v>
      </c>
      <c r="Q140" s="5">
        <f t="shared" ref="Q140:Q169" si="15">AVERAGE($H$126)/2*(1+$A$133)^(A140-2019)</f>
        <v>17536.776956399273</v>
      </c>
      <c r="R140" s="5">
        <f t="shared" si="9"/>
        <v>29227.961593998789</v>
      </c>
      <c r="S140" s="5">
        <f t="shared" si="10"/>
        <v>387270.49112048396</v>
      </c>
      <c r="T140" s="60">
        <f t="shared" si="11"/>
        <v>8768.3884781996367</v>
      </c>
      <c r="V140" s="5">
        <f t="shared" si="12"/>
        <v>4300894.548556922</v>
      </c>
      <c r="W140" s="5">
        <f t="shared" si="12"/>
        <v>98230.307590497599</v>
      </c>
    </row>
    <row r="141" spans="1:25">
      <c r="A141" s="167">
        <f t="shared" ref="A141:A169" si="16">A140+1</f>
        <v>2029</v>
      </c>
      <c r="B141" s="5">
        <f>B140*(1+$A$133)</f>
        <v>18122.149002744376</v>
      </c>
      <c r="C141" s="5">
        <f t="shared" si="0"/>
        <v>9061.074501372188</v>
      </c>
      <c r="D141" s="5">
        <f t="shared" si="1"/>
        <v>190282.56452881594</v>
      </c>
      <c r="E141" s="60">
        <f t="shared" si="2"/>
        <v>4606.0462048641957</v>
      </c>
      <c r="F141" s="113"/>
      <c r="G141" s="5">
        <f t="shared" si="13"/>
        <v>36244.298005488745</v>
      </c>
      <c r="H141" s="5">
        <f t="shared" si="3"/>
        <v>181221.49002744374</v>
      </c>
      <c r="I141" s="5">
        <f t="shared" si="4"/>
        <v>996718.19515094056</v>
      </c>
      <c r="J141" s="60">
        <f t="shared" si="5"/>
        <v>24162.865336992501</v>
      </c>
      <c r="L141" s="5">
        <f t="shared" si="14"/>
        <v>36244.298005488745</v>
      </c>
      <c r="M141" s="5">
        <f t="shared" si="6"/>
        <v>83059.849595911699</v>
      </c>
      <c r="N141" s="5">
        <f t="shared" si="7"/>
        <v>2857258.8260993627</v>
      </c>
      <c r="O141" s="60">
        <f t="shared" si="8"/>
        <v>63679.218023532296</v>
      </c>
      <c r="Q141" s="5">
        <f t="shared" si="15"/>
        <v>18122.149002744372</v>
      </c>
      <c r="R141" s="5">
        <f t="shared" si="9"/>
        <v>30203.581671240623</v>
      </c>
      <c r="S141" s="5">
        <f t="shared" si="10"/>
        <v>400197.45714393829</v>
      </c>
      <c r="T141" s="60">
        <f t="shared" si="11"/>
        <v>9061.0745013721862</v>
      </c>
      <c r="V141" s="5">
        <f t="shared" si="12"/>
        <v>4444457.0429230575</v>
      </c>
      <c r="W141" s="5">
        <f t="shared" si="12"/>
        <v>101509.20406676119</v>
      </c>
    </row>
    <row r="142" spans="1:25">
      <c r="A142" s="167">
        <f t="shared" si="16"/>
        <v>2030</v>
      </c>
      <c r="B142" s="5">
        <f t="shared" ref="B142:B169" si="17">B141*(1+$A$133)</f>
        <v>18727.060582123064</v>
      </c>
      <c r="C142" s="5">
        <f t="shared" si="0"/>
        <v>9363.5302910615319</v>
      </c>
      <c r="D142" s="5">
        <f t="shared" si="1"/>
        <v>196634.13611229218</v>
      </c>
      <c r="E142" s="60">
        <f t="shared" si="2"/>
        <v>4759.7945646229455</v>
      </c>
      <c r="F142" s="113"/>
      <c r="G142" s="5">
        <f t="shared" si="13"/>
        <v>37454.121164246128</v>
      </c>
      <c r="H142" s="5">
        <f t="shared" si="3"/>
        <v>187270.60582123062</v>
      </c>
      <c r="I142" s="5">
        <f t="shared" si="4"/>
        <v>1029988.3320167684</v>
      </c>
      <c r="J142" s="60">
        <f t="shared" si="5"/>
        <v>24969.414109497422</v>
      </c>
      <c r="L142" s="5">
        <f t="shared" si="14"/>
        <v>37454.121164246128</v>
      </c>
      <c r="M142" s="5">
        <f t="shared" si="6"/>
        <v>85832.361001397367</v>
      </c>
      <c r="N142" s="5">
        <f t="shared" si="7"/>
        <v>2952633.2184480699</v>
      </c>
      <c r="O142" s="60">
        <f t="shared" si="8"/>
        <v>65804.810101071314</v>
      </c>
      <c r="Q142" s="5">
        <f t="shared" si="15"/>
        <v>18727.060582123064</v>
      </c>
      <c r="R142" s="5">
        <f t="shared" si="9"/>
        <v>31211.767636871773</v>
      </c>
      <c r="S142" s="5">
        <f t="shared" si="10"/>
        <v>413555.921188551</v>
      </c>
      <c r="T142" s="60">
        <f t="shared" si="11"/>
        <v>9363.5302910615319</v>
      </c>
      <c r="V142" s="5">
        <f t="shared" si="12"/>
        <v>4592811.607765682</v>
      </c>
      <c r="W142" s="5">
        <f t="shared" si="12"/>
        <v>104897.54906625321</v>
      </c>
    </row>
    <row r="143" spans="1:25">
      <c r="A143" s="167">
        <f t="shared" si="16"/>
        <v>2031</v>
      </c>
      <c r="B143" s="5">
        <f t="shared" si="17"/>
        <v>19352.163917943606</v>
      </c>
      <c r="C143" s="5">
        <f t="shared" si="0"/>
        <v>9676.081958971803</v>
      </c>
      <c r="D143" s="5">
        <f t="shared" si="1"/>
        <v>203197.72113840785</v>
      </c>
      <c r="E143" s="60">
        <f t="shared" si="2"/>
        <v>4918.6749958106666</v>
      </c>
      <c r="F143" s="113"/>
      <c r="G143" s="5">
        <f t="shared" si="13"/>
        <v>38704.327835887198</v>
      </c>
      <c r="H143" s="5">
        <f t="shared" si="3"/>
        <v>193521.639179436</v>
      </c>
      <c r="I143" s="5">
        <f t="shared" si="4"/>
        <v>1064369.0154868979</v>
      </c>
      <c r="J143" s="60">
        <f t="shared" si="5"/>
        <v>25802.885223924804</v>
      </c>
      <c r="L143" s="5">
        <f t="shared" si="14"/>
        <v>38704.327835887198</v>
      </c>
      <c r="M143" s="5">
        <f t="shared" si="6"/>
        <v>88697.417957241487</v>
      </c>
      <c r="N143" s="5">
        <f t="shared" si="7"/>
        <v>3051191.1777291074</v>
      </c>
      <c r="O143" s="60">
        <f t="shared" si="8"/>
        <v>68001.353767218461</v>
      </c>
      <c r="Q143" s="5">
        <f t="shared" si="15"/>
        <v>19352.163917943599</v>
      </c>
      <c r="R143" s="5">
        <f t="shared" si="9"/>
        <v>32253.606529905999</v>
      </c>
      <c r="S143" s="5">
        <f t="shared" si="10"/>
        <v>427360.28652125451</v>
      </c>
      <c r="T143" s="60">
        <f t="shared" si="11"/>
        <v>9676.0819589717994</v>
      </c>
      <c r="V143" s="5">
        <f t="shared" si="12"/>
        <v>4746118.2008756679</v>
      </c>
      <c r="W143" s="5">
        <f t="shared" si="12"/>
        <v>108398.99594592574</v>
      </c>
    </row>
    <row r="144" spans="1:25">
      <c r="A144" s="167">
        <f t="shared" si="16"/>
        <v>2032</v>
      </c>
      <c r="B144" s="5">
        <f t="shared" si="17"/>
        <v>19998.133004624535</v>
      </c>
      <c r="C144" s="5">
        <f t="shared" si="0"/>
        <v>9999.0665023122674</v>
      </c>
      <c r="D144" s="5">
        <f t="shared" si="1"/>
        <v>209980.39654855762</v>
      </c>
      <c r="E144" s="60">
        <f t="shared" si="2"/>
        <v>5082.858805342069</v>
      </c>
      <c r="F144" s="113"/>
      <c r="G144" s="5">
        <f t="shared" si="13"/>
        <v>39996.266009249062</v>
      </c>
      <c r="H144" s="5">
        <f t="shared" si="3"/>
        <v>199981.3300462453</v>
      </c>
      <c r="I144" s="5">
        <f t="shared" si="4"/>
        <v>1099897.3152543493</v>
      </c>
      <c r="J144" s="60">
        <f t="shared" si="5"/>
        <v>26664.17733949938</v>
      </c>
      <c r="L144" s="5">
        <f t="shared" si="14"/>
        <v>39996.266009249062</v>
      </c>
      <c r="M144" s="5">
        <f t="shared" si="6"/>
        <v>91658.109604529091</v>
      </c>
      <c r="N144" s="5">
        <f t="shared" si="7"/>
        <v>3153038.9703958011</v>
      </c>
      <c r="O144" s="60">
        <f t="shared" si="8"/>
        <v>70271.2173634723</v>
      </c>
      <c r="Q144" s="5">
        <f t="shared" si="15"/>
        <v>19998.133004624531</v>
      </c>
      <c r="R144" s="5">
        <f t="shared" si="9"/>
        <v>33330.221674374217</v>
      </c>
      <c r="S144" s="5">
        <f t="shared" si="10"/>
        <v>441625.43718545837</v>
      </c>
      <c r="T144" s="60">
        <f t="shared" si="11"/>
        <v>9999.0665023122656</v>
      </c>
      <c r="V144" s="5">
        <f t="shared" si="12"/>
        <v>4904542.1193841659</v>
      </c>
      <c r="W144" s="5">
        <f t="shared" si="12"/>
        <v>112017.32001062602</v>
      </c>
    </row>
    <row r="145" spans="1:23">
      <c r="A145" s="167">
        <f t="shared" si="16"/>
        <v>2033</v>
      </c>
      <c r="B145" s="5">
        <f t="shared" si="17"/>
        <v>20665.664334304063</v>
      </c>
      <c r="C145" s="5">
        <f t="shared" si="0"/>
        <v>10332.832167152032</v>
      </c>
      <c r="D145" s="5">
        <f t="shared" si="1"/>
        <v>216989.47551019266</v>
      </c>
      <c r="E145" s="60">
        <f t="shared" si="2"/>
        <v>5252.5230183022823</v>
      </c>
      <c r="F145" s="113"/>
      <c r="G145" s="5">
        <f t="shared" si="13"/>
        <v>41331.328668608119</v>
      </c>
      <c r="H145" s="5">
        <f t="shared" si="3"/>
        <v>206656.6433430406</v>
      </c>
      <c r="I145" s="5">
        <f t="shared" si="4"/>
        <v>1136611.5383867233</v>
      </c>
      <c r="J145" s="60">
        <f t="shared" si="5"/>
        <v>27554.219112405419</v>
      </c>
      <c r="L145" s="5">
        <f t="shared" si="14"/>
        <v>41331.328668608119</v>
      </c>
      <c r="M145" s="5">
        <f t="shared" si="6"/>
        <v>94717.628198893595</v>
      </c>
      <c r="N145" s="5">
        <f t="shared" si="7"/>
        <v>3258286.4100419404</v>
      </c>
      <c r="O145" s="60">
        <f t="shared" si="8"/>
        <v>72616.848285818414</v>
      </c>
      <c r="Q145" s="5">
        <f t="shared" si="15"/>
        <v>20665.66433430406</v>
      </c>
      <c r="R145" s="5">
        <f t="shared" si="9"/>
        <v>34442.773890506767</v>
      </c>
      <c r="S145" s="5">
        <f t="shared" si="10"/>
        <v>456366.75404921465</v>
      </c>
      <c r="T145" s="60">
        <f t="shared" si="11"/>
        <v>10332.83216715203</v>
      </c>
      <c r="V145" s="5">
        <f t="shared" si="12"/>
        <v>5068254.177988071</v>
      </c>
      <c r="W145" s="5">
        <f t="shared" si="12"/>
        <v>115756.42258367814</v>
      </c>
    </row>
    <row r="146" spans="1:23">
      <c r="A146" s="167">
        <f t="shared" si="16"/>
        <v>2034</v>
      </c>
      <c r="B146" s="5">
        <f t="shared" si="17"/>
        <v>21355.477647806816</v>
      </c>
      <c r="C146" s="5">
        <f t="shared" si="0"/>
        <v>10677.738823903408</v>
      </c>
      <c r="D146" s="5">
        <f t="shared" si="1"/>
        <v>224232.51530197158</v>
      </c>
      <c r="E146" s="60">
        <f t="shared" si="2"/>
        <v>5427.8505688175655</v>
      </c>
      <c r="F146" s="113"/>
      <c r="G146" s="5">
        <f t="shared" si="13"/>
        <v>42710.955295613618</v>
      </c>
      <c r="H146" s="5">
        <f t="shared" si="3"/>
        <v>213554.77647806809</v>
      </c>
      <c r="I146" s="5">
        <f t="shared" si="4"/>
        <v>1174551.2706293745</v>
      </c>
      <c r="J146" s="60">
        <f t="shared" si="5"/>
        <v>28473.970197075752</v>
      </c>
      <c r="L146" s="5">
        <f t="shared" si="14"/>
        <v>42710.955295613618</v>
      </c>
      <c r="M146" s="5">
        <f t="shared" si="6"/>
        <v>97879.272552447874</v>
      </c>
      <c r="N146" s="5">
        <f t="shared" si="7"/>
        <v>3367046.9758042074</v>
      </c>
      <c r="O146" s="60">
        <f t="shared" si="8"/>
        <v>75040.775623543363</v>
      </c>
      <c r="Q146" s="5">
        <f t="shared" si="15"/>
        <v>21355.477647806809</v>
      </c>
      <c r="R146" s="5">
        <f t="shared" si="9"/>
        <v>35592.462746344681</v>
      </c>
      <c r="S146" s="5">
        <f t="shared" si="10"/>
        <v>471600.13138906704</v>
      </c>
      <c r="T146" s="60">
        <f t="shared" si="11"/>
        <v>10677.738823903404</v>
      </c>
      <c r="V146" s="5">
        <f t="shared" si="12"/>
        <v>5237430.8931246195</v>
      </c>
      <c r="W146" s="5">
        <f t="shared" si="12"/>
        <v>119620.33521334009</v>
      </c>
    </row>
    <row r="147" spans="1:23">
      <c r="A147" s="167">
        <f t="shared" si="16"/>
        <v>2035</v>
      </c>
      <c r="B147" s="5">
        <f t="shared" si="17"/>
        <v>22068.316710677602</v>
      </c>
      <c r="C147" s="5">
        <f t="shared" si="0"/>
        <v>11034.158355338801</v>
      </c>
      <c r="D147" s="5">
        <f t="shared" si="1"/>
        <v>231717.32546211482</v>
      </c>
      <c r="E147" s="60">
        <f t="shared" si="2"/>
        <v>5609.0304972972235</v>
      </c>
      <c r="F147" s="113"/>
      <c r="G147" s="5">
        <f t="shared" si="13"/>
        <v>44136.633421355175</v>
      </c>
      <c r="H147" s="5">
        <f t="shared" si="3"/>
        <v>220683.16710677586</v>
      </c>
      <c r="I147" s="5">
        <f t="shared" si="4"/>
        <v>1213757.4190872672</v>
      </c>
      <c r="J147" s="60">
        <f t="shared" si="5"/>
        <v>29424.422280903455</v>
      </c>
      <c r="L147" s="5">
        <f t="shared" si="14"/>
        <v>44136.633421355175</v>
      </c>
      <c r="M147" s="5">
        <f t="shared" si="6"/>
        <v>101146.4515906056</v>
      </c>
      <c r="N147" s="5">
        <f t="shared" si="7"/>
        <v>3479437.9347168333</v>
      </c>
      <c r="O147" s="60">
        <f t="shared" si="8"/>
        <v>77545.612886130955</v>
      </c>
      <c r="Q147" s="5">
        <f t="shared" si="15"/>
        <v>22068.316710677587</v>
      </c>
      <c r="R147" s="5">
        <f t="shared" si="9"/>
        <v>36780.527851129315</v>
      </c>
      <c r="S147" s="5">
        <f t="shared" si="10"/>
        <v>487341.99402746343</v>
      </c>
      <c r="T147" s="60">
        <f t="shared" si="11"/>
        <v>11034.158355338794</v>
      </c>
      <c r="V147" s="5">
        <f t="shared" si="12"/>
        <v>5412254.673293679</v>
      </c>
      <c r="W147" s="5">
        <f t="shared" si="12"/>
        <v>123613.22401967042</v>
      </c>
    </row>
    <row r="148" spans="1:23">
      <c r="A148" s="167">
        <f t="shared" si="16"/>
        <v>2036</v>
      </c>
      <c r="B148" s="5">
        <f t="shared" si="17"/>
        <v>22804.950115118954</v>
      </c>
      <c r="C148" s="5">
        <f t="shared" si="0"/>
        <v>11402.475057559477</v>
      </c>
      <c r="D148" s="5">
        <f t="shared" si="1"/>
        <v>239451.97620874902</v>
      </c>
      <c r="E148" s="60">
        <f t="shared" si="2"/>
        <v>5796.2581542594007</v>
      </c>
      <c r="F148" s="113"/>
      <c r="G148" s="5">
        <f t="shared" si="13"/>
        <v>45609.900230237879</v>
      </c>
      <c r="H148" s="5">
        <f t="shared" si="3"/>
        <v>228049.50115118938</v>
      </c>
      <c r="I148" s="5">
        <f t="shared" si="4"/>
        <v>1254272.2563315416</v>
      </c>
      <c r="J148" s="60">
        <f t="shared" si="5"/>
        <v>30406.600153491923</v>
      </c>
      <c r="L148" s="5">
        <f t="shared" si="14"/>
        <v>45609.900230237879</v>
      </c>
      <c r="M148" s="5">
        <f t="shared" si="6"/>
        <v>104522.68802762846</v>
      </c>
      <c r="N148" s="5">
        <f t="shared" si="7"/>
        <v>3595580.4681504196</v>
      </c>
      <c r="O148" s="60">
        <f t="shared" si="8"/>
        <v>80134.060821181818</v>
      </c>
      <c r="Q148" s="5">
        <f t="shared" si="15"/>
        <v>22804.95011511894</v>
      </c>
      <c r="R148" s="5">
        <f t="shared" si="9"/>
        <v>38008.2501918649</v>
      </c>
      <c r="S148" s="5">
        <f t="shared" si="10"/>
        <v>503609.31504220993</v>
      </c>
      <c r="T148" s="60">
        <f t="shared" si="11"/>
        <v>11402.47505755947</v>
      </c>
      <c r="V148" s="5">
        <f t="shared" si="12"/>
        <v>5592914.0157329198</v>
      </c>
      <c r="W148" s="5">
        <f t="shared" si="12"/>
        <v>127739.3941864926</v>
      </c>
    </row>
    <row r="149" spans="1:23">
      <c r="A149" s="167">
        <f t="shared" si="16"/>
        <v>2037</v>
      </c>
      <c r="B149" s="5">
        <f t="shared" si="17"/>
        <v>23566.172108697072</v>
      </c>
      <c r="C149" s="5">
        <f t="shared" si="0"/>
        <v>11783.086054348536</v>
      </c>
      <c r="D149" s="5">
        <f t="shared" si="1"/>
        <v>247444.80714131927</v>
      </c>
      <c r="E149" s="60">
        <f t="shared" si="2"/>
        <v>5989.7354109605058</v>
      </c>
      <c r="F149" s="113"/>
      <c r="G149" s="5">
        <f t="shared" si="13"/>
        <v>47132.344217394115</v>
      </c>
      <c r="H149" s="5">
        <f t="shared" si="3"/>
        <v>235661.72108697059</v>
      </c>
      <c r="I149" s="5">
        <f t="shared" si="4"/>
        <v>1296139.4659783382</v>
      </c>
      <c r="J149" s="60">
        <f t="shared" si="5"/>
        <v>31421.562811596086</v>
      </c>
      <c r="L149" s="5">
        <f t="shared" si="14"/>
        <v>47132.344217394115</v>
      </c>
      <c r="M149" s="5">
        <f t="shared" si="6"/>
        <v>108011.6221648615</v>
      </c>
      <c r="N149" s="5">
        <f t="shared" si="7"/>
        <v>3715599.8024712363</v>
      </c>
      <c r="O149" s="60">
        <f t="shared" si="8"/>
        <v>82808.910326393816</v>
      </c>
      <c r="Q149" s="5">
        <f t="shared" si="15"/>
        <v>23566.172108697057</v>
      </c>
      <c r="R149" s="5">
        <f t="shared" si="9"/>
        <v>39276.953514495101</v>
      </c>
      <c r="S149" s="5">
        <f t="shared" si="10"/>
        <v>520419.63406706008</v>
      </c>
      <c r="T149" s="60">
        <f t="shared" si="11"/>
        <v>11783.086054348531</v>
      </c>
      <c r="V149" s="5">
        <f t="shared" si="12"/>
        <v>5779603.7096579541</v>
      </c>
      <c r="W149" s="5">
        <f t="shared" si="12"/>
        <v>132003.29460329894</v>
      </c>
    </row>
    <row r="150" spans="1:23">
      <c r="A150" s="167">
        <f t="shared" si="16"/>
        <v>2038</v>
      </c>
      <c r="B150" s="5">
        <f t="shared" si="17"/>
        <v>24352.803450709715</v>
      </c>
      <c r="C150" s="5">
        <f t="shared" si="0"/>
        <v>12176.401725354857</v>
      </c>
      <c r="D150" s="5">
        <f t="shared" si="1"/>
        <v>255704.43623245199</v>
      </c>
      <c r="E150" s="60">
        <f t="shared" si="2"/>
        <v>6189.6708770553851</v>
      </c>
      <c r="F150" s="113"/>
      <c r="G150" s="5">
        <f t="shared" si="13"/>
        <v>48705.606901419407</v>
      </c>
      <c r="H150" s="5">
        <f t="shared" si="3"/>
        <v>243528.03450709704</v>
      </c>
      <c r="I150" s="5">
        <f t="shared" si="4"/>
        <v>1339404.1897890337</v>
      </c>
      <c r="J150" s="60">
        <f t="shared" si="5"/>
        <v>32470.404600946276</v>
      </c>
      <c r="L150" s="5">
        <f t="shared" si="14"/>
        <v>48705.606901419407</v>
      </c>
      <c r="M150" s="5">
        <f t="shared" si="6"/>
        <v>111617.01581575281</v>
      </c>
      <c r="N150" s="5">
        <f t="shared" si="7"/>
        <v>3839625.3440618971</v>
      </c>
      <c r="O150" s="60">
        <f t="shared" si="8"/>
        <v>85573.045458743814</v>
      </c>
      <c r="Q150" s="5">
        <f t="shared" si="15"/>
        <v>24352.803450709704</v>
      </c>
      <c r="R150" s="5">
        <f t="shared" si="9"/>
        <v>40588.005751182842</v>
      </c>
      <c r="S150" s="5">
        <f t="shared" si="10"/>
        <v>537791.07620317268</v>
      </c>
      <c r="T150" s="60">
        <f t="shared" si="11"/>
        <v>12176.401725354852</v>
      </c>
      <c r="V150" s="5">
        <f t="shared" si="12"/>
        <v>5972525.0462865559</v>
      </c>
      <c r="W150" s="5">
        <f t="shared" si="12"/>
        <v>136409.52266210032</v>
      </c>
    </row>
    <row r="151" spans="1:23">
      <c r="A151" s="167">
        <f t="shared" si="16"/>
        <v>2039</v>
      </c>
      <c r="B151" s="5">
        <f t="shared" si="17"/>
        <v>25165.692297139391</v>
      </c>
      <c r="C151" s="5">
        <f t="shared" si="0"/>
        <v>12582.846148569695</v>
      </c>
      <c r="D151" s="5">
        <f t="shared" si="1"/>
        <v>264239.76911996357</v>
      </c>
      <c r="E151" s="60">
        <f t="shared" si="2"/>
        <v>6396.2801255229278</v>
      </c>
      <c r="F151" s="113"/>
      <c r="G151" s="5">
        <f t="shared" si="13"/>
        <v>50331.384594278745</v>
      </c>
      <c r="H151" s="5">
        <f t="shared" si="3"/>
        <v>251656.92297139374</v>
      </c>
      <c r="I151" s="5">
        <f t="shared" si="4"/>
        <v>1384113.0763426656</v>
      </c>
      <c r="J151" s="60">
        <f t="shared" si="5"/>
        <v>33554.25639618584</v>
      </c>
      <c r="L151" s="5">
        <f t="shared" si="14"/>
        <v>50331.384594278745</v>
      </c>
      <c r="M151" s="5">
        <f t="shared" si="6"/>
        <v>115342.75636188878</v>
      </c>
      <c r="N151" s="5">
        <f t="shared" si="7"/>
        <v>3967790.8188489745</v>
      </c>
      <c r="O151" s="60">
        <f t="shared" si="8"/>
        <v>88429.446544114719</v>
      </c>
      <c r="Q151" s="5">
        <f t="shared" si="15"/>
        <v>25165.692297139372</v>
      </c>
      <c r="R151" s="5">
        <f t="shared" si="9"/>
        <v>41942.820495232292</v>
      </c>
      <c r="S151" s="5">
        <f t="shared" si="10"/>
        <v>555742.37156182784</v>
      </c>
      <c r="T151" s="60">
        <f t="shared" si="11"/>
        <v>12582.846148569688</v>
      </c>
      <c r="V151" s="5">
        <f t="shared" si="12"/>
        <v>6171886.0358734317</v>
      </c>
      <c r="W151" s="5">
        <f t="shared" si="12"/>
        <v>140962.82921439316</v>
      </c>
    </row>
    <row r="152" spans="1:23">
      <c r="A152" s="167">
        <f t="shared" si="16"/>
        <v>2040</v>
      </c>
      <c r="B152" s="5">
        <f t="shared" si="17"/>
        <v>26005.71511514598</v>
      </c>
      <c r="C152" s="5">
        <f t="shared" si="0"/>
        <v>13002.85755757299</v>
      </c>
      <c r="D152" s="5">
        <f t="shared" si="1"/>
        <v>273060.00870903279</v>
      </c>
      <c r="E152" s="60">
        <f t="shared" si="2"/>
        <v>6609.7859250996025</v>
      </c>
      <c r="F152" s="113"/>
      <c r="G152" s="5">
        <f t="shared" si="13"/>
        <v>52011.430230291931</v>
      </c>
      <c r="H152" s="5">
        <f t="shared" si="3"/>
        <v>260057.15115145966</v>
      </c>
      <c r="I152" s="5">
        <f t="shared" si="4"/>
        <v>1430314.3313330282</v>
      </c>
      <c r="J152" s="60">
        <f t="shared" si="5"/>
        <v>34674.286820194626</v>
      </c>
      <c r="L152" s="5">
        <f t="shared" si="14"/>
        <v>52011.430230291931</v>
      </c>
      <c r="M152" s="5">
        <f t="shared" si="6"/>
        <v>119192.86094441901</v>
      </c>
      <c r="N152" s="5">
        <f t="shared" si="7"/>
        <v>4100234.4164880146</v>
      </c>
      <c r="O152" s="60">
        <f t="shared" si="8"/>
        <v>91381.193390721237</v>
      </c>
      <c r="Q152" s="5">
        <f t="shared" si="15"/>
        <v>26005.715115145966</v>
      </c>
      <c r="R152" s="5">
        <f t="shared" si="9"/>
        <v>43342.858525243275</v>
      </c>
      <c r="S152" s="5">
        <f t="shared" si="10"/>
        <v>574292.87545947335</v>
      </c>
      <c r="T152" s="60">
        <f t="shared" si="11"/>
        <v>13002.857557572983</v>
      </c>
      <c r="V152" s="5">
        <f t="shared" si="12"/>
        <v>6377901.6319895489</v>
      </c>
      <c r="W152" s="5">
        <f t="shared" si="12"/>
        <v>145668.12369358845</v>
      </c>
    </row>
    <row r="153" spans="1:23">
      <c r="A153" s="167">
        <f t="shared" si="16"/>
        <v>2041</v>
      </c>
      <c r="B153" s="5">
        <f t="shared" si="17"/>
        <v>26873.777628084863</v>
      </c>
      <c r="C153" s="5">
        <f t="shared" si="0"/>
        <v>13436.888814042431</v>
      </c>
      <c r="D153" s="5">
        <f t="shared" si="1"/>
        <v>282174.66509489104</v>
      </c>
      <c r="E153" s="60">
        <f t="shared" si="2"/>
        <v>6830.4184804715687</v>
      </c>
      <c r="F153" s="113"/>
      <c r="G153" s="5">
        <f t="shared" si="13"/>
        <v>53747.555256169697</v>
      </c>
      <c r="H153" s="5">
        <f t="shared" si="3"/>
        <v>268737.77628084848</v>
      </c>
      <c r="I153" s="5">
        <f t="shared" si="4"/>
        <v>1478057.7695446666</v>
      </c>
      <c r="J153" s="60">
        <f t="shared" si="5"/>
        <v>35831.703504113138</v>
      </c>
      <c r="L153" s="5">
        <f t="shared" si="14"/>
        <v>53747.555256169697</v>
      </c>
      <c r="M153" s="5">
        <f t="shared" si="6"/>
        <v>123171.48079538888</v>
      </c>
      <c r="N153" s="5">
        <f t="shared" si="7"/>
        <v>4237098.9393613786</v>
      </c>
      <c r="O153" s="60">
        <f t="shared" si="8"/>
        <v>94431.468609798132</v>
      </c>
      <c r="Q153" s="5">
        <f t="shared" si="15"/>
        <v>26873.777628084848</v>
      </c>
      <c r="R153" s="5">
        <f t="shared" si="9"/>
        <v>44789.629380141414</v>
      </c>
      <c r="S153" s="5">
        <f t="shared" si="10"/>
        <v>593462.5892868737</v>
      </c>
      <c r="T153" s="60">
        <f t="shared" si="11"/>
        <v>13436.888814042424</v>
      </c>
      <c r="V153" s="5">
        <f t="shared" si="12"/>
        <v>6590793.9632878108</v>
      </c>
      <c r="W153" s="5">
        <f t="shared" si="12"/>
        <v>150530.47940842528</v>
      </c>
    </row>
    <row r="154" spans="1:23">
      <c r="A154" s="167">
        <f t="shared" si="16"/>
        <v>2042</v>
      </c>
      <c r="B154" s="5">
        <f t="shared" si="17"/>
        <v>27770.815792069425</v>
      </c>
      <c r="C154" s="5">
        <f t="shared" si="0"/>
        <v>13885.407896034712</v>
      </c>
      <c r="D154" s="5">
        <f t="shared" si="1"/>
        <v>291593.56581672898</v>
      </c>
      <c r="E154" s="60">
        <f t="shared" si="2"/>
        <v>7058.4156804843115</v>
      </c>
      <c r="F154" s="113"/>
      <c r="G154" s="5">
        <f t="shared" si="13"/>
        <v>55541.631584138806</v>
      </c>
      <c r="H154" s="5">
        <f t="shared" si="3"/>
        <v>277708.15792069404</v>
      </c>
      <c r="I154" s="5">
        <f t="shared" si="4"/>
        <v>1527394.8685638171</v>
      </c>
      <c r="J154" s="60">
        <f t="shared" si="5"/>
        <v>37027.754389425878</v>
      </c>
      <c r="L154" s="5">
        <f t="shared" si="14"/>
        <v>55541.631584138806</v>
      </c>
      <c r="M154" s="5">
        <f t="shared" si="6"/>
        <v>127282.90571365142</v>
      </c>
      <c r="N154" s="5">
        <f t="shared" si="7"/>
        <v>4378531.9565496091</v>
      </c>
      <c r="O154" s="60">
        <f t="shared" si="8"/>
        <v>97583.561047132738</v>
      </c>
      <c r="Q154" s="5">
        <f t="shared" si="15"/>
        <v>27770.815792069403</v>
      </c>
      <c r="R154" s="5">
        <f t="shared" si="9"/>
        <v>46284.692986782342</v>
      </c>
      <c r="S154" s="5">
        <f t="shared" si="10"/>
        <v>613272.18207486602</v>
      </c>
      <c r="T154" s="60">
        <f t="shared" si="11"/>
        <v>13885.407896034701</v>
      </c>
      <c r="V154" s="5">
        <f t="shared" si="12"/>
        <v>6810792.5730050215</v>
      </c>
      <c r="W154" s="5">
        <f t="shared" si="12"/>
        <v>155555.13901307766</v>
      </c>
    </row>
    <row r="155" spans="1:23">
      <c r="A155" s="167">
        <f t="shared" si="16"/>
        <v>2043</v>
      </c>
      <c r="B155" s="5">
        <f t="shared" si="17"/>
        <v>28697.796805130918</v>
      </c>
      <c r="C155" s="5">
        <f t="shared" si="0"/>
        <v>14348.898402565459</v>
      </c>
      <c r="D155" s="5">
        <f t="shared" si="1"/>
        <v>301326.86645387462</v>
      </c>
      <c r="E155" s="60">
        <f t="shared" si="2"/>
        <v>7294.0233546374411</v>
      </c>
      <c r="F155" s="113"/>
      <c r="G155" s="5">
        <f t="shared" si="13"/>
        <v>57395.593610261785</v>
      </c>
      <c r="H155" s="5">
        <f t="shared" si="3"/>
        <v>286977.96805130894</v>
      </c>
      <c r="I155" s="5">
        <f t="shared" si="4"/>
        <v>1578378.8242821991</v>
      </c>
      <c r="J155" s="60">
        <f t="shared" si="5"/>
        <v>38263.729073507864</v>
      </c>
      <c r="L155" s="5">
        <f t="shared" si="14"/>
        <v>57395.593610261785</v>
      </c>
      <c r="M155" s="5">
        <f t="shared" si="6"/>
        <v>131531.56869018325</v>
      </c>
      <c r="N155" s="5">
        <f t="shared" si="7"/>
        <v>4524685.962942305</v>
      </c>
      <c r="O155" s="60">
        <f t="shared" si="8"/>
        <v>100840.86932914049</v>
      </c>
      <c r="Q155" s="5">
        <f t="shared" si="15"/>
        <v>28697.796805130893</v>
      </c>
      <c r="R155" s="5">
        <f t="shared" si="9"/>
        <v>47829.661341884821</v>
      </c>
      <c r="S155" s="5">
        <f t="shared" si="10"/>
        <v>633743.01277997391</v>
      </c>
      <c r="T155" s="60">
        <f t="shared" si="11"/>
        <v>14348.898402565446</v>
      </c>
      <c r="V155" s="5">
        <f t="shared" si="12"/>
        <v>7038134.6664583534</v>
      </c>
      <c r="W155" s="5">
        <f t="shared" si="12"/>
        <v>160747.52015985124</v>
      </c>
    </row>
    <row r="156" spans="1:23">
      <c r="A156" s="167">
        <f t="shared" si="16"/>
        <v>2044</v>
      </c>
      <c r="B156" s="5">
        <f t="shared" si="17"/>
        <v>29655.720150063768</v>
      </c>
      <c r="C156" s="5">
        <f t="shared" si="0"/>
        <v>14827.860075031884</v>
      </c>
      <c r="D156" s="5">
        <f t="shared" si="1"/>
        <v>311385.06157566956</v>
      </c>
      <c r="E156" s="60">
        <f t="shared" si="2"/>
        <v>7537.4955381412074</v>
      </c>
      <c r="F156" s="113"/>
      <c r="G156" s="5">
        <f t="shared" si="13"/>
        <v>59311.440300127477</v>
      </c>
      <c r="H156" s="5">
        <f t="shared" si="3"/>
        <v>296557.2015006374</v>
      </c>
      <c r="I156" s="5">
        <f t="shared" si="4"/>
        <v>1631064.6082535058</v>
      </c>
      <c r="J156" s="60">
        <f t="shared" si="5"/>
        <v>39540.960200084992</v>
      </c>
      <c r="L156" s="5">
        <f t="shared" si="14"/>
        <v>59311.440300127477</v>
      </c>
      <c r="M156" s="5">
        <f t="shared" si="6"/>
        <v>135922.05068779213</v>
      </c>
      <c r="N156" s="5">
        <f t="shared" si="7"/>
        <v>4675718.5436600503</v>
      </c>
      <c r="O156" s="60">
        <f t="shared" si="8"/>
        <v>104206.90552730729</v>
      </c>
      <c r="Q156" s="5">
        <f t="shared" si="15"/>
        <v>29655.720150063738</v>
      </c>
      <c r="R156" s="5">
        <f t="shared" si="9"/>
        <v>49426.200250106231</v>
      </c>
      <c r="S156" s="5">
        <f t="shared" si="10"/>
        <v>654897.15331390756</v>
      </c>
      <c r="T156" s="60">
        <f t="shared" si="11"/>
        <v>14827.860075031869</v>
      </c>
      <c r="V156" s="5">
        <f t="shared" si="12"/>
        <v>7273065.3668031329</v>
      </c>
      <c r="W156" s="5">
        <f t="shared" si="12"/>
        <v>166113.22134056536</v>
      </c>
    </row>
    <row r="157" spans="1:23">
      <c r="A157" s="167">
        <f t="shared" si="16"/>
        <v>2045</v>
      </c>
      <c r="B157" s="5">
        <f t="shared" si="17"/>
        <v>30645.618672080709</v>
      </c>
      <c r="C157" s="5">
        <f t="shared" si="0"/>
        <v>15322.809336040355</v>
      </c>
      <c r="D157" s="5">
        <f t="shared" si="1"/>
        <v>321778.99605684745</v>
      </c>
      <c r="E157" s="60">
        <f t="shared" si="2"/>
        <v>7789.0947458205128</v>
      </c>
      <c r="F157" s="113"/>
      <c r="G157" s="5">
        <f t="shared" si="13"/>
        <v>61291.23734416136</v>
      </c>
      <c r="H157" s="5">
        <f t="shared" si="3"/>
        <v>306456.18672080681</v>
      </c>
      <c r="I157" s="5">
        <f t="shared" si="4"/>
        <v>1685509.0269644374</v>
      </c>
      <c r="J157" s="60">
        <f t="shared" si="5"/>
        <v>40860.824896107581</v>
      </c>
      <c r="L157" s="5">
        <f t="shared" si="14"/>
        <v>61291.23734416136</v>
      </c>
      <c r="M157" s="5">
        <f t="shared" si="6"/>
        <v>140459.08558036978</v>
      </c>
      <c r="N157" s="5">
        <f t="shared" si="7"/>
        <v>4831792.5439647213</v>
      </c>
      <c r="O157" s="60">
        <f t="shared" si="8"/>
        <v>107685.29894495015</v>
      </c>
      <c r="Q157" s="5">
        <f t="shared" si="15"/>
        <v>30645.61867208068</v>
      </c>
      <c r="R157" s="5">
        <f t="shared" si="9"/>
        <v>51076.031120134467</v>
      </c>
      <c r="S157" s="5">
        <f t="shared" si="10"/>
        <v>676757.41234178166</v>
      </c>
      <c r="T157" s="60">
        <f t="shared" si="11"/>
        <v>15322.80933604034</v>
      </c>
      <c r="V157" s="5">
        <f t="shared" si="12"/>
        <v>7515837.9793277876</v>
      </c>
      <c r="W157" s="5">
        <f t="shared" si="12"/>
        <v>171658.02792291858</v>
      </c>
    </row>
    <row r="158" spans="1:23">
      <c r="A158" s="167">
        <f t="shared" si="16"/>
        <v>2046</v>
      </c>
      <c r="B158" s="5">
        <f t="shared" si="17"/>
        <v>31668.559692439718</v>
      </c>
      <c r="C158" s="5">
        <f t="shared" si="0"/>
        <v>15834.279846219859</v>
      </c>
      <c r="D158" s="5">
        <f t="shared" si="1"/>
        <v>332519.87677061703</v>
      </c>
      <c r="E158" s="60">
        <f t="shared" si="2"/>
        <v>8049.0922551617614</v>
      </c>
      <c r="F158" s="113"/>
      <c r="G158" s="5">
        <f t="shared" si="13"/>
        <v>63337.119384879385</v>
      </c>
      <c r="H158" s="5">
        <f t="shared" si="3"/>
        <v>316685.59692439693</v>
      </c>
      <c r="I158" s="5">
        <f t="shared" si="4"/>
        <v>1741770.783084183</v>
      </c>
      <c r="J158" s="60">
        <f t="shared" si="5"/>
        <v>42224.746256586266</v>
      </c>
      <c r="L158" s="5">
        <f t="shared" si="14"/>
        <v>63337.119384879385</v>
      </c>
      <c r="M158" s="5">
        <f t="shared" si="6"/>
        <v>145147.56525701526</v>
      </c>
      <c r="N158" s="5">
        <f t="shared" si="7"/>
        <v>4993076.244841326</v>
      </c>
      <c r="O158" s="60">
        <f t="shared" si="8"/>
        <v>111279.80003037836</v>
      </c>
      <c r="Q158" s="5">
        <f t="shared" si="15"/>
        <v>31668.559692439692</v>
      </c>
      <c r="R158" s="5">
        <f t="shared" si="9"/>
        <v>52780.932820732822</v>
      </c>
      <c r="S158" s="5">
        <f t="shared" si="10"/>
        <v>699347.35987470986</v>
      </c>
      <c r="T158" s="60">
        <f t="shared" si="11"/>
        <v>15834.279846219846</v>
      </c>
      <c r="V158" s="5">
        <f t="shared" si="12"/>
        <v>7766714.264570835</v>
      </c>
      <c r="W158" s="5">
        <f t="shared" si="12"/>
        <v>177387.91838834624</v>
      </c>
    </row>
    <row r="159" spans="1:23">
      <c r="A159" s="167">
        <f t="shared" si="16"/>
        <v>2047</v>
      </c>
      <c r="B159" s="5">
        <f t="shared" si="17"/>
        <v>32725.646159243457</v>
      </c>
      <c r="C159" s="5">
        <f t="shared" si="0"/>
        <v>16362.823079621729</v>
      </c>
      <c r="D159" s="5">
        <f t="shared" si="1"/>
        <v>343619.28467205632</v>
      </c>
      <c r="E159" s="60">
        <f t="shared" si="2"/>
        <v>8317.7683988077115</v>
      </c>
      <c r="F159" s="113"/>
      <c r="G159" s="5">
        <f t="shared" si="13"/>
        <v>65451.292318486834</v>
      </c>
      <c r="H159" s="5">
        <f t="shared" si="3"/>
        <v>327256.46159243415</v>
      </c>
      <c r="I159" s="5">
        <f t="shared" si="4"/>
        <v>1799910.5387583878</v>
      </c>
      <c r="J159" s="60">
        <f t="shared" si="5"/>
        <v>43634.194878991228</v>
      </c>
      <c r="L159" s="5">
        <f t="shared" si="14"/>
        <v>65451.292318486834</v>
      </c>
      <c r="M159" s="5">
        <f t="shared" si="6"/>
        <v>149992.54489653232</v>
      </c>
      <c r="N159" s="5">
        <f t="shared" si="7"/>
        <v>5159743.5444407128</v>
      </c>
      <c r="O159" s="60">
        <f t="shared" si="8"/>
        <v>114994.28442067477</v>
      </c>
      <c r="Q159" s="5">
        <f t="shared" si="15"/>
        <v>32725.646159243417</v>
      </c>
      <c r="R159" s="5">
        <f t="shared" si="9"/>
        <v>54542.743598739027</v>
      </c>
      <c r="S159" s="5">
        <f t="shared" si="10"/>
        <v>722691.35268329212</v>
      </c>
      <c r="T159" s="60">
        <f t="shared" si="11"/>
        <v>16362.823079621707</v>
      </c>
      <c r="V159" s="5">
        <f t="shared" si="12"/>
        <v>8025964.7205544487</v>
      </c>
      <c r="W159" s="5">
        <f t="shared" si="12"/>
        <v>183309.07077809543</v>
      </c>
    </row>
    <row r="160" spans="1:23" s="206" customFormat="1">
      <c r="A160" s="206">
        <f t="shared" si="16"/>
        <v>2048</v>
      </c>
      <c r="B160" s="5">
        <f t="shared" si="17"/>
        <v>33818.017836652034</v>
      </c>
      <c r="C160" s="5">
        <f t="shared" ref="C160:C169" si="18">B160*$B$129</f>
        <v>16909.008918326017</v>
      </c>
      <c r="D160" s="5">
        <f t="shared" ref="D160:D169" si="19">C160*$B$128*$A$130</f>
        <v>355089.18728484638</v>
      </c>
      <c r="E160" s="60">
        <f t="shared" ref="E160:E169" si="20">C160*$B$127*$A$130</f>
        <v>8595.4128668157246</v>
      </c>
      <c r="F160" s="210"/>
      <c r="G160" s="5">
        <f t="shared" si="13"/>
        <v>67636.035673303995</v>
      </c>
      <c r="H160" s="5">
        <f t="shared" ref="H160:H169" si="21">G160*$C$129</f>
        <v>338180.17836651998</v>
      </c>
      <c r="I160" s="5">
        <f t="shared" ref="I160:I169" si="22">H160*$C$128*$A$130</f>
        <v>1859990.9810158599</v>
      </c>
      <c r="J160" s="60">
        <f t="shared" ref="J160:J169" si="23">H160*$C$127*$A$130</f>
        <v>45090.69044886934</v>
      </c>
      <c r="L160" s="5">
        <f t="shared" si="14"/>
        <v>67636.035673303995</v>
      </c>
      <c r="M160" s="5">
        <f t="shared" ref="M160:M169" si="24">L160*$D$129</f>
        <v>154999.2484179883</v>
      </c>
      <c r="N160" s="5">
        <f t="shared" ref="N160:N169" si="25">M160*$D$128*$A$130</f>
        <v>5331974.1455787988</v>
      </c>
      <c r="O160" s="60">
        <f t="shared" ref="O160:O169" si="26">M160*$D$127*$A$130</f>
        <v>118832.7571204577</v>
      </c>
      <c r="Q160" s="5">
        <f t="shared" si="15"/>
        <v>33818.017836651998</v>
      </c>
      <c r="R160" s="5">
        <f t="shared" ref="R160:R169" si="27">Q160*$E$129</f>
        <v>56363.363061086668</v>
      </c>
      <c r="S160" s="5">
        <f t="shared" ref="S160:S169" si="28">R160*$E$128*$A$130</f>
        <v>746814.56055939838</v>
      </c>
      <c r="T160" s="60">
        <f t="shared" ref="T160:T169" si="29">R160*$E$127*$A$130</f>
        <v>16909.008918325999</v>
      </c>
      <c r="V160" s="5">
        <f t="shared" ref="V160:V169" si="30">D160+I160+N160+S160</f>
        <v>8293868.8744389033</v>
      </c>
      <c r="W160" s="5">
        <f t="shared" ref="W160:W169" si="31">E160+J160+O160+T160</f>
        <v>189427.86935446877</v>
      </c>
    </row>
    <row r="161" spans="1:23" s="206" customFormat="1">
      <c r="A161" s="206">
        <f t="shared" si="16"/>
        <v>2049</v>
      </c>
      <c r="B161" s="5">
        <f t="shared" si="17"/>
        <v>34946.852533791309</v>
      </c>
      <c r="C161" s="5">
        <f t="shared" si="18"/>
        <v>17473.426266895654</v>
      </c>
      <c r="D161" s="5">
        <f t="shared" si="19"/>
        <v>366941.95160480874</v>
      </c>
      <c r="E161" s="60">
        <f t="shared" si="20"/>
        <v>8882.3250190052913</v>
      </c>
      <c r="F161" s="210"/>
      <c r="G161" s="5">
        <f t="shared" si="13"/>
        <v>69893.705067582545</v>
      </c>
      <c r="H161" s="5">
        <f t="shared" si="21"/>
        <v>349468.52533791272</v>
      </c>
      <c r="I161" s="5">
        <f t="shared" si="22"/>
        <v>1922076.88935852</v>
      </c>
      <c r="J161" s="60">
        <f t="shared" si="23"/>
        <v>46595.803378388373</v>
      </c>
      <c r="L161" s="5">
        <f t="shared" si="14"/>
        <v>69893.705067582545</v>
      </c>
      <c r="M161" s="5">
        <f t="shared" si="24"/>
        <v>160173.07411320999</v>
      </c>
      <c r="N161" s="5">
        <f t="shared" si="25"/>
        <v>5509953.749494425</v>
      </c>
      <c r="O161" s="60">
        <f t="shared" si="26"/>
        <v>122799.35682012765</v>
      </c>
      <c r="Q161" s="5">
        <f t="shared" si="15"/>
        <v>34946.852533791272</v>
      </c>
      <c r="R161" s="5">
        <f t="shared" si="27"/>
        <v>58244.754222985459</v>
      </c>
      <c r="S161" s="5">
        <f t="shared" si="28"/>
        <v>771742.99345455738</v>
      </c>
      <c r="T161" s="60">
        <f t="shared" si="29"/>
        <v>17473.426266895636</v>
      </c>
      <c r="V161" s="5">
        <f t="shared" si="30"/>
        <v>8570715.5839123111</v>
      </c>
      <c r="W161" s="5">
        <f t="shared" si="31"/>
        <v>195750.91148441695</v>
      </c>
    </row>
    <row r="162" spans="1:23" s="206" customFormat="1">
      <c r="A162" s="206">
        <f t="shared" si="16"/>
        <v>2050</v>
      </c>
      <c r="B162" s="5">
        <f t="shared" si="17"/>
        <v>36113.36737468178</v>
      </c>
      <c r="C162" s="5">
        <f t="shared" si="18"/>
        <v>18056.68368734089</v>
      </c>
      <c r="D162" s="5">
        <f t="shared" si="19"/>
        <v>379190.35743415868</v>
      </c>
      <c r="E162" s="60">
        <f t="shared" si="20"/>
        <v>9178.8142077316188</v>
      </c>
      <c r="F162" s="210"/>
      <c r="G162" s="5">
        <f t="shared" si="13"/>
        <v>72226.734749363473</v>
      </c>
      <c r="H162" s="5">
        <f t="shared" si="21"/>
        <v>361133.6737468174</v>
      </c>
      <c r="I162" s="5">
        <f t="shared" si="22"/>
        <v>1986235.2056074957</v>
      </c>
      <c r="J162" s="60">
        <f t="shared" si="23"/>
        <v>48151.156499575663</v>
      </c>
      <c r="L162" s="5">
        <f t="shared" si="14"/>
        <v>72226.734749363473</v>
      </c>
      <c r="M162" s="5">
        <f t="shared" si="24"/>
        <v>165519.60046729128</v>
      </c>
      <c r="N162" s="5">
        <f t="shared" si="25"/>
        <v>5693874.2560748206</v>
      </c>
      <c r="O162" s="60">
        <f t="shared" si="26"/>
        <v>126898.36035825664</v>
      </c>
      <c r="Q162" s="5">
        <f t="shared" si="15"/>
        <v>36113.367374681737</v>
      </c>
      <c r="R162" s="5">
        <f t="shared" si="27"/>
        <v>60188.945624469561</v>
      </c>
      <c r="S162" s="5">
        <f t="shared" si="28"/>
        <v>797503.52952422167</v>
      </c>
      <c r="T162" s="60">
        <f t="shared" si="29"/>
        <v>18056.683687340868</v>
      </c>
      <c r="V162" s="5">
        <f t="shared" si="30"/>
        <v>8856803.3486406971</v>
      </c>
      <c r="W162" s="5">
        <f t="shared" si="31"/>
        <v>202285.0147529048</v>
      </c>
    </row>
    <row r="163" spans="1:23" s="206" customFormat="1">
      <c r="A163" s="206">
        <f t="shared" si="16"/>
        <v>2051</v>
      </c>
      <c r="B163" s="5">
        <f t="shared" si="17"/>
        <v>37318.820110557273</v>
      </c>
      <c r="C163" s="5">
        <f t="shared" si="18"/>
        <v>18659.410055278637</v>
      </c>
      <c r="D163" s="5">
        <f t="shared" si="19"/>
        <v>391847.61116085137</v>
      </c>
      <c r="E163" s="60">
        <f t="shared" si="20"/>
        <v>9485.200111433307</v>
      </c>
      <c r="F163" s="210"/>
      <c r="G163" s="5">
        <f t="shared" si="13"/>
        <v>74637.640221114445</v>
      </c>
      <c r="H163" s="5">
        <f t="shared" si="21"/>
        <v>373188.20110557223</v>
      </c>
      <c r="I163" s="5">
        <f t="shared" si="22"/>
        <v>2052535.1060806473</v>
      </c>
      <c r="J163" s="60">
        <f t="shared" si="23"/>
        <v>49758.426814076309</v>
      </c>
      <c r="L163" s="5">
        <f t="shared" si="14"/>
        <v>74637.640221114445</v>
      </c>
      <c r="M163" s="5">
        <f t="shared" si="24"/>
        <v>171044.59217338727</v>
      </c>
      <c r="N163" s="5">
        <f t="shared" si="25"/>
        <v>5883933.9707645234</v>
      </c>
      <c r="O163" s="60">
        <f t="shared" si="26"/>
        <v>131134.18733293022</v>
      </c>
      <c r="Q163" s="5">
        <f t="shared" si="15"/>
        <v>37318.820110557223</v>
      </c>
      <c r="R163" s="5">
        <f t="shared" si="27"/>
        <v>62198.033517595373</v>
      </c>
      <c r="S163" s="5">
        <f t="shared" si="28"/>
        <v>824123.94410813868</v>
      </c>
      <c r="T163" s="60">
        <f t="shared" si="29"/>
        <v>18659.410055278611</v>
      </c>
      <c r="V163" s="5">
        <f t="shared" si="30"/>
        <v>9152440.6321141608</v>
      </c>
      <c r="W163" s="5">
        <f t="shared" si="31"/>
        <v>209037.22431371844</v>
      </c>
    </row>
    <row r="164" spans="1:23" s="206" customFormat="1">
      <c r="A164" s="206">
        <f t="shared" si="16"/>
        <v>2052</v>
      </c>
      <c r="B164" s="5">
        <f t="shared" si="17"/>
        <v>38564.51047598842</v>
      </c>
      <c r="C164" s="5">
        <f t="shared" si="18"/>
        <v>19282.25523799421</v>
      </c>
      <c r="D164" s="5">
        <f t="shared" si="19"/>
        <v>404927.35999787843</v>
      </c>
      <c r="E164" s="60">
        <f t="shared" si="20"/>
        <v>9801.8130793137225</v>
      </c>
      <c r="F164" s="210"/>
      <c r="G164" s="5">
        <f t="shared" si="13"/>
        <v>77129.020951976723</v>
      </c>
      <c r="H164" s="5">
        <f t="shared" si="21"/>
        <v>385645.1047598836</v>
      </c>
      <c r="I164" s="5">
        <f t="shared" si="22"/>
        <v>2121048.07617936</v>
      </c>
      <c r="J164" s="60">
        <f t="shared" si="23"/>
        <v>51419.347301317823</v>
      </c>
      <c r="L164" s="5">
        <f t="shared" si="14"/>
        <v>77129.020951976723</v>
      </c>
      <c r="M164" s="5">
        <f t="shared" si="24"/>
        <v>176754.00634827997</v>
      </c>
      <c r="N164" s="5">
        <f t="shared" si="25"/>
        <v>6080337.8183808317</v>
      </c>
      <c r="O164" s="60">
        <f t="shared" si="26"/>
        <v>135511.40486701464</v>
      </c>
      <c r="Q164" s="5">
        <f t="shared" si="15"/>
        <v>38564.510475988362</v>
      </c>
      <c r="R164" s="5">
        <f t="shared" si="27"/>
        <v>64274.184126647269</v>
      </c>
      <c r="S164" s="5">
        <f t="shared" si="28"/>
        <v>851632.93967807631</v>
      </c>
      <c r="T164" s="60">
        <f t="shared" si="29"/>
        <v>19282.255237994181</v>
      </c>
      <c r="V164" s="5">
        <f t="shared" si="30"/>
        <v>9457946.1942361463</v>
      </c>
      <c r="W164" s="5">
        <f t="shared" si="31"/>
        <v>216014.82048564038</v>
      </c>
    </row>
    <row r="165" spans="1:23" s="206" customFormat="1">
      <c r="A165" s="206">
        <f t="shared" si="16"/>
        <v>2053</v>
      </c>
      <c r="B165" s="5">
        <f t="shared" si="17"/>
        <v>39851.781590273116</v>
      </c>
      <c r="C165" s="5">
        <f t="shared" si="18"/>
        <v>19925.890795136558</v>
      </c>
      <c r="D165" s="5">
        <f t="shared" si="19"/>
        <v>418443.70669786772</v>
      </c>
      <c r="E165" s="60">
        <f t="shared" si="20"/>
        <v>10128.994487527751</v>
      </c>
      <c r="F165" s="210"/>
      <c r="G165" s="5">
        <f t="shared" si="13"/>
        <v>79703.563180546116</v>
      </c>
      <c r="H165" s="5">
        <f t="shared" si="21"/>
        <v>398517.81590273057</v>
      </c>
      <c r="I165" s="5">
        <f t="shared" si="22"/>
        <v>2191847.9874650179</v>
      </c>
      <c r="J165" s="60">
        <f t="shared" si="23"/>
        <v>53135.708787030751</v>
      </c>
      <c r="L165" s="5">
        <f t="shared" si="14"/>
        <v>79703.563180546116</v>
      </c>
      <c r="M165" s="5">
        <f t="shared" si="24"/>
        <v>182653.99895541818</v>
      </c>
      <c r="N165" s="5">
        <f t="shared" si="25"/>
        <v>6283297.5640663868</v>
      </c>
      <c r="O165" s="60">
        <f t="shared" si="26"/>
        <v>140034.73253248725</v>
      </c>
      <c r="Q165" s="5">
        <f t="shared" si="15"/>
        <v>39851.781590273058</v>
      </c>
      <c r="R165" s="5">
        <f t="shared" si="27"/>
        <v>66419.635983788437</v>
      </c>
      <c r="S165" s="5">
        <f t="shared" si="28"/>
        <v>880060.17678519676</v>
      </c>
      <c r="T165" s="60">
        <f t="shared" si="29"/>
        <v>19925.890795136529</v>
      </c>
      <c r="V165" s="5">
        <f t="shared" si="30"/>
        <v>9773649.4350144695</v>
      </c>
      <c r="W165" s="5">
        <f t="shared" si="31"/>
        <v>223225.32660218229</v>
      </c>
    </row>
    <row r="166" spans="1:23" s="206" customFormat="1">
      <c r="A166" s="206">
        <f t="shared" si="16"/>
        <v>2054</v>
      </c>
      <c r="B166" s="5">
        <f t="shared" si="17"/>
        <v>41182.021405604944</v>
      </c>
      <c r="C166" s="5">
        <f t="shared" si="18"/>
        <v>20591.010702802472</v>
      </c>
      <c r="D166" s="5">
        <f t="shared" si="19"/>
        <v>432411.22475885192</v>
      </c>
      <c r="E166" s="60">
        <f t="shared" si="20"/>
        <v>10467.097107257923</v>
      </c>
      <c r="F166" s="210"/>
      <c r="G166" s="5">
        <f t="shared" si="13"/>
        <v>82364.042811209772</v>
      </c>
      <c r="H166" s="5">
        <f t="shared" si="21"/>
        <v>411820.21405604889</v>
      </c>
      <c r="I166" s="5">
        <f t="shared" si="22"/>
        <v>2265011.1773082688</v>
      </c>
      <c r="J166" s="60">
        <f t="shared" si="23"/>
        <v>54909.36187413986</v>
      </c>
      <c r="L166" s="5">
        <f t="shared" si="14"/>
        <v>82364.042811209772</v>
      </c>
      <c r="M166" s="5">
        <f t="shared" si="24"/>
        <v>188750.93144235571</v>
      </c>
      <c r="N166" s="5">
        <f t="shared" si="25"/>
        <v>6493032.0416170377</v>
      </c>
      <c r="O166" s="60">
        <f t="shared" si="26"/>
        <v>144709.04743913937</v>
      </c>
      <c r="Q166" s="5">
        <f t="shared" si="15"/>
        <v>41182.021405604886</v>
      </c>
      <c r="R166" s="5">
        <f t="shared" si="27"/>
        <v>68636.70234267482</v>
      </c>
      <c r="S166" s="5">
        <f t="shared" si="28"/>
        <v>909436.30604044138</v>
      </c>
      <c r="T166" s="60">
        <f t="shared" si="29"/>
        <v>20591.010702802447</v>
      </c>
      <c r="V166" s="5">
        <f t="shared" si="30"/>
        <v>10099890.7497246</v>
      </c>
      <c r="W166" s="5">
        <f t="shared" si="31"/>
        <v>230676.51712333958</v>
      </c>
    </row>
    <row r="167" spans="1:23" s="206" customFormat="1">
      <c r="A167" s="206">
        <f t="shared" si="16"/>
        <v>2055</v>
      </c>
      <c r="B167" s="5">
        <f t="shared" si="17"/>
        <v>42556.664203580993</v>
      </c>
      <c r="C167" s="5">
        <f t="shared" si="18"/>
        <v>21278.332101790496</v>
      </c>
      <c r="D167" s="5">
        <f t="shared" si="19"/>
        <v>446844.97413760039</v>
      </c>
      <c r="E167" s="60">
        <f t="shared" si="20"/>
        <v>10816.485485076835</v>
      </c>
      <c r="F167" s="210"/>
      <c r="G167" s="5">
        <f t="shared" si="13"/>
        <v>85113.328407161855</v>
      </c>
      <c r="H167" s="5">
        <f t="shared" si="21"/>
        <v>425566.64203580929</v>
      </c>
      <c r="I167" s="5">
        <f t="shared" si="22"/>
        <v>2340616.5311969509</v>
      </c>
      <c r="J167" s="60">
        <f t="shared" si="23"/>
        <v>56742.218938107915</v>
      </c>
      <c r="L167" s="5">
        <f t="shared" si="14"/>
        <v>85113.328407161855</v>
      </c>
      <c r="M167" s="5">
        <f t="shared" si="24"/>
        <v>195051.3775997459</v>
      </c>
      <c r="N167" s="5">
        <f t="shared" si="25"/>
        <v>6709767.3894312605</v>
      </c>
      <c r="O167" s="60">
        <f t="shared" si="26"/>
        <v>149539.3894931385</v>
      </c>
      <c r="Q167" s="5">
        <f t="shared" si="15"/>
        <v>42556.664203580927</v>
      </c>
      <c r="R167" s="5">
        <f t="shared" si="27"/>
        <v>70927.773672634881</v>
      </c>
      <c r="S167" s="5">
        <f t="shared" si="28"/>
        <v>939793.00116241223</v>
      </c>
      <c r="T167" s="60">
        <f t="shared" si="29"/>
        <v>21278.332101790464</v>
      </c>
      <c r="V167" s="5">
        <f t="shared" si="30"/>
        <v>10437021.895928225</v>
      </c>
      <c r="W167" s="5">
        <f t="shared" si="31"/>
        <v>238376.42601811374</v>
      </c>
    </row>
    <row r="168" spans="1:23" s="206" customFormat="1">
      <c r="A168" s="206">
        <f t="shared" si="16"/>
        <v>2056</v>
      </c>
      <c r="B168" s="5">
        <f t="shared" si="17"/>
        <v>43977.192141662628</v>
      </c>
      <c r="C168" s="5">
        <f t="shared" si="18"/>
        <v>21988.596070831314</v>
      </c>
      <c r="D168" s="5">
        <f t="shared" si="19"/>
        <v>461760.5174874576</v>
      </c>
      <c r="E168" s="60">
        <f t="shared" si="20"/>
        <v>11177.536336005918</v>
      </c>
      <c r="F168" s="210"/>
      <c r="G168" s="5">
        <f t="shared" si="13"/>
        <v>87954.384283325126</v>
      </c>
      <c r="H168" s="5">
        <f t="shared" si="21"/>
        <v>439771.92141662561</v>
      </c>
      <c r="I168" s="5">
        <f t="shared" si="22"/>
        <v>2418745.567791441</v>
      </c>
      <c r="J168" s="60">
        <f t="shared" si="23"/>
        <v>58636.256188883424</v>
      </c>
      <c r="L168" s="5">
        <f t="shared" si="14"/>
        <v>87954.384283325126</v>
      </c>
      <c r="M168" s="5">
        <f t="shared" si="24"/>
        <v>201562.13064928673</v>
      </c>
      <c r="N168" s="5">
        <f t="shared" si="25"/>
        <v>6933737.2943354649</v>
      </c>
      <c r="O168" s="60">
        <f t="shared" si="26"/>
        <v>154530.96683111982</v>
      </c>
      <c r="Q168" s="5">
        <f t="shared" si="15"/>
        <v>43977.192141662563</v>
      </c>
      <c r="R168" s="5">
        <f t="shared" si="27"/>
        <v>73295.320236104279</v>
      </c>
      <c r="S168" s="5">
        <f t="shared" si="28"/>
        <v>971162.99312838167</v>
      </c>
      <c r="T168" s="60">
        <f t="shared" si="29"/>
        <v>21988.596070831281</v>
      </c>
      <c r="V168" s="5">
        <f t="shared" si="30"/>
        <v>10785406.372742746</v>
      </c>
      <c r="W168" s="5">
        <f t="shared" si="31"/>
        <v>246333.35542684046</v>
      </c>
    </row>
    <row r="169" spans="1:23" s="206" customFormat="1">
      <c r="A169" s="206">
        <f t="shared" si="16"/>
        <v>2057</v>
      </c>
      <c r="B169" s="5">
        <f t="shared" si="17"/>
        <v>45445.136851256648</v>
      </c>
      <c r="C169" s="5">
        <f t="shared" si="18"/>
        <v>22722.568425628324</v>
      </c>
      <c r="D169" s="5">
        <f t="shared" si="19"/>
        <v>477173.93693819479</v>
      </c>
      <c r="E169" s="60">
        <f t="shared" si="20"/>
        <v>11550.638949694398</v>
      </c>
      <c r="F169" s="210"/>
      <c r="G169" s="5">
        <f t="shared" si="13"/>
        <v>90890.27370251315</v>
      </c>
      <c r="H169" s="5">
        <f t="shared" si="21"/>
        <v>454451.36851256574</v>
      </c>
      <c r="I169" s="5">
        <f t="shared" si="22"/>
        <v>2499482.5268191118</v>
      </c>
      <c r="J169" s="60">
        <f t="shared" si="23"/>
        <v>60593.515801675443</v>
      </c>
      <c r="L169" s="5">
        <f t="shared" si="14"/>
        <v>90890.27370251315</v>
      </c>
      <c r="M169" s="5">
        <f t="shared" si="24"/>
        <v>208290.2105682593</v>
      </c>
      <c r="N169" s="5">
        <f t="shared" si="25"/>
        <v>7165183.2435481213</v>
      </c>
      <c r="O169" s="60">
        <f t="shared" si="26"/>
        <v>159689.16143566545</v>
      </c>
      <c r="Q169" s="5">
        <f t="shared" si="15"/>
        <v>45445.136851256575</v>
      </c>
      <c r="R169" s="5">
        <f t="shared" si="27"/>
        <v>75741.894752094289</v>
      </c>
      <c r="S169" s="5">
        <f t="shared" si="28"/>
        <v>1003580.1054652494</v>
      </c>
      <c r="T169" s="60">
        <f t="shared" si="29"/>
        <v>22722.568425628288</v>
      </c>
      <c r="V169" s="5">
        <f t="shared" si="30"/>
        <v>11145419.812770678</v>
      </c>
      <c r="W169" s="5">
        <f t="shared" si="31"/>
        <v>254555.88461266359</v>
      </c>
    </row>
    <row r="171" spans="1:23" s="206" customFormat="1"/>
    <row r="172" spans="1:23" s="206" customFormat="1">
      <c r="A172" s="178" t="s">
        <v>403</v>
      </c>
      <c r="B172" s="203"/>
      <c r="C172" s="203"/>
      <c r="D172" s="203"/>
      <c r="E172" s="203"/>
      <c r="F172" s="203"/>
      <c r="G172" s="203"/>
      <c r="H172" s="203"/>
      <c r="I172" s="203"/>
      <c r="J172" s="203"/>
      <c r="K172" s="203"/>
      <c r="L172" s="203"/>
      <c r="M172" s="203"/>
    </row>
    <row r="173" spans="1:23" s="206" customFormat="1" ht="47.25" customHeight="1">
      <c r="A173" s="789" t="s">
        <v>524</v>
      </c>
      <c r="B173" s="789"/>
      <c r="C173" s="789"/>
      <c r="D173" s="789"/>
      <c r="E173" s="789"/>
      <c r="F173" s="789"/>
      <c r="G173" s="789"/>
      <c r="H173" s="789"/>
      <c r="I173" s="789"/>
      <c r="J173" s="789"/>
      <c r="K173" s="789"/>
      <c r="L173" s="789"/>
      <c r="M173" s="789"/>
    </row>
    <row r="174" spans="1:23" s="206" customFormat="1">
      <c r="A174" s="790" t="s">
        <v>401</v>
      </c>
      <c r="B174" s="790"/>
      <c r="C174" s="790"/>
      <c r="D174" s="790"/>
      <c r="E174" s="790"/>
      <c r="F174" s="790"/>
      <c r="G174" s="790"/>
      <c r="H174" s="790"/>
      <c r="I174" s="790"/>
      <c r="J174" s="790"/>
      <c r="K174" s="790"/>
      <c r="L174" s="790"/>
      <c r="M174" s="790"/>
    </row>
    <row r="175" spans="1:23" s="206" customFormat="1">
      <c r="A175" s="790" t="s">
        <v>402</v>
      </c>
      <c r="B175" s="790"/>
      <c r="C175" s="790"/>
      <c r="D175" s="790"/>
      <c r="E175" s="790"/>
      <c r="F175" s="790"/>
      <c r="G175" s="790"/>
      <c r="H175" s="790"/>
      <c r="I175" s="790"/>
      <c r="J175" s="790"/>
      <c r="K175" s="790"/>
      <c r="L175" s="790"/>
      <c r="M175" s="790"/>
    </row>
    <row r="176" spans="1:23" s="206" customFormat="1"/>
    <row r="177" spans="1:14">
      <c r="A177" s="206"/>
      <c r="B177" s="206">
        <v>12</v>
      </c>
      <c r="C177" s="206" t="s">
        <v>404</v>
      </c>
      <c r="D177" s="206"/>
      <c r="E177" s="206"/>
      <c r="F177" s="206"/>
      <c r="G177" s="206"/>
      <c r="H177" s="206"/>
      <c r="I177" s="206"/>
      <c r="J177" s="206"/>
      <c r="K177" s="206"/>
      <c r="L177" s="206"/>
      <c r="M177" s="206"/>
    </row>
    <row r="178" spans="1:14" s="206" customFormat="1"/>
    <row r="179" spans="1:14" s="206" customFormat="1" ht="45">
      <c r="B179" s="207" t="s">
        <v>474</v>
      </c>
      <c r="C179" s="207" t="s">
        <v>265</v>
      </c>
      <c r="E179" s="207" t="s">
        <v>476</v>
      </c>
      <c r="F179" s="207" t="s">
        <v>265</v>
      </c>
      <c r="H179" s="207" t="s">
        <v>477</v>
      </c>
      <c r="I179" s="207" t="s">
        <v>265</v>
      </c>
      <c r="K179" s="207" t="s">
        <v>478</v>
      </c>
      <c r="L179" s="207" t="s">
        <v>265</v>
      </c>
      <c r="N179" s="207" t="s">
        <v>475</v>
      </c>
    </row>
    <row r="180" spans="1:14" s="206" customFormat="1">
      <c r="A180" s="206">
        <f t="shared" ref="A180:A200" si="32">A139</f>
        <v>2027</v>
      </c>
      <c r="B180" s="210">
        <f t="shared" ref="B180:B200" si="33">C139*$A$131</f>
        <v>4242.5783218635352</v>
      </c>
      <c r="C180" s="210">
        <f>B180*$B$177</f>
        <v>50910.939862362422</v>
      </c>
      <c r="E180" s="210">
        <f t="shared" ref="E180:E200" si="34">H139*$A$131</f>
        <v>84851.566437270696</v>
      </c>
      <c r="F180" s="210">
        <f>E180*$B$177</f>
        <v>1018218.7972472484</v>
      </c>
      <c r="H180" s="210">
        <f t="shared" ref="H180:H200" si="35">M139*$A$131</f>
        <v>38890.301283749068</v>
      </c>
      <c r="I180" s="210">
        <f>H180*$B$177</f>
        <v>466683.61540498881</v>
      </c>
      <c r="K180" s="210">
        <f t="shared" ref="K180:K200" si="36">R139*$A$131</f>
        <v>14141.927739545117</v>
      </c>
      <c r="L180" s="210">
        <f>K180*$B$177</f>
        <v>169703.13287454139</v>
      </c>
      <c r="N180" s="210">
        <f>SUM(C180,F180,I180,L180)</f>
        <v>1705516.4853891411</v>
      </c>
    </row>
    <row r="181" spans="1:14" s="206" customFormat="1">
      <c r="A181" s="206">
        <f t="shared" si="32"/>
        <v>2028</v>
      </c>
      <c r="B181" s="210">
        <f t="shared" si="33"/>
        <v>4384.1942390998192</v>
      </c>
      <c r="C181" s="210">
        <f t="shared" ref="C181:C200" si="37">B181*$B$177</f>
        <v>52610.330869197831</v>
      </c>
      <c r="E181" s="210">
        <f t="shared" si="34"/>
        <v>87683.88478199637</v>
      </c>
      <c r="F181" s="210">
        <f t="shared" ref="F181:F200" si="38">E181*$B$177</f>
        <v>1052206.6173839564</v>
      </c>
      <c r="H181" s="210">
        <f t="shared" si="35"/>
        <v>40188.447191748332</v>
      </c>
      <c r="I181" s="210">
        <f t="shared" ref="I181:I200" si="39">H181*$B$177</f>
        <v>482261.36630097998</v>
      </c>
      <c r="K181" s="210">
        <f t="shared" si="36"/>
        <v>14613.980796999394</v>
      </c>
      <c r="L181" s="210">
        <f t="shared" ref="L181:L200" si="40">K181*$B$177</f>
        <v>175367.76956399274</v>
      </c>
      <c r="N181" s="210">
        <f t="shared" ref="N181:N200" si="41">SUM(C181,F181,I181,L181)</f>
        <v>1762446.0841181271</v>
      </c>
    </row>
    <row r="182" spans="1:14" s="206" customFormat="1">
      <c r="A182" s="206">
        <f t="shared" si="32"/>
        <v>2029</v>
      </c>
      <c r="B182" s="210">
        <f t="shared" si="33"/>
        <v>4530.537250686094</v>
      </c>
      <c r="C182" s="210">
        <f t="shared" si="37"/>
        <v>54366.447008233125</v>
      </c>
      <c r="E182" s="210">
        <f t="shared" si="34"/>
        <v>90610.745013721869</v>
      </c>
      <c r="F182" s="210">
        <f t="shared" si="38"/>
        <v>1087328.9401646624</v>
      </c>
      <c r="H182" s="210">
        <f t="shared" si="35"/>
        <v>41529.924797955849</v>
      </c>
      <c r="I182" s="210">
        <f t="shared" si="39"/>
        <v>498359.09757547022</v>
      </c>
      <c r="K182" s="210">
        <f t="shared" si="36"/>
        <v>15101.790835620312</v>
      </c>
      <c r="L182" s="210">
        <f t="shared" si="40"/>
        <v>181221.49002744374</v>
      </c>
      <c r="N182" s="210">
        <f t="shared" si="41"/>
        <v>1821275.9747758096</v>
      </c>
    </row>
    <row r="183" spans="1:14" s="206" customFormat="1">
      <c r="A183" s="206">
        <f t="shared" si="32"/>
        <v>2030</v>
      </c>
      <c r="B183" s="210">
        <f t="shared" si="33"/>
        <v>4681.7651455307659</v>
      </c>
      <c r="C183" s="210">
        <f t="shared" si="37"/>
        <v>56181.181746369191</v>
      </c>
      <c r="E183" s="210">
        <f t="shared" si="34"/>
        <v>93635.302910615312</v>
      </c>
      <c r="F183" s="210">
        <f t="shared" si="38"/>
        <v>1123623.6349273836</v>
      </c>
      <c r="H183" s="210">
        <f t="shared" si="35"/>
        <v>42916.180500698683</v>
      </c>
      <c r="I183" s="210">
        <f t="shared" si="39"/>
        <v>514994.1660083842</v>
      </c>
      <c r="K183" s="210">
        <f t="shared" si="36"/>
        <v>15605.883818435886</v>
      </c>
      <c r="L183" s="210">
        <f t="shared" si="40"/>
        <v>187270.60582123062</v>
      </c>
      <c r="N183" s="210">
        <f t="shared" si="41"/>
        <v>1882069.5885033677</v>
      </c>
    </row>
    <row r="184" spans="1:14" s="206" customFormat="1">
      <c r="A184" s="206">
        <f t="shared" si="32"/>
        <v>2031</v>
      </c>
      <c r="B184" s="210">
        <f t="shared" si="33"/>
        <v>4838.0409794859015</v>
      </c>
      <c r="C184" s="210">
        <f t="shared" si="37"/>
        <v>58056.491753830822</v>
      </c>
      <c r="E184" s="210">
        <f t="shared" si="34"/>
        <v>96760.819589717998</v>
      </c>
      <c r="F184" s="210">
        <f t="shared" si="38"/>
        <v>1161129.8350766159</v>
      </c>
      <c r="H184" s="210">
        <f t="shared" si="35"/>
        <v>44348.708978620743</v>
      </c>
      <c r="I184" s="210">
        <f t="shared" si="39"/>
        <v>532184.50774344895</v>
      </c>
      <c r="K184" s="210">
        <f t="shared" si="36"/>
        <v>16126.803264953</v>
      </c>
      <c r="L184" s="210">
        <f t="shared" si="40"/>
        <v>193521.639179436</v>
      </c>
      <c r="N184" s="210">
        <f t="shared" si="41"/>
        <v>1944892.4737533317</v>
      </c>
    </row>
    <row r="185" spans="1:14" s="206" customFormat="1">
      <c r="A185" s="206">
        <f t="shared" si="32"/>
        <v>2032</v>
      </c>
      <c r="B185" s="210">
        <f t="shared" si="33"/>
        <v>4999.5332511561337</v>
      </c>
      <c r="C185" s="210">
        <f t="shared" si="37"/>
        <v>59994.399013873604</v>
      </c>
      <c r="E185" s="210">
        <f t="shared" si="34"/>
        <v>99990.665023122652</v>
      </c>
      <c r="F185" s="210">
        <f t="shared" si="38"/>
        <v>1199887.9802774717</v>
      </c>
      <c r="H185" s="210">
        <f t="shared" si="35"/>
        <v>45829.054802264545</v>
      </c>
      <c r="I185" s="210">
        <f t="shared" si="39"/>
        <v>549948.65762717451</v>
      </c>
      <c r="K185" s="210">
        <f t="shared" si="36"/>
        <v>16665.110837187109</v>
      </c>
      <c r="L185" s="210">
        <f t="shared" si="40"/>
        <v>199981.3300462453</v>
      </c>
      <c r="N185" s="210">
        <f t="shared" si="41"/>
        <v>2009812.3669647654</v>
      </c>
    </row>
    <row r="186" spans="1:14" s="206" customFormat="1">
      <c r="A186" s="206">
        <f t="shared" si="32"/>
        <v>2033</v>
      </c>
      <c r="B186" s="210">
        <f t="shared" si="33"/>
        <v>5166.4160835760158</v>
      </c>
      <c r="C186" s="210">
        <f t="shared" si="37"/>
        <v>61996.99300291219</v>
      </c>
      <c r="E186" s="210">
        <f t="shared" si="34"/>
        <v>103328.3216715203</v>
      </c>
      <c r="F186" s="210">
        <f t="shared" si="38"/>
        <v>1239939.8600582436</v>
      </c>
      <c r="H186" s="210">
        <f t="shared" si="35"/>
        <v>47358.814099446798</v>
      </c>
      <c r="I186" s="210">
        <f t="shared" si="39"/>
        <v>568305.76919336151</v>
      </c>
      <c r="K186" s="210">
        <f t="shared" si="36"/>
        <v>17221.386945253384</v>
      </c>
      <c r="L186" s="210">
        <f t="shared" si="40"/>
        <v>206656.6433430406</v>
      </c>
      <c r="N186" s="210">
        <f t="shared" si="41"/>
        <v>2076899.2655975581</v>
      </c>
    </row>
    <row r="187" spans="1:14" s="206" customFormat="1">
      <c r="A187" s="206">
        <f t="shared" si="32"/>
        <v>2034</v>
      </c>
      <c r="B187" s="210">
        <f t="shared" si="33"/>
        <v>5338.869411951704</v>
      </c>
      <c r="C187" s="210">
        <f t="shared" si="37"/>
        <v>64066.432943420448</v>
      </c>
      <c r="E187" s="210">
        <f t="shared" si="34"/>
        <v>106777.38823903404</v>
      </c>
      <c r="F187" s="210">
        <f t="shared" si="38"/>
        <v>1281328.6588684085</v>
      </c>
      <c r="H187" s="210">
        <f t="shared" si="35"/>
        <v>48939.636276223937</v>
      </c>
      <c r="I187" s="210">
        <f t="shared" si="39"/>
        <v>587275.63531468727</v>
      </c>
      <c r="K187" s="210">
        <f t="shared" si="36"/>
        <v>17796.231373172341</v>
      </c>
      <c r="L187" s="210">
        <f t="shared" si="40"/>
        <v>213554.77647806809</v>
      </c>
      <c r="N187" s="210">
        <f t="shared" si="41"/>
        <v>2146225.5036045844</v>
      </c>
    </row>
    <row r="188" spans="1:14" s="206" customFormat="1">
      <c r="A188" s="206">
        <f t="shared" si="32"/>
        <v>2035</v>
      </c>
      <c r="B188" s="210">
        <f t="shared" si="33"/>
        <v>5517.0791776694005</v>
      </c>
      <c r="C188" s="210">
        <f t="shared" si="37"/>
        <v>66204.950132032798</v>
      </c>
      <c r="E188" s="210">
        <f t="shared" si="34"/>
        <v>110341.58355338793</v>
      </c>
      <c r="F188" s="210">
        <f t="shared" si="38"/>
        <v>1324099.0026406553</v>
      </c>
      <c r="H188" s="210">
        <f t="shared" si="35"/>
        <v>50573.225795302802</v>
      </c>
      <c r="I188" s="210">
        <f t="shared" si="39"/>
        <v>606878.70954363362</v>
      </c>
      <c r="K188" s="210">
        <f t="shared" si="36"/>
        <v>18390.263925564657</v>
      </c>
      <c r="L188" s="210">
        <f t="shared" si="40"/>
        <v>220683.16710677589</v>
      </c>
      <c r="N188" s="210">
        <f t="shared" si="41"/>
        <v>2217865.8294230979</v>
      </c>
    </row>
    <row r="189" spans="1:14" s="206" customFormat="1">
      <c r="A189" s="206">
        <f t="shared" si="32"/>
        <v>2036</v>
      </c>
      <c r="B189" s="210">
        <f t="shared" si="33"/>
        <v>5701.2375287797386</v>
      </c>
      <c r="C189" s="210">
        <f t="shared" si="37"/>
        <v>68414.850345356856</v>
      </c>
      <c r="E189" s="210">
        <f t="shared" si="34"/>
        <v>114024.75057559469</v>
      </c>
      <c r="F189" s="210">
        <f t="shared" si="38"/>
        <v>1368297.0069071362</v>
      </c>
      <c r="H189" s="210">
        <f t="shared" si="35"/>
        <v>52261.344013814232</v>
      </c>
      <c r="I189" s="210">
        <f t="shared" si="39"/>
        <v>627136.12816577079</v>
      </c>
      <c r="K189" s="210">
        <f t="shared" si="36"/>
        <v>19004.12509593245</v>
      </c>
      <c r="L189" s="210">
        <f t="shared" si="40"/>
        <v>228049.50115118938</v>
      </c>
      <c r="N189" s="210">
        <f t="shared" si="41"/>
        <v>2291897.486569453</v>
      </c>
    </row>
    <row r="190" spans="1:14" s="206" customFormat="1">
      <c r="A190" s="206">
        <f t="shared" si="32"/>
        <v>2037</v>
      </c>
      <c r="B190" s="210">
        <f t="shared" si="33"/>
        <v>5891.543027174268</v>
      </c>
      <c r="C190" s="210">
        <f t="shared" si="37"/>
        <v>70698.516326091223</v>
      </c>
      <c r="E190" s="210">
        <f t="shared" si="34"/>
        <v>117830.86054348529</v>
      </c>
      <c r="F190" s="210">
        <f t="shared" si="38"/>
        <v>1413970.3265218236</v>
      </c>
      <c r="H190" s="210">
        <f t="shared" si="35"/>
        <v>54005.811082430751</v>
      </c>
      <c r="I190" s="210">
        <f t="shared" si="39"/>
        <v>648069.73298916896</v>
      </c>
      <c r="K190" s="210">
        <f t="shared" si="36"/>
        <v>19638.47675724755</v>
      </c>
      <c r="L190" s="210">
        <f t="shared" si="40"/>
        <v>235661.72108697059</v>
      </c>
      <c r="N190" s="210">
        <f t="shared" si="41"/>
        <v>2368400.2969240546</v>
      </c>
    </row>
    <row r="191" spans="1:14" s="206" customFormat="1">
      <c r="A191" s="206">
        <f t="shared" si="32"/>
        <v>2038</v>
      </c>
      <c r="B191" s="210">
        <f t="shared" si="33"/>
        <v>6088.2008626774286</v>
      </c>
      <c r="C191" s="210">
        <f t="shared" si="37"/>
        <v>73058.41035212914</v>
      </c>
      <c r="E191" s="210">
        <f t="shared" si="34"/>
        <v>121764.01725354852</v>
      </c>
      <c r="F191" s="210">
        <f t="shared" si="38"/>
        <v>1461168.2070425823</v>
      </c>
      <c r="H191" s="210">
        <f t="shared" si="35"/>
        <v>55808.507907876403</v>
      </c>
      <c r="I191" s="210">
        <f t="shared" si="39"/>
        <v>669702.09489451686</v>
      </c>
      <c r="K191" s="210">
        <f t="shared" si="36"/>
        <v>20294.002875591421</v>
      </c>
      <c r="L191" s="210">
        <f t="shared" si="40"/>
        <v>243528.03450709704</v>
      </c>
      <c r="N191" s="210">
        <f t="shared" si="41"/>
        <v>2447456.7467963253</v>
      </c>
    </row>
    <row r="192" spans="1:14" s="206" customFormat="1">
      <c r="A192" s="206">
        <f t="shared" si="32"/>
        <v>2039</v>
      </c>
      <c r="B192" s="210">
        <f t="shared" si="33"/>
        <v>6291.4230742848476</v>
      </c>
      <c r="C192" s="210">
        <f t="shared" si="37"/>
        <v>75497.076891418168</v>
      </c>
      <c r="E192" s="210">
        <f t="shared" si="34"/>
        <v>125828.46148569687</v>
      </c>
      <c r="F192" s="210">
        <f t="shared" si="38"/>
        <v>1509941.5378283625</v>
      </c>
      <c r="H192" s="210">
        <f t="shared" si="35"/>
        <v>57671.37818094439</v>
      </c>
      <c r="I192" s="210">
        <f t="shared" si="39"/>
        <v>692056.53817133268</v>
      </c>
      <c r="K192" s="210">
        <f t="shared" si="36"/>
        <v>20971.410247616146</v>
      </c>
      <c r="L192" s="210">
        <f t="shared" si="40"/>
        <v>251656.92297139374</v>
      </c>
      <c r="N192" s="210">
        <f t="shared" si="41"/>
        <v>2529152.0758625073</v>
      </c>
    </row>
    <row r="193" spans="1:14" s="206" customFormat="1">
      <c r="A193" s="206">
        <f t="shared" si="32"/>
        <v>2040</v>
      </c>
      <c r="B193" s="210">
        <f t="shared" si="33"/>
        <v>6501.4287787864951</v>
      </c>
      <c r="C193" s="210">
        <f t="shared" si="37"/>
        <v>78017.145345437937</v>
      </c>
      <c r="E193" s="210">
        <f t="shared" si="34"/>
        <v>130028.57557572983</v>
      </c>
      <c r="F193" s="210">
        <f t="shared" si="38"/>
        <v>1560342.906908758</v>
      </c>
      <c r="H193" s="210">
        <f t="shared" si="35"/>
        <v>59596.430472209504</v>
      </c>
      <c r="I193" s="210">
        <f t="shared" si="39"/>
        <v>715157.16566651408</v>
      </c>
      <c r="K193" s="210">
        <f t="shared" si="36"/>
        <v>21671.429262621637</v>
      </c>
      <c r="L193" s="210">
        <f t="shared" si="40"/>
        <v>260057.15115145966</v>
      </c>
      <c r="N193" s="210">
        <f t="shared" si="41"/>
        <v>2613574.36907217</v>
      </c>
    </row>
    <row r="194" spans="1:14" s="206" customFormat="1">
      <c r="A194" s="206">
        <f t="shared" si="32"/>
        <v>2041</v>
      </c>
      <c r="B194" s="210">
        <f t="shared" si="33"/>
        <v>6718.4444070212157</v>
      </c>
      <c r="C194" s="210">
        <f t="shared" si="37"/>
        <v>80621.332884254589</v>
      </c>
      <c r="E194" s="210">
        <f t="shared" si="34"/>
        <v>134368.88814042424</v>
      </c>
      <c r="F194" s="210">
        <f t="shared" si="38"/>
        <v>1612426.6576850908</v>
      </c>
      <c r="H194" s="210">
        <f t="shared" si="35"/>
        <v>61585.740397694441</v>
      </c>
      <c r="I194" s="210">
        <f t="shared" si="39"/>
        <v>739028.88477233332</v>
      </c>
      <c r="K194" s="210">
        <f t="shared" si="36"/>
        <v>22394.814690070707</v>
      </c>
      <c r="L194" s="210">
        <f t="shared" si="40"/>
        <v>268737.77628084848</v>
      </c>
      <c r="N194" s="210">
        <f t="shared" si="41"/>
        <v>2700814.6516225273</v>
      </c>
    </row>
    <row r="195" spans="1:14" s="206" customFormat="1">
      <c r="A195" s="206">
        <f t="shared" si="32"/>
        <v>2042</v>
      </c>
      <c r="B195" s="210">
        <f t="shared" si="33"/>
        <v>6942.7039480173562</v>
      </c>
      <c r="C195" s="210">
        <f t="shared" si="37"/>
        <v>83312.447376208278</v>
      </c>
      <c r="E195" s="210">
        <f t="shared" si="34"/>
        <v>138854.07896034702</v>
      </c>
      <c r="F195" s="210">
        <f t="shared" si="38"/>
        <v>1666248.9475241643</v>
      </c>
      <c r="H195" s="210">
        <f t="shared" si="35"/>
        <v>63641.452856825708</v>
      </c>
      <c r="I195" s="210">
        <f t="shared" si="39"/>
        <v>763697.43428190844</v>
      </c>
      <c r="K195" s="210">
        <f t="shared" si="36"/>
        <v>23142.346493391171</v>
      </c>
      <c r="L195" s="210">
        <f t="shared" si="40"/>
        <v>277708.15792069404</v>
      </c>
      <c r="N195" s="210">
        <f t="shared" si="41"/>
        <v>2790966.9871029751</v>
      </c>
    </row>
    <row r="196" spans="1:14" s="206" customFormat="1">
      <c r="A196" s="206">
        <f t="shared" si="32"/>
        <v>2043</v>
      </c>
      <c r="B196" s="210">
        <f t="shared" si="33"/>
        <v>7174.4492012827295</v>
      </c>
      <c r="C196" s="210">
        <f t="shared" si="37"/>
        <v>86093.390415392758</v>
      </c>
      <c r="E196" s="210">
        <f t="shared" si="34"/>
        <v>143488.98402565447</v>
      </c>
      <c r="F196" s="210">
        <f t="shared" si="38"/>
        <v>1721867.8083078535</v>
      </c>
      <c r="H196" s="210">
        <f t="shared" si="35"/>
        <v>65765.784345091626</v>
      </c>
      <c r="I196" s="210">
        <f t="shared" si="39"/>
        <v>789189.41214109957</v>
      </c>
      <c r="K196" s="210">
        <f t="shared" si="36"/>
        <v>23914.830670942411</v>
      </c>
      <c r="L196" s="210">
        <f t="shared" si="40"/>
        <v>286977.96805130894</v>
      </c>
      <c r="N196" s="210">
        <f t="shared" si="41"/>
        <v>2884128.5789156547</v>
      </c>
    </row>
    <row r="197" spans="1:14" s="206" customFormat="1">
      <c r="A197" s="206">
        <f t="shared" si="32"/>
        <v>2044</v>
      </c>
      <c r="B197" s="210">
        <f t="shared" si="33"/>
        <v>7413.9300375159419</v>
      </c>
      <c r="C197" s="210">
        <f t="shared" si="37"/>
        <v>88967.160450191295</v>
      </c>
      <c r="E197" s="210">
        <f t="shared" si="34"/>
        <v>148278.6007503187</v>
      </c>
      <c r="F197" s="210">
        <f t="shared" si="38"/>
        <v>1779343.2090038243</v>
      </c>
      <c r="H197" s="210">
        <f t="shared" si="35"/>
        <v>67961.025343896064</v>
      </c>
      <c r="I197" s="210">
        <f t="shared" si="39"/>
        <v>815532.30412675277</v>
      </c>
      <c r="K197" s="210">
        <f t="shared" si="36"/>
        <v>24713.100125053115</v>
      </c>
      <c r="L197" s="210">
        <f t="shared" si="40"/>
        <v>296557.2015006374</v>
      </c>
      <c r="N197" s="210">
        <f t="shared" si="41"/>
        <v>2980399.875081406</v>
      </c>
    </row>
    <row r="198" spans="1:14" s="206" customFormat="1">
      <c r="A198" s="206">
        <f t="shared" si="32"/>
        <v>2045</v>
      </c>
      <c r="B198" s="210">
        <f t="shared" si="33"/>
        <v>7661.4046680201773</v>
      </c>
      <c r="C198" s="210">
        <f t="shared" si="37"/>
        <v>91936.85601624212</v>
      </c>
      <c r="E198" s="210">
        <f t="shared" si="34"/>
        <v>153228.09336040341</v>
      </c>
      <c r="F198" s="210">
        <f t="shared" si="38"/>
        <v>1838737.1203248408</v>
      </c>
      <c r="H198" s="210">
        <f t="shared" si="35"/>
        <v>70229.542790184889</v>
      </c>
      <c r="I198" s="210">
        <f t="shared" si="39"/>
        <v>842754.51348221861</v>
      </c>
      <c r="K198" s="210">
        <f t="shared" si="36"/>
        <v>25538.015560067233</v>
      </c>
      <c r="L198" s="210">
        <f t="shared" si="40"/>
        <v>306456.18672080681</v>
      </c>
      <c r="N198" s="210">
        <f t="shared" si="41"/>
        <v>3079884.676544108</v>
      </c>
    </row>
    <row r="199" spans="1:14" s="206" customFormat="1">
      <c r="A199" s="206">
        <f t="shared" si="32"/>
        <v>2046</v>
      </c>
      <c r="B199" s="210">
        <f t="shared" si="33"/>
        <v>7917.1399231099294</v>
      </c>
      <c r="C199" s="210">
        <f t="shared" si="37"/>
        <v>95005.679077319161</v>
      </c>
      <c r="E199" s="210">
        <f t="shared" si="34"/>
        <v>158342.79846219847</v>
      </c>
      <c r="F199" s="210">
        <f t="shared" si="38"/>
        <v>1900113.5815463816</v>
      </c>
      <c r="H199" s="210">
        <f t="shared" si="35"/>
        <v>72573.78262850763</v>
      </c>
      <c r="I199" s="210">
        <f t="shared" si="39"/>
        <v>870885.3915420915</v>
      </c>
      <c r="K199" s="210">
        <f t="shared" si="36"/>
        <v>26390.466410366411</v>
      </c>
      <c r="L199" s="210">
        <f t="shared" si="40"/>
        <v>316685.59692439693</v>
      </c>
      <c r="N199" s="210">
        <f t="shared" si="41"/>
        <v>3182690.2490901891</v>
      </c>
    </row>
    <row r="200" spans="1:14" s="206" customFormat="1">
      <c r="A200" s="206">
        <f t="shared" si="32"/>
        <v>2047</v>
      </c>
      <c r="B200" s="210">
        <f t="shared" si="33"/>
        <v>8181.4115398108643</v>
      </c>
      <c r="C200" s="210">
        <f t="shared" si="37"/>
        <v>98176.938477730379</v>
      </c>
      <c r="E200" s="210">
        <f t="shared" si="34"/>
        <v>163628.23079621707</v>
      </c>
      <c r="F200" s="210">
        <f t="shared" si="38"/>
        <v>1963538.7695546048</v>
      </c>
      <c r="H200" s="210">
        <f t="shared" si="35"/>
        <v>74996.272448266158</v>
      </c>
      <c r="I200" s="210">
        <f t="shared" si="39"/>
        <v>899955.26937919389</v>
      </c>
      <c r="K200" s="210">
        <f t="shared" si="36"/>
        <v>27271.371799369514</v>
      </c>
      <c r="L200" s="210">
        <f t="shared" si="40"/>
        <v>327256.46159243415</v>
      </c>
      <c r="N200" s="210">
        <f t="shared" si="41"/>
        <v>3288927.439003963</v>
      </c>
    </row>
    <row r="201" spans="1:14" s="206" customFormat="1">
      <c r="A201" s="206">
        <f t="shared" ref="A201:A210" si="42">A160</f>
        <v>2048</v>
      </c>
      <c r="B201" s="210">
        <f t="shared" ref="B201:B210" si="43">C160*$A$131</f>
        <v>8454.5044591630085</v>
      </c>
      <c r="C201" s="210">
        <f t="shared" ref="C201:C209" si="44">B201*$B$177</f>
        <v>101454.05350995611</v>
      </c>
      <c r="E201" s="210">
        <f t="shared" ref="E201:E209" si="45">H160*$A$131</f>
        <v>169090.08918325999</v>
      </c>
      <c r="F201" s="210">
        <f t="shared" ref="F201:F209" si="46">E201*$B$177</f>
        <v>2029081.0701991199</v>
      </c>
      <c r="H201" s="210">
        <f t="shared" ref="H201:H209" si="47">M160*$A$131</f>
        <v>77499.624208994152</v>
      </c>
      <c r="I201" s="210">
        <f t="shared" ref="I201:I209" si="48">H201*$B$177</f>
        <v>929995.49050792982</v>
      </c>
      <c r="K201" s="210">
        <f t="shared" ref="K201:K209" si="49">R160*$A$131</f>
        <v>28181.681530543334</v>
      </c>
      <c r="L201" s="210">
        <f t="shared" ref="L201:L209" si="50">K201*$B$177</f>
        <v>338180.17836651998</v>
      </c>
      <c r="N201" s="210">
        <f t="shared" ref="N201:N209" si="51">SUM(C201,F201,I201,L201)</f>
        <v>3398710.7925835256</v>
      </c>
    </row>
    <row r="202" spans="1:14" s="206" customFormat="1">
      <c r="A202" s="206">
        <f t="shared" si="42"/>
        <v>2049</v>
      </c>
      <c r="B202" s="210">
        <f t="shared" si="43"/>
        <v>8736.7131334478272</v>
      </c>
      <c r="C202" s="210">
        <f t="shared" si="44"/>
        <v>104840.55760137393</v>
      </c>
      <c r="E202" s="210">
        <f t="shared" si="45"/>
        <v>174734.26266895636</v>
      </c>
      <c r="F202" s="210">
        <f t="shared" si="46"/>
        <v>2096811.1520274763</v>
      </c>
      <c r="H202" s="210">
        <f t="shared" si="47"/>
        <v>80086.537056604997</v>
      </c>
      <c r="I202" s="210">
        <f t="shared" si="48"/>
        <v>961038.44467926002</v>
      </c>
      <c r="K202" s="210">
        <f t="shared" si="49"/>
        <v>29122.377111492729</v>
      </c>
      <c r="L202" s="210">
        <f t="shared" si="50"/>
        <v>349468.52533791272</v>
      </c>
      <c r="N202" s="210">
        <f t="shared" si="51"/>
        <v>3512158.6796460231</v>
      </c>
    </row>
    <row r="203" spans="1:14" s="206" customFormat="1">
      <c r="A203" s="206">
        <f t="shared" si="42"/>
        <v>2050</v>
      </c>
      <c r="B203" s="210">
        <f t="shared" si="43"/>
        <v>9028.3418436704451</v>
      </c>
      <c r="C203" s="210">
        <f t="shared" si="44"/>
        <v>108340.10212404534</v>
      </c>
      <c r="E203" s="210">
        <f t="shared" si="45"/>
        <v>180566.8368734087</v>
      </c>
      <c r="F203" s="210">
        <f t="shared" si="46"/>
        <v>2166802.0424809046</v>
      </c>
      <c r="H203" s="210">
        <f t="shared" si="47"/>
        <v>82759.800233645641</v>
      </c>
      <c r="I203" s="210">
        <f t="shared" si="48"/>
        <v>993117.60280374764</v>
      </c>
      <c r="K203" s="210">
        <f t="shared" si="49"/>
        <v>30094.472812234781</v>
      </c>
      <c r="L203" s="210">
        <f t="shared" si="50"/>
        <v>361133.6737468174</v>
      </c>
      <c r="N203" s="210">
        <f t="shared" si="51"/>
        <v>3629393.4211555147</v>
      </c>
    </row>
    <row r="204" spans="1:14" s="206" customFormat="1">
      <c r="A204" s="206">
        <f t="shared" si="42"/>
        <v>2051</v>
      </c>
      <c r="B204" s="210">
        <f t="shared" si="43"/>
        <v>9329.7050276393184</v>
      </c>
      <c r="C204" s="210">
        <f t="shared" si="44"/>
        <v>111956.46033167181</v>
      </c>
      <c r="E204" s="210">
        <f t="shared" si="45"/>
        <v>186594.10055278611</v>
      </c>
      <c r="F204" s="210">
        <f t="shared" si="46"/>
        <v>2239129.2066334332</v>
      </c>
      <c r="H204" s="210">
        <f t="shared" si="47"/>
        <v>85522.296086693634</v>
      </c>
      <c r="I204" s="210">
        <f t="shared" si="48"/>
        <v>1026267.5530403235</v>
      </c>
      <c r="K204" s="210">
        <f t="shared" si="49"/>
        <v>31099.016758797687</v>
      </c>
      <c r="L204" s="210">
        <f t="shared" si="50"/>
        <v>373188.20110557223</v>
      </c>
      <c r="N204" s="210">
        <f t="shared" si="51"/>
        <v>3750541.4211110007</v>
      </c>
    </row>
    <row r="205" spans="1:14" s="206" customFormat="1">
      <c r="A205" s="206">
        <f t="shared" si="42"/>
        <v>2052</v>
      </c>
      <c r="B205" s="210">
        <f t="shared" si="43"/>
        <v>9641.1276189971049</v>
      </c>
      <c r="C205" s="210">
        <f t="shared" si="44"/>
        <v>115693.53142796527</v>
      </c>
      <c r="E205" s="210">
        <f t="shared" si="45"/>
        <v>192822.5523799418</v>
      </c>
      <c r="F205" s="210">
        <f t="shared" si="46"/>
        <v>2313870.6285593016</v>
      </c>
      <c r="H205" s="210">
        <f t="shared" si="47"/>
        <v>88377.003174139987</v>
      </c>
      <c r="I205" s="210">
        <f t="shared" si="48"/>
        <v>1060524.0380896798</v>
      </c>
      <c r="K205" s="210">
        <f t="shared" si="49"/>
        <v>32137.092063323635</v>
      </c>
      <c r="L205" s="210">
        <f t="shared" si="50"/>
        <v>385645.1047598836</v>
      </c>
      <c r="N205" s="210">
        <f t="shared" si="51"/>
        <v>3875733.3028368303</v>
      </c>
    </row>
    <row r="206" spans="1:14" s="206" customFormat="1">
      <c r="A206" s="206">
        <f t="shared" si="42"/>
        <v>2053</v>
      </c>
      <c r="B206" s="210">
        <f t="shared" si="43"/>
        <v>9962.9453975682791</v>
      </c>
      <c r="C206" s="210">
        <f t="shared" si="44"/>
        <v>119555.34477081936</v>
      </c>
      <c r="E206" s="210">
        <f t="shared" si="45"/>
        <v>199258.90795136528</v>
      </c>
      <c r="F206" s="210">
        <f t="shared" si="46"/>
        <v>2391106.8954163836</v>
      </c>
      <c r="H206" s="210">
        <f t="shared" si="47"/>
        <v>91326.999477709091</v>
      </c>
      <c r="I206" s="210">
        <f t="shared" si="48"/>
        <v>1095923.9937325092</v>
      </c>
      <c r="K206" s="210">
        <f t="shared" si="49"/>
        <v>33209.817991894219</v>
      </c>
      <c r="L206" s="210">
        <f t="shared" si="50"/>
        <v>398517.81590273062</v>
      </c>
      <c r="N206" s="210">
        <f t="shared" si="51"/>
        <v>4005104.0498224427</v>
      </c>
    </row>
    <row r="207" spans="1:14" s="206" customFormat="1">
      <c r="A207" s="206">
        <f t="shared" si="42"/>
        <v>2054</v>
      </c>
      <c r="B207" s="210">
        <f t="shared" si="43"/>
        <v>10295.505351401236</v>
      </c>
      <c r="C207" s="210">
        <f t="shared" si="44"/>
        <v>123546.06421681483</v>
      </c>
      <c r="E207" s="210">
        <f t="shared" si="45"/>
        <v>205910.10702802445</v>
      </c>
      <c r="F207" s="210">
        <f t="shared" si="46"/>
        <v>2470921.2843362931</v>
      </c>
      <c r="H207" s="210">
        <f t="shared" si="47"/>
        <v>94375.465721177854</v>
      </c>
      <c r="I207" s="210">
        <f t="shared" si="48"/>
        <v>1132505.5886541342</v>
      </c>
      <c r="K207" s="210">
        <f t="shared" si="49"/>
        <v>34318.35117133741</v>
      </c>
      <c r="L207" s="210">
        <f t="shared" si="50"/>
        <v>411820.21405604889</v>
      </c>
      <c r="N207" s="210">
        <f t="shared" si="51"/>
        <v>4138793.1512632915</v>
      </c>
    </row>
    <row r="208" spans="1:14" s="206" customFormat="1">
      <c r="A208" s="206">
        <f t="shared" si="42"/>
        <v>2055</v>
      </c>
      <c r="B208" s="210">
        <f t="shared" si="43"/>
        <v>10639.166050895248</v>
      </c>
      <c r="C208" s="210">
        <f t="shared" si="44"/>
        <v>127669.99261074298</v>
      </c>
      <c r="E208" s="210">
        <f t="shared" si="45"/>
        <v>212783.32101790464</v>
      </c>
      <c r="F208" s="210">
        <f t="shared" si="46"/>
        <v>2553399.8522148556</v>
      </c>
      <c r="H208" s="210">
        <f t="shared" si="47"/>
        <v>97525.688799872951</v>
      </c>
      <c r="I208" s="210">
        <f t="shared" si="48"/>
        <v>1170308.2655984755</v>
      </c>
      <c r="K208" s="210">
        <f t="shared" si="49"/>
        <v>35463.886836317441</v>
      </c>
      <c r="L208" s="210">
        <f t="shared" si="50"/>
        <v>425566.64203580929</v>
      </c>
      <c r="N208" s="210">
        <f t="shared" si="51"/>
        <v>4276944.7524598828</v>
      </c>
    </row>
    <row r="209" spans="1:25" s="206" customFormat="1">
      <c r="A209" s="206">
        <f t="shared" si="42"/>
        <v>2056</v>
      </c>
      <c r="B209" s="210">
        <f t="shared" si="43"/>
        <v>10994.298035415657</v>
      </c>
      <c r="C209" s="210">
        <f t="shared" si="44"/>
        <v>131931.57642498787</v>
      </c>
      <c r="E209" s="210">
        <f t="shared" si="45"/>
        <v>219885.96070831281</v>
      </c>
      <c r="F209" s="210">
        <f t="shared" si="46"/>
        <v>2638631.5284997537</v>
      </c>
      <c r="H209" s="210">
        <f t="shared" si="47"/>
        <v>100781.06532464336</v>
      </c>
      <c r="I209" s="210">
        <f t="shared" si="48"/>
        <v>1209372.7838957203</v>
      </c>
      <c r="K209" s="210">
        <f t="shared" si="49"/>
        <v>36647.660118052139</v>
      </c>
      <c r="L209" s="210">
        <f t="shared" si="50"/>
        <v>439771.92141662567</v>
      </c>
      <c r="N209" s="210">
        <f t="shared" si="51"/>
        <v>4419707.8102370873</v>
      </c>
    </row>
    <row r="210" spans="1:25" s="206" customFormat="1">
      <c r="A210" s="206">
        <f t="shared" si="42"/>
        <v>2057</v>
      </c>
      <c r="B210" s="210">
        <f t="shared" si="43"/>
        <v>11361.284212814162</v>
      </c>
      <c r="C210" s="210">
        <f>B210*$B$177</f>
        <v>136335.41055376994</v>
      </c>
      <c r="E210" s="210">
        <f>H169*$A$131</f>
        <v>227225.68425628287</v>
      </c>
      <c r="F210" s="210">
        <f>E210*$B$177</f>
        <v>2726708.2110753944</v>
      </c>
      <c r="H210" s="210">
        <f>M169*$A$131</f>
        <v>104145.10528412965</v>
      </c>
      <c r="I210" s="210">
        <f>H210*$B$177</f>
        <v>1249741.2634095559</v>
      </c>
      <c r="K210" s="210">
        <f>R169*$A$131</f>
        <v>37870.947376047145</v>
      </c>
      <c r="L210" s="210">
        <f>K210*$B$177</f>
        <v>454451.36851256574</v>
      </c>
      <c r="N210" s="210">
        <f>SUM(C210,F210,I210,L210)</f>
        <v>4567236.2535512857</v>
      </c>
    </row>
    <row r="211" spans="1:25" s="206" customFormat="1"/>
    <row r="212" spans="1:25">
      <c r="A212" s="177" t="s">
        <v>455</v>
      </c>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row>
    <row r="213" spans="1:25">
      <c r="A213" s="181">
        <f>Inputs!B18</f>
        <v>1</v>
      </c>
      <c r="B213" s="154" t="s">
        <v>454</v>
      </c>
      <c r="C213" s="154"/>
      <c r="D213" s="154"/>
      <c r="E213" s="154"/>
      <c r="F213" s="154"/>
      <c r="G213" s="154"/>
      <c r="H213" s="154"/>
      <c r="I213" s="154"/>
      <c r="J213" s="154"/>
      <c r="K213" s="154"/>
      <c r="L213" s="154"/>
      <c r="M213" s="154"/>
      <c r="N213" s="154"/>
      <c r="O213" s="154"/>
      <c r="P213" s="154"/>
      <c r="Q213" s="154"/>
      <c r="R213" s="154"/>
      <c r="S213" s="154"/>
      <c r="T213" s="154"/>
      <c r="U213" s="154"/>
      <c r="V213" s="154"/>
      <c r="W213" s="154"/>
    </row>
    <row r="214" spans="1:25">
      <c r="B214" s="731" t="str">
        <f>B137</f>
        <v>Detour 4 WB Only</v>
      </c>
      <c r="C214" s="731"/>
      <c r="D214" s="731"/>
      <c r="E214" s="731"/>
      <c r="F214" s="165"/>
      <c r="G214" s="731" t="str">
        <f>G137</f>
        <v>Detour 5</v>
      </c>
      <c r="H214" s="731"/>
      <c r="I214" s="731"/>
      <c r="J214" s="731"/>
      <c r="K214" s="148"/>
      <c r="L214" s="731" t="str">
        <f>L137</f>
        <v>Detour 6</v>
      </c>
      <c r="M214" s="731"/>
      <c r="N214" s="731"/>
      <c r="O214" s="731"/>
      <c r="P214" s="148"/>
      <c r="Q214" s="731" t="str">
        <f>Q137</f>
        <v>Detour 7</v>
      </c>
      <c r="R214" s="731"/>
      <c r="S214" s="731"/>
      <c r="T214" s="731"/>
      <c r="V214" s="731" t="str">
        <f>V137</f>
        <v>Total (Detours 4+5+6+7)</v>
      </c>
      <c r="W214" s="731"/>
      <c r="X214" s="165"/>
      <c r="Y214" s="165"/>
    </row>
    <row r="215" spans="1:25" s="119" customFormat="1" ht="60">
      <c r="B215" s="119" t="s">
        <v>374</v>
      </c>
      <c r="C215" s="119" t="s">
        <v>394</v>
      </c>
      <c r="D215" s="119" t="s">
        <v>264</v>
      </c>
      <c r="E215" s="119" t="s">
        <v>265</v>
      </c>
      <c r="G215" s="119" t="s">
        <v>374</v>
      </c>
      <c r="H215" s="119" t="s">
        <v>394</v>
      </c>
      <c r="I215" s="119" t="s">
        <v>264</v>
      </c>
      <c r="J215" s="119" t="s">
        <v>265</v>
      </c>
      <c r="K215" s="167"/>
      <c r="L215" s="119" t="s">
        <v>374</v>
      </c>
      <c r="M215" s="119" t="s">
        <v>394</v>
      </c>
      <c r="N215" s="119" t="s">
        <v>264</v>
      </c>
      <c r="O215" s="119" t="s">
        <v>265</v>
      </c>
      <c r="Q215" s="119" t="s">
        <v>374</v>
      </c>
      <c r="R215" s="119" t="s">
        <v>394</v>
      </c>
      <c r="S215" s="119" t="s">
        <v>264</v>
      </c>
      <c r="T215" s="119" t="s">
        <v>265</v>
      </c>
      <c r="V215" s="119" t="s">
        <v>264</v>
      </c>
      <c r="W215" s="119" t="s">
        <v>265</v>
      </c>
    </row>
    <row r="216" spans="1:25" s="119" customFormat="1">
      <c r="A216" s="167">
        <f t="shared" ref="A216:A246" si="52">A139</f>
        <v>2027</v>
      </c>
      <c r="B216" s="5">
        <f>AVERAGE($H$126)/2*(1+$A$133)^(A216-2019)</f>
        <v>16970.313287454141</v>
      </c>
      <c r="C216" s="5">
        <f t="shared" ref="C216:C236" si="53">B216*$B$129*$A$213</f>
        <v>8485.1566437270703</v>
      </c>
      <c r="D216" s="5">
        <f t="shared" ref="D216:D236" si="54">C216*$B$128*$A$130</f>
        <v>178188.28951826849</v>
      </c>
      <c r="E216" s="60">
        <f t="shared" ref="E216:E236" si="55">C216*$B$127*$A$130</f>
        <v>4313.2879605612607</v>
      </c>
      <c r="F216" s="113"/>
      <c r="G216" s="5">
        <f>AVERAGE($H$126)*(1+$A$133)^(A216-2019)</f>
        <v>33940.626574908281</v>
      </c>
      <c r="H216" s="5">
        <f t="shared" ref="H216:H236" si="56">G216*$C$129*$A$213</f>
        <v>169703.13287454139</v>
      </c>
      <c r="I216" s="5">
        <f t="shared" ref="I216:I236" si="57">H216*$C$128*$A$130</f>
        <v>933367.23080997763</v>
      </c>
      <c r="J216" s="60">
        <f t="shared" ref="J216:J236" si="58">H216*$C$127*$A$130</f>
        <v>22627.084383272191</v>
      </c>
      <c r="K216" s="167"/>
      <c r="L216" s="5">
        <f>AVERAGE($H$126)*(1+$A$133)^(A216-2019)</f>
        <v>33940.626574908281</v>
      </c>
      <c r="M216" s="5">
        <f t="shared" ref="M216:M236" si="59">L216*$D$129*$A$213</f>
        <v>77780.602567498136</v>
      </c>
      <c r="N216" s="5">
        <f t="shared" ref="N216:N236" si="60">M216*$D$128*$A$130</f>
        <v>2675652.7283219364</v>
      </c>
      <c r="O216" s="60">
        <f t="shared" ref="O216:O236" si="61">M216*$D$127*$A$130</f>
        <v>59631.795301748563</v>
      </c>
      <c r="P216" s="167"/>
      <c r="Q216" s="5">
        <f>AVERAGE($H$126)/2*(1+$A$133)^(A216-2019)</f>
        <v>16970.313287454141</v>
      </c>
      <c r="R216" s="5">
        <f t="shared" ref="R216:R236" si="62">Q216*$E$129*$A$213</f>
        <v>28283.855479090234</v>
      </c>
      <c r="S216" s="5">
        <f t="shared" ref="S216:S236" si="63">R216*$E$128*$A$130</f>
        <v>374761.08509794559</v>
      </c>
      <c r="T216" s="60">
        <f t="shared" ref="T216:T236" si="64">R216*$E$127*$A$130</f>
        <v>8485.1566437270703</v>
      </c>
      <c r="U216" s="167"/>
      <c r="V216" s="5">
        <f t="shared" ref="V216:W231" si="65">D216+I216+N216+S216</f>
        <v>4161969.3337481283</v>
      </c>
      <c r="W216" s="5">
        <f t="shared" si="65"/>
        <v>95057.324289309079</v>
      </c>
    </row>
    <row r="217" spans="1:25">
      <c r="A217" s="167">
        <f t="shared" si="52"/>
        <v>2028</v>
      </c>
      <c r="B217" s="5">
        <f t="shared" ref="B217:B246" si="66">AVERAGE($H$126)/2*(1+$A$133)^(A217-2019)</f>
        <v>17536.776956399273</v>
      </c>
      <c r="C217" s="5">
        <f t="shared" si="53"/>
        <v>8768.3884781996367</v>
      </c>
      <c r="D217" s="5">
        <f t="shared" si="54"/>
        <v>184136.15804219237</v>
      </c>
      <c r="E217" s="60">
        <f t="shared" si="55"/>
        <v>4457.2641430848153</v>
      </c>
      <c r="F217" s="113"/>
      <c r="G217" s="5">
        <f t="shared" ref="G217:G246" si="67">AVERAGE($H$126)*(1+$A$133)^(A217-2019)</f>
        <v>35073.553912798547</v>
      </c>
      <c r="H217" s="5">
        <f t="shared" si="56"/>
        <v>175367.76956399274</v>
      </c>
      <c r="I217" s="5">
        <f t="shared" si="57"/>
        <v>964522.73260196007</v>
      </c>
      <c r="J217" s="60">
        <f t="shared" si="58"/>
        <v>23382.369275199038</v>
      </c>
      <c r="L217" s="5">
        <f t="shared" ref="L217:L246" si="68">AVERAGE($H$126)*(1+$A$133)^(A217-2019)</f>
        <v>35073.553912798547</v>
      </c>
      <c r="M217" s="5">
        <f t="shared" si="59"/>
        <v>80376.894383496663</v>
      </c>
      <c r="N217" s="5">
        <f t="shared" si="60"/>
        <v>2764965.1667922856</v>
      </c>
      <c r="O217" s="60">
        <f t="shared" si="61"/>
        <v>61622.285694014106</v>
      </c>
      <c r="Q217" s="5">
        <f t="shared" ref="Q217:Q246" si="69">AVERAGE($H$126)/2*(1+$A$133)^(A217-2019)</f>
        <v>17536.776956399273</v>
      </c>
      <c r="R217" s="5">
        <f t="shared" si="62"/>
        <v>29227.961593998789</v>
      </c>
      <c r="S217" s="5">
        <f t="shared" si="63"/>
        <v>387270.49112048396</v>
      </c>
      <c r="T217" s="60">
        <f t="shared" si="64"/>
        <v>8768.3884781996367</v>
      </c>
      <c r="V217" s="5">
        <f t="shared" si="65"/>
        <v>4300894.548556922</v>
      </c>
      <c r="W217" s="5">
        <f t="shared" si="65"/>
        <v>98230.307590497599</v>
      </c>
    </row>
    <row r="218" spans="1:25">
      <c r="A218" s="167">
        <f t="shared" si="52"/>
        <v>2029</v>
      </c>
      <c r="B218" s="5">
        <f t="shared" si="66"/>
        <v>18122.149002744372</v>
      </c>
      <c r="C218" s="5">
        <f t="shared" si="53"/>
        <v>9061.0745013721862</v>
      </c>
      <c r="D218" s="5">
        <f t="shared" si="54"/>
        <v>190282.56452881591</v>
      </c>
      <c r="E218" s="60">
        <f t="shared" si="55"/>
        <v>4606.0462048641948</v>
      </c>
      <c r="F218" s="113"/>
      <c r="G218" s="5">
        <f t="shared" si="67"/>
        <v>36244.298005488745</v>
      </c>
      <c r="H218" s="5">
        <f t="shared" si="56"/>
        <v>181221.49002744374</v>
      </c>
      <c r="I218" s="5">
        <f t="shared" si="57"/>
        <v>996718.19515094056</v>
      </c>
      <c r="J218" s="60">
        <f t="shared" si="58"/>
        <v>24162.865336992501</v>
      </c>
      <c r="L218" s="5">
        <f t="shared" si="68"/>
        <v>36244.298005488745</v>
      </c>
      <c r="M218" s="5">
        <f t="shared" si="59"/>
        <v>83059.849595911699</v>
      </c>
      <c r="N218" s="5">
        <f t="shared" si="60"/>
        <v>2857258.8260993627</v>
      </c>
      <c r="O218" s="60">
        <f t="shared" si="61"/>
        <v>63679.218023532296</v>
      </c>
      <c r="Q218" s="5">
        <f t="shared" si="69"/>
        <v>18122.149002744372</v>
      </c>
      <c r="R218" s="5">
        <f t="shared" si="62"/>
        <v>30203.581671240623</v>
      </c>
      <c r="S218" s="5">
        <f t="shared" si="63"/>
        <v>400197.45714393829</v>
      </c>
      <c r="T218" s="60">
        <f t="shared" si="64"/>
        <v>9061.0745013721862</v>
      </c>
      <c r="V218" s="5">
        <f t="shared" si="65"/>
        <v>4444457.0429230575</v>
      </c>
      <c r="W218" s="5">
        <f t="shared" si="65"/>
        <v>101509.20406676117</v>
      </c>
    </row>
    <row r="219" spans="1:25">
      <c r="A219" s="167">
        <f t="shared" si="52"/>
        <v>2030</v>
      </c>
      <c r="B219" s="5">
        <f t="shared" si="66"/>
        <v>18727.060582123064</v>
      </c>
      <c r="C219" s="5">
        <f t="shared" si="53"/>
        <v>9363.5302910615319</v>
      </c>
      <c r="D219" s="5">
        <f t="shared" si="54"/>
        <v>196634.13611229218</v>
      </c>
      <c r="E219" s="60">
        <f t="shared" si="55"/>
        <v>4759.7945646229455</v>
      </c>
      <c r="F219" s="113"/>
      <c r="G219" s="5">
        <f t="shared" si="67"/>
        <v>37454.121164246128</v>
      </c>
      <c r="H219" s="5">
        <f t="shared" si="56"/>
        <v>187270.60582123062</v>
      </c>
      <c r="I219" s="5">
        <f t="shared" si="57"/>
        <v>1029988.3320167684</v>
      </c>
      <c r="J219" s="60">
        <f t="shared" si="58"/>
        <v>24969.414109497422</v>
      </c>
      <c r="L219" s="5">
        <f t="shared" si="68"/>
        <v>37454.121164246128</v>
      </c>
      <c r="M219" s="5">
        <f t="shared" si="59"/>
        <v>85832.361001397367</v>
      </c>
      <c r="N219" s="5">
        <f t="shared" si="60"/>
        <v>2952633.2184480699</v>
      </c>
      <c r="O219" s="60">
        <f t="shared" si="61"/>
        <v>65804.810101071314</v>
      </c>
      <c r="Q219" s="5">
        <f t="shared" si="69"/>
        <v>18727.060582123064</v>
      </c>
      <c r="R219" s="5">
        <f t="shared" si="62"/>
        <v>31211.767636871773</v>
      </c>
      <c r="S219" s="5">
        <f t="shared" si="63"/>
        <v>413555.921188551</v>
      </c>
      <c r="T219" s="60">
        <f t="shared" si="64"/>
        <v>9363.5302910615319</v>
      </c>
      <c r="V219" s="5">
        <f t="shared" si="65"/>
        <v>4592811.607765682</v>
      </c>
      <c r="W219" s="5">
        <f t="shared" si="65"/>
        <v>104897.54906625321</v>
      </c>
    </row>
    <row r="220" spans="1:25">
      <c r="A220" s="167">
        <f t="shared" si="52"/>
        <v>2031</v>
      </c>
      <c r="B220" s="5">
        <f t="shared" si="66"/>
        <v>19352.163917943599</v>
      </c>
      <c r="C220" s="5">
        <f t="shared" si="53"/>
        <v>9676.0819589717994</v>
      </c>
      <c r="D220" s="5">
        <f t="shared" si="54"/>
        <v>203197.7211384078</v>
      </c>
      <c r="E220" s="60">
        <f t="shared" si="55"/>
        <v>4918.6749958106648</v>
      </c>
      <c r="F220" s="113"/>
      <c r="G220" s="5">
        <f t="shared" si="67"/>
        <v>38704.327835887198</v>
      </c>
      <c r="H220" s="5">
        <f t="shared" si="56"/>
        <v>193521.639179436</v>
      </c>
      <c r="I220" s="5">
        <f t="shared" si="57"/>
        <v>1064369.0154868979</v>
      </c>
      <c r="J220" s="60">
        <f t="shared" si="58"/>
        <v>25802.885223924804</v>
      </c>
      <c r="L220" s="5">
        <f t="shared" si="68"/>
        <v>38704.327835887198</v>
      </c>
      <c r="M220" s="5">
        <f t="shared" si="59"/>
        <v>88697.417957241487</v>
      </c>
      <c r="N220" s="5">
        <f t="shared" si="60"/>
        <v>3051191.1777291074</v>
      </c>
      <c r="O220" s="60">
        <f t="shared" si="61"/>
        <v>68001.353767218461</v>
      </c>
      <c r="Q220" s="5">
        <f t="shared" si="69"/>
        <v>19352.163917943599</v>
      </c>
      <c r="R220" s="5">
        <f t="shared" si="62"/>
        <v>32253.606529905999</v>
      </c>
      <c r="S220" s="5">
        <f t="shared" si="63"/>
        <v>427360.28652125451</v>
      </c>
      <c r="T220" s="60">
        <f t="shared" si="64"/>
        <v>9676.0819589717994</v>
      </c>
      <c r="V220" s="5">
        <f t="shared" si="65"/>
        <v>4746118.2008756669</v>
      </c>
      <c r="W220" s="5">
        <f t="shared" si="65"/>
        <v>108398.99594592574</v>
      </c>
    </row>
    <row r="221" spans="1:25">
      <c r="A221" s="167">
        <f t="shared" si="52"/>
        <v>2032</v>
      </c>
      <c r="B221" s="5">
        <f t="shared" si="66"/>
        <v>19998.133004624531</v>
      </c>
      <c r="C221" s="5">
        <f t="shared" si="53"/>
        <v>9999.0665023122656</v>
      </c>
      <c r="D221" s="5">
        <f t="shared" si="54"/>
        <v>209980.39654855759</v>
      </c>
      <c r="E221" s="60">
        <f t="shared" si="55"/>
        <v>5082.8588053420681</v>
      </c>
      <c r="F221" s="113"/>
      <c r="G221" s="5">
        <f t="shared" si="67"/>
        <v>39996.266009249062</v>
      </c>
      <c r="H221" s="5">
        <f t="shared" si="56"/>
        <v>199981.3300462453</v>
      </c>
      <c r="I221" s="5">
        <f t="shared" si="57"/>
        <v>1099897.3152543493</v>
      </c>
      <c r="J221" s="60">
        <f t="shared" si="58"/>
        <v>26664.17733949938</v>
      </c>
      <c r="L221" s="5">
        <f t="shared" si="68"/>
        <v>39996.266009249062</v>
      </c>
      <c r="M221" s="5">
        <f t="shared" si="59"/>
        <v>91658.109604529091</v>
      </c>
      <c r="N221" s="5">
        <f t="shared" si="60"/>
        <v>3153038.9703958011</v>
      </c>
      <c r="O221" s="60">
        <f t="shared" si="61"/>
        <v>70271.2173634723</v>
      </c>
      <c r="Q221" s="5">
        <f t="shared" si="69"/>
        <v>19998.133004624531</v>
      </c>
      <c r="R221" s="5">
        <f t="shared" si="62"/>
        <v>33330.221674374217</v>
      </c>
      <c r="S221" s="5">
        <f t="shared" si="63"/>
        <v>441625.43718545837</v>
      </c>
      <c r="T221" s="60">
        <f t="shared" si="64"/>
        <v>9999.0665023122656</v>
      </c>
      <c r="V221" s="5">
        <f t="shared" si="65"/>
        <v>4904542.1193841659</v>
      </c>
      <c r="W221" s="5">
        <f t="shared" si="65"/>
        <v>112017.32001062602</v>
      </c>
    </row>
    <row r="222" spans="1:25">
      <c r="A222" s="167">
        <f t="shared" si="52"/>
        <v>2033</v>
      </c>
      <c r="B222" s="5">
        <f t="shared" si="66"/>
        <v>20665.66433430406</v>
      </c>
      <c r="C222" s="5">
        <f t="shared" si="53"/>
        <v>10332.83216715203</v>
      </c>
      <c r="D222" s="5">
        <f t="shared" si="54"/>
        <v>216989.47551019263</v>
      </c>
      <c r="E222" s="60">
        <f t="shared" si="55"/>
        <v>5252.5230183022813</v>
      </c>
      <c r="F222" s="113"/>
      <c r="G222" s="5">
        <f t="shared" si="67"/>
        <v>41331.328668608119</v>
      </c>
      <c r="H222" s="5">
        <f t="shared" si="56"/>
        <v>206656.6433430406</v>
      </c>
      <c r="I222" s="5">
        <f t="shared" si="57"/>
        <v>1136611.5383867233</v>
      </c>
      <c r="J222" s="60">
        <f t="shared" si="58"/>
        <v>27554.219112405419</v>
      </c>
      <c r="L222" s="5">
        <f t="shared" si="68"/>
        <v>41331.328668608119</v>
      </c>
      <c r="M222" s="5">
        <f t="shared" si="59"/>
        <v>94717.628198893595</v>
      </c>
      <c r="N222" s="5">
        <f t="shared" si="60"/>
        <v>3258286.4100419404</v>
      </c>
      <c r="O222" s="60">
        <f t="shared" si="61"/>
        <v>72616.848285818414</v>
      </c>
      <c r="Q222" s="5">
        <f t="shared" si="69"/>
        <v>20665.66433430406</v>
      </c>
      <c r="R222" s="5">
        <f t="shared" si="62"/>
        <v>34442.773890506767</v>
      </c>
      <c r="S222" s="5">
        <f t="shared" si="63"/>
        <v>456366.75404921465</v>
      </c>
      <c r="T222" s="60">
        <f t="shared" si="64"/>
        <v>10332.83216715203</v>
      </c>
      <c r="V222" s="5">
        <f t="shared" si="65"/>
        <v>5068254.177988071</v>
      </c>
      <c r="W222" s="5">
        <f t="shared" si="65"/>
        <v>115756.42258367814</v>
      </c>
    </row>
    <row r="223" spans="1:25">
      <c r="A223" s="167">
        <f t="shared" si="52"/>
        <v>2034</v>
      </c>
      <c r="B223" s="5">
        <f t="shared" si="66"/>
        <v>21355.477647806809</v>
      </c>
      <c r="C223" s="5">
        <f t="shared" si="53"/>
        <v>10677.738823903404</v>
      </c>
      <c r="D223" s="5">
        <f t="shared" si="54"/>
        <v>224232.51530197149</v>
      </c>
      <c r="E223" s="60">
        <f t="shared" si="55"/>
        <v>5427.8505688175637</v>
      </c>
      <c r="F223" s="113"/>
      <c r="G223" s="5">
        <f t="shared" si="67"/>
        <v>42710.955295613618</v>
      </c>
      <c r="H223" s="5">
        <f t="shared" si="56"/>
        <v>213554.77647806809</v>
      </c>
      <c r="I223" s="5">
        <f t="shared" si="57"/>
        <v>1174551.2706293745</v>
      </c>
      <c r="J223" s="60">
        <f t="shared" si="58"/>
        <v>28473.970197075752</v>
      </c>
      <c r="L223" s="5">
        <f t="shared" si="68"/>
        <v>42710.955295613618</v>
      </c>
      <c r="M223" s="5">
        <f t="shared" si="59"/>
        <v>97879.272552447874</v>
      </c>
      <c r="N223" s="5">
        <f t="shared" si="60"/>
        <v>3367046.9758042074</v>
      </c>
      <c r="O223" s="60">
        <f t="shared" si="61"/>
        <v>75040.775623543363</v>
      </c>
      <c r="Q223" s="5">
        <f t="shared" si="69"/>
        <v>21355.477647806809</v>
      </c>
      <c r="R223" s="5">
        <f t="shared" si="62"/>
        <v>35592.462746344681</v>
      </c>
      <c r="S223" s="5">
        <f t="shared" si="63"/>
        <v>471600.13138906704</v>
      </c>
      <c r="T223" s="60">
        <f t="shared" si="64"/>
        <v>10677.738823903404</v>
      </c>
      <c r="V223" s="5">
        <f t="shared" si="65"/>
        <v>5237430.8931246195</v>
      </c>
      <c r="W223" s="5">
        <f t="shared" si="65"/>
        <v>119620.33521334009</v>
      </c>
    </row>
    <row r="224" spans="1:25">
      <c r="A224" s="167">
        <f t="shared" si="52"/>
        <v>2035</v>
      </c>
      <c r="B224" s="5">
        <f t="shared" si="66"/>
        <v>22068.316710677587</v>
      </c>
      <c r="C224" s="5">
        <f t="shared" si="53"/>
        <v>11034.158355338794</v>
      </c>
      <c r="D224" s="5">
        <f t="shared" si="54"/>
        <v>231717.32546211468</v>
      </c>
      <c r="E224" s="60">
        <f t="shared" si="55"/>
        <v>5609.0304972972199</v>
      </c>
      <c r="F224" s="113"/>
      <c r="G224" s="5">
        <f t="shared" si="67"/>
        <v>44136.633421355175</v>
      </c>
      <c r="H224" s="5">
        <f t="shared" si="56"/>
        <v>220683.16710677586</v>
      </c>
      <c r="I224" s="5">
        <f t="shared" si="57"/>
        <v>1213757.4190872672</v>
      </c>
      <c r="J224" s="60">
        <f t="shared" si="58"/>
        <v>29424.422280903455</v>
      </c>
      <c r="L224" s="5">
        <f t="shared" si="68"/>
        <v>44136.633421355175</v>
      </c>
      <c r="M224" s="5">
        <f t="shared" si="59"/>
        <v>101146.4515906056</v>
      </c>
      <c r="N224" s="5">
        <f t="shared" si="60"/>
        <v>3479437.9347168333</v>
      </c>
      <c r="O224" s="60">
        <f t="shared" si="61"/>
        <v>77545.612886130955</v>
      </c>
      <c r="Q224" s="5">
        <f t="shared" si="69"/>
        <v>22068.316710677587</v>
      </c>
      <c r="R224" s="5">
        <f t="shared" si="62"/>
        <v>36780.527851129315</v>
      </c>
      <c r="S224" s="5">
        <f t="shared" si="63"/>
        <v>487341.99402746343</v>
      </c>
      <c r="T224" s="60">
        <f t="shared" si="64"/>
        <v>11034.158355338794</v>
      </c>
      <c r="V224" s="5">
        <f t="shared" si="65"/>
        <v>5412254.673293679</v>
      </c>
      <c r="W224" s="5">
        <f t="shared" si="65"/>
        <v>123613.22401967042</v>
      </c>
    </row>
    <row r="225" spans="1:23">
      <c r="A225" s="167">
        <f t="shared" si="52"/>
        <v>2036</v>
      </c>
      <c r="B225" s="5">
        <f t="shared" si="66"/>
        <v>22804.95011511894</v>
      </c>
      <c r="C225" s="5">
        <f t="shared" si="53"/>
        <v>11402.47505755947</v>
      </c>
      <c r="D225" s="5">
        <f t="shared" si="54"/>
        <v>239451.97620874888</v>
      </c>
      <c r="E225" s="60">
        <f t="shared" si="55"/>
        <v>5796.2581542593971</v>
      </c>
      <c r="F225" s="113"/>
      <c r="G225" s="5">
        <f t="shared" si="67"/>
        <v>45609.900230237879</v>
      </c>
      <c r="H225" s="5">
        <f t="shared" si="56"/>
        <v>228049.50115118938</v>
      </c>
      <c r="I225" s="5">
        <f t="shared" si="57"/>
        <v>1254272.2563315416</v>
      </c>
      <c r="J225" s="60">
        <f t="shared" si="58"/>
        <v>30406.600153491923</v>
      </c>
      <c r="L225" s="5">
        <f t="shared" si="68"/>
        <v>45609.900230237879</v>
      </c>
      <c r="M225" s="5">
        <f t="shared" si="59"/>
        <v>104522.68802762846</v>
      </c>
      <c r="N225" s="5">
        <f t="shared" si="60"/>
        <v>3595580.4681504196</v>
      </c>
      <c r="O225" s="60">
        <f t="shared" si="61"/>
        <v>80134.060821181818</v>
      </c>
      <c r="Q225" s="5">
        <f t="shared" si="69"/>
        <v>22804.95011511894</v>
      </c>
      <c r="R225" s="5">
        <f t="shared" si="62"/>
        <v>38008.2501918649</v>
      </c>
      <c r="S225" s="5">
        <f t="shared" si="63"/>
        <v>503609.31504220993</v>
      </c>
      <c r="T225" s="60">
        <f t="shared" si="64"/>
        <v>11402.47505755947</v>
      </c>
      <c r="V225" s="5">
        <f t="shared" si="65"/>
        <v>5592914.0157329198</v>
      </c>
      <c r="W225" s="5">
        <f t="shared" si="65"/>
        <v>127739.3941864926</v>
      </c>
    </row>
    <row r="226" spans="1:23">
      <c r="A226" s="167">
        <f t="shared" si="52"/>
        <v>2037</v>
      </c>
      <c r="B226" s="5">
        <f t="shared" si="66"/>
        <v>23566.172108697057</v>
      </c>
      <c r="C226" s="5">
        <f t="shared" si="53"/>
        <v>11783.086054348529</v>
      </c>
      <c r="D226" s="5">
        <f t="shared" si="54"/>
        <v>247444.80714131909</v>
      </c>
      <c r="E226" s="60">
        <f t="shared" si="55"/>
        <v>5989.7354109605021</v>
      </c>
      <c r="F226" s="113"/>
      <c r="G226" s="5">
        <f t="shared" si="67"/>
        <v>47132.344217394115</v>
      </c>
      <c r="H226" s="5">
        <f t="shared" si="56"/>
        <v>235661.72108697059</v>
      </c>
      <c r="I226" s="5">
        <f t="shared" si="57"/>
        <v>1296139.4659783382</v>
      </c>
      <c r="J226" s="60">
        <f t="shared" si="58"/>
        <v>31421.562811596086</v>
      </c>
      <c r="L226" s="5">
        <f t="shared" si="68"/>
        <v>47132.344217394115</v>
      </c>
      <c r="M226" s="5">
        <f t="shared" si="59"/>
        <v>108011.6221648615</v>
      </c>
      <c r="N226" s="5">
        <f t="shared" si="60"/>
        <v>3715599.8024712363</v>
      </c>
      <c r="O226" s="60">
        <f t="shared" si="61"/>
        <v>82808.910326393816</v>
      </c>
      <c r="Q226" s="5">
        <f t="shared" si="69"/>
        <v>23566.172108697057</v>
      </c>
      <c r="R226" s="5">
        <f t="shared" si="62"/>
        <v>39276.953514495101</v>
      </c>
      <c r="S226" s="5">
        <f t="shared" si="63"/>
        <v>520419.63406706008</v>
      </c>
      <c r="T226" s="60">
        <f t="shared" si="64"/>
        <v>11783.086054348531</v>
      </c>
      <c r="V226" s="5">
        <f t="shared" si="65"/>
        <v>5779603.7096579541</v>
      </c>
      <c r="W226" s="5">
        <f t="shared" si="65"/>
        <v>132003.29460329894</v>
      </c>
    </row>
    <row r="227" spans="1:23">
      <c r="A227" s="167">
        <f t="shared" si="52"/>
        <v>2038</v>
      </c>
      <c r="B227" s="5">
        <f t="shared" si="66"/>
        <v>24352.803450709704</v>
      </c>
      <c r="C227" s="5">
        <f t="shared" si="53"/>
        <v>12176.401725354852</v>
      </c>
      <c r="D227" s="5">
        <f t="shared" si="54"/>
        <v>255704.43623245187</v>
      </c>
      <c r="E227" s="60">
        <f t="shared" si="55"/>
        <v>6189.6708770553823</v>
      </c>
      <c r="F227" s="113"/>
      <c r="G227" s="5">
        <f t="shared" si="67"/>
        <v>48705.606901419407</v>
      </c>
      <c r="H227" s="5">
        <f t="shared" si="56"/>
        <v>243528.03450709704</v>
      </c>
      <c r="I227" s="5">
        <f t="shared" si="57"/>
        <v>1339404.1897890337</v>
      </c>
      <c r="J227" s="60">
        <f t="shared" si="58"/>
        <v>32470.404600946276</v>
      </c>
      <c r="L227" s="5">
        <f t="shared" si="68"/>
        <v>48705.606901419407</v>
      </c>
      <c r="M227" s="5">
        <f t="shared" si="59"/>
        <v>111617.01581575281</v>
      </c>
      <c r="N227" s="5">
        <f t="shared" si="60"/>
        <v>3839625.3440618971</v>
      </c>
      <c r="O227" s="60">
        <f t="shared" si="61"/>
        <v>85573.045458743814</v>
      </c>
      <c r="Q227" s="5">
        <f t="shared" si="69"/>
        <v>24352.803450709704</v>
      </c>
      <c r="R227" s="5">
        <f t="shared" si="62"/>
        <v>40588.005751182842</v>
      </c>
      <c r="S227" s="5">
        <f t="shared" si="63"/>
        <v>537791.07620317268</v>
      </c>
      <c r="T227" s="60">
        <f t="shared" si="64"/>
        <v>12176.401725354852</v>
      </c>
      <c r="V227" s="5">
        <f t="shared" si="65"/>
        <v>5972525.0462865559</v>
      </c>
      <c r="W227" s="5">
        <f t="shared" si="65"/>
        <v>136409.52266210032</v>
      </c>
    </row>
    <row r="228" spans="1:23">
      <c r="A228" s="167">
        <f t="shared" si="52"/>
        <v>2039</v>
      </c>
      <c r="B228" s="5">
        <f t="shared" si="66"/>
        <v>25165.692297139372</v>
      </c>
      <c r="C228" s="5">
        <f t="shared" si="53"/>
        <v>12582.846148569686</v>
      </c>
      <c r="D228" s="5">
        <f t="shared" si="54"/>
        <v>264239.7691199634</v>
      </c>
      <c r="E228" s="60">
        <f t="shared" si="55"/>
        <v>6396.2801255229233</v>
      </c>
      <c r="F228" s="113"/>
      <c r="G228" s="5">
        <f t="shared" si="67"/>
        <v>50331.384594278745</v>
      </c>
      <c r="H228" s="5">
        <f t="shared" si="56"/>
        <v>251656.92297139374</v>
      </c>
      <c r="I228" s="5">
        <f t="shared" si="57"/>
        <v>1384113.0763426656</v>
      </c>
      <c r="J228" s="60">
        <f t="shared" si="58"/>
        <v>33554.25639618584</v>
      </c>
      <c r="L228" s="5">
        <f t="shared" si="68"/>
        <v>50331.384594278745</v>
      </c>
      <c r="M228" s="5">
        <f t="shared" si="59"/>
        <v>115342.75636188878</v>
      </c>
      <c r="N228" s="5">
        <f t="shared" si="60"/>
        <v>3967790.8188489745</v>
      </c>
      <c r="O228" s="60">
        <f t="shared" si="61"/>
        <v>88429.446544114719</v>
      </c>
      <c r="Q228" s="5">
        <f t="shared" si="69"/>
        <v>25165.692297139372</v>
      </c>
      <c r="R228" s="5">
        <f t="shared" si="62"/>
        <v>41942.820495232292</v>
      </c>
      <c r="S228" s="5">
        <f t="shared" si="63"/>
        <v>555742.37156182784</v>
      </c>
      <c r="T228" s="60">
        <f t="shared" si="64"/>
        <v>12582.846148569688</v>
      </c>
      <c r="V228" s="5">
        <f t="shared" si="65"/>
        <v>6171886.0358734317</v>
      </c>
      <c r="W228" s="5">
        <f t="shared" si="65"/>
        <v>140962.82921439316</v>
      </c>
    </row>
    <row r="229" spans="1:23">
      <c r="A229" s="167">
        <f t="shared" si="52"/>
        <v>2040</v>
      </c>
      <c r="B229" s="5">
        <f t="shared" si="66"/>
        <v>26005.715115145966</v>
      </c>
      <c r="C229" s="5">
        <f t="shared" si="53"/>
        <v>13002.857557572983</v>
      </c>
      <c r="D229" s="5">
        <f t="shared" si="54"/>
        <v>273060.00870903261</v>
      </c>
      <c r="E229" s="60">
        <f t="shared" si="55"/>
        <v>6609.7859250995989</v>
      </c>
      <c r="F229" s="113"/>
      <c r="G229" s="5">
        <f t="shared" si="67"/>
        <v>52011.430230291931</v>
      </c>
      <c r="H229" s="5">
        <f t="shared" si="56"/>
        <v>260057.15115145966</v>
      </c>
      <c r="I229" s="5">
        <f t="shared" si="57"/>
        <v>1430314.3313330282</v>
      </c>
      <c r="J229" s="60">
        <f t="shared" si="58"/>
        <v>34674.286820194626</v>
      </c>
      <c r="L229" s="5">
        <f t="shared" si="68"/>
        <v>52011.430230291931</v>
      </c>
      <c r="M229" s="5">
        <f t="shared" si="59"/>
        <v>119192.86094441901</v>
      </c>
      <c r="N229" s="5">
        <f t="shared" si="60"/>
        <v>4100234.4164880146</v>
      </c>
      <c r="O229" s="60">
        <f t="shared" si="61"/>
        <v>91381.193390721237</v>
      </c>
      <c r="Q229" s="5">
        <f t="shared" si="69"/>
        <v>26005.715115145966</v>
      </c>
      <c r="R229" s="5">
        <f t="shared" si="62"/>
        <v>43342.858525243275</v>
      </c>
      <c r="S229" s="5">
        <f t="shared" si="63"/>
        <v>574292.87545947335</v>
      </c>
      <c r="T229" s="60">
        <f t="shared" si="64"/>
        <v>13002.857557572983</v>
      </c>
      <c r="V229" s="5">
        <f t="shared" si="65"/>
        <v>6377901.6319895489</v>
      </c>
      <c r="W229" s="5">
        <f t="shared" si="65"/>
        <v>145668.12369358845</v>
      </c>
    </row>
    <row r="230" spans="1:23">
      <c r="A230" s="167">
        <f t="shared" si="52"/>
        <v>2041</v>
      </c>
      <c r="B230" s="5">
        <f t="shared" si="66"/>
        <v>26873.777628084848</v>
      </c>
      <c r="C230" s="5">
        <f t="shared" si="53"/>
        <v>13436.888814042424</v>
      </c>
      <c r="D230" s="5">
        <f t="shared" si="54"/>
        <v>282174.66509489092</v>
      </c>
      <c r="E230" s="60">
        <f t="shared" si="55"/>
        <v>6830.4184804715651</v>
      </c>
      <c r="F230" s="113"/>
      <c r="G230" s="5">
        <f t="shared" si="67"/>
        <v>53747.555256169697</v>
      </c>
      <c r="H230" s="5">
        <f t="shared" si="56"/>
        <v>268737.77628084848</v>
      </c>
      <c r="I230" s="5">
        <f t="shared" si="57"/>
        <v>1478057.7695446666</v>
      </c>
      <c r="J230" s="60">
        <f t="shared" si="58"/>
        <v>35831.703504113138</v>
      </c>
      <c r="L230" s="5">
        <f t="shared" si="68"/>
        <v>53747.555256169697</v>
      </c>
      <c r="M230" s="5">
        <f t="shared" si="59"/>
        <v>123171.48079538888</v>
      </c>
      <c r="N230" s="5">
        <f t="shared" si="60"/>
        <v>4237098.9393613786</v>
      </c>
      <c r="O230" s="60">
        <f t="shared" si="61"/>
        <v>94431.468609798132</v>
      </c>
      <c r="Q230" s="5">
        <f t="shared" si="69"/>
        <v>26873.777628084848</v>
      </c>
      <c r="R230" s="5">
        <f t="shared" si="62"/>
        <v>44789.629380141414</v>
      </c>
      <c r="S230" s="5">
        <f t="shared" si="63"/>
        <v>593462.5892868737</v>
      </c>
      <c r="T230" s="60">
        <f t="shared" si="64"/>
        <v>13436.888814042424</v>
      </c>
      <c r="V230" s="5">
        <f t="shared" si="65"/>
        <v>6590793.9632878099</v>
      </c>
      <c r="W230" s="5">
        <f t="shared" si="65"/>
        <v>150530.47940842528</v>
      </c>
    </row>
    <row r="231" spans="1:23">
      <c r="A231" s="167">
        <f t="shared" si="52"/>
        <v>2042</v>
      </c>
      <c r="B231" s="5">
        <f t="shared" si="66"/>
        <v>27770.815792069403</v>
      </c>
      <c r="C231" s="5">
        <f t="shared" si="53"/>
        <v>13885.407896034701</v>
      </c>
      <c r="D231" s="5">
        <f t="shared" si="54"/>
        <v>291593.56581672875</v>
      </c>
      <c r="E231" s="60">
        <f t="shared" si="55"/>
        <v>7058.415680484306</v>
      </c>
      <c r="F231" s="113"/>
      <c r="G231" s="5">
        <f t="shared" si="67"/>
        <v>55541.631584138806</v>
      </c>
      <c r="H231" s="5">
        <f t="shared" si="56"/>
        <v>277708.15792069404</v>
      </c>
      <c r="I231" s="5">
        <f t="shared" si="57"/>
        <v>1527394.8685638171</v>
      </c>
      <c r="J231" s="60">
        <f t="shared" si="58"/>
        <v>37027.754389425878</v>
      </c>
      <c r="L231" s="5">
        <f t="shared" si="68"/>
        <v>55541.631584138806</v>
      </c>
      <c r="M231" s="5">
        <f t="shared" si="59"/>
        <v>127282.90571365142</v>
      </c>
      <c r="N231" s="5">
        <f t="shared" si="60"/>
        <v>4378531.9565496091</v>
      </c>
      <c r="O231" s="60">
        <f t="shared" si="61"/>
        <v>97583.561047132738</v>
      </c>
      <c r="Q231" s="5">
        <f t="shared" si="69"/>
        <v>27770.815792069403</v>
      </c>
      <c r="R231" s="5">
        <f t="shared" si="62"/>
        <v>46284.692986782342</v>
      </c>
      <c r="S231" s="5">
        <f t="shared" si="63"/>
        <v>613272.18207486602</v>
      </c>
      <c r="T231" s="60">
        <f t="shared" si="64"/>
        <v>13885.407896034701</v>
      </c>
      <c r="V231" s="5">
        <f t="shared" si="65"/>
        <v>6810792.5730050215</v>
      </c>
      <c r="W231" s="5">
        <f t="shared" si="65"/>
        <v>155555.13901307763</v>
      </c>
    </row>
    <row r="232" spans="1:23">
      <c r="A232" s="167">
        <f t="shared" si="52"/>
        <v>2043</v>
      </c>
      <c r="B232" s="5">
        <f t="shared" si="66"/>
        <v>28697.796805130893</v>
      </c>
      <c r="C232" s="5">
        <f t="shared" si="53"/>
        <v>14348.898402565446</v>
      </c>
      <c r="D232" s="5">
        <f t="shared" si="54"/>
        <v>301326.86645387439</v>
      </c>
      <c r="E232" s="60">
        <f t="shared" si="55"/>
        <v>7294.0233546374347</v>
      </c>
      <c r="F232" s="113"/>
      <c r="G232" s="5">
        <f t="shared" si="67"/>
        <v>57395.593610261785</v>
      </c>
      <c r="H232" s="5">
        <f t="shared" si="56"/>
        <v>286977.96805130894</v>
      </c>
      <c r="I232" s="5">
        <f t="shared" si="57"/>
        <v>1578378.8242821991</v>
      </c>
      <c r="J232" s="60">
        <f t="shared" si="58"/>
        <v>38263.729073507864</v>
      </c>
      <c r="L232" s="5">
        <f t="shared" si="68"/>
        <v>57395.593610261785</v>
      </c>
      <c r="M232" s="5">
        <f t="shared" si="59"/>
        <v>131531.56869018325</v>
      </c>
      <c r="N232" s="5">
        <f t="shared" si="60"/>
        <v>4524685.962942305</v>
      </c>
      <c r="O232" s="60">
        <f t="shared" si="61"/>
        <v>100840.86932914049</v>
      </c>
      <c r="Q232" s="5">
        <f t="shared" si="69"/>
        <v>28697.796805130893</v>
      </c>
      <c r="R232" s="5">
        <f t="shared" si="62"/>
        <v>47829.661341884821</v>
      </c>
      <c r="S232" s="5">
        <f t="shared" si="63"/>
        <v>633743.01277997391</v>
      </c>
      <c r="T232" s="60">
        <f t="shared" si="64"/>
        <v>14348.898402565446</v>
      </c>
      <c r="V232" s="5">
        <f t="shared" ref="V232:W236" si="70">D232+I232+N232+S232</f>
        <v>7038134.6664583515</v>
      </c>
      <c r="W232" s="5">
        <f t="shared" si="70"/>
        <v>160747.52015985124</v>
      </c>
    </row>
    <row r="233" spans="1:23">
      <c r="A233" s="167">
        <f t="shared" si="52"/>
        <v>2044</v>
      </c>
      <c r="B233" s="5">
        <f t="shared" si="66"/>
        <v>29655.720150063738</v>
      </c>
      <c r="C233" s="5">
        <f t="shared" si="53"/>
        <v>14827.860075031869</v>
      </c>
      <c r="D233" s="5">
        <f t="shared" si="54"/>
        <v>311385.06157566927</v>
      </c>
      <c r="E233" s="60">
        <f t="shared" si="55"/>
        <v>7537.4955381412001</v>
      </c>
      <c r="F233" s="113"/>
      <c r="G233" s="5">
        <f t="shared" si="67"/>
        <v>59311.440300127477</v>
      </c>
      <c r="H233" s="5">
        <f t="shared" si="56"/>
        <v>296557.2015006374</v>
      </c>
      <c r="I233" s="5">
        <f t="shared" si="57"/>
        <v>1631064.6082535058</v>
      </c>
      <c r="J233" s="60">
        <f t="shared" si="58"/>
        <v>39540.960200084992</v>
      </c>
      <c r="L233" s="5">
        <f t="shared" si="68"/>
        <v>59311.440300127477</v>
      </c>
      <c r="M233" s="5">
        <f t="shared" si="59"/>
        <v>135922.05068779213</v>
      </c>
      <c r="N233" s="5">
        <f t="shared" si="60"/>
        <v>4675718.5436600503</v>
      </c>
      <c r="O233" s="60">
        <f t="shared" si="61"/>
        <v>104206.90552730729</v>
      </c>
      <c r="Q233" s="5">
        <f t="shared" si="69"/>
        <v>29655.720150063738</v>
      </c>
      <c r="R233" s="5">
        <f t="shared" si="62"/>
        <v>49426.200250106231</v>
      </c>
      <c r="S233" s="5">
        <f t="shared" si="63"/>
        <v>654897.15331390756</v>
      </c>
      <c r="T233" s="60">
        <f t="shared" si="64"/>
        <v>14827.860075031869</v>
      </c>
      <c r="V233" s="5">
        <f t="shared" si="70"/>
        <v>7273065.3668031329</v>
      </c>
      <c r="W233" s="5">
        <f t="shared" si="70"/>
        <v>166113.22134056536</v>
      </c>
    </row>
    <row r="234" spans="1:23">
      <c r="A234" s="167">
        <f t="shared" si="52"/>
        <v>2045</v>
      </c>
      <c r="B234" s="5">
        <f t="shared" si="66"/>
        <v>30645.61867208068</v>
      </c>
      <c r="C234" s="5">
        <f t="shared" si="53"/>
        <v>15322.80933604034</v>
      </c>
      <c r="D234" s="5">
        <f t="shared" si="54"/>
        <v>321778.99605684716</v>
      </c>
      <c r="E234" s="60">
        <f t="shared" si="55"/>
        <v>7789.0947458205055</v>
      </c>
      <c r="F234" s="113"/>
      <c r="G234" s="5">
        <f t="shared" si="67"/>
        <v>61291.23734416136</v>
      </c>
      <c r="H234" s="5">
        <f t="shared" si="56"/>
        <v>306456.18672080681</v>
      </c>
      <c r="I234" s="5">
        <f t="shared" si="57"/>
        <v>1685509.0269644374</v>
      </c>
      <c r="J234" s="60">
        <f t="shared" si="58"/>
        <v>40860.824896107581</v>
      </c>
      <c r="L234" s="5">
        <f t="shared" si="68"/>
        <v>61291.23734416136</v>
      </c>
      <c r="M234" s="5">
        <f t="shared" si="59"/>
        <v>140459.08558036978</v>
      </c>
      <c r="N234" s="5">
        <f t="shared" si="60"/>
        <v>4831792.5439647213</v>
      </c>
      <c r="O234" s="60">
        <f t="shared" si="61"/>
        <v>107685.29894495015</v>
      </c>
      <c r="Q234" s="5">
        <f t="shared" si="69"/>
        <v>30645.61867208068</v>
      </c>
      <c r="R234" s="5">
        <f t="shared" si="62"/>
        <v>51076.031120134467</v>
      </c>
      <c r="S234" s="5">
        <f t="shared" si="63"/>
        <v>676757.41234178166</v>
      </c>
      <c r="T234" s="60">
        <f t="shared" si="64"/>
        <v>15322.80933604034</v>
      </c>
      <c r="V234" s="5">
        <f t="shared" si="70"/>
        <v>7515837.9793277876</v>
      </c>
      <c r="W234" s="5">
        <f t="shared" si="70"/>
        <v>171658.02792291858</v>
      </c>
    </row>
    <row r="235" spans="1:23">
      <c r="A235" s="167">
        <f t="shared" si="52"/>
        <v>2046</v>
      </c>
      <c r="B235" s="5">
        <f t="shared" si="66"/>
        <v>31668.559692439692</v>
      </c>
      <c r="C235" s="5">
        <f t="shared" si="53"/>
        <v>15834.279846219846</v>
      </c>
      <c r="D235" s="5">
        <f t="shared" si="54"/>
        <v>332519.87677061674</v>
      </c>
      <c r="E235" s="60">
        <f t="shared" si="55"/>
        <v>8049.092255161755</v>
      </c>
      <c r="F235" s="113"/>
      <c r="G235" s="5">
        <f t="shared" si="67"/>
        <v>63337.119384879385</v>
      </c>
      <c r="H235" s="5">
        <f t="shared" si="56"/>
        <v>316685.59692439693</v>
      </c>
      <c r="I235" s="5">
        <f t="shared" si="57"/>
        <v>1741770.783084183</v>
      </c>
      <c r="J235" s="60">
        <f t="shared" si="58"/>
        <v>42224.746256586266</v>
      </c>
      <c r="L235" s="5">
        <f t="shared" si="68"/>
        <v>63337.119384879385</v>
      </c>
      <c r="M235" s="5">
        <f t="shared" si="59"/>
        <v>145147.56525701526</v>
      </c>
      <c r="N235" s="5">
        <f t="shared" si="60"/>
        <v>4993076.244841326</v>
      </c>
      <c r="O235" s="60">
        <f t="shared" si="61"/>
        <v>111279.80003037836</v>
      </c>
      <c r="Q235" s="5">
        <f t="shared" si="69"/>
        <v>31668.559692439692</v>
      </c>
      <c r="R235" s="5">
        <f t="shared" si="62"/>
        <v>52780.932820732822</v>
      </c>
      <c r="S235" s="5">
        <f t="shared" si="63"/>
        <v>699347.35987470986</v>
      </c>
      <c r="T235" s="60">
        <f t="shared" si="64"/>
        <v>15834.279846219846</v>
      </c>
      <c r="V235" s="5">
        <f t="shared" si="70"/>
        <v>7766714.264570835</v>
      </c>
      <c r="W235" s="5">
        <f t="shared" si="70"/>
        <v>177387.91838834624</v>
      </c>
    </row>
    <row r="236" spans="1:23">
      <c r="A236" s="167">
        <f t="shared" si="52"/>
        <v>2047</v>
      </c>
      <c r="B236" s="5">
        <f t="shared" si="66"/>
        <v>32725.646159243417</v>
      </c>
      <c r="C236" s="5">
        <f t="shared" si="53"/>
        <v>16362.823079621709</v>
      </c>
      <c r="D236" s="5">
        <f t="shared" si="54"/>
        <v>343619.28467205586</v>
      </c>
      <c r="E236" s="60">
        <f t="shared" si="55"/>
        <v>8317.7683988077006</v>
      </c>
      <c r="F236" s="113"/>
      <c r="G236" s="5">
        <f t="shared" si="67"/>
        <v>65451.292318486834</v>
      </c>
      <c r="H236" s="5">
        <f t="shared" si="56"/>
        <v>327256.46159243415</v>
      </c>
      <c r="I236" s="5">
        <f t="shared" si="57"/>
        <v>1799910.5387583878</v>
      </c>
      <c r="J236" s="60">
        <f t="shared" si="58"/>
        <v>43634.194878991228</v>
      </c>
      <c r="L236" s="5">
        <f t="shared" si="68"/>
        <v>65451.292318486834</v>
      </c>
      <c r="M236" s="5">
        <f t="shared" si="59"/>
        <v>149992.54489653232</v>
      </c>
      <c r="N236" s="5">
        <f t="shared" si="60"/>
        <v>5159743.5444407128</v>
      </c>
      <c r="O236" s="60">
        <f t="shared" si="61"/>
        <v>114994.28442067477</v>
      </c>
      <c r="Q236" s="5">
        <f t="shared" si="69"/>
        <v>32725.646159243417</v>
      </c>
      <c r="R236" s="5">
        <f t="shared" si="62"/>
        <v>54542.743598739027</v>
      </c>
      <c r="S236" s="5">
        <f t="shared" si="63"/>
        <v>722691.35268329212</v>
      </c>
      <c r="T236" s="60">
        <f t="shared" si="64"/>
        <v>16362.823079621707</v>
      </c>
      <c r="V236" s="5">
        <f t="shared" si="70"/>
        <v>8025964.7205544477</v>
      </c>
      <c r="W236" s="5">
        <f t="shared" si="70"/>
        <v>183309.0707780954</v>
      </c>
    </row>
    <row r="237" spans="1:23" s="206" customFormat="1">
      <c r="A237" s="206">
        <f t="shared" si="52"/>
        <v>2048</v>
      </c>
      <c r="B237" s="5">
        <f t="shared" si="66"/>
        <v>33818.017836651998</v>
      </c>
      <c r="C237" s="5">
        <f t="shared" ref="C237:C245" si="71">B237*$B$129*$A$213</f>
        <v>16909.008918325999</v>
      </c>
      <c r="D237" s="5">
        <f t="shared" ref="D237:D246" si="72">C237*$B$128*$A$130</f>
        <v>355089.18728484598</v>
      </c>
      <c r="E237" s="60">
        <f t="shared" ref="E237:E246" si="73">C237*$B$127*$A$130</f>
        <v>8595.4128668157155</v>
      </c>
      <c r="F237" s="210"/>
      <c r="G237" s="5">
        <f t="shared" si="67"/>
        <v>67636.035673303995</v>
      </c>
      <c r="H237" s="5">
        <f t="shared" ref="H237:H245" si="74">G237*$C$129*$A$213</f>
        <v>338180.17836651998</v>
      </c>
      <c r="I237" s="5">
        <f t="shared" ref="I237:I246" si="75">H237*$C$128*$A$130</f>
        <v>1859990.9810158599</v>
      </c>
      <c r="J237" s="60">
        <f t="shared" ref="J237:J246" si="76">H237*$C$127*$A$130</f>
        <v>45090.69044886934</v>
      </c>
      <c r="L237" s="5">
        <f t="shared" si="68"/>
        <v>67636.035673303995</v>
      </c>
      <c r="M237" s="5">
        <f t="shared" ref="M237:M245" si="77">L237*$D$129*$A$213</f>
        <v>154999.2484179883</v>
      </c>
      <c r="N237" s="5">
        <f t="shared" ref="N237:N246" si="78">M237*$D$128*$A$130</f>
        <v>5331974.1455787988</v>
      </c>
      <c r="O237" s="60">
        <f t="shared" ref="O237:O246" si="79">M237*$D$127*$A$130</f>
        <v>118832.7571204577</v>
      </c>
      <c r="Q237" s="5">
        <f t="shared" si="69"/>
        <v>33818.017836651998</v>
      </c>
      <c r="R237" s="5">
        <f t="shared" ref="R237:R245" si="80">Q237*$E$129*$A$213</f>
        <v>56363.363061086668</v>
      </c>
      <c r="S237" s="5">
        <f t="shared" ref="S237:S246" si="81">R237*$E$128*$A$130</f>
        <v>746814.56055939838</v>
      </c>
      <c r="T237" s="60">
        <f t="shared" ref="T237:T246" si="82">R237*$E$127*$A$130</f>
        <v>16909.008918325999</v>
      </c>
      <c r="V237" s="5">
        <f t="shared" ref="V237:V246" si="83">D237+I237+N237+S237</f>
        <v>8293868.8744389033</v>
      </c>
      <c r="W237" s="5">
        <f t="shared" ref="W237:W246" si="84">E237+J237+O237+T237</f>
        <v>189427.86935446874</v>
      </c>
    </row>
    <row r="238" spans="1:23" s="206" customFormat="1">
      <c r="A238" s="206">
        <f t="shared" si="52"/>
        <v>2049</v>
      </c>
      <c r="B238" s="5">
        <f t="shared" si="66"/>
        <v>34946.852533791272</v>
      </c>
      <c r="C238" s="5">
        <f t="shared" si="71"/>
        <v>17473.426266895636</v>
      </c>
      <c r="D238" s="5">
        <f t="shared" si="72"/>
        <v>366941.95160480833</v>
      </c>
      <c r="E238" s="60">
        <f t="shared" si="73"/>
        <v>8882.3250190052804</v>
      </c>
      <c r="F238" s="210"/>
      <c r="G238" s="5">
        <f t="shared" si="67"/>
        <v>69893.705067582545</v>
      </c>
      <c r="H238" s="5">
        <f t="shared" si="74"/>
        <v>349468.52533791272</v>
      </c>
      <c r="I238" s="5">
        <f t="shared" si="75"/>
        <v>1922076.88935852</v>
      </c>
      <c r="J238" s="60">
        <f t="shared" si="76"/>
        <v>46595.803378388373</v>
      </c>
      <c r="L238" s="5">
        <f t="shared" si="68"/>
        <v>69893.705067582545</v>
      </c>
      <c r="M238" s="5">
        <f t="shared" si="77"/>
        <v>160173.07411320999</v>
      </c>
      <c r="N238" s="5">
        <f t="shared" si="78"/>
        <v>5509953.749494425</v>
      </c>
      <c r="O238" s="60">
        <f t="shared" si="79"/>
        <v>122799.35682012765</v>
      </c>
      <c r="Q238" s="5">
        <f t="shared" si="69"/>
        <v>34946.852533791272</v>
      </c>
      <c r="R238" s="5">
        <f t="shared" si="80"/>
        <v>58244.754222985459</v>
      </c>
      <c r="S238" s="5">
        <f t="shared" si="81"/>
        <v>771742.99345455738</v>
      </c>
      <c r="T238" s="60">
        <f t="shared" si="82"/>
        <v>17473.426266895636</v>
      </c>
      <c r="V238" s="5">
        <f t="shared" si="83"/>
        <v>8570715.5839123111</v>
      </c>
      <c r="W238" s="5">
        <f t="shared" si="84"/>
        <v>195750.91148441695</v>
      </c>
    </row>
    <row r="239" spans="1:23" s="206" customFormat="1">
      <c r="A239" s="206">
        <f t="shared" si="52"/>
        <v>2050</v>
      </c>
      <c r="B239" s="5">
        <f t="shared" si="66"/>
        <v>36113.367374681737</v>
      </c>
      <c r="C239" s="5">
        <f t="shared" si="71"/>
        <v>18056.683687340868</v>
      </c>
      <c r="D239" s="5">
        <f t="shared" si="72"/>
        <v>379190.35743415821</v>
      </c>
      <c r="E239" s="60">
        <f t="shared" si="73"/>
        <v>9178.8142077316079</v>
      </c>
      <c r="F239" s="210"/>
      <c r="G239" s="5">
        <f t="shared" si="67"/>
        <v>72226.734749363473</v>
      </c>
      <c r="H239" s="5">
        <f t="shared" si="74"/>
        <v>361133.6737468174</v>
      </c>
      <c r="I239" s="5">
        <f t="shared" si="75"/>
        <v>1986235.2056074957</v>
      </c>
      <c r="J239" s="60">
        <f t="shared" si="76"/>
        <v>48151.156499575663</v>
      </c>
      <c r="L239" s="5">
        <f t="shared" si="68"/>
        <v>72226.734749363473</v>
      </c>
      <c r="M239" s="5">
        <f t="shared" si="77"/>
        <v>165519.60046729128</v>
      </c>
      <c r="N239" s="5">
        <f t="shared" si="78"/>
        <v>5693874.2560748206</v>
      </c>
      <c r="O239" s="60">
        <f t="shared" si="79"/>
        <v>126898.36035825664</v>
      </c>
      <c r="Q239" s="5">
        <f t="shared" si="69"/>
        <v>36113.367374681737</v>
      </c>
      <c r="R239" s="5">
        <f t="shared" si="80"/>
        <v>60188.945624469561</v>
      </c>
      <c r="S239" s="5">
        <f t="shared" si="81"/>
        <v>797503.52952422167</v>
      </c>
      <c r="T239" s="60">
        <f t="shared" si="82"/>
        <v>18056.683687340868</v>
      </c>
      <c r="V239" s="5">
        <f t="shared" si="83"/>
        <v>8856803.3486406971</v>
      </c>
      <c r="W239" s="5">
        <f t="shared" si="84"/>
        <v>202285.0147529048</v>
      </c>
    </row>
    <row r="240" spans="1:23" s="206" customFormat="1">
      <c r="A240" s="206">
        <f t="shared" si="52"/>
        <v>2051</v>
      </c>
      <c r="B240" s="5">
        <f t="shared" si="66"/>
        <v>37318.820110557223</v>
      </c>
      <c r="C240" s="5">
        <f t="shared" si="71"/>
        <v>18659.410055278611</v>
      </c>
      <c r="D240" s="5">
        <f t="shared" si="72"/>
        <v>391847.61116085085</v>
      </c>
      <c r="E240" s="60">
        <f t="shared" si="73"/>
        <v>9485.2001114332943</v>
      </c>
      <c r="F240" s="210"/>
      <c r="G240" s="5">
        <f t="shared" si="67"/>
        <v>74637.640221114445</v>
      </c>
      <c r="H240" s="5">
        <f t="shared" si="74"/>
        <v>373188.20110557223</v>
      </c>
      <c r="I240" s="5">
        <f t="shared" si="75"/>
        <v>2052535.1060806473</v>
      </c>
      <c r="J240" s="60">
        <f t="shared" si="76"/>
        <v>49758.426814076309</v>
      </c>
      <c r="L240" s="5">
        <f t="shared" si="68"/>
        <v>74637.640221114445</v>
      </c>
      <c r="M240" s="5">
        <f t="shared" si="77"/>
        <v>171044.59217338727</v>
      </c>
      <c r="N240" s="5">
        <f t="shared" si="78"/>
        <v>5883933.9707645234</v>
      </c>
      <c r="O240" s="60">
        <f t="shared" si="79"/>
        <v>131134.18733293022</v>
      </c>
      <c r="Q240" s="5">
        <f t="shared" si="69"/>
        <v>37318.820110557223</v>
      </c>
      <c r="R240" s="5">
        <f t="shared" si="80"/>
        <v>62198.033517595373</v>
      </c>
      <c r="S240" s="5">
        <f t="shared" si="81"/>
        <v>824123.94410813868</v>
      </c>
      <c r="T240" s="60">
        <f t="shared" si="82"/>
        <v>18659.410055278611</v>
      </c>
      <c r="V240" s="5">
        <f t="shared" si="83"/>
        <v>9152440.6321141589</v>
      </c>
      <c r="W240" s="5">
        <f t="shared" si="84"/>
        <v>209037.22431371844</v>
      </c>
    </row>
    <row r="241" spans="1:23" s="206" customFormat="1">
      <c r="A241" s="206">
        <f t="shared" si="52"/>
        <v>2052</v>
      </c>
      <c r="B241" s="5">
        <f t="shared" si="66"/>
        <v>38564.510475988362</v>
      </c>
      <c r="C241" s="5">
        <f t="shared" si="71"/>
        <v>19282.255237994181</v>
      </c>
      <c r="D241" s="5">
        <f t="shared" si="72"/>
        <v>404927.35999787779</v>
      </c>
      <c r="E241" s="60">
        <f t="shared" si="73"/>
        <v>9801.8130793137079</v>
      </c>
      <c r="F241" s="210"/>
      <c r="G241" s="5">
        <f t="shared" si="67"/>
        <v>77129.020951976723</v>
      </c>
      <c r="H241" s="5">
        <f t="shared" si="74"/>
        <v>385645.1047598836</v>
      </c>
      <c r="I241" s="5">
        <f t="shared" si="75"/>
        <v>2121048.07617936</v>
      </c>
      <c r="J241" s="60">
        <f t="shared" si="76"/>
        <v>51419.347301317823</v>
      </c>
      <c r="L241" s="5">
        <f t="shared" si="68"/>
        <v>77129.020951976723</v>
      </c>
      <c r="M241" s="5">
        <f t="shared" si="77"/>
        <v>176754.00634827997</v>
      </c>
      <c r="N241" s="5">
        <f t="shared" si="78"/>
        <v>6080337.8183808317</v>
      </c>
      <c r="O241" s="60">
        <f t="shared" si="79"/>
        <v>135511.40486701464</v>
      </c>
      <c r="Q241" s="5">
        <f t="shared" si="69"/>
        <v>38564.510475988362</v>
      </c>
      <c r="R241" s="5">
        <f t="shared" si="80"/>
        <v>64274.184126647269</v>
      </c>
      <c r="S241" s="5">
        <f t="shared" si="81"/>
        <v>851632.93967807631</v>
      </c>
      <c r="T241" s="60">
        <f t="shared" si="82"/>
        <v>19282.255237994181</v>
      </c>
      <c r="V241" s="5">
        <f t="shared" si="83"/>
        <v>9457946.1942361463</v>
      </c>
      <c r="W241" s="5">
        <f t="shared" si="84"/>
        <v>216014.82048564038</v>
      </c>
    </row>
    <row r="242" spans="1:23" s="206" customFormat="1">
      <c r="A242" s="206">
        <f t="shared" si="52"/>
        <v>2053</v>
      </c>
      <c r="B242" s="5">
        <f t="shared" si="66"/>
        <v>39851.781590273058</v>
      </c>
      <c r="C242" s="5">
        <f t="shared" si="71"/>
        <v>19925.890795136529</v>
      </c>
      <c r="D242" s="5">
        <f t="shared" si="72"/>
        <v>418443.70669786714</v>
      </c>
      <c r="E242" s="60">
        <f t="shared" si="73"/>
        <v>10128.994487527734</v>
      </c>
      <c r="F242" s="210"/>
      <c r="G242" s="5">
        <f t="shared" si="67"/>
        <v>79703.563180546116</v>
      </c>
      <c r="H242" s="5">
        <f t="shared" si="74"/>
        <v>398517.81590273057</v>
      </c>
      <c r="I242" s="5">
        <f t="shared" si="75"/>
        <v>2191847.9874650179</v>
      </c>
      <c r="J242" s="60">
        <f t="shared" si="76"/>
        <v>53135.708787030751</v>
      </c>
      <c r="L242" s="5">
        <f t="shared" si="68"/>
        <v>79703.563180546116</v>
      </c>
      <c r="M242" s="5">
        <f t="shared" si="77"/>
        <v>182653.99895541818</v>
      </c>
      <c r="N242" s="5">
        <f t="shared" si="78"/>
        <v>6283297.5640663868</v>
      </c>
      <c r="O242" s="60">
        <f t="shared" si="79"/>
        <v>140034.73253248725</v>
      </c>
      <c r="Q242" s="5">
        <f t="shared" si="69"/>
        <v>39851.781590273058</v>
      </c>
      <c r="R242" s="5">
        <f t="shared" si="80"/>
        <v>66419.635983788437</v>
      </c>
      <c r="S242" s="5">
        <f t="shared" si="81"/>
        <v>880060.17678519676</v>
      </c>
      <c r="T242" s="60">
        <f t="shared" si="82"/>
        <v>19925.890795136529</v>
      </c>
      <c r="V242" s="5">
        <f t="shared" si="83"/>
        <v>9773649.4350144695</v>
      </c>
      <c r="W242" s="5">
        <f t="shared" si="84"/>
        <v>223225.32660218226</v>
      </c>
    </row>
    <row r="243" spans="1:23" s="206" customFormat="1">
      <c r="A243" s="206">
        <f t="shared" si="52"/>
        <v>2054</v>
      </c>
      <c r="B243" s="5">
        <f t="shared" si="66"/>
        <v>41182.021405604886</v>
      </c>
      <c r="C243" s="5">
        <f t="shared" si="71"/>
        <v>20591.010702802443</v>
      </c>
      <c r="D243" s="5">
        <f t="shared" si="72"/>
        <v>432411.22475885128</v>
      </c>
      <c r="E243" s="60">
        <f t="shared" si="73"/>
        <v>10467.097107257909</v>
      </c>
      <c r="F243" s="210"/>
      <c r="G243" s="5">
        <f t="shared" si="67"/>
        <v>82364.042811209772</v>
      </c>
      <c r="H243" s="5">
        <f t="shared" si="74"/>
        <v>411820.21405604889</v>
      </c>
      <c r="I243" s="5">
        <f t="shared" si="75"/>
        <v>2265011.1773082688</v>
      </c>
      <c r="J243" s="60">
        <f t="shared" si="76"/>
        <v>54909.36187413986</v>
      </c>
      <c r="L243" s="5">
        <f t="shared" si="68"/>
        <v>82364.042811209772</v>
      </c>
      <c r="M243" s="5">
        <f t="shared" si="77"/>
        <v>188750.93144235571</v>
      </c>
      <c r="N243" s="5">
        <f t="shared" si="78"/>
        <v>6493032.0416170377</v>
      </c>
      <c r="O243" s="60">
        <f t="shared" si="79"/>
        <v>144709.04743913937</v>
      </c>
      <c r="Q243" s="5">
        <f t="shared" si="69"/>
        <v>41182.021405604886</v>
      </c>
      <c r="R243" s="5">
        <f t="shared" si="80"/>
        <v>68636.70234267482</v>
      </c>
      <c r="S243" s="5">
        <f t="shared" si="81"/>
        <v>909436.30604044138</v>
      </c>
      <c r="T243" s="60">
        <f t="shared" si="82"/>
        <v>20591.010702802447</v>
      </c>
      <c r="V243" s="5">
        <f t="shared" si="83"/>
        <v>10099890.749724599</v>
      </c>
      <c r="W243" s="5">
        <f t="shared" si="84"/>
        <v>230676.51712333958</v>
      </c>
    </row>
    <row r="244" spans="1:23" s="206" customFormat="1">
      <c r="A244" s="206">
        <f t="shared" si="52"/>
        <v>2055</v>
      </c>
      <c r="B244" s="5">
        <f t="shared" si="66"/>
        <v>42556.664203580927</v>
      </c>
      <c r="C244" s="5">
        <f t="shared" si="71"/>
        <v>21278.332101790464</v>
      </c>
      <c r="D244" s="5">
        <f t="shared" si="72"/>
        <v>446844.97413759975</v>
      </c>
      <c r="E244" s="60">
        <f t="shared" si="73"/>
        <v>10816.485485076819</v>
      </c>
      <c r="F244" s="210"/>
      <c r="G244" s="5">
        <f t="shared" si="67"/>
        <v>85113.328407161855</v>
      </c>
      <c r="H244" s="5">
        <f t="shared" si="74"/>
        <v>425566.64203580929</v>
      </c>
      <c r="I244" s="5">
        <f t="shared" si="75"/>
        <v>2340616.5311969509</v>
      </c>
      <c r="J244" s="60">
        <f t="shared" si="76"/>
        <v>56742.218938107915</v>
      </c>
      <c r="L244" s="5">
        <f t="shared" si="68"/>
        <v>85113.328407161855</v>
      </c>
      <c r="M244" s="5">
        <f t="shared" si="77"/>
        <v>195051.3775997459</v>
      </c>
      <c r="N244" s="5">
        <f t="shared" si="78"/>
        <v>6709767.3894312605</v>
      </c>
      <c r="O244" s="60">
        <f t="shared" si="79"/>
        <v>149539.3894931385</v>
      </c>
      <c r="Q244" s="5">
        <f t="shared" si="69"/>
        <v>42556.664203580927</v>
      </c>
      <c r="R244" s="5">
        <f t="shared" si="80"/>
        <v>70927.773672634881</v>
      </c>
      <c r="S244" s="5">
        <f t="shared" si="81"/>
        <v>939793.00116241223</v>
      </c>
      <c r="T244" s="60">
        <f t="shared" si="82"/>
        <v>21278.332101790464</v>
      </c>
      <c r="V244" s="5">
        <f t="shared" si="83"/>
        <v>10437021.895928223</v>
      </c>
      <c r="W244" s="5">
        <f t="shared" si="84"/>
        <v>238376.42601811371</v>
      </c>
    </row>
    <row r="245" spans="1:23" s="206" customFormat="1">
      <c r="A245" s="206">
        <f t="shared" si="52"/>
        <v>2056</v>
      </c>
      <c r="B245" s="5">
        <f t="shared" si="66"/>
        <v>43977.192141662563</v>
      </c>
      <c r="C245" s="5">
        <f t="shared" si="71"/>
        <v>21988.596070831281</v>
      </c>
      <c r="D245" s="5">
        <f t="shared" si="72"/>
        <v>461760.51748745691</v>
      </c>
      <c r="E245" s="60">
        <f t="shared" si="73"/>
        <v>11177.5363360059</v>
      </c>
      <c r="F245" s="210"/>
      <c r="G245" s="5">
        <f t="shared" si="67"/>
        <v>87954.384283325126</v>
      </c>
      <c r="H245" s="5">
        <f t="shared" si="74"/>
        <v>439771.92141662561</v>
      </c>
      <c r="I245" s="5">
        <f t="shared" si="75"/>
        <v>2418745.567791441</v>
      </c>
      <c r="J245" s="60">
        <f t="shared" si="76"/>
        <v>58636.256188883424</v>
      </c>
      <c r="L245" s="5">
        <f t="shared" si="68"/>
        <v>87954.384283325126</v>
      </c>
      <c r="M245" s="5">
        <f t="shared" si="77"/>
        <v>201562.13064928673</v>
      </c>
      <c r="N245" s="5">
        <f t="shared" si="78"/>
        <v>6933737.2943354649</v>
      </c>
      <c r="O245" s="60">
        <f t="shared" si="79"/>
        <v>154530.96683111982</v>
      </c>
      <c r="Q245" s="5">
        <f t="shared" si="69"/>
        <v>43977.192141662563</v>
      </c>
      <c r="R245" s="5">
        <f t="shared" si="80"/>
        <v>73295.320236104279</v>
      </c>
      <c r="S245" s="5">
        <f t="shared" si="81"/>
        <v>971162.99312838167</v>
      </c>
      <c r="T245" s="60">
        <f t="shared" si="82"/>
        <v>21988.596070831281</v>
      </c>
      <c r="V245" s="5">
        <f t="shared" si="83"/>
        <v>10785406.372742744</v>
      </c>
      <c r="W245" s="5">
        <f t="shared" si="84"/>
        <v>246333.35542684043</v>
      </c>
    </row>
    <row r="246" spans="1:23">
      <c r="A246" s="206">
        <f t="shared" si="52"/>
        <v>2057</v>
      </c>
      <c r="B246" s="5">
        <f t="shared" si="66"/>
        <v>45445.136851256575</v>
      </c>
      <c r="C246" s="5">
        <f>B246*$B$129*$A$213</f>
        <v>22722.568425628288</v>
      </c>
      <c r="D246" s="5">
        <f t="shared" si="72"/>
        <v>477173.93693819403</v>
      </c>
      <c r="E246" s="60">
        <f t="shared" si="73"/>
        <v>11550.638949694379</v>
      </c>
      <c r="F246" s="210"/>
      <c r="G246" s="5">
        <f t="shared" si="67"/>
        <v>90890.27370251315</v>
      </c>
      <c r="H246" s="5">
        <f>G246*$C$129*$A$213</f>
        <v>454451.36851256574</v>
      </c>
      <c r="I246" s="5">
        <f t="shared" si="75"/>
        <v>2499482.5268191118</v>
      </c>
      <c r="J246" s="60">
        <f t="shared" si="76"/>
        <v>60593.515801675443</v>
      </c>
      <c r="K246" s="206"/>
      <c r="L246" s="5">
        <f t="shared" si="68"/>
        <v>90890.27370251315</v>
      </c>
      <c r="M246" s="5">
        <f>L246*$D$129*$A$213</f>
        <v>208290.2105682593</v>
      </c>
      <c r="N246" s="5">
        <f t="shared" si="78"/>
        <v>7165183.2435481213</v>
      </c>
      <c r="O246" s="60">
        <f t="shared" si="79"/>
        <v>159689.16143566545</v>
      </c>
      <c r="P246" s="206"/>
      <c r="Q246" s="5">
        <f t="shared" si="69"/>
        <v>45445.136851256575</v>
      </c>
      <c r="R246" s="5">
        <f>Q246*$E$129*$A$213</f>
        <v>75741.894752094289</v>
      </c>
      <c r="S246" s="5">
        <f t="shared" si="81"/>
        <v>1003580.1054652494</v>
      </c>
      <c r="T246" s="60">
        <f t="shared" si="82"/>
        <v>22722.568425628288</v>
      </c>
      <c r="U246" s="206"/>
      <c r="V246" s="5">
        <f t="shared" si="83"/>
        <v>11145419.812770678</v>
      </c>
      <c r="W246" s="5">
        <f t="shared" si="84"/>
        <v>254555.88461266356</v>
      </c>
    </row>
    <row r="248" spans="1:23" s="206" customFormat="1">
      <c r="A248" s="178" t="s">
        <v>403</v>
      </c>
      <c r="B248" s="203"/>
      <c r="C248" s="203"/>
      <c r="D248" s="203"/>
      <c r="E248" s="203"/>
      <c r="F248" s="203"/>
      <c r="G248" s="203"/>
      <c r="H248" s="203"/>
      <c r="I248" s="203"/>
      <c r="J248" s="203"/>
      <c r="K248" s="203"/>
      <c r="L248" s="203"/>
      <c r="M248" s="203"/>
    </row>
    <row r="249" spans="1:23" s="206" customFormat="1" ht="49.5" customHeight="1">
      <c r="A249" s="791" t="str">
        <f>A173</f>
        <v xml:space="preserve">Under Detours 4-7, it is assumed half of the autos and trucks will not make the trip rather than diverting to other routes. When a trip is not made, the productivity and spending impacts associated with that trip are lost to the region. The analysis estimates the value of the loss in productivity and spending for each trip that is not made. The avoidance of this loss is benefit for North Carolina. </v>
      </c>
      <c r="B249" s="791"/>
      <c r="C249" s="791"/>
      <c r="D249" s="791"/>
      <c r="E249" s="791"/>
      <c r="F249" s="791"/>
      <c r="G249" s="791"/>
      <c r="H249" s="791"/>
      <c r="I249" s="791"/>
      <c r="J249" s="791"/>
      <c r="K249" s="791"/>
      <c r="L249" s="791"/>
      <c r="M249" s="791"/>
    </row>
    <row r="250" spans="1:23" s="206" customFormat="1">
      <c r="A250" s="790" t="s">
        <v>401</v>
      </c>
      <c r="B250" s="790"/>
      <c r="C250" s="790"/>
      <c r="D250" s="790"/>
      <c r="E250" s="790"/>
      <c r="F250" s="790"/>
      <c r="G250" s="790"/>
      <c r="H250" s="790"/>
      <c r="I250" s="790"/>
      <c r="J250" s="790"/>
      <c r="K250" s="790"/>
      <c r="L250" s="790"/>
      <c r="M250" s="790"/>
    </row>
    <row r="251" spans="1:23" s="206" customFormat="1">
      <c r="A251" s="790" t="s">
        <v>402</v>
      </c>
      <c r="B251" s="790"/>
      <c r="C251" s="790"/>
      <c r="D251" s="790"/>
      <c r="E251" s="790"/>
      <c r="F251" s="790"/>
      <c r="G251" s="790"/>
      <c r="H251" s="790"/>
      <c r="I251" s="790"/>
      <c r="J251" s="790"/>
      <c r="K251" s="790"/>
      <c r="L251" s="790"/>
      <c r="M251" s="790"/>
    </row>
    <row r="252" spans="1:23" s="206" customFormat="1"/>
    <row r="253" spans="1:23" s="206" customFormat="1">
      <c r="B253" s="206">
        <v>12</v>
      </c>
      <c r="C253" s="206" t="s">
        <v>404</v>
      </c>
    </row>
    <row r="254" spans="1:23" s="206" customFormat="1"/>
    <row r="255" spans="1:23" s="206" customFormat="1" ht="45">
      <c r="B255" s="207" t="s">
        <v>474</v>
      </c>
      <c r="C255" s="207" t="s">
        <v>265</v>
      </c>
      <c r="E255" s="207" t="s">
        <v>476</v>
      </c>
      <c r="F255" s="207" t="s">
        <v>265</v>
      </c>
      <c r="H255" s="207" t="s">
        <v>477</v>
      </c>
      <c r="I255" s="207" t="s">
        <v>265</v>
      </c>
      <c r="K255" s="207" t="s">
        <v>478</v>
      </c>
      <c r="L255" s="207" t="s">
        <v>265</v>
      </c>
      <c r="N255" s="207" t="s">
        <v>475</v>
      </c>
    </row>
    <row r="256" spans="1:23" s="206" customFormat="1">
      <c r="A256" s="206">
        <f t="shared" ref="A256:A276" si="85">A216</f>
        <v>2027</v>
      </c>
      <c r="B256" s="210">
        <f>C216*$A$131</f>
        <v>4242.5783218635352</v>
      </c>
      <c r="C256" s="210">
        <f>B256*$B$177</f>
        <v>50910.939862362422</v>
      </c>
      <c r="E256" s="210">
        <f>H216*$A$131</f>
        <v>84851.566437270696</v>
      </c>
      <c r="F256" s="210">
        <f>E256*$B$177</f>
        <v>1018218.7972472484</v>
      </c>
      <c r="H256" s="210">
        <f>M216*$A$131</f>
        <v>38890.301283749068</v>
      </c>
      <c r="I256" s="210">
        <f>H256*$B$177</f>
        <v>466683.61540498881</v>
      </c>
      <c r="K256" s="210">
        <f>R216*$A$131</f>
        <v>14141.927739545117</v>
      </c>
      <c r="L256" s="210">
        <f>K256*$B$177</f>
        <v>169703.13287454139</v>
      </c>
      <c r="N256" s="210">
        <f>SUM(C256,F256,I256,L256)</f>
        <v>1705516.4853891411</v>
      </c>
    </row>
    <row r="257" spans="1:14" s="206" customFormat="1">
      <c r="A257" s="206">
        <f t="shared" si="85"/>
        <v>2028</v>
      </c>
      <c r="B257" s="210">
        <f t="shared" ref="B257:B286" si="86">C217*$A$131</f>
        <v>4384.1942390998183</v>
      </c>
      <c r="C257" s="210">
        <f t="shared" ref="C257:C276" si="87">B257*$B$177</f>
        <v>52610.330869197816</v>
      </c>
      <c r="E257" s="210">
        <f t="shared" ref="E257:E276" si="88">H217*$A$131</f>
        <v>87683.88478199637</v>
      </c>
      <c r="F257" s="210">
        <f t="shared" ref="F257:F276" si="89">E257*$B$177</f>
        <v>1052206.6173839564</v>
      </c>
      <c r="H257" s="210">
        <f t="shared" ref="H257:H276" si="90">M217*$A$131</f>
        <v>40188.447191748332</v>
      </c>
      <c r="I257" s="210">
        <f t="shared" ref="I257:I276" si="91">H257*$B$177</f>
        <v>482261.36630097998</v>
      </c>
      <c r="K257" s="210">
        <f t="shared" ref="K257:K276" si="92">R217*$A$131</f>
        <v>14613.980796999394</v>
      </c>
      <c r="L257" s="210">
        <f t="shared" ref="L257:L276" si="93">K257*$B$177</f>
        <v>175367.76956399274</v>
      </c>
      <c r="N257" s="210">
        <f t="shared" ref="N257:N276" si="94">SUM(C257,F257,I257,L257)</f>
        <v>1762446.0841181271</v>
      </c>
    </row>
    <row r="258" spans="1:14" s="206" customFormat="1">
      <c r="A258" s="206">
        <f t="shared" si="85"/>
        <v>2029</v>
      </c>
      <c r="B258" s="210">
        <f t="shared" si="86"/>
        <v>4530.5372506860931</v>
      </c>
      <c r="C258" s="210">
        <f t="shared" si="87"/>
        <v>54366.447008233117</v>
      </c>
      <c r="E258" s="210">
        <f t="shared" si="88"/>
        <v>90610.745013721869</v>
      </c>
      <c r="F258" s="210">
        <f t="shared" si="89"/>
        <v>1087328.9401646624</v>
      </c>
      <c r="H258" s="210">
        <f t="shared" si="90"/>
        <v>41529.924797955849</v>
      </c>
      <c r="I258" s="210">
        <f t="shared" si="91"/>
        <v>498359.09757547022</v>
      </c>
      <c r="K258" s="210">
        <f t="shared" si="92"/>
        <v>15101.790835620312</v>
      </c>
      <c r="L258" s="210">
        <f t="shared" si="93"/>
        <v>181221.49002744374</v>
      </c>
      <c r="N258" s="210">
        <f t="shared" si="94"/>
        <v>1821275.9747758096</v>
      </c>
    </row>
    <row r="259" spans="1:14" s="206" customFormat="1">
      <c r="A259" s="206">
        <f t="shared" si="85"/>
        <v>2030</v>
      </c>
      <c r="B259" s="210">
        <f t="shared" si="86"/>
        <v>4681.7651455307659</v>
      </c>
      <c r="C259" s="210">
        <f t="shared" si="87"/>
        <v>56181.181746369191</v>
      </c>
      <c r="E259" s="210">
        <f t="shared" si="88"/>
        <v>93635.302910615312</v>
      </c>
      <c r="F259" s="210">
        <f t="shared" si="89"/>
        <v>1123623.6349273836</v>
      </c>
      <c r="H259" s="210">
        <f t="shared" si="90"/>
        <v>42916.180500698683</v>
      </c>
      <c r="I259" s="210">
        <f t="shared" si="91"/>
        <v>514994.1660083842</v>
      </c>
      <c r="K259" s="210">
        <f t="shared" si="92"/>
        <v>15605.883818435886</v>
      </c>
      <c r="L259" s="210">
        <f t="shared" si="93"/>
        <v>187270.60582123062</v>
      </c>
      <c r="N259" s="210">
        <f t="shared" si="94"/>
        <v>1882069.5885033677</v>
      </c>
    </row>
    <row r="260" spans="1:14" s="206" customFormat="1">
      <c r="A260" s="206">
        <f t="shared" si="85"/>
        <v>2031</v>
      </c>
      <c r="B260" s="210">
        <f t="shared" si="86"/>
        <v>4838.0409794858997</v>
      </c>
      <c r="C260" s="210">
        <f t="shared" si="87"/>
        <v>58056.491753830793</v>
      </c>
      <c r="E260" s="210">
        <f t="shared" si="88"/>
        <v>96760.819589717998</v>
      </c>
      <c r="F260" s="210">
        <f t="shared" si="89"/>
        <v>1161129.8350766159</v>
      </c>
      <c r="H260" s="210">
        <f t="shared" si="90"/>
        <v>44348.708978620743</v>
      </c>
      <c r="I260" s="210">
        <f t="shared" si="91"/>
        <v>532184.50774344895</v>
      </c>
      <c r="K260" s="210">
        <f t="shared" si="92"/>
        <v>16126.803264953</v>
      </c>
      <c r="L260" s="210">
        <f t="shared" si="93"/>
        <v>193521.639179436</v>
      </c>
      <c r="N260" s="210">
        <f t="shared" si="94"/>
        <v>1944892.4737533317</v>
      </c>
    </row>
    <row r="261" spans="1:14" s="206" customFormat="1">
      <c r="A261" s="206">
        <f t="shared" si="85"/>
        <v>2032</v>
      </c>
      <c r="B261" s="210">
        <f t="shared" si="86"/>
        <v>4999.5332511561328</v>
      </c>
      <c r="C261" s="210">
        <f t="shared" si="87"/>
        <v>59994.399013873597</v>
      </c>
      <c r="E261" s="210">
        <f t="shared" si="88"/>
        <v>99990.665023122652</v>
      </c>
      <c r="F261" s="210">
        <f t="shared" si="89"/>
        <v>1199887.9802774717</v>
      </c>
      <c r="H261" s="210">
        <f t="shared" si="90"/>
        <v>45829.054802264545</v>
      </c>
      <c r="I261" s="210">
        <f t="shared" si="91"/>
        <v>549948.65762717451</v>
      </c>
      <c r="K261" s="210">
        <f t="shared" si="92"/>
        <v>16665.110837187109</v>
      </c>
      <c r="L261" s="210">
        <f t="shared" si="93"/>
        <v>199981.3300462453</v>
      </c>
      <c r="N261" s="210">
        <f t="shared" si="94"/>
        <v>2009812.3669647654</v>
      </c>
    </row>
    <row r="262" spans="1:14" s="206" customFormat="1">
      <c r="A262" s="206">
        <f t="shared" si="85"/>
        <v>2033</v>
      </c>
      <c r="B262" s="210">
        <f t="shared" si="86"/>
        <v>5166.4160835760149</v>
      </c>
      <c r="C262" s="210">
        <f t="shared" si="87"/>
        <v>61996.993002912175</v>
      </c>
      <c r="E262" s="210">
        <f t="shared" si="88"/>
        <v>103328.3216715203</v>
      </c>
      <c r="F262" s="210">
        <f t="shared" si="89"/>
        <v>1239939.8600582436</v>
      </c>
      <c r="H262" s="210">
        <f t="shared" si="90"/>
        <v>47358.814099446798</v>
      </c>
      <c r="I262" s="210">
        <f t="shared" si="91"/>
        <v>568305.76919336151</v>
      </c>
      <c r="K262" s="210">
        <f t="shared" si="92"/>
        <v>17221.386945253384</v>
      </c>
      <c r="L262" s="210">
        <f t="shared" si="93"/>
        <v>206656.6433430406</v>
      </c>
      <c r="N262" s="210">
        <f t="shared" si="94"/>
        <v>2076899.2655975581</v>
      </c>
    </row>
    <row r="263" spans="1:14" s="206" customFormat="1">
      <c r="A263" s="206">
        <f t="shared" si="85"/>
        <v>2034</v>
      </c>
      <c r="B263" s="210">
        <f t="shared" si="86"/>
        <v>5338.8694119517022</v>
      </c>
      <c r="C263" s="210">
        <f t="shared" si="87"/>
        <v>64066.432943420426</v>
      </c>
      <c r="E263" s="210">
        <f t="shared" si="88"/>
        <v>106777.38823903404</v>
      </c>
      <c r="F263" s="210">
        <f t="shared" si="89"/>
        <v>1281328.6588684085</v>
      </c>
      <c r="H263" s="210">
        <f t="shared" si="90"/>
        <v>48939.636276223937</v>
      </c>
      <c r="I263" s="210">
        <f t="shared" si="91"/>
        <v>587275.63531468727</v>
      </c>
      <c r="K263" s="210">
        <f t="shared" si="92"/>
        <v>17796.231373172341</v>
      </c>
      <c r="L263" s="210">
        <f t="shared" si="93"/>
        <v>213554.77647806809</v>
      </c>
      <c r="N263" s="210">
        <f t="shared" si="94"/>
        <v>2146225.5036045844</v>
      </c>
    </row>
    <row r="264" spans="1:14" s="206" customFormat="1">
      <c r="A264" s="206">
        <f t="shared" si="85"/>
        <v>2035</v>
      </c>
      <c r="B264" s="210">
        <f t="shared" si="86"/>
        <v>5517.0791776693968</v>
      </c>
      <c r="C264" s="210">
        <f t="shared" si="87"/>
        <v>66204.950132032769</v>
      </c>
      <c r="E264" s="210">
        <f t="shared" si="88"/>
        <v>110341.58355338793</v>
      </c>
      <c r="F264" s="210">
        <f t="shared" si="89"/>
        <v>1324099.0026406553</v>
      </c>
      <c r="H264" s="210">
        <f t="shared" si="90"/>
        <v>50573.225795302802</v>
      </c>
      <c r="I264" s="210">
        <f t="shared" si="91"/>
        <v>606878.70954363362</v>
      </c>
      <c r="K264" s="210">
        <f t="shared" si="92"/>
        <v>18390.263925564657</v>
      </c>
      <c r="L264" s="210">
        <f t="shared" si="93"/>
        <v>220683.16710677589</v>
      </c>
      <c r="N264" s="210">
        <f t="shared" si="94"/>
        <v>2217865.8294230979</v>
      </c>
    </row>
    <row r="265" spans="1:14" s="206" customFormat="1">
      <c r="A265" s="206">
        <f t="shared" si="85"/>
        <v>2036</v>
      </c>
      <c r="B265" s="210">
        <f t="shared" si="86"/>
        <v>5701.2375287797349</v>
      </c>
      <c r="C265" s="210">
        <f t="shared" si="87"/>
        <v>68414.850345356826</v>
      </c>
      <c r="E265" s="210">
        <f t="shared" si="88"/>
        <v>114024.75057559469</v>
      </c>
      <c r="F265" s="210">
        <f t="shared" si="89"/>
        <v>1368297.0069071362</v>
      </c>
      <c r="H265" s="210">
        <f t="shared" si="90"/>
        <v>52261.344013814232</v>
      </c>
      <c r="I265" s="210">
        <f t="shared" si="91"/>
        <v>627136.12816577079</v>
      </c>
      <c r="K265" s="210">
        <f t="shared" si="92"/>
        <v>19004.12509593245</v>
      </c>
      <c r="L265" s="210">
        <f t="shared" si="93"/>
        <v>228049.50115118938</v>
      </c>
      <c r="N265" s="210">
        <f t="shared" si="94"/>
        <v>2291897.486569453</v>
      </c>
    </row>
    <row r="266" spans="1:14" s="206" customFormat="1">
      <c r="A266" s="206">
        <f t="shared" si="85"/>
        <v>2037</v>
      </c>
      <c r="B266" s="210">
        <f t="shared" si="86"/>
        <v>5891.5430271742644</v>
      </c>
      <c r="C266" s="210">
        <f t="shared" si="87"/>
        <v>70698.516326091165</v>
      </c>
      <c r="E266" s="210">
        <f t="shared" si="88"/>
        <v>117830.86054348529</v>
      </c>
      <c r="F266" s="210">
        <f t="shared" si="89"/>
        <v>1413970.3265218236</v>
      </c>
      <c r="H266" s="210">
        <f t="shared" si="90"/>
        <v>54005.811082430751</v>
      </c>
      <c r="I266" s="210">
        <f t="shared" si="91"/>
        <v>648069.73298916896</v>
      </c>
      <c r="K266" s="210">
        <f t="shared" si="92"/>
        <v>19638.47675724755</v>
      </c>
      <c r="L266" s="210">
        <f t="shared" si="93"/>
        <v>235661.72108697059</v>
      </c>
      <c r="N266" s="210">
        <f t="shared" si="94"/>
        <v>2368400.2969240546</v>
      </c>
    </row>
    <row r="267" spans="1:14" s="206" customFormat="1">
      <c r="A267" s="206">
        <f t="shared" si="85"/>
        <v>2038</v>
      </c>
      <c r="B267" s="210">
        <f t="shared" si="86"/>
        <v>6088.2008626774259</v>
      </c>
      <c r="C267" s="210">
        <f t="shared" si="87"/>
        <v>73058.410352129111</v>
      </c>
      <c r="E267" s="210">
        <f t="shared" si="88"/>
        <v>121764.01725354852</v>
      </c>
      <c r="F267" s="210">
        <f t="shared" si="89"/>
        <v>1461168.2070425823</v>
      </c>
      <c r="H267" s="210">
        <f t="shared" si="90"/>
        <v>55808.507907876403</v>
      </c>
      <c r="I267" s="210">
        <f t="shared" si="91"/>
        <v>669702.09489451686</v>
      </c>
      <c r="K267" s="210">
        <f t="shared" si="92"/>
        <v>20294.002875591421</v>
      </c>
      <c r="L267" s="210">
        <f t="shared" si="93"/>
        <v>243528.03450709704</v>
      </c>
      <c r="N267" s="210">
        <f t="shared" si="94"/>
        <v>2447456.7467963253</v>
      </c>
    </row>
    <row r="268" spans="1:14" s="206" customFormat="1">
      <c r="A268" s="206">
        <f t="shared" si="85"/>
        <v>2039</v>
      </c>
      <c r="B268" s="210">
        <f t="shared" si="86"/>
        <v>6291.4230742848431</v>
      </c>
      <c r="C268" s="210">
        <f t="shared" si="87"/>
        <v>75497.07689141811</v>
      </c>
      <c r="E268" s="210">
        <f t="shared" si="88"/>
        <v>125828.46148569687</v>
      </c>
      <c r="F268" s="210">
        <f t="shared" si="89"/>
        <v>1509941.5378283625</v>
      </c>
      <c r="H268" s="210">
        <f t="shared" si="90"/>
        <v>57671.37818094439</v>
      </c>
      <c r="I268" s="210">
        <f t="shared" si="91"/>
        <v>692056.53817133268</v>
      </c>
      <c r="K268" s="210">
        <f t="shared" si="92"/>
        <v>20971.410247616146</v>
      </c>
      <c r="L268" s="210">
        <f t="shared" si="93"/>
        <v>251656.92297139374</v>
      </c>
      <c r="N268" s="210">
        <f t="shared" si="94"/>
        <v>2529152.0758625073</v>
      </c>
    </row>
    <row r="269" spans="1:14" s="206" customFormat="1">
      <c r="A269" s="206">
        <f t="shared" si="85"/>
        <v>2040</v>
      </c>
      <c r="B269" s="210">
        <f t="shared" si="86"/>
        <v>6501.4287787864914</v>
      </c>
      <c r="C269" s="210">
        <f t="shared" si="87"/>
        <v>78017.145345437893</v>
      </c>
      <c r="E269" s="210">
        <f t="shared" si="88"/>
        <v>130028.57557572983</v>
      </c>
      <c r="F269" s="210">
        <f t="shared" si="89"/>
        <v>1560342.906908758</v>
      </c>
      <c r="H269" s="210">
        <f t="shared" si="90"/>
        <v>59596.430472209504</v>
      </c>
      <c r="I269" s="210">
        <f t="shared" si="91"/>
        <v>715157.16566651408</v>
      </c>
      <c r="K269" s="210">
        <f t="shared" si="92"/>
        <v>21671.429262621637</v>
      </c>
      <c r="L269" s="210">
        <f t="shared" si="93"/>
        <v>260057.15115145966</v>
      </c>
      <c r="N269" s="210">
        <f t="shared" si="94"/>
        <v>2613574.3690721695</v>
      </c>
    </row>
    <row r="270" spans="1:14" s="206" customFormat="1">
      <c r="A270" s="206">
        <f t="shared" si="85"/>
        <v>2041</v>
      </c>
      <c r="B270" s="210">
        <f t="shared" si="86"/>
        <v>6718.4444070212121</v>
      </c>
      <c r="C270" s="210">
        <f t="shared" si="87"/>
        <v>80621.332884254545</v>
      </c>
      <c r="E270" s="210">
        <f t="shared" si="88"/>
        <v>134368.88814042424</v>
      </c>
      <c r="F270" s="210">
        <f t="shared" si="89"/>
        <v>1612426.6576850908</v>
      </c>
      <c r="H270" s="210">
        <f t="shared" si="90"/>
        <v>61585.740397694441</v>
      </c>
      <c r="I270" s="210">
        <f t="shared" si="91"/>
        <v>739028.88477233332</v>
      </c>
      <c r="K270" s="210">
        <f t="shared" si="92"/>
        <v>22394.814690070707</v>
      </c>
      <c r="L270" s="210">
        <f t="shared" si="93"/>
        <v>268737.77628084848</v>
      </c>
      <c r="N270" s="210">
        <f t="shared" si="94"/>
        <v>2700814.6516225273</v>
      </c>
    </row>
    <row r="271" spans="1:14" s="206" customFormat="1">
      <c r="A271" s="206">
        <f t="shared" si="85"/>
        <v>2042</v>
      </c>
      <c r="B271" s="210">
        <f t="shared" si="86"/>
        <v>6942.7039480173507</v>
      </c>
      <c r="C271" s="210">
        <f t="shared" si="87"/>
        <v>83312.447376208205</v>
      </c>
      <c r="E271" s="210">
        <f t="shared" si="88"/>
        <v>138854.07896034702</v>
      </c>
      <c r="F271" s="210">
        <f t="shared" si="89"/>
        <v>1666248.9475241643</v>
      </c>
      <c r="H271" s="210">
        <f t="shared" si="90"/>
        <v>63641.452856825708</v>
      </c>
      <c r="I271" s="210">
        <f t="shared" si="91"/>
        <v>763697.43428190844</v>
      </c>
      <c r="K271" s="210">
        <f t="shared" si="92"/>
        <v>23142.346493391171</v>
      </c>
      <c r="L271" s="210">
        <f t="shared" si="93"/>
        <v>277708.15792069404</v>
      </c>
      <c r="N271" s="210">
        <f t="shared" si="94"/>
        <v>2790966.9871029751</v>
      </c>
    </row>
    <row r="272" spans="1:14" s="206" customFormat="1">
      <c r="A272" s="206">
        <f t="shared" si="85"/>
        <v>2043</v>
      </c>
      <c r="B272" s="210">
        <f t="shared" si="86"/>
        <v>7174.4492012827232</v>
      </c>
      <c r="C272" s="210">
        <f t="shared" si="87"/>
        <v>86093.390415392671</v>
      </c>
      <c r="E272" s="210">
        <f t="shared" si="88"/>
        <v>143488.98402565447</v>
      </c>
      <c r="F272" s="210">
        <f t="shared" si="89"/>
        <v>1721867.8083078535</v>
      </c>
      <c r="H272" s="210">
        <f t="shared" si="90"/>
        <v>65765.784345091626</v>
      </c>
      <c r="I272" s="210">
        <f t="shared" si="91"/>
        <v>789189.41214109957</v>
      </c>
      <c r="K272" s="210">
        <f t="shared" si="92"/>
        <v>23914.830670942411</v>
      </c>
      <c r="L272" s="210">
        <f t="shared" si="93"/>
        <v>286977.96805130894</v>
      </c>
      <c r="N272" s="210">
        <f t="shared" si="94"/>
        <v>2884128.5789156547</v>
      </c>
    </row>
    <row r="273" spans="1:14" s="206" customFormat="1">
      <c r="A273" s="206">
        <f t="shared" si="85"/>
        <v>2044</v>
      </c>
      <c r="B273" s="210">
        <f t="shared" si="86"/>
        <v>7413.9300375159346</v>
      </c>
      <c r="C273" s="210">
        <f t="shared" si="87"/>
        <v>88967.160450191208</v>
      </c>
      <c r="E273" s="210">
        <f t="shared" si="88"/>
        <v>148278.6007503187</v>
      </c>
      <c r="F273" s="210">
        <f t="shared" si="89"/>
        <v>1779343.2090038243</v>
      </c>
      <c r="H273" s="210">
        <f t="shared" si="90"/>
        <v>67961.025343896064</v>
      </c>
      <c r="I273" s="210">
        <f t="shared" si="91"/>
        <v>815532.30412675277</v>
      </c>
      <c r="K273" s="210">
        <f t="shared" si="92"/>
        <v>24713.100125053115</v>
      </c>
      <c r="L273" s="210">
        <f t="shared" si="93"/>
        <v>296557.2015006374</v>
      </c>
      <c r="N273" s="210">
        <f t="shared" si="94"/>
        <v>2980399.875081406</v>
      </c>
    </row>
    <row r="274" spans="1:14" s="206" customFormat="1">
      <c r="A274" s="206">
        <f t="shared" si="85"/>
        <v>2045</v>
      </c>
      <c r="B274" s="210">
        <f t="shared" si="86"/>
        <v>7661.40466802017</v>
      </c>
      <c r="C274" s="210">
        <f t="shared" si="87"/>
        <v>91936.856016242033</v>
      </c>
      <c r="E274" s="210">
        <f t="shared" si="88"/>
        <v>153228.09336040341</v>
      </c>
      <c r="F274" s="210">
        <f t="shared" si="89"/>
        <v>1838737.1203248408</v>
      </c>
      <c r="H274" s="210">
        <f t="shared" si="90"/>
        <v>70229.542790184889</v>
      </c>
      <c r="I274" s="210">
        <f t="shared" si="91"/>
        <v>842754.51348221861</v>
      </c>
      <c r="K274" s="210">
        <f t="shared" si="92"/>
        <v>25538.015560067233</v>
      </c>
      <c r="L274" s="210">
        <f t="shared" si="93"/>
        <v>306456.18672080681</v>
      </c>
      <c r="N274" s="210">
        <f t="shared" si="94"/>
        <v>3079884.676544108</v>
      </c>
    </row>
    <row r="275" spans="1:14" s="206" customFormat="1">
      <c r="A275" s="206">
        <f t="shared" si="85"/>
        <v>2046</v>
      </c>
      <c r="B275" s="210">
        <f t="shared" si="86"/>
        <v>7917.1399231099231</v>
      </c>
      <c r="C275" s="210">
        <f t="shared" si="87"/>
        <v>95005.679077319073</v>
      </c>
      <c r="E275" s="210">
        <f t="shared" si="88"/>
        <v>158342.79846219847</v>
      </c>
      <c r="F275" s="210">
        <f t="shared" si="89"/>
        <v>1900113.5815463816</v>
      </c>
      <c r="H275" s="210">
        <f t="shared" si="90"/>
        <v>72573.78262850763</v>
      </c>
      <c r="I275" s="210">
        <f t="shared" si="91"/>
        <v>870885.3915420915</v>
      </c>
      <c r="K275" s="210">
        <f t="shared" si="92"/>
        <v>26390.466410366411</v>
      </c>
      <c r="L275" s="210">
        <f t="shared" si="93"/>
        <v>316685.59692439693</v>
      </c>
      <c r="N275" s="210">
        <f t="shared" si="94"/>
        <v>3182690.2490901891</v>
      </c>
    </row>
    <row r="276" spans="1:14" s="206" customFormat="1">
      <c r="A276" s="206">
        <f t="shared" si="85"/>
        <v>2047</v>
      </c>
      <c r="B276" s="210">
        <f t="shared" si="86"/>
        <v>8181.4115398108543</v>
      </c>
      <c r="C276" s="210">
        <f t="shared" si="87"/>
        <v>98176.938477730248</v>
      </c>
      <c r="E276" s="210">
        <f t="shared" si="88"/>
        <v>163628.23079621707</v>
      </c>
      <c r="F276" s="210">
        <f t="shared" si="89"/>
        <v>1963538.7695546048</v>
      </c>
      <c r="H276" s="210">
        <f t="shared" si="90"/>
        <v>74996.272448266158</v>
      </c>
      <c r="I276" s="210">
        <f t="shared" si="91"/>
        <v>899955.26937919389</v>
      </c>
      <c r="K276" s="210">
        <f t="shared" si="92"/>
        <v>27271.371799369514</v>
      </c>
      <c r="L276" s="210">
        <f t="shared" si="93"/>
        <v>327256.46159243415</v>
      </c>
      <c r="N276" s="210">
        <f t="shared" si="94"/>
        <v>3288927.439003963</v>
      </c>
    </row>
    <row r="277" spans="1:14">
      <c r="A277" s="206">
        <f t="shared" ref="A277:A286" si="95">A237</f>
        <v>2048</v>
      </c>
      <c r="B277" s="210">
        <f t="shared" si="86"/>
        <v>8454.5044591629994</v>
      </c>
      <c r="C277" s="210">
        <f t="shared" ref="C277:C286" si="96">B277*$B$177</f>
        <v>101454.05350995599</v>
      </c>
      <c r="D277" s="206"/>
      <c r="E277" s="210">
        <f t="shared" ref="E277:E286" si="97">H237*$A$131</f>
        <v>169090.08918325999</v>
      </c>
      <c r="F277" s="210">
        <f t="shared" ref="F277:F286" si="98">E277*$B$177</f>
        <v>2029081.0701991199</v>
      </c>
      <c r="G277" s="206"/>
      <c r="H277" s="210">
        <f t="shared" ref="H277:H286" si="99">M237*$A$131</f>
        <v>77499.624208994152</v>
      </c>
      <c r="I277" s="210">
        <f t="shared" ref="I277:I286" si="100">H277*$B$177</f>
        <v>929995.49050792982</v>
      </c>
      <c r="J277" s="206"/>
      <c r="K277" s="210">
        <f t="shared" ref="K277:K286" si="101">R237*$A$131</f>
        <v>28181.681530543334</v>
      </c>
      <c r="L277" s="210">
        <f t="shared" ref="L277:L286" si="102">K277*$B$177</f>
        <v>338180.17836651998</v>
      </c>
      <c r="M277" s="206"/>
      <c r="N277" s="210">
        <f t="shared" ref="N277:N286" si="103">SUM(C277,F277,I277,L277)</f>
        <v>3398710.7925835256</v>
      </c>
    </row>
    <row r="278" spans="1:14">
      <c r="A278" s="206">
        <f t="shared" si="95"/>
        <v>2049</v>
      </c>
      <c r="B278" s="210">
        <f t="shared" si="86"/>
        <v>8736.7131334478181</v>
      </c>
      <c r="C278" s="210">
        <f t="shared" si="96"/>
        <v>104840.55760137382</v>
      </c>
      <c r="D278" s="206"/>
      <c r="E278" s="210">
        <f t="shared" si="97"/>
        <v>174734.26266895636</v>
      </c>
      <c r="F278" s="210">
        <f t="shared" si="98"/>
        <v>2096811.1520274763</v>
      </c>
      <c r="G278" s="206"/>
      <c r="H278" s="210">
        <f t="shared" si="99"/>
        <v>80086.537056604997</v>
      </c>
      <c r="I278" s="210">
        <f t="shared" si="100"/>
        <v>961038.44467926002</v>
      </c>
      <c r="J278" s="206"/>
      <c r="K278" s="210">
        <f t="shared" si="101"/>
        <v>29122.377111492729</v>
      </c>
      <c r="L278" s="210">
        <f t="shared" si="102"/>
        <v>349468.52533791272</v>
      </c>
      <c r="M278" s="206"/>
      <c r="N278" s="210">
        <f t="shared" si="103"/>
        <v>3512158.6796460231</v>
      </c>
    </row>
    <row r="279" spans="1:14">
      <c r="A279" s="206">
        <f t="shared" si="95"/>
        <v>2050</v>
      </c>
      <c r="B279" s="210">
        <f t="shared" si="86"/>
        <v>9028.3418436704342</v>
      </c>
      <c r="C279" s="210">
        <f t="shared" si="96"/>
        <v>108340.10212404521</v>
      </c>
      <c r="D279" s="206"/>
      <c r="E279" s="210">
        <f t="shared" si="97"/>
        <v>180566.8368734087</v>
      </c>
      <c r="F279" s="210">
        <f t="shared" si="98"/>
        <v>2166802.0424809046</v>
      </c>
      <c r="G279" s="206"/>
      <c r="H279" s="210">
        <f t="shared" si="99"/>
        <v>82759.800233645641</v>
      </c>
      <c r="I279" s="210">
        <f t="shared" si="100"/>
        <v>993117.60280374764</v>
      </c>
      <c r="J279" s="206"/>
      <c r="K279" s="210">
        <f t="shared" si="101"/>
        <v>30094.472812234781</v>
      </c>
      <c r="L279" s="210">
        <f t="shared" si="102"/>
        <v>361133.6737468174</v>
      </c>
      <c r="M279" s="206"/>
      <c r="N279" s="210">
        <f t="shared" si="103"/>
        <v>3629393.4211555147</v>
      </c>
    </row>
    <row r="280" spans="1:14">
      <c r="A280" s="206">
        <f t="shared" si="95"/>
        <v>2051</v>
      </c>
      <c r="B280" s="210">
        <f t="shared" si="86"/>
        <v>9329.7050276393056</v>
      </c>
      <c r="C280" s="210">
        <f t="shared" si="96"/>
        <v>111956.46033167167</v>
      </c>
      <c r="D280" s="206"/>
      <c r="E280" s="210">
        <f t="shared" si="97"/>
        <v>186594.10055278611</v>
      </c>
      <c r="F280" s="210">
        <f t="shared" si="98"/>
        <v>2239129.2066334332</v>
      </c>
      <c r="G280" s="206"/>
      <c r="H280" s="210">
        <f t="shared" si="99"/>
        <v>85522.296086693634</v>
      </c>
      <c r="I280" s="210">
        <f t="shared" si="100"/>
        <v>1026267.5530403235</v>
      </c>
      <c r="J280" s="206"/>
      <c r="K280" s="210">
        <f t="shared" si="101"/>
        <v>31099.016758797687</v>
      </c>
      <c r="L280" s="210">
        <f t="shared" si="102"/>
        <v>373188.20110557223</v>
      </c>
      <c r="M280" s="206"/>
      <c r="N280" s="210">
        <f t="shared" si="103"/>
        <v>3750541.4211110007</v>
      </c>
    </row>
    <row r="281" spans="1:14">
      <c r="A281" s="206">
        <f t="shared" si="95"/>
        <v>2052</v>
      </c>
      <c r="B281" s="210">
        <f t="shared" si="86"/>
        <v>9641.1276189970904</v>
      </c>
      <c r="C281" s="210">
        <f t="shared" si="96"/>
        <v>115693.53142796509</v>
      </c>
      <c r="D281" s="206"/>
      <c r="E281" s="210">
        <f t="shared" si="97"/>
        <v>192822.5523799418</v>
      </c>
      <c r="F281" s="210">
        <f t="shared" si="98"/>
        <v>2313870.6285593016</v>
      </c>
      <c r="G281" s="206"/>
      <c r="H281" s="210">
        <f t="shared" si="99"/>
        <v>88377.003174139987</v>
      </c>
      <c r="I281" s="210">
        <f t="shared" si="100"/>
        <v>1060524.0380896798</v>
      </c>
      <c r="J281" s="206"/>
      <c r="K281" s="210">
        <f t="shared" si="101"/>
        <v>32137.092063323635</v>
      </c>
      <c r="L281" s="210">
        <f t="shared" si="102"/>
        <v>385645.1047598836</v>
      </c>
      <c r="M281" s="206"/>
      <c r="N281" s="210">
        <f t="shared" si="103"/>
        <v>3875733.3028368303</v>
      </c>
    </row>
    <row r="282" spans="1:14">
      <c r="A282" s="206">
        <f t="shared" si="95"/>
        <v>2053</v>
      </c>
      <c r="B282" s="210">
        <f t="shared" si="86"/>
        <v>9962.9453975682645</v>
      </c>
      <c r="C282" s="210">
        <f t="shared" si="96"/>
        <v>119555.34477081918</v>
      </c>
      <c r="D282" s="206"/>
      <c r="E282" s="210">
        <f t="shared" si="97"/>
        <v>199258.90795136528</v>
      </c>
      <c r="F282" s="210">
        <f t="shared" si="98"/>
        <v>2391106.8954163836</v>
      </c>
      <c r="G282" s="206"/>
      <c r="H282" s="210">
        <f t="shared" si="99"/>
        <v>91326.999477709091</v>
      </c>
      <c r="I282" s="210">
        <f t="shared" si="100"/>
        <v>1095923.9937325092</v>
      </c>
      <c r="J282" s="206"/>
      <c r="K282" s="210">
        <f t="shared" si="101"/>
        <v>33209.817991894219</v>
      </c>
      <c r="L282" s="210">
        <f t="shared" si="102"/>
        <v>398517.81590273062</v>
      </c>
      <c r="M282" s="206"/>
      <c r="N282" s="210">
        <f t="shared" si="103"/>
        <v>4005104.0498224422</v>
      </c>
    </row>
    <row r="283" spans="1:14">
      <c r="A283" s="206">
        <f t="shared" si="95"/>
        <v>2054</v>
      </c>
      <c r="B283" s="210">
        <f t="shared" si="86"/>
        <v>10295.505351401222</v>
      </c>
      <c r="C283" s="210">
        <f t="shared" si="96"/>
        <v>123546.06421681466</v>
      </c>
      <c r="D283" s="206"/>
      <c r="E283" s="210">
        <f t="shared" si="97"/>
        <v>205910.10702802445</v>
      </c>
      <c r="F283" s="210">
        <f t="shared" si="98"/>
        <v>2470921.2843362931</v>
      </c>
      <c r="G283" s="206"/>
      <c r="H283" s="210">
        <f t="shared" si="99"/>
        <v>94375.465721177854</v>
      </c>
      <c r="I283" s="210">
        <f t="shared" si="100"/>
        <v>1132505.5886541342</v>
      </c>
      <c r="J283" s="206"/>
      <c r="K283" s="210">
        <f t="shared" si="101"/>
        <v>34318.35117133741</v>
      </c>
      <c r="L283" s="210">
        <f t="shared" si="102"/>
        <v>411820.21405604889</v>
      </c>
      <c r="M283" s="206"/>
      <c r="N283" s="210">
        <f t="shared" si="103"/>
        <v>4138793.1512632906</v>
      </c>
    </row>
    <row r="284" spans="1:14">
      <c r="A284" s="206">
        <f t="shared" si="95"/>
        <v>2055</v>
      </c>
      <c r="B284" s="210">
        <f t="shared" si="86"/>
        <v>10639.166050895232</v>
      </c>
      <c r="C284" s="210">
        <f t="shared" si="96"/>
        <v>127669.99261074277</v>
      </c>
      <c r="D284" s="206"/>
      <c r="E284" s="210">
        <f t="shared" si="97"/>
        <v>212783.32101790464</v>
      </c>
      <c r="F284" s="210">
        <f t="shared" si="98"/>
        <v>2553399.8522148556</v>
      </c>
      <c r="G284" s="206"/>
      <c r="H284" s="210">
        <f t="shared" si="99"/>
        <v>97525.688799872951</v>
      </c>
      <c r="I284" s="210">
        <f t="shared" si="100"/>
        <v>1170308.2655984755</v>
      </c>
      <c r="J284" s="206"/>
      <c r="K284" s="210">
        <f t="shared" si="101"/>
        <v>35463.886836317441</v>
      </c>
      <c r="L284" s="210">
        <f t="shared" si="102"/>
        <v>425566.64203580929</v>
      </c>
      <c r="M284" s="206"/>
      <c r="N284" s="210">
        <f t="shared" si="103"/>
        <v>4276944.7524598828</v>
      </c>
    </row>
    <row r="285" spans="1:14">
      <c r="A285" s="206">
        <f t="shared" si="95"/>
        <v>2056</v>
      </c>
      <c r="B285" s="210">
        <f t="shared" si="86"/>
        <v>10994.298035415641</v>
      </c>
      <c r="C285" s="210">
        <f t="shared" si="96"/>
        <v>131931.5764249877</v>
      </c>
      <c r="D285" s="206"/>
      <c r="E285" s="210">
        <f t="shared" si="97"/>
        <v>219885.96070831281</v>
      </c>
      <c r="F285" s="210">
        <f t="shared" si="98"/>
        <v>2638631.5284997537</v>
      </c>
      <c r="G285" s="206"/>
      <c r="H285" s="210">
        <f t="shared" si="99"/>
        <v>100781.06532464336</v>
      </c>
      <c r="I285" s="210">
        <f t="shared" si="100"/>
        <v>1209372.7838957203</v>
      </c>
      <c r="J285" s="206"/>
      <c r="K285" s="210">
        <f t="shared" si="101"/>
        <v>36647.660118052139</v>
      </c>
      <c r="L285" s="210">
        <f t="shared" si="102"/>
        <v>439771.92141662567</v>
      </c>
      <c r="M285" s="206"/>
      <c r="N285" s="210">
        <f t="shared" si="103"/>
        <v>4419707.8102370873</v>
      </c>
    </row>
    <row r="286" spans="1:14">
      <c r="A286" s="206">
        <f t="shared" si="95"/>
        <v>2057</v>
      </c>
      <c r="B286" s="210">
        <f t="shared" si="86"/>
        <v>11361.284212814144</v>
      </c>
      <c r="C286" s="210">
        <f t="shared" si="96"/>
        <v>136335.41055376973</v>
      </c>
      <c r="D286" s="206"/>
      <c r="E286" s="210">
        <f t="shared" si="97"/>
        <v>227225.68425628287</v>
      </c>
      <c r="F286" s="210">
        <f t="shared" si="98"/>
        <v>2726708.2110753944</v>
      </c>
      <c r="G286" s="206"/>
      <c r="H286" s="210">
        <f t="shared" si="99"/>
        <v>104145.10528412965</v>
      </c>
      <c r="I286" s="210">
        <f t="shared" si="100"/>
        <v>1249741.2634095559</v>
      </c>
      <c r="J286" s="206"/>
      <c r="K286" s="210">
        <f t="shared" si="101"/>
        <v>37870.947376047145</v>
      </c>
      <c r="L286" s="210">
        <f t="shared" si="102"/>
        <v>454451.36851256574</v>
      </c>
      <c r="M286" s="206"/>
      <c r="N286" s="210">
        <f t="shared" si="103"/>
        <v>4567236.2535512857</v>
      </c>
    </row>
    <row r="287" spans="1:14">
      <c r="A287" s="206"/>
      <c r="B287" s="210"/>
      <c r="C287" s="210"/>
      <c r="D287" s="206"/>
      <c r="E287" s="210"/>
      <c r="F287" s="210"/>
      <c r="G287" s="206"/>
      <c r="H287" s="210"/>
      <c r="I287" s="210"/>
      <c r="J287" s="206"/>
      <c r="K287" s="210"/>
      <c r="L287" s="210"/>
      <c r="M287" s="206"/>
      <c r="N287" s="210"/>
    </row>
    <row r="288" spans="1:14">
      <c r="A288" s="206"/>
      <c r="B288" s="210"/>
      <c r="C288" s="210"/>
      <c r="D288" s="206"/>
      <c r="E288" s="210"/>
      <c r="F288" s="210"/>
      <c r="G288" s="206"/>
      <c r="H288" s="210"/>
      <c r="I288" s="210"/>
      <c r="J288" s="206"/>
      <c r="K288" s="210"/>
      <c r="L288" s="210"/>
      <c r="M288" s="206"/>
      <c r="N288" s="210"/>
    </row>
  </sheetData>
  <sheetProtection algorithmName="SHA-512" hashValue="IulU0TBj0ewGPW5onb70LcktUB+wrMomGpIoqdnz/zWd4L+kDs8nfCEdQiwYvUUAEgS+8q9xnQO9ESylMkqFGg==" saltValue="9MSEIPtgNRC5qLvLgXU7aw==" spinCount="100000" sheet="1" objects="1" scenarios="1"/>
  <mergeCells count="20">
    <mergeCell ref="A249:M249"/>
    <mergeCell ref="A250:M250"/>
    <mergeCell ref="A251:M251"/>
    <mergeCell ref="Q214:T214"/>
    <mergeCell ref="V214:W214"/>
    <mergeCell ref="B214:E214"/>
    <mergeCell ref="G214:J214"/>
    <mergeCell ref="L214:O214"/>
    <mergeCell ref="A173:M173"/>
    <mergeCell ref="A174:M174"/>
    <mergeCell ref="A175:M175"/>
    <mergeCell ref="V137:W137"/>
    <mergeCell ref="A8:S9"/>
    <mergeCell ref="A10:S11"/>
    <mergeCell ref="A12:S13"/>
    <mergeCell ref="A14:S16"/>
    <mergeCell ref="B137:E137"/>
    <mergeCell ref="G137:J137"/>
    <mergeCell ref="L137:O137"/>
    <mergeCell ref="Q137:T137"/>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2560C-CF06-48D5-BC61-612A8138473F}">
  <sheetPr>
    <tabColor theme="8" tint="0.79998168889431442"/>
  </sheetPr>
  <dimension ref="A1:AI52"/>
  <sheetViews>
    <sheetView workbookViewId="0">
      <selection activeCell="C36" sqref="C36"/>
    </sheetView>
  </sheetViews>
  <sheetFormatPr defaultRowHeight="15"/>
  <cols>
    <col min="1" max="1" width="9.140625" style="416"/>
    <col min="2" max="2" width="10" style="416" bestFit="1" customWidth="1"/>
    <col min="3" max="33" width="9.140625" style="416"/>
    <col min="34" max="34" width="10" style="416" bestFit="1" customWidth="1"/>
    <col min="35" max="16384" width="9.140625" style="416"/>
  </cols>
  <sheetData>
    <row r="1" spans="1:35" ht="16.5" thickTop="1" thickBot="1">
      <c r="A1" s="792" t="s">
        <v>831</v>
      </c>
      <c r="B1" s="793"/>
      <c r="C1" s="793"/>
      <c r="D1" s="793"/>
      <c r="E1" s="793"/>
      <c r="F1" s="793"/>
      <c r="G1" s="793"/>
      <c r="H1" s="793"/>
      <c r="I1" s="794"/>
      <c r="J1" s="792" t="s">
        <v>832</v>
      </c>
      <c r="K1" s="793"/>
      <c r="L1" s="793"/>
      <c r="M1" s="793"/>
      <c r="N1" s="793"/>
      <c r="O1" s="793"/>
      <c r="P1" s="793"/>
      <c r="Q1" s="794"/>
      <c r="S1" s="795" t="s">
        <v>833</v>
      </c>
      <c r="T1" s="796"/>
      <c r="U1" s="796"/>
      <c r="V1" s="797"/>
      <c r="W1" s="795" t="s">
        <v>834</v>
      </c>
      <c r="X1" s="798"/>
    </row>
    <row r="2" spans="1:35" ht="16.5" customHeight="1" thickTop="1" thickBot="1">
      <c r="A2" s="799" t="s">
        <v>1</v>
      </c>
      <c r="B2" s="802" t="s">
        <v>835</v>
      </c>
      <c r="C2" s="803"/>
      <c r="D2" s="803"/>
      <c r="E2" s="804"/>
      <c r="F2" s="802" t="s">
        <v>836</v>
      </c>
      <c r="G2" s="803"/>
      <c r="H2" s="803"/>
      <c r="I2" s="804"/>
      <c r="J2" s="802" t="s">
        <v>835</v>
      </c>
      <c r="K2" s="803"/>
      <c r="L2" s="803"/>
      <c r="M2" s="804"/>
      <c r="N2" s="802" t="s">
        <v>836</v>
      </c>
      <c r="O2" s="803"/>
      <c r="P2" s="803"/>
      <c r="Q2" s="804"/>
      <c r="S2" s="805" t="s">
        <v>837</v>
      </c>
      <c r="T2" s="806" t="s">
        <v>837</v>
      </c>
      <c r="U2" s="806" t="s">
        <v>838</v>
      </c>
      <c r="V2" s="423"/>
      <c r="W2" s="805" t="s">
        <v>837</v>
      </c>
      <c r="X2" s="807" t="s">
        <v>837</v>
      </c>
      <c r="Y2" s="424" t="s">
        <v>833</v>
      </c>
      <c r="Z2" s="425" t="s">
        <v>834</v>
      </c>
    </row>
    <row r="3" spans="1:35" ht="38.25" customHeight="1" thickTop="1" thickBot="1">
      <c r="A3" s="800"/>
      <c r="B3" s="799" t="s">
        <v>839</v>
      </c>
      <c r="C3" s="799" t="s">
        <v>840</v>
      </c>
      <c r="D3" s="426" t="s">
        <v>265</v>
      </c>
      <c r="E3" s="799" t="s">
        <v>841</v>
      </c>
      <c r="F3" s="799" t="s">
        <v>842</v>
      </c>
      <c r="G3" s="799" t="s">
        <v>840</v>
      </c>
      <c r="H3" s="426" t="s">
        <v>265</v>
      </c>
      <c r="I3" s="799" t="s">
        <v>841</v>
      </c>
      <c r="J3" s="799" t="s">
        <v>839</v>
      </c>
      <c r="K3" s="799" t="s">
        <v>840</v>
      </c>
      <c r="L3" s="426" t="s">
        <v>265</v>
      </c>
      <c r="M3" s="799" t="s">
        <v>841</v>
      </c>
      <c r="N3" s="799" t="s">
        <v>842</v>
      </c>
      <c r="O3" s="799" t="s">
        <v>840</v>
      </c>
      <c r="P3" s="426" t="s">
        <v>265</v>
      </c>
      <c r="Q3" s="799" t="s">
        <v>841</v>
      </c>
      <c r="S3" s="805"/>
      <c r="T3" s="806"/>
      <c r="U3" s="806"/>
      <c r="V3" s="423" t="s">
        <v>843</v>
      </c>
      <c r="W3" s="805"/>
      <c r="X3" s="807"/>
      <c r="Y3" s="809" t="s">
        <v>399</v>
      </c>
      <c r="Z3" s="810"/>
      <c r="AC3" s="799" t="s">
        <v>1</v>
      </c>
      <c r="AD3" s="811" t="s">
        <v>844</v>
      </c>
      <c r="AE3" s="812"/>
      <c r="AF3" s="811" t="s">
        <v>845</v>
      </c>
      <c r="AG3" s="812"/>
      <c r="AH3" s="811" t="s">
        <v>846</v>
      </c>
      <c r="AI3" s="812"/>
    </row>
    <row r="4" spans="1:35" ht="16.5" thickTop="1" thickBot="1">
      <c r="A4" s="801"/>
      <c r="B4" s="801"/>
      <c r="C4" s="801"/>
      <c r="D4" s="427" t="s">
        <v>847</v>
      </c>
      <c r="E4" s="801"/>
      <c r="F4" s="801"/>
      <c r="G4" s="801"/>
      <c r="H4" s="427" t="s">
        <v>847</v>
      </c>
      <c r="I4" s="801"/>
      <c r="J4" s="801"/>
      <c r="K4" s="801"/>
      <c r="L4" s="427" t="s">
        <v>847</v>
      </c>
      <c r="M4" s="801"/>
      <c r="N4" s="801"/>
      <c r="O4" s="801"/>
      <c r="P4" s="427" t="s">
        <v>847</v>
      </c>
      <c r="Q4" s="801"/>
      <c r="S4" s="428" t="s">
        <v>847</v>
      </c>
      <c r="T4" s="429" t="s">
        <v>848</v>
      </c>
      <c r="U4" s="429" t="s">
        <v>849</v>
      </c>
      <c r="V4" s="430" t="s">
        <v>847</v>
      </c>
      <c r="W4" s="428" t="s">
        <v>847</v>
      </c>
      <c r="X4" s="430" t="s">
        <v>848</v>
      </c>
      <c r="Y4" s="428" t="s">
        <v>850</v>
      </c>
      <c r="Z4" s="431" t="s">
        <v>850</v>
      </c>
      <c r="AC4" s="801"/>
      <c r="AD4" s="432" t="s">
        <v>851</v>
      </c>
      <c r="AE4" s="432" t="s">
        <v>836</v>
      </c>
      <c r="AF4" s="432" t="s">
        <v>851</v>
      </c>
      <c r="AG4" s="432" t="s">
        <v>836</v>
      </c>
      <c r="AH4" s="432" t="s">
        <v>851</v>
      </c>
      <c r="AI4" s="432" t="s">
        <v>836</v>
      </c>
    </row>
    <row r="5" spans="1:35" ht="16.5" thickTop="1" thickBot="1">
      <c r="A5" s="433">
        <v>2019</v>
      </c>
      <c r="B5" s="434">
        <v>432233</v>
      </c>
      <c r="C5" s="435">
        <v>1757450.5</v>
      </c>
      <c r="D5" s="436">
        <v>31022</v>
      </c>
      <c r="E5" s="436">
        <v>5316.5</v>
      </c>
      <c r="F5" s="436">
        <v>34101</v>
      </c>
      <c r="G5" s="436">
        <v>148980.6</v>
      </c>
      <c r="H5" s="435">
        <v>2483.1</v>
      </c>
      <c r="I5" s="437">
        <v>352.29999999999995</v>
      </c>
      <c r="J5" s="438">
        <v>432185</v>
      </c>
      <c r="K5" s="438">
        <v>1785690.5</v>
      </c>
      <c r="L5" s="438">
        <v>30798.6</v>
      </c>
      <c r="M5" s="439">
        <v>5293.7000000000007</v>
      </c>
      <c r="N5" s="439">
        <v>34104</v>
      </c>
      <c r="O5" s="439">
        <v>151315.40000000002</v>
      </c>
      <c r="P5" s="438">
        <v>2395.8000000000002</v>
      </c>
      <c r="Q5" s="440">
        <v>311.89999999999998</v>
      </c>
      <c r="S5" s="441">
        <f>((D5-L5)/B5)</f>
        <v>5.1685086515837855E-4</v>
      </c>
      <c r="T5" s="442">
        <f>S5*60</f>
        <v>3.1011051909502714E-2</v>
      </c>
      <c r="U5" s="499">
        <f>Inputs!$B$12</f>
        <v>1.67</v>
      </c>
      <c r="V5" s="443">
        <f>S5*U5</f>
        <v>8.6314094481449214E-4</v>
      </c>
      <c r="W5" s="441">
        <f>((H5-P5)/F5)</f>
        <v>2.5600422275006518E-3</v>
      </c>
      <c r="X5" s="443">
        <f>W5*60</f>
        <v>0.15360253365003912</v>
      </c>
      <c r="Y5" s="444">
        <f>C5-K5</f>
        <v>-28240</v>
      </c>
      <c r="Z5" s="445">
        <f>G5-O5</f>
        <v>-2334.8000000000175</v>
      </c>
      <c r="AC5" s="446">
        <v>2019</v>
      </c>
      <c r="AD5" s="438">
        <f>L5-D5</f>
        <v>-223.40000000000146</v>
      </c>
      <c r="AE5" s="438">
        <f>P5-H5</f>
        <v>-87.299999999999727</v>
      </c>
      <c r="AF5" s="447">
        <f>T5</f>
        <v>3.1011051909502714E-2</v>
      </c>
      <c r="AG5" s="448">
        <f>X5</f>
        <v>0.15360253365003912</v>
      </c>
      <c r="AH5" s="448">
        <f>V5*60</f>
        <v>5.1788456688869527E-2</v>
      </c>
      <c r="AI5" s="449">
        <f>AG5</f>
        <v>0.15360253365003912</v>
      </c>
    </row>
    <row r="6" spans="1:35" ht="15.75" thickBot="1">
      <c r="A6" s="450">
        <v>2020</v>
      </c>
      <c r="B6" s="451">
        <f>(((B$31-B$5)/26)*($A6-$A$5))+B$5</f>
        <v>440006.5</v>
      </c>
      <c r="C6" s="452">
        <f t="shared" ref="C6:I21" si="0">(((C$31-C$5)/26)*($A6-$A$5))+C$5</f>
        <v>1792262.8615384616</v>
      </c>
      <c r="D6" s="452">
        <f t="shared" si="0"/>
        <v>32248.91153846154</v>
      </c>
      <c r="E6" s="452">
        <f t="shared" si="0"/>
        <v>6040.1153846153848</v>
      </c>
      <c r="F6" s="453">
        <f t="shared" si="0"/>
        <v>34706.807692307695</v>
      </c>
      <c r="G6" s="452">
        <f t="shared" si="0"/>
        <v>152028.33461538464</v>
      </c>
      <c r="H6" s="452">
        <f t="shared" si="0"/>
        <v>2565.9499999999998</v>
      </c>
      <c r="I6" s="454">
        <f t="shared" si="0"/>
        <v>391.49230769230763</v>
      </c>
      <c r="J6" s="453">
        <f>(((J$31-J$5)/26)*($A6-$A$5))+J$5</f>
        <v>439959.53846153844</v>
      </c>
      <c r="K6" s="452">
        <f t="shared" ref="K6:Q7" si="1">(((K$31-K$5)/26)*($A6-$A$5))+K$5</f>
        <v>1819567.9346153846</v>
      </c>
      <c r="L6" s="452">
        <f t="shared" si="1"/>
        <v>31535.253846153846</v>
      </c>
      <c r="M6" s="452">
        <f t="shared" si="1"/>
        <v>5551.4115384615388</v>
      </c>
      <c r="N6" s="453">
        <f t="shared" si="1"/>
        <v>34709.269230769234</v>
      </c>
      <c r="O6" s="452">
        <f t="shared" si="1"/>
        <v>154277.69615384616</v>
      </c>
      <c r="P6" s="452">
        <f t="shared" si="1"/>
        <v>2451.9076923076923</v>
      </c>
      <c r="Q6" s="452">
        <f t="shared" si="1"/>
        <v>327.19615384615383</v>
      </c>
      <c r="S6" s="455">
        <f t="shared" ref="S6:S31" si="2">((D6-L6)/B6)</f>
        <v>1.6219253404385927E-3</v>
      </c>
      <c r="T6" s="456">
        <f t="shared" ref="T6:T31" si="3">S6*60</f>
        <v>9.7315520426315555E-2</v>
      </c>
      <c r="U6" s="499">
        <f>Inputs!$B$12</f>
        <v>1.67</v>
      </c>
      <c r="V6" s="457">
        <f t="shared" ref="V6:V31" si="4">S6*U6</f>
        <v>2.7086153185324497E-3</v>
      </c>
      <c r="W6" s="455">
        <f t="shared" ref="W6:W31" si="5">((H6-P6)/F6)</f>
        <v>3.285877188802458E-3</v>
      </c>
      <c r="X6" s="457">
        <f t="shared" ref="X6:X31" si="6">W6*60</f>
        <v>0.19715263132814748</v>
      </c>
      <c r="Y6" s="458">
        <f t="shared" ref="Y6:Y31" si="7">C6-K6</f>
        <v>-27305.073076922912</v>
      </c>
      <c r="Z6" s="459">
        <f t="shared" ref="Z6:Z31" si="8">G6-O6</f>
        <v>-2249.3615384615259</v>
      </c>
      <c r="AC6" s="460">
        <v>2020</v>
      </c>
      <c r="AD6" s="452">
        <f t="shared" ref="AD6:AD32" si="9">L6-D6</f>
        <v>-713.65769230769365</v>
      </c>
      <c r="AE6" s="461">
        <f t="shared" ref="AE6:AE32" si="10">P6-H6</f>
        <v>-114.04230769230753</v>
      </c>
      <c r="AF6" s="462">
        <f t="shared" ref="AF6:AF32" si="11">T6</f>
        <v>9.7315520426315555E-2</v>
      </c>
      <c r="AG6" s="462">
        <f t="shared" ref="AG6:AG32" si="12">X6</f>
        <v>0.19715263132814748</v>
      </c>
      <c r="AH6" s="462">
        <f t="shared" ref="AH6:AH32" si="13">V6*60</f>
        <v>0.16251691911194699</v>
      </c>
      <c r="AI6" s="463">
        <f t="shared" ref="AI6:AI32" si="14">AG6</f>
        <v>0.19715263132814748</v>
      </c>
    </row>
    <row r="7" spans="1:35" ht="15.75" thickBot="1">
      <c r="A7" s="450">
        <v>2021</v>
      </c>
      <c r="B7" s="451">
        <f>(((B$31-B$5)/26)*($A7-$A$5))+B$5</f>
        <v>447780</v>
      </c>
      <c r="C7" s="452">
        <f t="shared" si="0"/>
        <v>1827075.2230769231</v>
      </c>
      <c r="D7" s="452">
        <f t="shared" si="0"/>
        <v>33475.823076923079</v>
      </c>
      <c r="E7" s="452">
        <f t="shared" si="0"/>
        <v>6763.7307692307695</v>
      </c>
      <c r="F7" s="453">
        <f t="shared" si="0"/>
        <v>35312.615384615383</v>
      </c>
      <c r="G7" s="452">
        <f t="shared" si="0"/>
        <v>155076.06923076924</v>
      </c>
      <c r="H7" s="452">
        <f t="shared" si="0"/>
        <v>2648.7999999999997</v>
      </c>
      <c r="I7" s="454">
        <f t="shared" si="0"/>
        <v>430.68461538461531</v>
      </c>
      <c r="J7" s="453">
        <f>(((J$31-J$5)/26)*($A7-$A$5))+J$5</f>
        <v>447734.07692307694</v>
      </c>
      <c r="K7" s="452">
        <f t="shared" si="1"/>
        <v>1853445.3692307691</v>
      </c>
      <c r="L7" s="452">
        <f t="shared" si="1"/>
        <v>32271.90769230769</v>
      </c>
      <c r="M7" s="452">
        <f t="shared" si="1"/>
        <v>5809.1230769230779</v>
      </c>
      <c r="N7" s="453">
        <f t="shared" si="1"/>
        <v>35314.538461538461</v>
      </c>
      <c r="O7" s="452">
        <f t="shared" si="1"/>
        <v>157239.99230769233</v>
      </c>
      <c r="P7" s="452">
        <f t="shared" si="1"/>
        <v>2508.0153846153848</v>
      </c>
      <c r="Q7" s="452">
        <f t="shared" si="1"/>
        <v>342.49230769230769</v>
      </c>
      <c r="S7" s="464">
        <f t="shared" si="2"/>
        <v>2.6886314364540386E-3</v>
      </c>
      <c r="T7" s="212">
        <f t="shared" si="3"/>
        <v>0.16131788618724233</v>
      </c>
      <c r="U7" s="499">
        <f>Inputs!$B$12</f>
        <v>1.67</v>
      </c>
      <c r="V7" s="465">
        <f t="shared" si="4"/>
        <v>4.4900144988782439E-3</v>
      </c>
      <c r="W7" s="464">
        <f t="shared" si="5"/>
        <v>3.9868079396336758E-3</v>
      </c>
      <c r="X7" s="465">
        <f t="shared" si="6"/>
        <v>0.23920847637802053</v>
      </c>
      <c r="Y7" s="458">
        <f t="shared" si="7"/>
        <v>-26370.146153846057</v>
      </c>
      <c r="Z7" s="459">
        <f t="shared" si="8"/>
        <v>-2163.9230769230926</v>
      </c>
      <c r="AC7" s="460">
        <v>2021</v>
      </c>
      <c r="AD7" s="452">
        <f t="shared" si="9"/>
        <v>-1203.9153846153895</v>
      </c>
      <c r="AE7" s="461">
        <f t="shared" si="10"/>
        <v>-140.78461538461488</v>
      </c>
      <c r="AF7" s="462">
        <f t="shared" si="11"/>
        <v>0.16131788618724233</v>
      </c>
      <c r="AG7" s="462">
        <f t="shared" si="12"/>
        <v>0.23920847637802053</v>
      </c>
      <c r="AH7" s="462">
        <f t="shared" si="13"/>
        <v>0.26940086993269463</v>
      </c>
      <c r="AI7" s="463">
        <f t="shared" si="14"/>
        <v>0.23920847637802053</v>
      </c>
    </row>
    <row r="8" spans="1:35" ht="15.75" thickBot="1">
      <c r="A8" s="450">
        <v>2022</v>
      </c>
      <c r="B8" s="451">
        <f t="shared" ref="B8:Q26" si="15">(((B$31-B$5)/26)*($A8-$A$5))+B$5</f>
        <v>455553.5</v>
      </c>
      <c r="C8" s="452">
        <f t="shared" si="15"/>
        <v>1861887.5846153847</v>
      </c>
      <c r="D8" s="452">
        <f t="shared" si="0"/>
        <v>34702.734615384616</v>
      </c>
      <c r="E8" s="452">
        <f t="shared" si="0"/>
        <v>7487.3461538461543</v>
      </c>
      <c r="F8" s="453">
        <f t="shared" si="0"/>
        <v>35918.423076923078</v>
      </c>
      <c r="G8" s="452">
        <f t="shared" si="15"/>
        <v>158123.80384615384</v>
      </c>
      <c r="H8" s="452">
        <f t="shared" si="15"/>
        <v>2731.65</v>
      </c>
      <c r="I8" s="454">
        <f t="shared" si="15"/>
        <v>469.87692307692305</v>
      </c>
      <c r="J8" s="453">
        <f t="shared" si="15"/>
        <v>455508.61538461538</v>
      </c>
      <c r="K8" s="452">
        <f t="shared" si="15"/>
        <v>1887322.8038461539</v>
      </c>
      <c r="L8" s="452">
        <f t="shared" si="15"/>
        <v>33008.561538461538</v>
      </c>
      <c r="M8" s="452">
        <f t="shared" si="15"/>
        <v>6066.834615384616</v>
      </c>
      <c r="N8" s="453">
        <f t="shared" si="15"/>
        <v>35919.807692307695</v>
      </c>
      <c r="O8" s="452">
        <f t="shared" si="15"/>
        <v>160202.2884615385</v>
      </c>
      <c r="P8" s="452">
        <f t="shared" si="15"/>
        <v>2564.123076923077</v>
      </c>
      <c r="Q8" s="452">
        <f t="shared" si="15"/>
        <v>357.78846153846155</v>
      </c>
      <c r="S8" s="464">
        <f t="shared" si="2"/>
        <v>3.7189332908716057E-3</v>
      </c>
      <c r="T8" s="212">
        <f t="shared" si="3"/>
        <v>0.22313599745229634</v>
      </c>
      <c r="U8" s="499">
        <f>Inputs!$B$12</f>
        <v>1.67</v>
      </c>
      <c r="V8" s="465">
        <f t="shared" si="4"/>
        <v>6.2106185957555814E-3</v>
      </c>
      <c r="W8" s="464">
        <f t="shared" si="5"/>
        <v>4.6640945989790987E-3</v>
      </c>
      <c r="X8" s="465">
        <f t="shared" si="6"/>
        <v>0.27984567593874593</v>
      </c>
      <c r="Y8" s="458">
        <f t="shared" si="7"/>
        <v>-25435.219230769202</v>
      </c>
      <c r="Z8" s="459">
        <f t="shared" si="8"/>
        <v>-2078.4846153846593</v>
      </c>
      <c r="AC8" s="460">
        <v>2022</v>
      </c>
      <c r="AD8" s="452">
        <f t="shared" si="9"/>
        <v>-1694.173076923078</v>
      </c>
      <c r="AE8" s="461">
        <f t="shared" si="10"/>
        <v>-167.52692307692314</v>
      </c>
      <c r="AF8" s="462">
        <f t="shared" si="11"/>
        <v>0.22313599745229634</v>
      </c>
      <c r="AG8" s="462">
        <f t="shared" si="12"/>
        <v>0.27984567593874593</v>
      </c>
      <c r="AH8" s="462">
        <f t="shared" si="13"/>
        <v>0.37263711574533487</v>
      </c>
      <c r="AI8" s="463">
        <f t="shared" si="14"/>
        <v>0.27984567593874593</v>
      </c>
    </row>
    <row r="9" spans="1:35" ht="15.75" thickBot="1">
      <c r="A9" s="450">
        <v>2023</v>
      </c>
      <c r="B9" s="451">
        <f t="shared" si="15"/>
        <v>463327</v>
      </c>
      <c r="C9" s="452">
        <f t="shared" si="15"/>
        <v>1896699.9461538461</v>
      </c>
      <c r="D9" s="452">
        <f t="shared" si="0"/>
        <v>35929.646153846152</v>
      </c>
      <c r="E9" s="452">
        <f t="shared" si="0"/>
        <v>8210.961538461539</v>
      </c>
      <c r="F9" s="453">
        <f t="shared" si="0"/>
        <v>36524.230769230766</v>
      </c>
      <c r="G9" s="452">
        <f t="shared" si="15"/>
        <v>161171.53846153847</v>
      </c>
      <c r="H9" s="452">
        <f t="shared" si="15"/>
        <v>2814.5</v>
      </c>
      <c r="I9" s="454">
        <f t="shared" si="15"/>
        <v>509.06923076923073</v>
      </c>
      <c r="J9" s="453">
        <f t="shared" si="15"/>
        <v>463283.15384615387</v>
      </c>
      <c r="K9" s="452">
        <f t="shared" si="15"/>
        <v>1921200.2384615385</v>
      </c>
      <c r="L9" s="452">
        <f t="shared" si="15"/>
        <v>33745.215384615381</v>
      </c>
      <c r="M9" s="452">
        <f t="shared" si="15"/>
        <v>6324.546153846155</v>
      </c>
      <c r="N9" s="453">
        <f t="shared" si="15"/>
        <v>36525.076923076922</v>
      </c>
      <c r="O9" s="452">
        <f t="shared" si="15"/>
        <v>163164.58461538464</v>
      </c>
      <c r="P9" s="452">
        <f t="shared" si="15"/>
        <v>2620.2307692307695</v>
      </c>
      <c r="Q9" s="452">
        <f t="shared" si="15"/>
        <v>373.08461538461535</v>
      </c>
      <c r="S9" s="464">
        <f t="shared" si="2"/>
        <v>4.7146632275493769E-3</v>
      </c>
      <c r="T9" s="212">
        <f t="shared" si="3"/>
        <v>0.28287979365296262</v>
      </c>
      <c r="U9" s="499">
        <f>Inputs!$B$12</f>
        <v>1.67</v>
      </c>
      <c r="V9" s="465">
        <f t="shared" si="4"/>
        <v>7.8734875900074597E-3</v>
      </c>
      <c r="W9" s="464">
        <f t="shared" si="5"/>
        <v>5.3189136821709436E-3</v>
      </c>
      <c r="X9" s="465">
        <f t="shared" si="6"/>
        <v>0.31913482093025664</v>
      </c>
      <c r="Y9" s="458">
        <f t="shared" si="7"/>
        <v>-24500.292307692347</v>
      </c>
      <c r="Z9" s="459">
        <f t="shared" si="8"/>
        <v>-1993.0461538461677</v>
      </c>
      <c r="AC9" s="460">
        <v>2023</v>
      </c>
      <c r="AD9" s="452">
        <f t="shared" si="9"/>
        <v>-2184.4307692307702</v>
      </c>
      <c r="AE9" s="461">
        <f t="shared" si="10"/>
        <v>-194.26923076923049</v>
      </c>
      <c r="AF9" s="462">
        <f t="shared" si="11"/>
        <v>0.28287979365296262</v>
      </c>
      <c r="AG9" s="462">
        <f t="shared" si="12"/>
        <v>0.31913482093025664</v>
      </c>
      <c r="AH9" s="462">
        <f t="shared" si="13"/>
        <v>0.47240925540044759</v>
      </c>
      <c r="AI9" s="463">
        <f t="shared" si="14"/>
        <v>0.31913482093025664</v>
      </c>
    </row>
    <row r="10" spans="1:35" ht="15.75" thickBot="1">
      <c r="A10" s="450">
        <v>2024</v>
      </c>
      <c r="B10" s="451">
        <f t="shared" si="15"/>
        <v>471100.5</v>
      </c>
      <c r="C10" s="452">
        <f t="shared" si="15"/>
        <v>1931512.3076923077</v>
      </c>
      <c r="D10" s="452">
        <f t="shared" si="0"/>
        <v>37156.557692307688</v>
      </c>
      <c r="E10" s="452">
        <f t="shared" si="0"/>
        <v>8934.5769230769238</v>
      </c>
      <c r="F10" s="453">
        <f t="shared" si="0"/>
        <v>37130.038461538461</v>
      </c>
      <c r="G10" s="452">
        <f t="shared" si="15"/>
        <v>164219.2730769231</v>
      </c>
      <c r="H10" s="452">
        <f t="shared" si="15"/>
        <v>2897.35</v>
      </c>
      <c r="I10" s="454">
        <f t="shared" si="15"/>
        <v>548.26153846153841</v>
      </c>
      <c r="J10" s="453">
        <f t="shared" si="15"/>
        <v>471057.69230769231</v>
      </c>
      <c r="K10" s="452">
        <f t="shared" si="15"/>
        <v>1955077.673076923</v>
      </c>
      <c r="L10" s="452">
        <f t="shared" si="15"/>
        <v>34481.869230769233</v>
      </c>
      <c r="M10" s="452">
        <f t="shared" si="15"/>
        <v>6582.2576923076931</v>
      </c>
      <c r="N10" s="453">
        <f t="shared" si="15"/>
        <v>37130.346153846156</v>
      </c>
      <c r="O10" s="452">
        <f t="shared" si="15"/>
        <v>166126.88076923077</v>
      </c>
      <c r="P10" s="452">
        <f t="shared" si="15"/>
        <v>2676.3384615384616</v>
      </c>
      <c r="Q10" s="452">
        <f t="shared" si="15"/>
        <v>388.3807692307692</v>
      </c>
      <c r="S10" s="464">
        <f t="shared" si="2"/>
        <v>5.6775326316538723E-3</v>
      </c>
      <c r="T10" s="212">
        <f t="shared" si="3"/>
        <v>0.34065195789923236</v>
      </c>
      <c r="U10" s="499">
        <f>Inputs!$B$12</f>
        <v>1.67</v>
      </c>
      <c r="V10" s="465">
        <f t="shared" si="4"/>
        <v>9.4814794948619666E-3</v>
      </c>
      <c r="W10" s="464">
        <f t="shared" si="5"/>
        <v>5.9523649212072701E-3</v>
      </c>
      <c r="X10" s="465">
        <f t="shared" si="6"/>
        <v>0.35714189527243623</v>
      </c>
      <c r="Y10" s="458">
        <f t="shared" si="7"/>
        <v>-23565.365384615259</v>
      </c>
      <c r="Z10" s="459">
        <f t="shared" si="8"/>
        <v>-1907.6076923076762</v>
      </c>
      <c r="AC10" s="460">
        <v>2024</v>
      </c>
      <c r="AD10" s="452">
        <f t="shared" si="9"/>
        <v>-2674.6884615384552</v>
      </c>
      <c r="AE10" s="461">
        <f t="shared" si="10"/>
        <v>-221.01153846153829</v>
      </c>
      <c r="AF10" s="462">
        <f t="shared" si="11"/>
        <v>0.34065195789923236</v>
      </c>
      <c r="AG10" s="462">
        <f t="shared" si="12"/>
        <v>0.35714189527243623</v>
      </c>
      <c r="AH10" s="462">
        <f t="shared" si="13"/>
        <v>0.56888876969171798</v>
      </c>
      <c r="AI10" s="463">
        <f t="shared" si="14"/>
        <v>0.35714189527243623</v>
      </c>
    </row>
    <row r="11" spans="1:35" ht="15.75" thickBot="1">
      <c r="A11" s="450">
        <v>2025</v>
      </c>
      <c r="B11" s="451">
        <f t="shared" si="15"/>
        <v>478874</v>
      </c>
      <c r="C11" s="452">
        <f t="shared" si="15"/>
        <v>1966324.6692307692</v>
      </c>
      <c r="D11" s="452">
        <f t="shared" si="0"/>
        <v>38383.469230769231</v>
      </c>
      <c r="E11" s="452">
        <f t="shared" si="0"/>
        <v>9658.1923076923085</v>
      </c>
      <c r="F11" s="453">
        <f t="shared" si="0"/>
        <v>37735.846153846156</v>
      </c>
      <c r="G11" s="452">
        <f t="shared" si="15"/>
        <v>167267.0076923077</v>
      </c>
      <c r="H11" s="452">
        <f t="shared" si="15"/>
        <v>2980.2</v>
      </c>
      <c r="I11" s="454">
        <f t="shared" si="15"/>
        <v>587.45384615384614</v>
      </c>
      <c r="J11" s="453">
        <f t="shared" si="15"/>
        <v>478832.23076923075</v>
      </c>
      <c r="K11" s="452">
        <f t="shared" si="15"/>
        <v>1988955.1076923076</v>
      </c>
      <c r="L11" s="452">
        <f t="shared" si="15"/>
        <v>35218.523076923077</v>
      </c>
      <c r="M11" s="452">
        <f t="shared" si="15"/>
        <v>6839.9692307692312</v>
      </c>
      <c r="N11" s="453">
        <f t="shared" si="15"/>
        <v>37735.615384615383</v>
      </c>
      <c r="O11" s="452">
        <f t="shared" si="15"/>
        <v>169089.17692307694</v>
      </c>
      <c r="P11" s="452">
        <f t="shared" si="15"/>
        <v>2732.4461538461537</v>
      </c>
      <c r="Q11" s="452">
        <f t="shared" si="15"/>
        <v>403.67692307692306</v>
      </c>
      <c r="S11" s="455">
        <f t="shared" si="2"/>
        <v>6.6091417655712243E-3</v>
      </c>
      <c r="T11" s="456">
        <f t="shared" si="3"/>
        <v>0.39654850593427343</v>
      </c>
      <c r="U11" s="499">
        <f>Inputs!$B$12</f>
        <v>1.67</v>
      </c>
      <c r="V11" s="457">
        <f t="shared" si="4"/>
        <v>1.1037266748503943E-2</v>
      </c>
      <c r="W11" s="455">
        <f t="shared" si="5"/>
        <v>6.5654774281136462E-3</v>
      </c>
      <c r="X11" s="457">
        <f t="shared" si="6"/>
        <v>0.39392864568681879</v>
      </c>
      <c r="Y11" s="458">
        <f t="shared" si="7"/>
        <v>-22630.438461538404</v>
      </c>
      <c r="Z11" s="459">
        <f t="shared" si="8"/>
        <v>-1822.1692307692429</v>
      </c>
      <c r="AC11" s="460">
        <v>2025</v>
      </c>
      <c r="AD11" s="452">
        <f t="shared" si="9"/>
        <v>-3164.9461538461546</v>
      </c>
      <c r="AE11" s="461">
        <f t="shared" si="10"/>
        <v>-247.7538461538461</v>
      </c>
      <c r="AF11" s="462">
        <f t="shared" si="11"/>
        <v>0.39654850593427343</v>
      </c>
      <c r="AG11" s="462">
        <f t="shared" si="12"/>
        <v>0.39392864568681879</v>
      </c>
      <c r="AH11" s="462">
        <f t="shared" si="13"/>
        <v>0.6622360049102366</v>
      </c>
      <c r="AI11" s="463">
        <f t="shared" si="14"/>
        <v>0.39392864568681879</v>
      </c>
    </row>
    <row r="12" spans="1:35" ht="15.75" thickBot="1">
      <c r="A12" s="450">
        <v>2026</v>
      </c>
      <c r="B12" s="451">
        <f t="shared" si="15"/>
        <v>486647.5</v>
      </c>
      <c r="C12" s="452">
        <f t="shared" si="15"/>
        <v>2001137.0307692308</v>
      </c>
      <c r="D12" s="452">
        <f t="shared" si="0"/>
        <v>39610.380769230767</v>
      </c>
      <c r="E12" s="452">
        <f t="shared" si="0"/>
        <v>10381.807692307691</v>
      </c>
      <c r="F12" s="453">
        <f t="shared" si="0"/>
        <v>38341.653846153844</v>
      </c>
      <c r="G12" s="452">
        <f t="shared" si="15"/>
        <v>170314.7423076923</v>
      </c>
      <c r="H12" s="452">
        <f t="shared" si="15"/>
        <v>3063.0499999999997</v>
      </c>
      <c r="I12" s="454">
        <f t="shared" si="15"/>
        <v>626.64615384615377</v>
      </c>
      <c r="J12" s="453">
        <f t="shared" si="15"/>
        <v>486606.76923076925</v>
      </c>
      <c r="K12" s="452">
        <f t="shared" si="15"/>
        <v>2022832.5423076921</v>
      </c>
      <c r="L12" s="452">
        <f t="shared" si="15"/>
        <v>35955.176923076921</v>
      </c>
      <c r="M12" s="452">
        <f t="shared" si="15"/>
        <v>7097.6807692307702</v>
      </c>
      <c r="N12" s="453">
        <f t="shared" si="15"/>
        <v>38340.884615384617</v>
      </c>
      <c r="O12" s="452">
        <f t="shared" si="15"/>
        <v>172051.47307692311</v>
      </c>
      <c r="P12" s="452">
        <f t="shared" si="15"/>
        <v>2788.5538461538463</v>
      </c>
      <c r="Q12" s="452">
        <f t="shared" si="15"/>
        <v>418.97307692307692</v>
      </c>
      <c r="S12" s="464">
        <f t="shared" si="2"/>
        <v>7.5109886440469682E-3</v>
      </c>
      <c r="T12" s="212">
        <f t="shared" si="3"/>
        <v>0.45065931864281811</v>
      </c>
      <c r="U12" s="499">
        <f>Inputs!$B$12</f>
        <v>1.67</v>
      </c>
      <c r="V12" s="465">
        <f t="shared" si="4"/>
        <v>1.2543351035558436E-2</v>
      </c>
      <c r="W12" s="464">
        <f t="shared" si="5"/>
        <v>7.1592152740090767E-3</v>
      </c>
      <c r="X12" s="465">
        <f t="shared" si="6"/>
        <v>0.42955291644054461</v>
      </c>
      <c r="Y12" s="458">
        <f t="shared" si="7"/>
        <v>-21695.511538461316</v>
      </c>
      <c r="Z12" s="459">
        <f t="shared" si="8"/>
        <v>-1736.7307692308095</v>
      </c>
      <c r="AC12" s="460">
        <v>2026</v>
      </c>
      <c r="AD12" s="452">
        <f t="shared" si="9"/>
        <v>-3655.2038461538468</v>
      </c>
      <c r="AE12" s="461">
        <f t="shared" si="10"/>
        <v>-274.49615384615345</v>
      </c>
      <c r="AF12" s="462">
        <f t="shared" si="11"/>
        <v>0.45065931864281811</v>
      </c>
      <c r="AG12" s="462">
        <f t="shared" si="12"/>
        <v>0.42955291644054461</v>
      </c>
      <c r="AH12" s="462">
        <f t="shared" si="13"/>
        <v>0.75260106213350619</v>
      </c>
      <c r="AI12" s="463">
        <f t="shared" si="14"/>
        <v>0.42955291644054461</v>
      </c>
    </row>
    <row r="13" spans="1:35" ht="15.75" thickBot="1">
      <c r="A13" s="450">
        <v>2027</v>
      </c>
      <c r="B13" s="451">
        <f t="shared" si="15"/>
        <v>494421</v>
      </c>
      <c r="C13" s="452">
        <f t="shared" si="15"/>
        <v>2035949.3923076922</v>
      </c>
      <c r="D13" s="452">
        <f t="shared" si="0"/>
        <v>40837.292307692303</v>
      </c>
      <c r="E13" s="452">
        <f t="shared" si="0"/>
        <v>11105.423076923078</v>
      </c>
      <c r="F13" s="453">
        <f t="shared" si="0"/>
        <v>38947.461538461539</v>
      </c>
      <c r="G13" s="452">
        <f t="shared" si="15"/>
        <v>173362.47692307693</v>
      </c>
      <c r="H13" s="452">
        <f t="shared" si="15"/>
        <v>3145.8999999999996</v>
      </c>
      <c r="I13" s="454">
        <f t="shared" si="15"/>
        <v>665.8384615384615</v>
      </c>
      <c r="J13" s="453">
        <f t="shared" si="15"/>
        <v>494381.30769230769</v>
      </c>
      <c r="K13" s="452">
        <f t="shared" si="15"/>
        <v>2056709.9769230769</v>
      </c>
      <c r="L13" s="452">
        <f t="shared" si="15"/>
        <v>36691.830769230772</v>
      </c>
      <c r="M13" s="452">
        <f t="shared" si="15"/>
        <v>7355.3923076923083</v>
      </c>
      <c r="N13" s="453">
        <f t="shared" si="15"/>
        <v>38946.153846153844</v>
      </c>
      <c r="O13" s="452">
        <f t="shared" si="15"/>
        <v>175013.76923076925</v>
      </c>
      <c r="P13" s="452">
        <f t="shared" si="15"/>
        <v>2844.6615384615384</v>
      </c>
      <c r="Q13" s="452">
        <f t="shared" si="15"/>
        <v>434.26923076923077</v>
      </c>
      <c r="S13" s="464">
        <f>((D13-L13)/B13)</f>
        <v>8.3844770720934818E-3</v>
      </c>
      <c r="T13" s="212">
        <f t="shared" si="3"/>
        <v>0.50306862432560895</v>
      </c>
      <c r="U13" s="499">
        <f>Inputs!$B$12</f>
        <v>1.67</v>
      </c>
      <c r="V13" s="465">
        <f t="shared" si="4"/>
        <v>1.4002076710396114E-2</v>
      </c>
      <c r="W13" s="464">
        <f t="shared" si="5"/>
        <v>7.7344825474949417E-3</v>
      </c>
      <c r="X13" s="465">
        <f t="shared" si="6"/>
        <v>0.46406895284969651</v>
      </c>
      <c r="Y13" s="458">
        <f t="shared" si="7"/>
        <v>-20760.584615384694</v>
      </c>
      <c r="Z13" s="459">
        <f t="shared" si="8"/>
        <v>-1651.292307692318</v>
      </c>
      <c r="AC13" s="460">
        <v>2027</v>
      </c>
      <c r="AD13" s="452">
        <f t="shared" si="9"/>
        <v>-4145.4615384615317</v>
      </c>
      <c r="AE13" s="461">
        <f t="shared" si="10"/>
        <v>-301.23846153846125</v>
      </c>
      <c r="AF13" s="462">
        <f t="shared" si="11"/>
        <v>0.50306862432560895</v>
      </c>
      <c r="AG13" s="462">
        <f t="shared" si="12"/>
        <v>0.46406895284969651</v>
      </c>
      <c r="AH13" s="462">
        <f t="shared" si="13"/>
        <v>0.84012460262376687</v>
      </c>
      <c r="AI13" s="463">
        <f t="shared" si="14"/>
        <v>0.46406895284969651</v>
      </c>
    </row>
    <row r="14" spans="1:35" ht="15.75" thickBot="1">
      <c r="A14" s="450">
        <v>2028</v>
      </c>
      <c r="B14" s="451">
        <f t="shared" si="15"/>
        <v>502194.5</v>
      </c>
      <c r="C14" s="452">
        <f t="shared" si="15"/>
        <v>2070761.7538461538</v>
      </c>
      <c r="D14" s="452">
        <f t="shared" si="0"/>
        <v>42064.203846153847</v>
      </c>
      <c r="E14" s="452">
        <f t="shared" si="0"/>
        <v>11829.038461538461</v>
      </c>
      <c r="F14" s="453">
        <f t="shared" si="0"/>
        <v>39553.269230769234</v>
      </c>
      <c r="G14" s="452">
        <f t="shared" si="15"/>
        <v>176410.21153846156</v>
      </c>
      <c r="H14" s="452">
        <f t="shared" si="15"/>
        <v>3228.75</v>
      </c>
      <c r="I14" s="454">
        <f t="shared" si="15"/>
        <v>705.03076923076924</v>
      </c>
      <c r="J14" s="453">
        <f t="shared" si="15"/>
        <v>502155.84615384613</v>
      </c>
      <c r="K14" s="452">
        <f t="shared" si="15"/>
        <v>2090587.4115384615</v>
      </c>
      <c r="L14" s="452">
        <f t="shared" si="15"/>
        <v>37428.484615384616</v>
      </c>
      <c r="M14" s="452">
        <f t="shared" si="15"/>
        <v>7613.1038461538465</v>
      </c>
      <c r="N14" s="453">
        <f t="shared" si="15"/>
        <v>39551.423076923078</v>
      </c>
      <c r="O14" s="452">
        <f t="shared" si="15"/>
        <v>177976.06538461539</v>
      </c>
      <c r="P14" s="452">
        <f t="shared" si="15"/>
        <v>2900.7692307692309</v>
      </c>
      <c r="Q14" s="452">
        <f t="shared" si="15"/>
        <v>449.56538461538457</v>
      </c>
      <c r="S14" s="464">
        <f t="shared" si="2"/>
        <v>9.2309239363816825E-3</v>
      </c>
      <c r="T14" s="212">
        <f t="shared" si="3"/>
        <v>0.5538554361829009</v>
      </c>
      <c r="U14" s="499">
        <f>Inputs!$B$12</f>
        <v>1.67</v>
      </c>
      <c r="V14" s="465">
        <f t="shared" si="4"/>
        <v>1.541564297375741E-2</v>
      </c>
      <c r="W14" s="464">
        <f t="shared" si="5"/>
        <v>8.292127948190604E-3</v>
      </c>
      <c r="X14" s="465">
        <f t="shared" si="6"/>
        <v>0.49752767689143623</v>
      </c>
      <c r="Y14" s="458">
        <f t="shared" si="7"/>
        <v>-19825.657692307606</v>
      </c>
      <c r="Z14" s="459">
        <f t="shared" si="8"/>
        <v>-1565.8538461538265</v>
      </c>
      <c r="AC14" s="460">
        <v>2028</v>
      </c>
      <c r="AD14" s="452">
        <f t="shared" si="9"/>
        <v>-4635.7192307692312</v>
      </c>
      <c r="AE14" s="461">
        <f t="shared" si="10"/>
        <v>-327.98076923076906</v>
      </c>
      <c r="AF14" s="462">
        <f t="shared" si="11"/>
        <v>0.5538554361829009</v>
      </c>
      <c r="AG14" s="462">
        <f t="shared" si="12"/>
        <v>0.49752767689143623</v>
      </c>
      <c r="AH14" s="462">
        <f t="shared" si="13"/>
        <v>0.92493857842544458</v>
      </c>
      <c r="AI14" s="463">
        <f t="shared" si="14"/>
        <v>0.49752767689143623</v>
      </c>
    </row>
    <row r="15" spans="1:35" ht="15.75" thickBot="1">
      <c r="A15" s="450">
        <v>2029</v>
      </c>
      <c r="B15" s="451">
        <f t="shared" si="15"/>
        <v>509968</v>
      </c>
      <c r="C15" s="452">
        <f t="shared" si="15"/>
        <v>2105574.1153846155</v>
      </c>
      <c r="D15" s="452">
        <f t="shared" si="0"/>
        <v>43291.115384615383</v>
      </c>
      <c r="E15" s="452">
        <f t="shared" si="0"/>
        <v>12552.653846153848</v>
      </c>
      <c r="F15" s="453">
        <f t="shared" si="0"/>
        <v>40159.076923076922</v>
      </c>
      <c r="G15" s="452">
        <f t="shared" si="15"/>
        <v>179457.94615384616</v>
      </c>
      <c r="H15" s="452">
        <f t="shared" si="15"/>
        <v>3311.6</v>
      </c>
      <c r="I15" s="454">
        <f t="shared" si="15"/>
        <v>744.22307692307686</v>
      </c>
      <c r="J15" s="453">
        <f t="shared" si="15"/>
        <v>509930.38461538462</v>
      </c>
      <c r="K15" s="452">
        <f t="shared" si="15"/>
        <v>2124464.846153846</v>
      </c>
      <c r="L15" s="452">
        <f t="shared" si="15"/>
        <v>38165.13846153846</v>
      </c>
      <c r="M15" s="452">
        <f t="shared" si="15"/>
        <v>7870.8153846153855</v>
      </c>
      <c r="N15" s="453">
        <f t="shared" si="15"/>
        <v>40156.692307692305</v>
      </c>
      <c r="O15" s="452">
        <f t="shared" si="15"/>
        <v>180938.36153846156</v>
      </c>
      <c r="P15" s="452">
        <f t="shared" si="15"/>
        <v>2956.876923076923</v>
      </c>
      <c r="Q15" s="452">
        <f t="shared" si="15"/>
        <v>464.86153846153843</v>
      </c>
      <c r="S15" s="464">
        <f t="shared" si="2"/>
        <v>1.0051565829771522E-2</v>
      </c>
      <c r="T15" s="212">
        <f t="shared" si="3"/>
        <v>0.60309394978629138</v>
      </c>
      <c r="U15" s="499">
        <f>Inputs!$B$12</f>
        <v>1.67</v>
      </c>
      <c r="V15" s="465">
        <f t="shared" si="4"/>
        <v>1.6786114935718442E-2</v>
      </c>
      <c r="W15" s="464">
        <f t="shared" si="5"/>
        <v>8.8329489645027071E-3</v>
      </c>
      <c r="X15" s="465">
        <f t="shared" si="6"/>
        <v>0.52997693787016242</v>
      </c>
      <c r="Y15" s="458">
        <f t="shared" si="7"/>
        <v>-18890.730769230518</v>
      </c>
      <c r="Z15" s="459">
        <f t="shared" si="8"/>
        <v>-1480.4153846153931</v>
      </c>
      <c r="AC15" s="460">
        <v>2029</v>
      </c>
      <c r="AD15" s="452">
        <f t="shared" si="9"/>
        <v>-5125.9769230769234</v>
      </c>
      <c r="AE15" s="461">
        <f t="shared" si="10"/>
        <v>-354.72307692307686</v>
      </c>
      <c r="AF15" s="462">
        <f t="shared" si="11"/>
        <v>0.60309394978629138</v>
      </c>
      <c r="AG15" s="462">
        <f t="shared" si="12"/>
        <v>0.52997693787016242</v>
      </c>
      <c r="AH15" s="462">
        <f t="shared" si="13"/>
        <v>1.0071668961431064</v>
      </c>
      <c r="AI15" s="463">
        <f t="shared" si="14"/>
        <v>0.52997693787016242</v>
      </c>
    </row>
    <row r="16" spans="1:35" ht="15.75" thickBot="1">
      <c r="A16" s="450">
        <v>2030</v>
      </c>
      <c r="B16" s="451">
        <f t="shared" si="15"/>
        <v>517741.5</v>
      </c>
      <c r="C16" s="452">
        <f t="shared" si="15"/>
        <v>2140386.4769230769</v>
      </c>
      <c r="D16" s="452">
        <f t="shared" si="0"/>
        <v>44518.026923076919</v>
      </c>
      <c r="E16" s="452">
        <f t="shared" si="0"/>
        <v>13276.26923076923</v>
      </c>
      <c r="F16" s="453">
        <f t="shared" si="0"/>
        <v>40764.884615384617</v>
      </c>
      <c r="G16" s="452">
        <f t="shared" si="15"/>
        <v>182505.68076923076</v>
      </c>
      <c r="H16" s="452">
        <f t="shared" si="15"/>
        <v>3394.45</v>
      </c>
      <c r="I16" s="454">
        <f t="shared" si="15"/>
        <v>783.4153846153846</v>
      </c>
      <c r="J16" s="453">
        <f t="shared" si="15"/>
        <v>517704.92307692306</v>
      </c>
      <c r="K16" s="452">
        <f t="shared" si="15"/>
        <v>2158342.2807692308</v>
      </c>
      <c r="L16" s="452">
        <f t="shared" si="15"/>
        <v>38901.792307692303</v>
      </c>
      <c r="M16" s="452">
        <f t="shared" si="15"/>
        <v>8128.5269230769236</v>
      </c>
      <c r="N16" s="453">
        <f t="shared" si="15"/>
        <v>40761.961538461539</v>
      </c>
      <c r="O16" s="452">
        <f t="shared" si="15"/>
        <v>183900.65769230772</v>
      </c>
      <c r="P16" s="452">
        <f t="shared" si="15"/>
        <v>3012.9846153846156</v>
      </c>
      <c r="Q16" s="452">
        <f t="shared" si="15"/>
        <v>480.15769230769229</v>
      </c>
      <c r="S16" s="455">
        <f t="shared" si="2"/>
        <v>1.0847565079068639E-2</v>
      </c>
      <c r="T16" s="456">
        <f t="shared" si="3"/>
        <v>0.65085390474411831</v>
      </c>
      <c r="U16" s="499">
        <f>Inputs!$B$12</f>
        <v>1.67</v>
      </c>
      <c r="V16" s="457">
        <f t="shared" si="4"/>
        <v>1.8115433682044626E-2</v>
      </c>
      <c r="W16" s="455">
        <f t="shared" si="5"/>
        <v>9.3576956788789644E-3</v>
      </c>
      <c r="X16" s="457">
        <f t="shared" si="6"/>
        <v>0.56146174073273791</v>
      </c>
      <c r="Y16" s="458">
        <f t="shared" si="7"/>
        <v>-17955.803846153896</v>
      </c>
      <c r="Z16" s="459">
        <f t="shared" si="8"/>
        <v>-1394.9769230769598</v>
      </c>
      <c r="AC16" s="460">
        <v>2030</v>
      </c>
      <c r="AD16" s="452">
        <f t="shared" si="9"/>
        <v>-5616.2346153846156</v>
      </c>
      <c r="AE16" s="461">
        <f t="shared" si="10"/>
        <v>-381.46538461538421</v>
      </c>
      <c r="AF16" s="462">
        <f t="shared" si="11"/>
        <v>0.65085390474411831</v>
      </c>
      <c r="AG16" s="462">
        <f t="shared" si="12"/>
        <v>0.56146174073273791</v>
      </c>
      <c r="AH16" s="462">
        <f t="shared" si="13"/>
        <v>1.0869260209226776</v>
      </c>
      <c r="AI16" s="463">
        <f t="shared" si="14"/>
        <v>0.56146174073273791</v>
      </c>
    </row>
    <row r="17" spans="1:35" ht="15.75" thickBot="1">
      <c r="A17" s="450">
        <v>2031</v>
      </c>
      <c r="B17" s="451">
        <f t="shared" si="15"/>
        <v>525515</v>
      </c>
      <c r="C17" s="452">
        <f t="shared" si="15"/>
        <v>2175198.8384615383</v>
      </c>
      <c r="D17" s="452">
        <f t="shared" si="0"/>
        <v>45744.938461538462</v>
      </c>
      <c r="E17" s="452">
        <f t="shared" si="0"/>
        <v>13999.884615384615</v>
      </c>
      <c r="F17" s="453">
        <f t="shared" si="0"/>
        <v>41370.692307692305</v>
      </c>
      <c r="G17" s="452">
        <f t="shared" si="15"/>
        <v>185553.41538461539</v>
      </c>
      <c r="H17" s="452">
        <f t="shared" si="15"/>
        <v>3477.2999999999997</v>
      </c>
      <c r="I17" s="454">
        <f t="shared" si="15"/>
        <v>822.60769230769233</v>
      </c>
      <c r="J17" s="453">
        <f t="shared" si="15"/>
        <v>525479.4615384615</v>
      </c>
      <c r="K17" s="452">
        <f t="shared" si="15"/>
        <v>2192219.7153846151</v>
      </c>
      <c r="L17" s="452">
        <f t="shared" si="15"/>
        <v>39638.446153846155</v>
      </c>
      <c r="M17" s="452">
        <f t="shared" si="15"/>
        <v>8386.2384615384617</v>
      </c>
      <c r="N17" s="453">
        <f t="shared" si="15"/>
        <v>41367.230769230766</v>
      </c>
      <c r="O17" s="452">
        <f t="shared" si="15"/>
        <v>186862.95384615386</v>
      </c>
      <c r="P17" s="452">
        <f t="shared" si="15"/>
        <v>3069.0923076923077</v>
      </c>
      <c r="Q17" s="452">
        <f t="shared" si="15"/>
        <v>495.45384615384614</v>
      </c>
      <c r="S17" s="464">
        <f t="shared" si="2"/>
        <v>1.1620015237799697E-2</v>
      </c>
      <c r="T17" s="212">
        <f t="shared" si="3"/>
        <v>0.69720091426798181</v>
      </c>
      <c r="U17" s="499">
        <f>Inputs!$B$12</f>
        <v>1.67</v>
      </c>
      <c r="V17" s="465">
        <f t="shared" si="4"/>
        <v>1.9405425447125493E-2</v>
      </c>
      <c r="W17" s="464">
        <f t="shared" si="5"/>
        <v>9.8670742387308684E-3</v>
      </c>
      <c r="X17" s="465">
        <f t="shared" si="6"/>
        <v>0.59202445432385209</v>
      </c>
      <c r="Y17" s="458">
        <f t="shared" si="7"/>
        <v>-17020.876923076808</v>
      </c>
      <c r="Z17" s="459">
        <f t="shared" si="8"/>
        <v>-1309.5384615384683</v>
      </c>
      <c r="AC17" s="460">
        <v>2031</v>
      </c>
      <c r="AD17" s="452">
        <f t="shared" si="9"/>
        <v>-6106.4923076923078</v>
      </c>
      <c r="AE17" s="461">
        <f t="shared" si="10"/>
        <v>-408.20769230769201</v>
      </c>
      <c r="AF17" s="462">
        <f t="shared" si="11"/>
        <v>0.69720091426798181</v>
      </c>
      <c r="AG17" s="462">
        <f t="shared" si="12"/>
        <v>0.59202445432385209</v>
      </c>
      <c r="AH17" s="462">
        <f t="shared" si="13"/>
        <v>1.1643255268275297</v>
      </c>
      <c r="AI17" s="463">
        <f t="shared" si="14"/>
        <v>0.59202445432385209</v>
      </c>
    </row>
    <row r="18" spans="1:35" ht="15.75" thickBot="1">
      <c r="A18" s="450">
        <v>2032</v>
      </c>
      <c r="B18" s="451">
        <f t="shared" si="15"/>
        <v>533288.5</v>
      </c>
      <c r="C18" s="452">
        <f t="shared" si="15"/>
        <v>2210011.2000000002</v>
      </c>
      <c r="D18" s="452">
        <f t="shared" si="0"/>
        <v>46971.85</v>
      </c>
      <c r="E18" s="452">
        <f t="shared" si="0"/>
        <v>14723.5</v>
      </c>
      <c r="F18" s="453">
        <f t="shared" si="0"/>
        <v>41976.5</v>
      </c>
      <c r="G18" s="452">
        <f t="shared" si="15"/>
        <v>188601.15000000002</v>
      </c>
      <c r="H18" s="452">
        <f t="shared" si="15"/>
        <v>3560.1499999999996</v>
      </c>
      <c r="I18" s="454">
        <f t="shared" si="15"/>
        <v>861.8</v>
      </c>
      <c r="J18" s="453">
        <f t="shared" si="15"/>
        <v>533254</v>
      </c>
      <c r="K18" s="452">
        <f t="shared" si="15"/>
        <v>2226097.15</v>
      </c>
      <c r="L18" s="452">
        <f t="shared" si="15"/>
        <v>40375.1</v>
      </c>
      <c r="M18" s="452">
        <f t="shared" si="15"/>
        <v>8643.9500000000007</v>
      </c>
      <c r="N18" s="453">
        <f t="shared" si="15"/>
        <v>41972.5</v>
      </c>
      <c r="O18" s="452">
        <f t="shared" si="15"/>
        <v>189825.25</v>
      </c>
      <c r="P18" s="452">
        <f t="shared" si="15"/>
        <v>3125.2</v>
      </c>
      <c r="Q18" s="452">
        <f t="shared" si="15"/>
        <v>510.75</v>
      </c>
      <c r="S18" s="464">
        <f>((D18-L18)/B18)</f>
        <v>1.2369946098593912E-2</v>
      </c>
      <c r="T18" s="212">
        <f t="shared" si="3"/>
        <v>0.74219676591563477</v>
      </c>
      <c r="U18" s="499">
        <f>Inputs!$B$12</f>
        <v>1.67</v>
      </c>
      <c r="V18" s="465">
        <f t="shared" si="4"/>
        <v>2.0657809984651831E-2</v>
      </c>
      <c r="W18" s="464">
        <f t="shared" si="5"/>
        <v>1.0361750026800705E-2</v>
      </c>
      <c r="X18" s="465">
        <f t="shared" si="6"/>
        <v>0.62170500160804232</v>
      </c>
      <c r="Y18" s="458">
        <f t="shared" si="7"/>
        <v>-16085.949999999721</v>
      </c>
      <c r="Z18" s="459">
        <f t="shared" si="8"/>
        <v>-1224.0999999999767</v>
      </c>
      <c r="AC18" s="460">
        <v>2032</v>
      </c>
      <c r="AD18" s="452">
        <f t="shared" si="9"/>
        <v>-6596.75</v>
      </c>
      <c r="AE18" s="461">
        <f t="shared" si="10"/>
        <v>-434.94999999999982</v>
      </c>
      <c r="AF18" s="462">
        <f t="shared" si="11"/>
        <v>0.74219676591563477</v>
      </c>
      <c r="AG18" s="462">
        <f t="shared" si="12"/>
        <v>0.62170500160804232</v>
      </c>
      <c r="AH18" s="462">
        <f t="shared" si="13"/>
        <v>1.2394685990791099</v>
      </c>
      <c r="AI18" s="463">
        <f t="shared" si="14"/>
        <v>0.62170500160804232</v>
      </c>
    </row>
    <row r="19" spans="1:35" ht="15.75" thickBot="1">
      <c r="A19" s="450">
        <v>2033</v>
      </c>
      <c r="B19" s="451">
        <f t="shared" si="15"/>
        <v>541062</v>
      </c>
      <c r="C19" s="452">
        <f t="shared" si="15"/>
        <v>2244823.5615384616</v>
      </c>
      <c r="D19" s="452">
        <f t="shared" si="0"/>
        <v>48198.761538461535</v>
      </c>
      <c r="E19" s="452">
        <f t="shared" si="0"/>
        <v>15447.115384615385</v>
      </c>
      <c r="F19" s="453">
        <f t="shared" si="0"/>
        <v>42582.307692307688</v>
      </c>
      <c r="G19" s="452">
        <f t="shared" si="15"/>
        <v>191648.88461538462</v>
      </c>
      <c r="H19" s="452">
        <f t="shared" si="15"/>
        <v>3643</v>
      </c>
      <c r="I19" s="454">
        <f t="shared" si="15"/>
        <v>900.99230769230769</v>
      </c>
      <c r="J19" s="453">
        <f t="shared" si="15"/>
        <v>541028.5384615385</v>
      </c>
      <c r="K19" s="452">
        <f t="shared" si="15"/>
        <v>2259974.5846153842</v>
      </c>
      <c r="L19" s="452">
        <f t="shared" si="15"/>
        <v>41111.75384615385</v>
      </c>
      <c r="M19" s="452">
        <f t="shared" si="15"/>
        <v>8901.6615384615397</v>
      </c>
      <c r="N19" s="453">
        <f t="shared" si="15"/>
        <v>42577.769230769234</v>
      </c>
      <c r="O19" s="452">
        <f t="shared" si="15"/>
        <v>192787.54615384617</v>
      </c>
      <c r="P19" s="452">
        <f t="shared" si="15"/>
        <v>3181.3076923076924</v>
      </c>
      <c r="Q19" s="452">
        <f t="shared" si="15"/>
        <v>526.04615384615386</v>
      </c>
      <c r="S19" s="464">
        <f t="shared" ref="S19:S20" si="16">((D19-L19)/B19)</f>
        <v>1.3098328273483787E-2</v>
      </c>
      <c r="T19" s="212">
        <f t="shared" si="3"/>
        <v>0.78589969640902724</v>
      </c>
      <c r="U19" s="499">
        <f>Inputs!$B$12</f>
        <v>1.67</v>
      </c>
      <c r="V19" s="465">
        <f t="shared" si="4"/>
        <v>2.1874208216717924E-2</v>
      </c>
      <c r="W19" s="464">
        <f t="shared" si="5"/>
        <v>1.0842350560904672E-2</v>
      </c>
      <c r="X19" s="465">
        <f t="shared" si="6"/>
        <v>0.65054103365428029</v>
      </c>
      <c r="Y19" s="458">
        <f t="shared" si="7"/>
        <v>-15151.023076922633</v>
      </c>
      <c r="Z19" s="459">
        <f t="shared" si="8"/>
        <v>-1138.6615384615434</v>
      </c>
      <c r="AC19" s="460">
        <v>2033</v>
      </c>
      <c r="AD19" s="452">
        <f t="shared" si="9"/>
        <v>-7087.0076923076849</v>
      </c>
      <c r="AE19" s="461">
        <f t="shared" si="10"/>
        <v>-461.69230769230762</v>
      </c>
      <c r="AF19" s="462">
        <f t="shared" si="11"/>
        <v>0.78589969640902724</v>
      </c>
      <c r="AG19" s="462">
        <f t="shared" si="12"/>
        <v>0.65054103365428029</v>
      </c>
      <c r="AH19" s="462">
        <f t="shared" si="13"/>
        <v>1.3124524930030754</v>
      </c>
      <c r="AI19" s="463">
        <f t="shared" si="14"/>
        <v>0.65054103365428029</v>
      </c>
    </row>
    <row r="20" spans="1:35" ht="15.75" thickBot="1">
      <c r="A20" s="450">
        <v>2034</v>
      </c>
      <c r="B20" s="451">
        <f t="shared" si="15"/>
        <v>548835.5</v>
      </c>
      <c r="C20" s="452">
        <f t="shared" si="15"/>
        <v>2279635.923076923</v>
      </c>
      <c r="D20" s="452">
        <f t="shared" si="0"/>
        <v>49425.673076923078</v>
      </c>
      <c r="E20" s="452">
        <f t="shared" si="0"/>
        <v>16170.73076923077</v>
      </c>
      <c r="F20" s="453">
        <f t="shared" si="0"/>
        <v>43188.115384615383</v>
      </c>
      <c r="G20" s="452">
        <f t="shared" si="15"/>
        <v>194696.61923076923</v>
      </c>
      <c r="H20" s="452">
        <f t="shared" si="15"/>
        <v>3725.85</v>
      </c>
      <c r="I20" s="454">
        <f t="shared" si="15"/>
        <v>940.18461538461531</v>
      </c>
      <c r="J20" s="453">
        <f t="shared" si="15"/>
        <v>548803.07692307688</v>
      </c>
      <c r="K20" s="452">
        <f t="shared" si="15"/>
        <v>2293852.019230769</v>
      </c>
      <c r="L20" s="452">
        <f t="shared" si="15"/>
        <v>41848.407692307694</v>
      </c>
      <c r="M20" s="452">
        <f t="shared" si="15"/>
        <v>9159.373076923077</v>
      </c>
      <c r="N20" s="453">
        <f t="shared" si="15"/>
        <v>43183.038461538461</v>
      </c>
      <c r="O20" s="452">
        <f t="shared" si="15"/>
        <v>195749.84230769234</v>
      </c>
      <c r="P20" s="452">
        <f t="shared" si="15"/>
        <v>3237.4153846153845</v>
      </c>
      <c r="Q20" s="452">
        <f t="shared" si="15"/>
        <v>541.34230769230771</v>
      </c>
      <c r="S20" s="464">
        <f t="shared" si="16"/>
        <v>1.3806077384963955E-2</v>
      </c>
      <c r="T20" s="212">
        <f t="shared" si="3"/>
        <v>0.82836464309783731</v>
      </c>
      <c r="U20" s="499">
        <f>Inputs!$B$12</f>
        <v>1.67</v>
      </c>
      <c r="V20" s="465">
        <f t="shared" si="4"/>
        <v>2.3056149232889803E-2</v>
      </c>
      <c r="W20" s="464">
        <f t="shared" si="5"/>
        <v>1.1309468149624498E-2</v>
      </c>
      <c r="X20" s="465">
        <f t="shared" si="6"/>
        <v>0.6785680889774699</v>
      </c>
      <c r="Y20" s="458">
        <f t="shared" si="7"/>
        <v>-14216.096153846011</v>
      </c>
      <c r="Z20" s="459">
        <f t="shared" si="8"/>
        <v>-1053.2230769231101</v>
      </c>
      <c r="AC20" s="460">
        <v>2034</v>
      </c>
      <c r="AD20" s="452">
        <f t="shared" si="9"/>
        <v>-7577.2653846153844</v>
      </c>
      <c r="AE20" s="461">
        <f t="shared" si="10"/>
        <v>-488.43461538461543</v>
      </c>
      <c r="AF20" s="462">
        <f t="shared" si="11"/>
        <v>0.82836464309783731</v>
      </c>
      <c r="AG20" s="462">
        <f t="shared" si="12"/>
        <v>0.6785680889774699</v>
      </c>
      <c r="AH20" s="462">
        <f t="shared" si="13"/>
        <v>1.3833689539733882</v>
      </c>
      <c r="AI20" s="463">
        <f t="shared" si="14"/>
        <v>0.6785680889774699</v>
      </c>
    </row>
    <row r="21" spans="1:35" ht="15.75" thickBot="1">
      <c r="A21" s="450">
        <v>2035</v>
      </c>
      <c r="B21" s="451">
        <f>(((B$31-B$5)/26)*($A21-$A$5))+B$5</f>
        <v>556609</v>
      </c>
      <c r="C21" s="452">
        <f t="shared" si="15"/>
        <v>2314448.2846153844</v>
      </c>
      <c r="D21" s="452">
        <f t="shared" si="0"/>
        <v>50652.584615384614</v>
      </c>
      <c r="E21" s="452">
        <f t="shared" si="0"/>
        <v>16894.346153846156</v>
      </c>
      <c r="F21" s="453">
        <f t="shared" si="0"/>
        <v>43793.923076923078</v>
      </c>
      <c r="G21" s="452">
        <f t="shared" si="15"/>
        <v>197744.35384615386</v>
      </c>
      <c r="H21" s="452">
        <f t="shared" si="15"/>
        <v>3808.7</v>
      </c>
      <c r="I21" s="454">
        <f t="shared" si="15"/>
        <v>979.37692307692305</v>
      </c>
      <c r="J21" s="453">
        <f>(((J$31-J$5)/26)*($A21-$A$5))+J$5</f>
        <v>556577.61538461538</v>
      </c>
      <c r="K21" s="452">
        <f t="shared" si="15"/>
        <v>2327729.4538461538</v>
      </c>
      <c r="L21" s="452">
        <f t="shared" si="15"/>
        <v>42585.061538461538</v>
      </c>
      <c r="M21" s="452">
        <f t="shared" si="15"/>
        <v>9417.084615384616</v>
      </c>
      <c r="N21" s="453">
        <f t="shared" si="15"/>
        <v>43788.307692307688</v>
      </c>
      <c r="O21" s="452">
        <f t="shared" si="15"/>
        <v>198712.13846153847</v>
      </c>
      <c r="P21" s="452">
        <f t="shared" si="15"/>
        <v>3293.523076923077</v>
      </c>
      <c r="Q21" s="452">
        <f t="shared" si="15"/>
        <v>556.63846153846157</v>
      </c>
      <c r="S21" s="455">
        <f t="shared" si="2"/>
        <v>1.4494057905860445E-2</v>
      </c>
      <c r="T21" s="456">
        <f t="shared" si="3"/>
        <v>0.8696434743516267</v>
      </c>
      <c r="U21" s="499">
        <f>Inputs!$B$12</f>
        <v>1.67</v>
      </c>
      <c r="V21" s="457">
        <f t="shared" si="4"/>
        <v>2.4205076702786942E-2</v>
      </c>
      <c r="W21" s="455">
        <f t="shared" si="5"/>
        <v>1.1763662327579688E-2</v>
      </c>
      <c r="X21" s="457">
        <f t="shared" si="6"/>
        <v>0.70581973965478129</v>
      </c>
      <c r="Y21" s="458">
        <f t="shared" si="7"/>
        <v>-13281.169230769388</v>
      </c>
      <c r="Z21" s="459">
        <f t="shared" si="8"/>
        <v>-967.78461538461852</v>
      </c>
      <c r="AC21" s="460">
        <v>2035</v>
      </c>
      <c r="AD21" s="452">
        <f t="shared" si="9"/>
        <v>-8067.5230769230766</v>
      </c>
      <c r="AE21" s="461">
        <f t="shared" si="10"/>
        <v>-515.17692307692278</v>
      </c>
      <c r="AF21" s="462">
        <f t="shared" si="11"/>
        <v>0.8696434743516267</v>
      </c>
      <c r="AG21" s="462">
        <f t="shared" si="12"/>
        <v>0.70581973965478129</v>
      </c>
      <c r="AH21" s="462">
        <f t="shared" si="13"/>
        <v>1.4523046021672166</v>
      </c>
      <c r="AI21" s="463">
        <f t="shared" si="14"/>
        <v>0.70581973965478129</v>
      </c>
    </row>
    <row r="22" spans="1:35" ht="15.75" thickBot="1">
      <c r="A22" s="450">
        <v>2036</v>
      </c>
      <c r="B22" s="451">
        <f t="shared" si="15"/>
        <v>564382.5</v>
      </c>
      <c r="C22" s="452">
        <f t="shared" si="15"/>
        <v>2349260.6461538458</v>
      </c>
      <c r="D22" s="452">
        <f t="shared" si="15"/>
        <v>51879.49615384615</v>
      </c>
      <c r="E22" s="452">
        <f t="shared" si="15"/>
        <v>17617.961538461539</v>
      </c>
      <c r="F22" s="453">
        <f t="shared" si="15"/>
        <v>44399.730769230766</v>
      </c>
      <c r="G22" s="452">
        <f t="shared" si="15"/>
        <v>200792.08846153849</v>
      </c>
      <c r="H22" s="452">
        <f t="shared" si="15"/>
        <v>3891.5499999999997</v>
      </c>
      <c r="I22" s="454">
        <f t="shared" si="15"/>
        <v>1018.5692307692308</v>
      </c>
      <c r="J22" s="453">
        <f t="shared" si="15"/>
        <v>564352.15384615387</v>
      </c>
      <c r="K22" s="452">
        <f t="shared" si="15"/>
        <v>2361606.8884615381</v>
      </c>
      <c r="L22" s="452">
        <f t="shared" si="15"/>
        <v>43321.715384615381</v>
      </c>
      <c r="M22" s="452">
        <f t="shared" si="15"/>
        <v>9674.7961538461532</v>
      </c>
      <c r="N22" s="453">
        <f t="shared" si="15"/>
        <v>44393.576923076922</v>
      </c>
      <c r="O22" s="452">
        <f t="shared" si="15"/>
        <v>201674.43461538461</v>
      </c>
      <c r="P22" s="452">
        <f t="shared" si="15"/>
        <v>3349.6307692307691</v>
      </c>
      <c r="Q22" s="452">
        <f t="shared" si="15"/>
        <v>571.93461538461543</v>
      </c>
      <c r="S22" s="464">
        <f t="shared" si="2"/>
        <v>1.5163086681870485E-2</v>
      </c>
      <c r="T22" s="212">
        <f t="shared" si="3"/>
        <v>0.90978520091222903</v>
      </c>
      <c r="U22" s="499">
        <f>Inputs!$B$12</f>
        <v>1.67</v>
      </c>
      <c r="V22" s="465">
        <f t="shared" si="4"/>
        <v>2.5322354758723707E-2</v>
      </c>
      <c r="W22" s="464">
        <f t="shared" si="5"/>
        <v>1.2205462091332844E-2</v>
      </c>
      <c r="X22" s="465">
        <f t="shared" si="6"/>
        <v>0.73232772547997071</v>
      </c>
      <c r="Y22" s="458">
        <f t="shared" si="7"/>
        <v>-12346.242307692301</v>
      </c>
      <c r="Z22" s="459">
        <f t="shared" si="8"/>
        <v>-882.34615384612698</v>
      </c>
      <c r="AC22" s="460">
        <v>2036</v>
      </c>
      <c r="AD22" s="452">
        <f t="shared" si="9"/>
        <v>-8557.7807692307688</v>
      </c>
      <c r="AE22" s="461">
        <f t="shared" si="10"/>
        <v>-541.91923076923058</v>
      </c>
      <c r="AF22" s="462">
        <f t="shared" si="11"/>
        <v>0.90978520091222903</v>
      </c>
      <c r="AG22" s="462">
        <f t="shared" si="12"/>
        <v>0.73232772547997071</v>
      </c>
      <c r="AH22" s="462">
        <f t="shared" si="13"/>
        <v>1.5193412855234225</v>
      </c>
      <c r="AI22" s="463">
        <f t="shared" si="14"/>
        <v>0.73232772547997071</v>
      </c>
    </row>
    <row r="23" spans="1:35" ht="15.75" thickBot="1">
      <c r="A23" s="450">
        <v>2037</v>
      </c>
      <c r="B23" s="451">
        <f t="shared" si="15"/>
        <v>572156</v>
      </c>
      <c r="C23" s="452">
        <f t="shared" si="15"/>
        <v>2384073.0076923077</v>
      </c>
      <c r="D23" s="452">
        <f t="shared" si="15"/>
        <v>53106.407692307694</v>
      </c>
      <c r="E23" s="452">
        <f t="shared" si="15"/>
        <v>18341.576923076922</v>
      </c>
      <c r="F23" s="453">
        <f t="shared" si="15"/>
        <v>45005.538461538461</v>
      </c>
      <c r="G23" s="452">
        <f t="shared" si="15"/>
        <v>203839.82307692309</v>
      </c>
      <c r="H23" s="452">
        <f t="shared" si="15"/>
        <v>3974.3999999999996</v>
      </c>
      <c r="I23" s="454">
        <f t="shared" si="15"/>
        <v>1057.7615384615383</v>
      </c>
      <c r="J23" s="453">
        <f t="shared" si="15"/>
        <v>572126.69230769225</v>
      </c>
      <c r="K23" s="452">
        <f t="shared" si="15"/>
        <v>2395484.3230769229</v>
      </c>
      <c r="L23" s="452">
        <f t="shared" si="15"/>
        <v>44058.369230769225</v>
      </c>
      <c r="M23" s="452">
        <f t="shared" si="15"/>
        <v>9932.5076923076922</v>
      </c>
      <c r="N23" s="453">
        <f t="shared" si="15"/>
        <v>44998.846153846156</v>
      </c>
      <c r="O23" s="452">
        <f t="shared" si="15"/>
        <v>204636.73076923078</v>
      </c>
      <c r="P23" s="452">
        <f t="shared" si="15"/>
        <v>3405.7384615384617</v>
      </c>
      <c r="Q23" s="452">
        <f t="shared" si="15"/>
        <v>587.23076923076928</v>
      </c>
      <c r="S23" s="464">
        <f>((D23-L23)/B23)</f>
        <v>1.581393616695179E-2</v>
      </c>
      <c r="T23" s="212">
        <f t="shared" si="3"/>
        <v>0.94883617001710741</v>
      </c>
      <c r="U23" s="499">
        <f>Inputs!$B$12</f>
        <v>1.67</v>
      </c>
      <c r="V23" s="465">
        <f t="shared" si="4"/>
        <v>2.6409273398809489E-2</v>
      </c>
      <c r="W23" s="464">
        <f t="shared" si="5"/>
        <v>1.2635367954713254E-2</v>
      </c>
      <c r="X23" s="465">
        <f t="shared" si="6"/>
        <v>0.75812207728279524</v>
      </c>
      <c r="Y23" s="458">
        <f t="shared" si="7"/>
        <v>-11411.315384615213</v>
      </c>
      <c r="Z23" s="459">
        <f t="shared" si="8"/>
        <v>-796.90769230769365</v>
      </c>
      <c r="AC23" s="460">
        <v>2037</v>
      </c>
      <c r="AD23" s="452">
        <f t="shared" si="9"/>
        <v>-9048.0384615384683</v>
      </c>
      <c r="AE23" s="461">
        <f t="shared" si="10"/>
        <v>-568.66153846153793</v>
      </c>
      <c r="AF23" s="462">
        <f t="shared" si="11"/>
        <v>0.94883617001710741</v>
      </c>
      <c r="AG23" s="462">
        <f t="shared" si="12"/>
        <v>0.75812207728279524</v>
      </c>
      <c r="AH23" s="462">
        <f t="shared" si="13"/>
        <v>1.5845564039285693</v>
      </c>
      <c r="AI23" s="463">
        <f t="shared" si="14"/>
        <v>0.75812207728279524</v>
      </c>
    </row>
    <row r="24" spans="1:35" ht="15.75" thickBot="1">
      <c r="A24" s="450">
        <v>2038</v>
      </c>
      <c r="B24" s="451">
        <f t="shared" si="15"/>
        <v>579929.5</v>
      </c>
      <c r="C24" s="452">
        <f t="shared" si="15"/>
        <v>2418885.3692307691</v>
      </c>
      <c r="D24" s="452">
        <f t="shared" si="15"/>
        <v>54333.31923076923</v>
      </c>
      <c r="E24" s="452">
        <f t="shared" si="15"/>
        <v>19065.192307692309</v>
      </c>
      <c r="F24" s="453">
        <f t="shared" si="15"/>
        <v>45611.346153846156</v>
      </c>
      <c r="G24" s="452">
        <f t="shared" si="15"/>
        <v>206887.55769230769</v>
      </c>
      <c r="H24" s="452">
        <f t="shared" si="15"/>
        <v>4057.25</v>
      </c>
      <c r="I24" s="454">
        <f t="shared" si="15"/>
        <v>1096.9538461538461</v>
      </c>
      <c r="J24" s="453">
        <f t="shared" si="15"/>
        <v>579901.23076923075</v>
      </c>
      <c r="K24" s="452">
        <f t="shared" si="15"/>
        <v>2429361.7576923072</v>
      </c>
      <c r="L24" s="452">
        <f t="shared" si="15"/>
        <v>44795.023076923077</v>
      </c>
      <c r="M24" s="452">
        <f t="shared" si="15"/>
        <v>10190.219230769231</v>
      </c>
      <c r="N24" s="453">
        <f t="shared" si="15"/>
        <v>45604.115384615383</v>
      </c>
      <c r="O24" s="452">
        <f t="shared" si="15"/>
        <v>207599.02692307695</v>
      </c>
      <c r="P24" s="452">
        <f t="shared" si="15"/>
        <v>3461.8461538461538</v>
      </c>
      <c r="Q24" s="452">
        <f t="shared" si="15"/>
        <v>602.52692307692314</v>
      </c>
      <c r="S24" s="464">
        <f t="shared" ref="S24:S25" si="17">((D24-L24)/B24)</f>
        <v>1.6447337398504739E-2</v>
      </c>
      <c r="T24" s="212">
        <f t="shared" si="3"/>
        <v>0.98684024391028435</v>
      </c>
      <c r="U24" s="499">
        <f>Inputs!$B$12</f>
        <v>1.67</v>
      </c>
      <c r="V24" s="465">
        <f t="shared" si="4"/>
        <v>2.7467053455502911E-2</v>
      </c>
      <c r="W24" s="464">
        <f t="shared" si="5"/>
        <v>1.3053853840348429E-2</v>
      </c>
      <c r="X24" s="465">
        <f t="shared" si="6"/>
        <v>0.7832312304209057</v>
      </c>
      <c r="Y24" s="458">
        <f t="shared" si="7"/>
        <v>-10476.388461538125</v>
      </c>
      <c r="Z24" s="459">
        <f t="shared" si="8"/>
        <v>-711.46923076926032</v>
      </c>
      <c r="AC24" s="460">
        <v>2038</v>
      </c>
      <c r="AD24" s="452">
        <f t="shared" si="9"/>
        <v>-9538.2961538461532</v>
      </c>
      <c r="AE24" s="461">
        <f t="shared" si="10"/>
        <v>-595.40384615384619</v>
      </c>
      <c r="AF24" s="462">
        <f t="shared" si="11"/>
        <v>0.98684024391028435</v>
      </c>
      <c r="AG24" s="462">
        <f t="shared" si="12"/>
        <v>0.7832312304209057</v>
      </c>
      <c r="AH24" s="462">
        <f t="shared" si="13"/>
        <v>1.6480232073301746</v>
      </c>
      <c r="AI24" s="463">
        <f t="shared" si="14"/>
        <v>0.7832312304209057</v>
      </c>
    </row>
    <row r="25" spans="1:35" ht="15.75" thickBot="1">
      <c r="A25" s="450">
        <v>2039</v>
      </c>
      <c r="B25" s="451">
        <f t="shared" si="15"/>
        <v>587703</v>
      </c>
      <c r="C25" s="452">
        <f t="shared" si="15"/>
        <v>2453697.7307692305</v>
      </c>
      <c r="D25" s="452">
        <f t="shared" si="15"/>
        <v>55560.230769230766</v>
      </c>
      <c r="E25" s="452">
        <f t="shared" si="15"/>
        <v>19788.807692307695</v>
      </c>
      <c r="F25" s="453">
        <f t="shared" si="15"/>
        <v>46217.153846153844</v>
      </c>
      <c r="G25" s="452">
        <f t="shared" si="15"/>
        <v>209935.29230769232</v>
      </c>
      <c r="H25" s="452">
        <f t="shared" si="15"/>
        <v>4140.1000000000004</v>
      </c>
      <c r="I25" s="454">
        <f t="shared" si="15"/>
        <v>1136.1461538461538</v>
      </c>
      <c r="J25" s="453">
        <f t="shared" si="15"/>
        <v>587675.76923076925</v>
      </c>
      <c r="K25" s="452">
        <f t="shared" si="15"/>
        <v>2463239.192307692</v>
      </c>
      <c r="L25" s="452">
        <f t="shared" si="15"/>
        <v>45531.676923076921</v>
      </c>
      <c r="M25" s="452">
        <f t="shared" si="15"/>
        <v>10447.93076923077</v>
      </c>
      <c r="N25" s="453">
        <f t="shared" si="15"/>
        <v>46209.38461538461</v>
      </c>
      <c r="O25" s="452">
        <f t="shared" si="15"/>
        <v>210561.32307692309</v>
      </c>
      <c r="P25" s="452">
        <f t="shared" si="15"/>
        <v>3517.9538461538459</v>
      </c>
      <c r="Q25" s="452">
        <f t="shared" si="15"/>
        <v>617.823076923077</v>
      </c>
      <c r="S25" s="464">
        <f t="shared" si="17"/>
        <v>1.7063982736439741E-2</v>
      </c>
      <c r="T25" s="212">
        <f t="shared" si="3"/>
        <v>1.0238389641863845</v>
      </c>
      <c r="U25" s="499">
        <f>Inputs!$B$12</f>
        <v>1.67</v>
      </c>
      <c r="V25" s="465">
        <f t="shared" si="4"/>
        <v>2.8496851169854367E-2</v>
      </c>
      <c r="W25" s="464">
        <f t="shared" si="5"/>
        <v>1.3461368822431912E-2</v>
      </c>
      <c r="X25" s="465">
        <f t="shared" si="6"/>
        <v>0.80768212934591477</v>
      </c>
      <c r="Y25" s="458">
        <f t="shared" si="7"/>
        <v>-9541.4615384615026</v>
      </c>
      <c r="Z25" s="459">
        <f t="shared" si="8"/>
        <v>-626.03076923076878</v>
      </c>
      <c r="AC25" s="460">
        <v>2039</v>
      </c>
      <c r="AD25" s="452">
        <f t="shared" si="9"/>
        <v>-10028.553846153845</v>
      </c>
      <c r="AE25" s="461">
        <f t="shared" si="10"/>
        <v>-622.14615384615445</v>
      </c>
      <c r="AF25" s="462">
        <f t="shared" si="11"/>
        <v>1.0238389641863845</v>
      </c>
      <c r="AG25" s="462">
        <f t="shared" si="12"/>
        <v>0.80768212934591477</v>
      </c>
      <c r="AH25" s="462">
        <f t="shared" si="13"/>
        <v>1.7098110701912621</v>
      </c>
      <c r="AI25" s="463">
        <f t="shared" si="14"/>
        <v>0.80768212934591477</v>
      </c>
    </row>
    <row r="26" spans="1:35" ht="15.75" thickBot="1">
      <c r="A26" s="450">
        <v>2040</v>
      </c>
      <c r="B26" s="451">
        <f t="shared" si="15"/>
        <v>595476.5</v>
      </c>
      <c r="C26" s="452">
        <f t="shared" si="15"/>
        <v>2488510.0923076924</v>
      </c>
      <c r="D26" s="452">
        <f t="shared" si="15"/>
        <v>56787.142307692309</v>
      </c>
      <c r="E26" s="452">
        <f t="shared" si="15"/>
        <v>20512.423076923078</v>
      </c>
      <c r="F26" s="453">
        <f t="shared" si="15"/>
        <v>46822.961538461539</v>
      </c>
      <c r="G26" s="452">
        <f t="shared" si="15"/>
        <v>212983.02692307695</v>
      </c>
      <c r="H26" s="452">
        <f t="shared" si="15"/>
        <v>4222.95</v>
      </c>
      <c r="I26" s="454">
        <f t="shared" si="15"/>
        <v>1175.3384615384616</v>
      </c>
      <c r="J26" s="453">
        <f t="shared" si="15"/>
        <v>595450.30769230775</v>
      </c>
      <c r="K26" s="452">
        <f t="shared" si="15"/>
        <v>2497116.6269230768</v>
      </c>
      <c r="L26" s="452">
        <f t="shared" si="15"/>
        <v>46268.330769230772</v>
      </c>
      <c r="M26" s="452">
        <f t="shared" ref="J26:Q30" si="18">(((M$31-M$5)/26)*($A26-$A$5))+M$5</f>
        <v>10705.642307692309</v>
      </c>
      <c r="N26" s="453">
        <f t="shared" si="18"/>
        <v>46814.653846153844</v>
      </c>
      <c r="O26" s="452">
        <f t="shared" si="18"/>
        <v>213523.61923076923</v>
      </c>
      <c r="P26" s="452">
        <f t="shared" si="18"/>
        <v>3574.0615384615385</v>
      </c>
      <c r="Q26" s="452">
        <f t="shared" si="18"/>
        <v>633.11923076923085</v>
      </c>
      <c r="S26" s="455">
        <f t="shared" si="2"/>
        <v>1.766452838770554E-2</v>
      </c>
      <c r="T26" s="456">
        <f t="shared" si="3"/>
        <v>1.0598717032623324</v>
      </c>
      <c r="U26" s="499">
        <f>Inputs!$B$12</f>
        <v>1.67</v>
      </c>
      <c r="V26" s="457">
        <f t="shared" si="4"/>
        <v>2.9499762407468249E-2</v>
      </c>
      <c r="W26" s="455">
        <f t="shared" si="5"/>
        <v>1.3858338734200918E-2</v>
      </c>
      <c r="X26" s="457">
        <f t="shared" si="6"/>
        <v>0.8315003240520551</v>
      </c>
      <c r="Y26" s="458">
        <f t="shared" si="7"/>
        <v>-8606.5346153844148</v>
      </c>
      <c r="Z26" s="459">
        <f t="shared" si="8"/>
        <v>-540.59230769227725</v>
      </c>
      <c r="AC26" s="460">
        <v>2040</v>
      </c>
      <c r="AD26" s="452">
        <f t="shared" si="9"/>
        <v>-10518.811538461538</v>
      </c>
      <c r="AE26" s="461">
        <f t="shared" si="10"/>
        <v>-648.88846153846134</v>
      </c>
      <c r="AF26" s="462">
        <f t="shared" si="11"/>
        <v>1.0598717032623324</v>
      </c>
      <c r="AG26" s="462">
        <f t="shared" si="12"/>
        <v>0.8315003240520551</v>
      </c>
      <c r="AH26" s="462">
        <f t="shared" si="13"/>
        <v>1.7699857444480949</v>
      </c>
      <c r="AI26" s="463">
        <f t="shared" si="14"/>
        <v>0.8315003240520551</v>
      </c>
    </row>
    <row r="27" spans="1:35" ht="15.75" thickBot="1">
      <c r="A27" s="450">
        <v>2041</v>
      </c>
      <c r="B27" s="451">
        <f t="shared" ref="B27:I30" si="19">(((B$31-B$5)/26)*($A27-$A$5))+B$5</f>
        <v>603250</v>
      </c>
      <c r="C27" s="452">
        <f t="shared" si="19"/>
        <v>2523322.4538461538</v>
      </c>
      <c r="D27" s="452">
        <f t="shared" si="19"/>
        <v>58014.053846153845</v>
      </c>
      <c r="E27" s="452">
        <f t="shared" si="19"/>
        <v>21236.038461538461</v>
      </c>
      <c r="F27" s="453">
        <f t="shared" si="19"/>
        <v>47428.769230769234</v>
      </c>
      <c r="G27" s="452">
        <f t="shared" si="19"/>
        <v>216030.76153846155</v>
      </c>
      <c r="H27" s="452">
        <f t="shared" si="19"/>
        <v>4305.7999999999993</v>
      </c>
      <c r="I27" s="454">
        <f t="shared" si="19"/>
        <v>1214.5307692307692</v>
      </c>
      <c r="J27" s="453">
        <f t="shared" si="18"/>
        <v>603224.84615384613</v>
      </c>
      <c r="K27" s="452">
        <f t="shared" si="18"/>
        <v>2530994.0615384616</v>
      </c>
      <c r="L27" s="452">
        <f t="shared" si="18"/>
        <v>47004.984615384616</v>
      </c>
      <c r="M27" s="452">
        <f t="shared" si="18"/>
        <v>10963.353846153846</v>
      </c>
      <c r="N27" s="453">
        <f t="shared" si="18"/>
        <v>47419.923076923078</v>
      </c>
      <c r="O27" s="452">
        <f t="shared" si="18"/>
        <v>216485.91538461539</v>
      </c>
      <c r="P27" s="452">
        <f t="shared" si="18"/>
        <v>3630.169230769231</v>
      </c>
      <c r="Q27" s="452">
        <f t="shared" si="18"/>
        <v>648.41538461538471</v>
      </c>
      <c r="S27" s="464">
        <f t="shared" si="2"/>
        <v>1.8249596735630716E-2</v>
      </c>
      <c r="T27" s="212">
        <f t="shared" si="3"/>
        <v>1.094975804137843</v>
      </c>
      <c r="U27" s="499">
        <f>Inputs!$B$12</f>
        <v>1.67</v>
      </c>
      <c r="V27" s="465">
        <f t="shared" si="4"/>
        <v>3.0476826548503293E-2</v>
      </c>
      <c r="W27" s="464">
        <f t="shared" si="5"/>
        <v>1.4245167652220149E-2</v>
      </c>
      <c r="X27" s="465">
        <f t="shared" si="6"/>
        <v>0.85471005913320897</v>
      </c>
      <c r="Y27" s="458">
        <f t="shared" si="7"/>
        <v>-7671.6076923077926</v>
      </c>
      <c r="Z27" s="459">
        <f t="shared" si="8"/>
        <v>-455.15384615384392</v>
      </c>
      <c r="AC27" s="460">
        <v>2041</v>
      </c>
      <c r="AD27" s="452">
        <f t="shared" si="9"/>
        <v>-11009.06923076923</v>
      </c>
      <c r="AE27" s="461">
        <f t="shared" si="10"/>
        <v>-675.63076923076824</v>
      </c>
      <c r="AF27" s="462">
        <f t="shared" si="11"/>
        <v>1.094975804137843</v>
      </c>
      <c r="AG27" s="462">
        <f t="shared" si="12"/>
        <v>0.85471005913320897</v>
      </c>
      <c r="AH27" s="462">
        <f t="shared" si="13"/>
        <v>1.8286095929101975</v>
      </c>
      <c r="AI27" s="463">
        <f t="shared" si="14"/>
        <v>0.85471005913320897</v>
      </c>
    </row>
    <row r="28" spans="1:35" ht="15.75" thickBot="1">
      <c r="A28" s="450">
        <v>2042</v>
      </c>
      <c r="B28" s="451">
        <f t="shared" si="19"/>
        <v>611023.5</v>
      </c>
      <c r="C28" s="452">
        <f t="shared" si="19"/>
        <v>2558134.8153846152</v>
      </c>
      <c r="D28" s="452">
        <f t="shared" si="19"/>
        <v>59240.965384615381</v>
      </c>
      <c r="E28" s="452">
        <f t="shared" si="19"/>
        <v>21959.653846153848</v>
      </c>
      <c r="F28" s="453">
        <f t="shared" si="19"/>
        <v>48034.576923076922</v>
      </c>
      <c r="G28" s="452">
        <f t="shared" si="19"/>
        <v>219078.49615384615</v>
      </c>
      <c r="H28" s="452">
        <f t="shared" si="19"/>
        <v>4388.6499999999996</v>
      </c>
      <c r="I28" s="454">
        <f t="shared" si="19"/>
        <v>1253.7230769230769</v>
      </c>
      <c r="J28" s="453">
        <f t="shared" si="18"/>
        <v>610999.38461538462</v>
      </c>
      <c r="K28" s="452">
        <f t="shared" si="18"/>
        <v>2564871.4961538459</v>
      </c>
      <c r="L28" s="452">
        <f t="shared" si="18"/>
        <v>47741.63846153846</v>
      </c>
      <c r="M28" s="452">
        <f t="shared" si="18"/>
        <v>11221.065384615385</v>
      </c>
      <c r="N28" s="453">
        <f t="shared" si="18"/>
        <v>48025.192307692305</v>
      </c>
      <c r="O28" s="452">
        <f t="shared" si="18"/>
        <v>219448.21153846156</v>
      </c>
      <c r="P28" s="452">
        <f t="shared" si="18"/>
        <v>3686.2769230769227</v>
      </c>
      <c r="Q28" s="452">
        <f t="shared" si="18"/>
        <v>663.71153846153845</v>
      </c>
      <c r="S28" s="464">
        <f>((D28-L28)/B28)</f>
        <v>1.881977849146051E-2</v>
      </c>
      <c r="T28" s="212">
        <f t="shared" si="3"/>
        <v>1.1291867094876307</v>
      </c>
      <c r="U28" s="499">
        <f>Inputs!$B$12</f>
        <v>1.67</v>
      </c>
      <c r="V28" s="465">
        <f t="shared" si="4"/>
        <v>3.1429030080739051E-2</v>
      </c>
      <c r="W28" s="464">
        <f t="shared" si="5"/>
        <v>1.4622239268347562E-2</v>
      </c>
      <c r="X28" s="465">
        <f t="shared" si="6"/>
        <v>0.87733435610085375</v>
      </c>
      <c r="Y28" s="458">
        <f t="shared" si="7"/>
        <v>-6736.6807692307048</v>
      </c>
      <c r="Z28" s="459">
        <f t="shared" si="8"/>
        <v>-369.71538461541058</v>
      </c>
      <c r="AC28" s="460">
        <v>2042</v>
      </c>
      <c r="AD28" s="452">
        <f t="shared" si="9"/>
        <v>-11499.326923076922</v>
      </c>
      <c r="AE28" s="461">
        <f t="shared" si="10"/>
        <v>-702.37307692307695</v>
      </c>
      <c r="AF28" s="462">
        <f t="shared" si="11"/>
        <v>1.1291867094876307</v>
      </c>
      <c r="AG28" s="462">
        <f t="shared" si="12"/>
        <v>0.87733435610085375</v>
      </c>
      <c r="AH28" s="462">
        <f t="shared" si="13"/>
        <v>1.8857418048443431</v>
      </c>
      <c r="AI28" s="463">
        <f t="shared" si="14"/>
        <v>0.87733435610085375</v>
      </c>
    </row>
    <row r="29" spans="1:35" ht="15.75" thickBot="1">
      <c r="A29" s="450">
        <v>2043</v>
      </c>
      <c r="B29" s="451">
        <f t="shared" si="19"/>
        <v>618797</v>
      </c>
      <c r="C29" s="452">
        <f t="shared" si="19"/>
        <v>2592947.1769230766</v>
      </c>
      <c r="D29" s="452">
        <f t="shared" si="19"/>
        <v>60467.876923076925</v>
      </c>
      <c r="E29" s="452">
        <f t="shared" si="19"/>
        <v>22683.26923076923</v>
      </c>
      <c r="F29" s="453">
        <f t="shared" si="19"/>
        <v>48640.38461538461</v>
      </c>
      <c r="G29" s="452">
        <f t="shared" si="19"/>
        <v>222126.23076923078</v>
      </c>
      <c r="H29" s="452">
        <f t="shared" si="19"/>
        <v>4471.5</v>
      </c>
      <c r="I29" s="454">
        <f t="shared" si="19"/>
        <v>1292.9153846153845</v>
      </c>
      <c r="J29" s="453">
        <f t="shared" si="18"/>
        <v>618773.92307692312</v>
      </c>
      <c r="K29" s="452">
        <f t="shared" si="18"/>
        <v>2598748.9307692302</v>
      </c>
      <c r="L29" s="452">
        <f t="shared" si="18"/>
        <v>48478.292307692303</v>
      </c>
      <c r="M29" s="452">
        <f t="shared" si="18"/>
        <v>11478.776923076923</v>
      </c>
      <c r="N29" s="453">
        <f t="shared" si="18"/>
        <v>48630.461538461539</v>
      </c>
      <c r="O29" s="452">
        <f t="shared" si="18"/>
        <v>222410.5076923077</v>
      </c>
      <c r="P29" s="452">
        <f t="shared" si="18"/>
        <v>3742.3846153846152</v>
      </c>
      <c r="Q29" s="452">
        <f t="shared" si="18"/>
        <v>679.00769230769231</v>
      </c>
      <c r="S29" s="464">
        <f t="shared" ref="S29:S30" si="20">((D29-L29)/B29)</f>
        <v>1.9375634683724424E-2</v>
      </c>
      <c r="T29" s="212">
        <f t="shared" si="3"/>
        <v>1.1625380810234653</v>
      </c>
      <c r="U29" s="499">
        <f>Inputs!$B$12</f>
        <v>1.67</v>
      </c>
      <c r="V29" s="465">
        <f t="shared" si="4"/>
        <v>3.2357309921819788E-2</v>
      </c>
      <c r="W29" s="464">
        <f t="shared" si="5"/>
        <v>1.4989918159174481E-2</v>
      </c>
      <c r="X29" s="465">
        <f t="shared" si="6"/>
        <v>0.89939508955046887</v>
      </c>
      <c r="Y29" s="458">
        <f t="shared" si="7"/>
        <v>-5801.7538461536169</v>
      </c>
      <c r="Z29" s="459">
        <f t="shared" si="8"/>
        <v>-284.27692307691905</v>
      </c>
      <c r="AC29" s="460">
        <v>2043</v>
      </c>
      <c r="AD29" s="452">
        <f t="shared" si="9"/>
        <v>-11989.584615384621</v>
      </c>
      <c r="AE29" s="461">
        <f t="shared" si="10"/>
        <v>-729.11538461538476</v>
      </c>
      <c r="AF29" s="462">
        <f t="shared" si="11"/>
        <v>1.1625380810234653</v>
      </c>
      <c r="AG29" s="462">
        <f t="shared" si="12"/>
        <v>0.89939508955046887</v>
      </c>
      <c r="AH29" s="462">
        <f t="shared" si="13"/>
        <v>1.9414385953091873</v>
      </c>
      <c r="AI29" s="463">
        <f t="shared" si="14"/>
        <v>0.89939508955046887</v>
      </c>
    </row>
    <row r="30" spans="1:35" ht="15.75" thickBot="1">
      <c r="A30" s="450">
        <v>2044</v>
      </c>
      <c r="B30" s="451">
        <f t="shared" si="19"/>
        <v>626570.5</v>
      </c>
      <c r="C30" s="452">
        <f t="shared" si="19"/>
        <v>2627759.5384615385</v>
      </c>
      <c r="D30" s="452">
        <f t="shared" si="19"/>
        <v>61694.788461538461</v>
      </c>
      <c r="E30" s="452">
        <f t="shared" si="19"/>
        <v>23406.884615384617</v>
      </c>
      <c r="F30" s="453">
        <f t="shared" si="19"/>
        <v>49246.192307692305</v>
      </c>
      <c r="G30" s="452">
        <f t="shared" si="19"/>
        <v>225173.96538461541</v>
      </c>
      <c r="H30" s="452">
        <f t="shared" si="19"/>
        <v>4554.3500000000004</v>
      </c>
      <c r="I30" s="454">
        <f t="shared" si="19"/>
        <v>1332.1076923076923</v>
      </c>
      <c r="J30" s="453">
        <f t="shared" si="18"/>
        <v>626548.4615384615</v>
      </c>
      <c r="K30" s="452">
        <f t="shared" si="18"/>
        <v>2632626.365384615</v>
      </c>
      <c r="L30" s="452">
        <f t="shared" si="18"/>
        <v>49214.946153846155</v>
      </c>
      <c r="M30" s="452">
        <f t="shared" si="18"/>
        <v>11736.488461538462</v>
      </c>
      <c r="N30" s="453">
        <f t="shared" si="18"/>
        <v>49235.730769230766</v>
      </c>
      <c r="O30" s="452">
        <f t="shared" si="18"/>
        <v>225372.80384615384</v>
      </c>
      <c r="P30" s="452">
        <f t="shared" si="18"/>
        <v>3798.4923076923078</v>
      </c>
      <c r="Q30" s="452">
        <f t="shared" si="18"/>
        <v>694.30384615384617</v>
      </c>
      <c r="S30" s="464">
        <f t="shared" si="20"/>
        <v>1.9917698499518102E-2</v>
      </c>
      <c r="T30" s="212">
        <f t="shared" si="3"/>
        <v>1.1950619099710862</v>
      </c>
      <c r="U30" s="499">
        <f>Inputs!$B$12</f>
        <v>1.67</v>
      </c>
      <c r="V30" s="465">
        <f t="shared" si="4"/>
        <v>3.3262556494195225E-2</v>
      </c>
      <c r="W30" s="464">
        <f t="shared" si="5"/>
        <v>1.5348550961769014E-2</v>
      </c>
      <c r="X30" s="465">
        <f t="shared" si="6"/>
        <v>0.92091305770614085</v>
      </c>
      <c r="Y30" s="458">
        <f t="shared" si="7"/>
        <v>-4866.8269230765291</v>
      </c>
      <c r="Z30" s="459">
        <f t="shared" si="8"/>
        <v>-198.83846153842751</v>
      </c>
      <c r="AC30" s="460">
        <v>2044</v>
      </c>
      <c r="AD30" s="452">
        <f t="shared" si="9"/>
        <v>-12479.842307692306</v>
      </c>
      <c r="AE30" s="461">
        <f t="shared" si="10"/>
        <v>-755.85769230769256</v>
      </c>
      <c r="AF30" s="462">
        <f t="shared" si="11"/>
        <v>1.1950619099710862</v>
      </c>
      <c r="AG30" s="462">
        <f t="shared" si="12"/>
        <v>0.92091305770614085</v>
      </c>
      <c r="AH30" s="462">
        <f t="shared" si="13"/>
        <v>1.9957533896517134</v>
      </c>
      <c r="AI30" s="463">
        <f t="shared" si="14"/>
        <v>0.92091305770614085</v>
      </c>
    </row>
    <row r="31" spans="1:35" ht="15.75" thickBot="1">
      <c r="A31" s="433">
        <v>2045</v>
      </c>
      <c r="B31" s="466">
        <v>634344</v>
      </c>
      <c r="C31" s="439">
        <v>2662571.9</v>
      </c>
      <c r="D31" s="439">
        <v>62921.7</v>
      </c>
      <c r="E31" s="439">
        <v>24130.5</v>
      </c>
      <c r="F31" s="439">
        <v>49852</v>
      </c>
      <c r="G31" s="439">
        <v>228221.7</v>
      </c>
      <c r="H31" s="439">
        <v>4637.2</v>
      </c>
      <c r="I31" s="467">
        <v>1371.3</v>
      </c>
      <c r="J31" s="438">
        <v>634323</v>
      </c>
      <c r="K31" s="439">
        <v>2666503.7999999998</v>
      </c>
      <c r="L31" s="439">
        <v>49951.6</v>
      </c>
      <c r="M31" s="439">
        <v>11994.2</v>
      </c>
      <c r="N31" s="439">
        <v>49841</v>
      </c>
      <c r="O31" s="439">
        <v>228335.1</v>
      </c>
      <c r="P31" s="439">
        <v>3854.6</v>
      </c>
      <c r="Q31" s="468">
        <v>709.6</v>
      </c>
      <c r="S31" s="455">
        <f t="shared" si="2"/>
        <v>2.0446476990402682E-2</v>
      </c>
      <c r="T31" s="456">
        <f t="shared" si="3"/>
        <v>1.2267886194241608</v>
      </c>
      <c r="U31" s="499">
        <f>Inputs!$B$12</f>
        <v>1.67</v>
      </c>
      <c r="V31" s="457">
        <f t="shared" si="4"/>
        <v>3.4145616573972477E-2</v>
      </c>
      <c r="W31" s="455">
        <f t="shared" si="5"/>
        <v>1.5698467463692529E-2</v>
      </c>
      <c r="X31" s="457">
        <f t="shared" si="6"/>
        <v>0.9419080478215518</v>
      </c>
      <c r="Y31" s="458">
        <f t="shared" si="7"/>
        <v>-3931.8999999999069</v>
      </c>
      <c r="Z31" s="459">
        <f t="shared" si="8"/>
        <v>-113.39999999999418</v>
      </c>
      <c r="AC31" s="446">
        <v>2045</v>
      </c>
      <c r="AD31" s="469">
        <f t="shared" si="9"/>
        <v>-12970.099999999999</v>
      </c>
      <c r="AE31" s="470">
        <f t="shared" si="10"/>
        <v>-782.59999999999991</v>
      </c>
      <c r="AF31" s="448">
        <f t="shared" si="11"/>
        <v>1.2267886194241608</v>
      </c>
      <c r="AG31" s="448">
        <f t="shared" si="12"/>
        <v>0.9419080478215518</v>
      </c>
      <c r="AH31" s="448">
        <f t="shared" si="13"/>
        <v>2.0487369944383484</v>
      </c>
      <c r="AI31" s="471">
        <f t="shared" si="14"/>
        <v>0.9419080478215518</v>
      </c>
    </row>
    <row r="32" spans="1:35" ht="15.75" thickBot="1">
      <c r="A32" s="472">
        <v>2046</v>
      </c>
      <c r="B32" s="473">
        <f>B$31</f>
        <v>634344</v>
      </c>
      <c r="C32" s="474">
        <f t="shared" ref="C32:J46" si="21">C$31</f>
        <v>2662571.9</v>
      </c>
      <c r="D32" s="474">
        <f t="shared" si="21"/>
        <v>62921.7</v>
      </c>
      <c r="E32" s="474">
        <f t="shared" si="21"/>
        <v>24130.5</v>
      </c>
      <c r="F32" s="474">
        <f t="shared" si="21"/>
        <v>49852</v>
      </c>
      <c r="G32" s="474">
        <f t="shared" si="21"/>
        <v>228221.7</v>
      </c>
      <c r="H32" s="474">
        <f t="shared" si="21"/>
        <v>4637.2</v>
      </c>
      <c r="I32" s="475">
        <f t="shared" si="21"/>
        <v>1371.3</v>
      </c>
      <c r="J32" s="476">
        <f>J$31</f>
        <v>634323</v>
      </c>
      <c r="K32" s="474">
        <f t="shared" ref="K32:Q46" si="22">K$31</f>
        <v>2666503.7999999998</v>
      </c>
      <c r="L32" s="474">
        <f t="shared" si="22"/>
        <v>49951.6</v>
      </c>
      <c r="M32" s="474">
        <f t="shared" si="22"/>
        <v>11994.2</v>
      </c>
      <c r="N32" s="474">
        <f t="shared" si="22"/>
        <v>49841</v>
      </c>
      <c r="O32" s="474">
        <f t="shared" si="22"/>
        <v>228335.1</v>
      </c>
      <c r="P32" s="474">
        <f t="shared" si="22"/>
        <v>3854.6</v>
      </c>
      <c r="Q32" s="477">
        <f t="shared" si="22"/>
        <v>709.6</v>
      </c>
      <c r="S32" s="478">
        <f t="shared" ref="S32:Z46" si="23">S$31</f>
        <v>2.0446476990402682E-2</v>
      </c>
      <c r="T32" s="479">
        <f t="shared" si="23"/>
        <v>1.2267886194241608</v>
      </c>
      <c r="U32" s="499">
        <f>Inputs!$B$12</f>
        <v>1.67</v>
      </c>
      <c r="V32" s="480">
        <f t="shared" si="23"/>
        <v>3.4145616573972477E-2</v>
      </c>
      <c r="W32" s="478">
        <f t="shared" si="23"/>
        <v>1.5698467463692529E-2</v>
      </c>
      <c r="X32" s="480">
        <f t="shared" si="23"/>
        <v>0.9419080478215518</v>
      </c>
      <c r="Y32" s="481">
        <f t="shared" si="23"/>
        <v>-3931.8999999999069</v>
      </c>
      <c r="Z32" s="482">
        <f t="shared" si="23"/>
        <v>-113.39999999999418</v>
      </c>
      <c r="AC32" s="483" t="s">
        <v>852</v>
      </c>
      <c r="AD32" s="484">
        <f t="shared" si="9"/>
        <v>-12970.099999999999</v>
      </c>
      <c r="AE32" s="485">
        <f t="shared" si="10"/>
        <v>-782.59999999999991</v>
      </c>
      <c r="AF32" s="486">
        <f t="shared" si="11"/>
        <v>1.2267886194241608</v>
      </c>
      <c r="AG32" s="486">
        <f t="shared" si="12"/>
        <v>0.9419080478215518</v>
      </c>
      <c r="AH32" s="486">
        <f t="shared" si="13"/>
        <v>2.0487369944383484</v>
      </c>
      <c r="AI32" s="487">
        <f t="shared" si="14"/>
        <v>0.9419080478215518</v>
      </c>
    </row>
    <row r="33" spans="1:26" ht="15.75" thickBot="1">
      <c r="A33" s="472">
        <v>2047</v>
      </c>
      <c r="B33" s="473">
        <f t="shared" ref="B33:B46" si="24">B$31</f>
        <v>634344</v>
      </c>
      <c r="C33" s="474">
        <f t="shared" si="21"/>
        <v>2662571.9</v>
      </c>
      <c r="D33" s="474">
        <f t="shared" si="21"/>
        <v>62921.7</v>
      </c>
      <c r="E33" s="474">
        <f t="shared" si="21"/>
        <v>24130.5</v>
      </c>
      <c r="F33" s="474">
        <f t="shared" si="21"/>
        <v>49852</v>
      </c>
      <c r="G33" s="474">
        <f t="shared" si="21"/>
        <v>228221.7</v>
      </c>
      <c r="H33" s="474">
        <f t="shared" si="21"/>
        <v>4637.2</v>
      </c>
      <c r="I33" s="475">
        <f t="shared" si="21"/>
        <v>1371.3</v>
      </c>
      <c r="J33" s="476">
        <f t="shared" si="21"/>
        <v>634323</v>
      </c>
      <c r="K33" s="474">
        <f t="shared" si="22"/>
        <v>2666503.7999999998</v>
      </c>
      <c r="L33" s="474">
        <f t="shared" si="22"/>
        <v>49951.6</v>
      </c>
      <c r="M33" s="474">
        <f t="shared" si="22"/>
        <v>11994.2</v>
      </c>
      <c r="N33" s="474">
        <f t="shared" si="22"/>
        <v>49841</v>
      </c>
      <c r="O33" s="474">
        <f t="shared" si="22"/>
        <v>228335.1</v>
      </c>
      <c r="P33" s="474">
        <f t="shared" si="22"/>
        <v>3854.6</v>
      </c>
      <c r="Q33" s="477">
        <f t="shared" si="22"/>
        <v>709.6</v>
      </c>
      <c r="S33" s="478">
        <f t="shared" si="23"/>
        <v>2.0446476990402682E-2</v>
      </c>
      <c r="T33" s="479">
        <f t="shared" si="23"/>
        <v>1.2267886194241608</v>
      </c>
      <c r="U33" s="499">
        <f>Inputs!$B$12</f>
        <v>1.67</v>
      </c>
      <c r="V33" s="480">
        <f t="shared" si="23"/>
        <v>3.4145616573972477E-2</v>
      </c>
      <c r="W33" s="478">
        <f t="shared" si="23"/>
        <v>1.5698467463692529E-2</v>
      </c>
      <c r="X33" s="480">
        <f t="shared" si="23"/>
        <v>0.9419080478215518</v>
      </c>
      <c r="Y33" s="481">
        <f t="shared" si="23"/>
        <v>-3931.8999999999069</v>
      </c>
      <c r="Z33" s="482">
        <f t="shared" si="23"/>
        <v>-113.39999999999418</v>
      </c>
    </row>
    <row r="34" spans="1:26" ht="15.75" thickBot="1">
      <c r="A34" s="472">
        <v>2048</v>
      </c>
      <c r="B34" s="473">
        <f t="shared" si="24"/>
        <v>634344</v>
      </c>
      <c r="C34" s="474">
        <f t="shared" si="21"/>
        <v>2662571.9</v>
      </c>
      <c r="D34" s="474">
        <f t="shared" si="21"/>
        <v>62921.7</v>
      </c>
      <c r="E34" s="474">
        <f t="shared" si="21"/>
        <v>24130.5</v>
      </c>
      <c r="F34" s="474">
        <f t="shared" si="21"/>
        <v>49852</v>
      </c>
      <c r="G34" s="474">
        <f t="shared" si="21"/>
        <v>228221.7</v>
      </c>
      <c r="H34" s="474">
        <f t="shared" si="21"/>
        <v>4637.2</v>
      </c>
      <c r="I34" s="475">
        <f t="shared" si="21"/>
        <v>1371.3</v>
      </c>
      <c r="J34" s="476">
        <f t="shared" si="21"/>
        <v>634323</v>
      </c>
      <c r="K34" s="474">
        <f t="shared" si="22"/>
        <v>2666503.7999999998</v>
      </c>
      <c r="L34" s="474">
        <f t="shared" si="22"/>
        <v>49951.6</v>
      </c>
      <c r="M34" s="474">
        <f t="shared" si="22"/>
        <v>11994.2</v>
      </c>
      <c r="N34" s="474">
        <f t="shared" si="22"/>
        <v>49841</v>
      </c>
      <c r="O34" s="474">
        <f t="shared" si="22"/>
        <v>228335.1</v>
      </c>
      <c r="P34" s="474">
        <f t="shared" si="22"/>
        <v>3854.6</v>
      </c>
      <c r="Q34" s="477">
        <f t="shared" si="22"/>
        <v>709.6</v>
      </c>
      <c r="S34" s="478">
        <f t="shared" si="23"/>
        <v>2.0446476990402682E-2</v>
      </c>
      <c r="T34" s="479">
        <f t="shared" si="23"/>
        <v>1.2267886194241608</v>
      </c>
      <c r="U34" s="499">
        <f>Inputs!$B$12</f>
        <v>1.67</v>
      </c>
      <c r="V34" s="480">
        <f t="shared" si="23"/>
        <v>3.4145616573972477E-2</v>
      </c>
      <c r="W34" s="478">
        <f t="shared" si="23"/>
        <v>1.5698467463692529E-2</v>
      </c>
      <c r="X34" s="480">
        <f t="shared" si="23"/>
        <v>0.9419080478215518</v>
      </c>
      <c r="Y34" s="481">
        <f t="shared" si="23"/>
        <v>-3931.8999999999069</v>
      </c>
      <c r="Z34" s="482">
        <f t="shared" si="23"/>
        <v>-113.39999999999418</v>
      </c>
    </row>
    <row r="35" spans="1:26" ht="15.75" thickBot="1">
      <c r="A35" s="472">
        <v>2049</v>
      </c>
      <c r="B35" s="473">
        <f t="shared" si="24"/>
        <v>634344</v>
      </c>
      <c r="C35" s="474">
        <f t="shared" si="21"/>
        <v>2662571.9</v>
      </c>
      <c r="D35" s="474">
        <f t="shared" si="21"/>
        <v>62921.7</v>
      </c>
      <c r="E35" s="474">
        <f t="shared" si="21"/>
        <v>24130.5</v>
      </c>
      <c r="F35" s="474">
        <f t="shared" si="21"/>
        <v>49852</v>
      </c>
      <c r="G35" s="474">
        <f t="shared" si="21"/>
        <v>228221.7</v>
      </c>
      <c r="H35" s="474">
        <f t="shared" si="21"/>
        <v>4637.2</v>
      </c>
      <c r="I35" s="475">
        <f t="shared" si="21"/>
        <v>1371.3</v>
      </c>
      <c r="J35" s="476">
        <f t="shared" si="21"/>
        <v>634323</v>
      </c>
      <c r="K35" s="474">
        <f t="shared" si="22"/>
        <v>2666503.7999999998</v>
      </c>
      <c r="L35" s="474">
        <f t="shared" si="22"/>
        <v>49951.6</v>
      </c>
      <c r="M35" s="474">
        <f t="shared" si="22"/>
        <v>11994.2</v>
      </c>
      <c r="N35" s="474">
        <f t="shared" si="22"/>
        <v>49841</v>
      </c>
      <c r="O35" s="474">
        <f t="shared" si="22"/>
        <v>228335.1</v>
      </c>
      <c r="P35" s="474">
        <f t="shared" si="22"/>
        <v>3854.6</v>
      </c>
      <c r="Q35" s="477">
        <f t="shared" si="22"/>
        <v>709.6</v>
      </c>
      <c r="S35" s="478">
        <f t="shared" si="23"/>
        <v>2.0446476990402682E-2</v>
      </c>
      <c r="T35" s="479">
        <f t="shared" si="23"/>
        <v>1.2267886194241608</v>
      </c>
      <c r="U35" s="499">
        <f>Inputs!$B$12</f>
        <v>1.67</v>
      </c>
      <c r="V35" s="480">
        <f t="shared" si="23"/>
        <v>3.4145616573972477E-2</v>
      </c>
      <c r="W35" s="478">
        <f t="shared" si="23"/>
        <v>1.5698467463692529E-2</v>
      </c>
      <c r="X35" s="480">
        <f t="shared" si="23"/>
        <v>0.9419080478215518</v>
      </c>
      <c r="Y35" s="481">
        <f t="shared" si="23"/>
        <v>-3931.8999999999069</v>
      </c>
      <c r="Z35" s="482">
        <f t="shared" si="23"/>
        <v>-113.39999999999418</v>
      </c>
    </row>
    <row r="36" spans="1:26" ht="15.75" thickBot="1">
      <c r="A36" s="472">
        <v>2050</v>
      </c>
      <c r="B36" s="473">
        <f t="shared" si="24"/>
        <v>634344</v>
      </c>
      <c r="C36" s="474">
        <f t="shared" si="21"/>
        <v>2662571.9</v>
      </c>
      <c r="D36" s="474">
        <f t="shared" si="21"/>
        <v>62921.7</v>
      </c>
      <c r="E36" s="474">
        <f t="shared" si="21"/>
        <v>24130.5</v>
      </c>
      <c r="F36" s="474">
        <f t="shared" si="21"/>
        <v>49852</v>
      </c>
      <c r="G36" s="474">
        <f t="shared" si="21"/>
        <v>228221.7</v>
      </c>
      <c r="H36" s="474">
        <f t="shared" si="21"/>
        <v>4637.2</v>
      </c>
      <c r="I36" s="475">
        <f t="shared" si="21"/>
        <v>1371.3</v>
      </c>
      <c r="J36" s="476">
        <f t="shared" si="21"/>
        <v>634323</v>
      </c>
      <c r="K36" s="474">
        <f t="shared" si="22"/>
        <v>2666503.7999999998</v>
      </c>
      <c r="L36" s="474">
        <f t="shared" si="22"/>
        <v>49951.6</v>
      </c>
      <c r="M36" s="474">
        <f t="shared" si="22"/>
        <v>11994.2</v>
      </c>
      <c r="N36" s="474">
        <f t="shared" si="22"/>
        <v>49841</v>
      </c>
      <c r="O36" s="474">
        <f t="shared" si="22"/>
        <v>228335.1</v>
      </c>
      <c r="P36" s="474">
        <f t="shared" si="22"/>
        <v>3854.6</v>
      </c>
      <c r="Q36" s="477">
        <f t="shared" si="22"/>
        <v>709.6</v>
      </c>
      <c r="S36" s="478">
        <f t="shared" si="23"/>
        <v>2.0446476990402682E-2</v>
      </c>
      <c r="T36" s="479">
        <f t="shared" si="23"/>
        <v>1.2267886194241608</v>
      </c>
      <c r="U36" s="499">
        <f>Inputs!$B$12</f>
        <v>1.67</v>
      </c>
      <c r="V36" s="480">
        <f t="shared" si="23"/>
        <v>3.4145616573972477E-2</v>
      </c>
      <c r="W36" s="478">
        <f t="shared" si="23"/>
        <v>1.5698467463692529E-2</v>
      </c>
      <c r="X36" s="480">
        <f t="shared" si="23"/>
        <v>0.9419080478215518</v>
      </c>
      <c r="Y36" s="481">
        <f t="shared" si="23"/>
        <v>-3931.8999999999069</v>
      </c>
      <c r="Z36" s="482">
        <f t="shared" si="23"/>
        <v>-113.39999999999418</v>
      </c>
    </row>
    <row r="37" spans="1:26" ht="15.75" thickBot="1">
      <c r="A37" s="472">
        <v>2051</v>
      </c>
      <c r="B37" s="473">
        <f t="shared" si="24"/>
        <v>634344</v>
      </c>
      <c r="C37" s="474">
        <f t="shared" si="21"/>
        <v>2662571.9</v>
      </c>
      <c r="D37" s="474">
        <f t="shared" si="21"/>
        <v>62921.7</v>
      </c>
      <c r="E37" s="474">
        <f t="shared" si="21"/>
        <v>24130.5</v>
      </c>
      <c r="F37" s="474">
        <f t="shared" si="21"/>
        <v>49852</v>
      </c>
      <c r="G37" s="474">
        <f t="shared" si="21"/>
        <v>228221.7</v>
      </c>
      <c r="H37" s="474">
        <f t="shared" si="21"/>
        <v>4637.2</v>
      </c>
      <c r="I37" s="475">
        <f t="shared" si="21"/>
        <v>1371.3</v>
      </c>
      <c r="J37" s="476">
        <f t="shared" si="21"/>
        <v>634323</v>
      </c>
      <c r="K37" s="474">
        <f t="shared" si="22"/>
        <v>2666503.7999999998</v>
      </c>
      <c r="L37" s="474">
        <f t="shared" si="22"/>
        <v>49951.6</v>
      </c>
      <c r="M37" s="474">
        <f t="shared" si="22"/>
        <v>11994.2</v>
      </c>
      <c r="N37" s="474">
        <f t="shared" si="22"/>
        <v>49841</v>
      </c>
      <c r="O37" s="474">
        <f t="shared" si="22"/>
        <v>228335.1</v>
      </c>
      <c r="P37" s="474">
        <f t="shared" si="22"/>
        <v>3854.6</v>
      </c>
      <c r="Q37" s="477">
        <f t="shared" si="22"/>
        <v>709.6</v>
      </c>
      <c r="S37" s="478">
        <f t="shared" si="23"/>
        <v>2.0446476990402682E-2</v>
      </c>
      <c r="T37" s="479">
        <f t="shared" si="23"/>
        <v>1.2267886194241608</v>
      </c>
      <c r="U37" s="499">
        <f>Inputs!$B$12</f>
        <v>1.67</v>
      </c>
      <c r="V37" s="480">
        <f t="shared" si="23"/>
        <v>3.4145616573972477E-2</v>
      </c>
      <c r="W37" s="478">
        <f t="shared" si="23"/>
        <v>1.5698467463692529E-2</v>
      </c>
      <c r="X37" s="480">
        <f t="shared" si="23"/>
        <v>0.9419080478215518</v>
      </c>
      <c r="Y37" s="481">
        <f t="shared" si="23"/>
        <v>-3931.8999999999069</v>
      </c>
      <c r="Z37" s="482">
        <f t="shared" si="23"/>
        <v>-113.39999999999418</v>
      </c>
    </row>
    <row r="38" spans="1:26" ht="15.75" thickBot="1">
      <c r="A38" s="472">
        <v>2052</v>
      </c>
      <c r="B38" s="473">
        <f t="shared" si="24"/>
        <v>634344</v>
      </c>
      <c r="C38" s="474">
        <f t="shared" si="21"/>
        <v>2662571.9</v>
      </c>
      <c r="D38" s="474">
        <f t="shared" si="21"/>
        <v>62921.7</v>
      </c>
      <c r="E38" s="474">
        <f t="shared" si="21"/>
        <v>24130.5</v>
      </c>
      <c r="F38" s="474">
        <f t="shared" si="21"/>
        <v>49852</v>
      </c>
      <c r="G38" s="474">
        <f t="shared" si="21"/>
        <v>228221.7</v>
      </c>
      <c r="H38" s="474">
        <f t="shared" si="21"/>
        <v>4637.2</v>
      </c>
      <c r="I38" s="475">
        <f t="shared" si="21"/>
        <v>1371.3</v>
      </c>
      <c r="J38" s="476">
        <f t="shared" si="21"/>
        <v>634323</v>
      </c>
      <c r="K38" s="474">
        <f t="shared" si="22"/>
        <v>2666503.7999999998</v>
      </c>
      <c r="L38" s="474">
        <f t="shared" si="22"/>
        <v>49951.6</v>
      </c>
      <c r="M38" s="474">
        <f t="shared" si="22"/>
        <v>11994.2</v>
      </c>
      <c r="N38" s="474">
        <f t="shared" si="22"/>
        <v>49841</v>
      </c>
      <c r="O38" s="474">
        <f t="shared" si="22"/>
        <v>228335.1</v>
      </c>
      <c r="P38" s="474">
        <f t="shared" si="22"/>
        <v>3854.6</v>
      </c>
      <c r="Q38" s="477">
        <f t="shared" si="22"/>
        <v>709.6</v>
      </c>
      <c r="S38" s="478">
        <f t="shared" si="23"/>
        <v>2.0446476990402682E-2</v>
      </c>
      <c r="T38" s="479">
        <f t="shared" si="23"/>
        <v>1.2267886194241608</v>
      </c>
      <c r="U38" s="499">
        <f>Inputs!$B$12</f>
        <v>1.67</v>
      </c>
      <c r="V38" s="480">
        <f t="shared" si="23"/>
        <v>3.4145616573972477E-2</v>
      </c>
      <c r="W38" s="478">
        <f t="shared" si="23"/>
        <v>1.5698467463692529E-2</v>
      </c>
      <c r="X38" s="480">
        <f t="shared" si="23"/>
        <v>0.9419080478215518</v>
      </c>
      <c r="Y38" s="481">
        <f t="shared" si="23"/>
        <v>-3931.8999999999069</v>
      </c>
      <c r="Z38" s="482">
        <f t="shared" si="23"/>
        <v>-113.39999999999418</v>
      </c>
    </row>
    <row r="39" spans="1:26" ht="15.75" thickBot="1">
      <c r="A39" s="472">
        <v>2053</v>
      </c>
      <c r="B39" s="473">
        <f t="shared" si="24"/>
        <v>634344</v>
      </c>
      <c r="C39" s="474">
        <f t="shared" si="21"/>
        <v>2662571.9</v>
      </c>
      <c r="D39" s="474">
        <f t="shared" si="21"/>
        <v>62921.7</v>
      </c>
      <c r="E39" s="474">
        <f t="shared" si="21"/>
        <v>24130.5</v>
      </c>
      <c r="F39" s="474">
        <f t="shared" si="21"/>
        <v>49852</v>
      </c>
      <c r="G39" s="474">
        <f t="shared" si="21"/>
        <v>228221.7</v>
      </c>
      <c r="H39" s="474">
        <f t="shared" si="21"/>
        <v>4637.2</v>
      </c>
      <c r="I39" s="475">
        <f t="shared" si="21"/>
        <v>1371.3</v>
      </c>
      <c r="J39" s="476">
        <f t="shared" si="21"/>
        <v>634323</v>
      </c>
      <c r="K39" s="474">
        <f t="shared" si="22"/>
        <v>2666503.7999999998</v>
      </c>
      <c r="L39" s="474">
        <f t="shared" si="22"/>
        <v>49951.6</v>
      </c>
      <c r="M39" s="474">
        <f t="shared" si="22"/>
        <v>11994.2</v>
      </c>
      <c r="N39" s="474">
        <f t="shared" si="22"/>
        <v>49841</v>
      </c>
      <c r="O39" s="474">
        <f t="shared" si="22"/>
        <v>228335.1</v>
      </c>
      <c r="P39" s="474">
        <f t="shared" si="22"/>
        <v>3854.6</v>
      </c>
      <c r="Q39" s="477">
        <f t="shared" si="22"/>
        <v>709.6</v>
      </c>
      <c r="S39" s="478">
        <f t="shared" si="23"/>
        <v>2.0446476990402682E-2</v>
      </c>
      <c r="T39" s="479">
        <f t="shared" si="23"/>
        <v>1.2267886194241608</v>
      </c>
      <c r="U39" s="499">
        <f>Inputs!$B$12</f>
        <v>1.67</v>
      </c>
      <c r="V39" s="480">
        <f t="shared" si="23"/>
        <v>3.4145616573972477E-2</v>
      </c>
      <c r="W39" s="478">
        <f t="shared" si="23"/>
        <v>1.5698467463692529E-2</v>
      </c>
      <c r="X39" s="480">
        <f t="shared" si="23"/>
        <v>0.9419080478215518</v>
      </c>
      <c r="Y39" s="481">
        <f t="shared" si="23"/>
        <v>-3931.8999999999069</v>
      </c>
      <c r="Z39" s="482">
        <f t="shared" si="23"/>
        <v>-113.39999999999418</v>
      </c>
    </row>
    <row r="40" spans="1:26" ht="15.75" thickBot="1">
      <c r="A40" s="472">
        <v>2054</v>
      </c>
      <c r="B40" s="473">
        <f t="shared" si="24"/>
        <v>634344</v>
      </c>
      <c r="C40" s="474">
        <f t="shared" si="21"/>
        <v>2662571.9</v>
      </c>
      <c r="D40" s="474">
        <f t="shared" si="21"/>
        <v>62921.7</v>
      </c>
      <c r="E40" s="474">
        <f t="shared" si="21"/>
        <v>24130.5</v>
      </c>
      <c r="F40" s="474">
        <f t="shared" si="21"/>
        <v>49852</v>
      </c>
      <c r="G40" s="474">
        <f t="shared" si="21"/>
        <v>228221.7</v>
      </c>
      <c r="H40" s="474">
        <f t="shared" si="21"/>
        <v>4637.2</v>
      </c>
      <c r="I40" s="475">
        <f t="shared" si="21"/>
        <v>1371.3</v>
      </c>
      <c r="J40" s="476">
        <f t="shared" si="21"/>
        <v>634323</v>
      </c>
      <c r="K40" s="474">
        <f t="shared" si="22"/>
        <v>2666503.7999999998</v>
      </c>
      <c r="L40" s="474">
        <f t="shared" si="22"/>
        <v>49951.6</v>
      </c>
      <c r="M40" s="474">
        <f t="shared" si="22"/>
        <v>11994.2</v>
      </c>
      <c r="N40" s="474">
        <f t="shared" si="22"/>
        <v>49841</v>
      </c>
      <c r="O40" s="474">
        <f t="shared" si="22"/>
        <v>228335.1</v>
      </c>
      <c r="P40" s="474">
        <f t="shared" si="22"/>
        <v>3854.6</v>
      </c>
      <c r="Q40" s="477">
        <f t="shared" si="22"/>
        <v>709.6</v>
      </c>
      <c r="S40" s="478">
        <f t="shared" si="23"/>
        <v>2.0446476990402682E-2</v>
      </c>
      <c r="T40" s="479">
        <f t="shared" si="23"/>
        <v>1.2267886194241608</v>
      </c>
      <c r="U40" s="499">
        <f>Inputs!$B$12</f>
        <v>1.67</v>
      </c>
      <c r="V40" s="480">
        <f t="shared" si="23"/>
        <v>3.4145616573972477E-2</v>
      </c>
      <c r="W40" s="478">
        <f t="shared" si="23"/>
        <v>1.5698467463692529E-2</v>
      </c>
      <c r="X40" s="480">
        <f t="shared" si="23"/>
        <v>0.9419080478215518</v>
      </c>
      <c r="Y40" s="481">
        <f t="shared" si="23"/>
        <v>-3931.8999999999069</v>
      </c>
      <c r="Z40" s="482">
        <f t="shared" si="23"/>
        <v>-113.39999999999418</v>
      </c>
    </row>
    <row r="41" spans="1:26" ht="15.75" thickBot="1">
      <c r="A41" s="472">
        <v>2055</v>
      </c>
      <c r="B41" s="473">
        <f t="shared" si="24"/>
        <v>634344</v>
      </c>
      <c r="C41" s="474">
        <f t="shared" si="21"/>
        <v>2662571.9</v>
      </c>
      <c r="D41" s="474">
        <f t="shared" si="21"/>
        <v>62921.7</v>
      </c>
      <c r="E41" s="474">
        <f t="shared" si="21"/>
        <v>24130.5</v>
      </c>
      <c r="F41" s="474">
        <f t="shared" si="21"/>
        <v>49852</v>
      </c>
      <c r="G41" s="474">
        <f t="shared" si="21"/>
        <v>228221.7</v>
      </c>
      <c r="H41" s="474">
        <f t="shared" si="21"/>
        <v>4637.2</v>
      </c>
      <c r="I41" s="475">
        <f t="shared" si="21"/>
        <v>1371.3</v>
      </c>
      <c r="J41" s="476">
        <f t="shared" si="21"/>
        <v>634323</v>
      </c>
      <c r="K41" s="474">
        <f t="shared" si="22"/>
        <v>2666503.7999999998</v>
      </c>
      <c r="L41" s="474">
        <f t="shared" si="22"/>
        <v>49951.6</v>
      </c>
      <c r="M41" s="474">
        <f t="shared" si="22"/>
        <v>11994.2</v>
      </c>
      <c r="N41" s="474">
        <f t="shared" si="22"/>
        <v>49841</v>
      </c>
      <c r="O41" s="474">
        <f t="shared" si="22"/>
        <v>228335.1</v>
      </c>
      <c r="P41" s="474">
        <f t="shared" si="22"/>
        <v>3854.6</v>
      </c>
      <c r="Q41" s="477">
        <f t="shared" si="22"/>
        <v>709.6</v>
      </c>
      <c r="S41" s="488">
        <f t="shared" si="23"/>
        <v>2.0446476990402682E-2</v>
      </c>
      <c r="T41" s="489">
        <f t="shared" si="23"/>
        <v>1.2267886194241608</v>
      </c>
      <c r="U41" s="499">
        <f>Inputs!$B$12</f>
        <v>1.67</v>
      </c>
      <c r="V41" s="490">
        <f t="shared" si="23"/>
        <v>3.4145616573972477E-2</v>
      </c>
      <c r="W41" s="488">
        <f t="shared" si="23"/>
        <v>1.5698467463692529E-2</v>
      </c>
      <c r="X41" s="490">
        <f t="shared" si="23"/>
        <v>0.9419080478215518</v>
      </c>
      <c r="Y41" s="491">
        <f t="shared" si="23"/>
        <v>-3931.8999999999069</v>
      </c>
      <c r="Z41" s="492">
        <f t="shared" si="23"/>
        <v>-113.39999999999418</v>
      </c>
    </row>
    <row r="42" spans="1:26" ht="15.75" thickBot="1">
      <c r="A42" s="472">
        <v>2056</v>
      </c>
      <c r="B42" s="473">
        <f t="shared" si="24"/>
        <v>634344</v>
      </c>
      <c r="C42" s="474">
        <f t="shared" si="21"/>
        <v>2662571.9</v>
      </c>
      <c r="D42" s="474">
        <f t="shared" si="21"/>
        <v>62921.7</v>
      </c>
      <c r="E42" s="474">
        <f t="shared" si="21"/>
        <v>24130.5</v>
      </c>
      <c r="F42" s="474">
        <f t="shared" si="21"/>
        <v>49852</v>
      </c>
      <c r="G42" s="474">
        <f t="shared" si="21"/>
        <v>228221.7</v>
      </c>
      <c r="H42" s="474">
        <f t="shared" si="21"/>
        <v>4637.2</v>
      </c>
      <c r="I42" s="475">
        <f t="shared" si="21"/>
        <v>1371.3</v>
      </c>
      <c r="J42" s="476">
        <f t="shared" si="21"/>
        <v>634323</v>
      </c>
      <c r="K42" s="474">
        <f t="shared" si="22"/>
        <v>2666503.7999999998</v>
      </c>
      <c r="L42" s="474">
        <f t="shared" si="22"/>
        <v>49951.6</v>
      </c>
      <c r="M42" s="474">
        <f t="shared" si="22"/>
        <v>11994.2</v>
      </c>
      <c r="N42" s="474">
        <f t="shared" si="22"/>
        <v>49841</v>
      </c>
      <c r="O42" s="474">
        <f t="shared" si="22"/>
        <v>228335.1</v>
      </c>
      <c r="P42" s="474">
        <f t="shared" si="22"/>
        <v>3854.6</v>
      </c>
      <c r="Q42" s="477">
        <f t="shared" si="22"/>
        <v>709.6</v>
      </c>
      <c r="S42" s="478">
        <f t="shared" si="23"/>
        <v>2.0446476990402682E-2</v>
      </c>
      <c r="T42" s="479">
        <f t="shared" si="23"/>
        <v>1.2267886194241608</v>
      </c>
      <c r="U42" s="499">
        <f>Inputs!$B$12</f>
        <v>1.67</v>
      </c>
      <c r="V42" s="480">
        <f t="shared" si="23"/>
        <v>3.4145616573972477E-2</v>
      </c>
      <c r="W42" s="478">
        <f t="shared" si="23"/>
        <v>1.5698467463692529E-2</v>
      </c>
      <c r="X42" s="480">
        <f t="shared" si="23"/>
        <v>0.9419080478215518</v>
      </c>
      <c r="Y42" s="481">
        <f t="shared" si="23"/>
        <v>-3931.8999999999069</v>
      </c>
      <c r="Z42" s="482">
        <f t="shared" si="23"/>
        <v>-113.39999999999418</v>
      </c>
    </row>
    <row r="43" spans="1:26" ht="15.75" thickBot="1">
      <c r="A43" s="472">
        <v>2057</v>
      </c>
      <c r="B43" s="473">
        <f t="shared" si="24"/>
        <v>634344</v>
      </c>
      <c r="C43" s="474">
        <f t="shared" si="21"/>
        <v>2662571.9</v>
      </c>
      <c r="D43" s="474">
        <f t="shared" si="21"/>
        <v>62921.7</v>
      </c>
      <c r="E43" s="474">
        <f t="shared" si="21"/>
        <v>24130.5</v>
      </c>
      <c r="F43" s="474">
        <f t="shared" si="21"/>
        <v>49852</v>
      </c>
      <c r="G43" s="474">
        <f t="shared" si="21"/>
        <v>228221.7</v>
      </c>
      <c r="H43" s="474">
        <f t="shared" si="21"/>
        <v>4637.2</v>
      </c>
      <c r="I43" s="475">
        <f t="shared" si="21"/>
        <v>1371.3</v>
      </c>
      <c r="J43" s="476">
        <f t="shared" si="21"/>
        <v>634323</v>
      </c>
      <c r="K43" s="474">
        <f t="shared" si="22"/>
        <v>2666503.7999999998</v>
      </c>
      <c r="L43" s="474">
        <f t="shared" si="22"/>
        <v>49951.6</v>
      </c>
      <c r="M43" s="474">
        <f t="shared" si="22"/>
        <v>11994.2</v>
      </c>
      <c r="N43" s="474">
        <f t="shared" si="22"/>
        <v>49841</v>
      </c>
      <c r="O43" s="474">
        <f t="shared" si="22"/>
        <v>228335.1</v>
      </c>
      <c r="P43" s="474">
        <f t="shared" si="22"/>
        <v>3854.6</v>
      </c>
      <c r="Q43" s="477">
        <f t="shared" si="22"/>
        <v>709.6</v>
      </c>
      <c r="S43" s="478">
        <f t="shared" si="23"/>
        <v>2.0446476990402682E-2</v>
      </c>
      <c r="T43" s="479">
        <f t="shared" si="23"/>
        <v>1.2267886194241608</v>
      </c>
      <c r="U43" s="499">
        <f>Inputs!$B$12</f>
        <v>1.67</v>
      </c>
      <c r="V43" s="480">
        <f t="shared" si="23"/>
        <v>3.4145616573972477E-2</v>
      </c>
      <c r="W43" s="478">
        <f t="shared" si="23"/>
        <v>1.5698467463692529E-2</v>
      </c>
      <c r="X43" s="480">
        <f t="shared" si="23"/>
        <v>0.9419080478215518</v>
      </c>
      <c r="Y43" s="481">
        <f t="shared" si="23"/>
        <v>-3931.8999999999069</v>
      </c>
      <c r="Z43" s="482">
        <f t="shared" si="23"/>
        <v>-113.39999999999418</v>
      </c>
    </row>
    <row r="44" spans="1:26" ht="15.75" thickBot="1">
      <c r="A44" s="472">
        <v>2058</v>
      </c>
      <c r="B44" s="473">
        <f t="shared" si="24"/>
        <v>634344</v>
      </c>
      <c r="C44" s="474">
        <f t="shared" si="21"/>
        <v>2662571.9</v>
      </c>
      <c r="D44" s="474">
        <f t="shared" si="21"/>
        <v>62921.7</v>
      </c>
      <c r="E44" s="474">
        <f t="shared" si="21"/>
        <v>24130.5</v>
      </c>
      <c r="F44" s="474">
        <f t="shared" si="21"/>
        <v>49852</v>
      </c>
      <c r="G44" s="474">
        <f t="shared" si="21"/>
        <v>228221.7</v>
      </c>
      <c r="H44" s="474">
        <f t="shared" si="21"/>
        <v>4637.2</v>
      </c>
      <c r="I44" s="475">
        <f t="shared" si="21"/>
        <v>1371.3</v>
      </c>
      <c r="J44" s="476">
        <f t="shared" si="21"/>
        <v>634323</v>
      </c>
      <c r="K44" s="474">
        <f t="shared" si="22"/>
        <v>2666503.7999999998</v>
      </c>
      <c r="L44" s="474">
        <f t="shared" si="22"/>
        <v>49951.6</v>
      </c>
      <c r="M44" s="474">
        <f t="shared" si="22"/>
        <v>11994.2</v>
      </c>
      <c r="N44" s="474">
        <f t="shared" si="22"/>
        <v>49841</v>
      </c>
      <c r="O44" s="474">
        <f t="shared" si="22"/>
        <v>228335.1</v>
      </c>
      <c r="P44" s="474">
        <f t="shared" si="22"/>
        <v>3854.6</v>
      </c>
      <c r="Q44" s="477">
        <f t="shared" si="22"/>
        <v>709.6</v>
      </c>
      <c r="S44" s="478">
        <f t="shared" si="23"/>
        <v>2.0446476990402682E-2</v>
      </c>
      <c r="T44" s="479">
        <f t="shared" si="23"/>
        <v>1.2267886194241608</v>
      </c>
      <c r="U44" s="499">
        <f>Inputs!$B$12</f>
        <v>1.67</v>
      </c>
      <c r="V44" s="480">
        <f t="shared" si="23"/>
        <v>3.4145616573972477E-2</v>
      </c>
      <c r="W44" s="478">
        <f t="shared" si="23"/>
        <v>1.5698467463692529E-2</v>
      </c>
      <c r="X44" s="480">
        <f t="shared" si="23"/>
        <v>0.9419080478215518</v>
      </c>
      <c r="Y44" s="481">
        <f t="shared" si="23"/>
        <v>-3931.8999999999069</v>
      </c>
      <c r="Z44" s="482">
        <f t="shared" si="23"/>
        <v>-113.39999999999418</v>
      </c>
    </row>
    <row r="45" spans="1:26" ht="15.75" thickBot="1">
      <c r="A45" s="472">
        <v>2059</v>
      </c>
      <c r="B45" s="473">
        <f t="shared" si="24"/>
        <v>634344</v>
      </c>
      <c r="C45" s="474">
        <f t="shared" si="21"/>
        <v>2662571.9</v>
      </c>
      <c r="D45" s="474">
        <f t="shared" si="21"/>
        <v>62921.7</v>
      </c>
      <c r="E45" s="474">
        <f t="shared" si="21"/>
        <v>24130.5</v>
      </c>
      <c r="F45" s="474">
        <f t="shared" si="21"/>
        <v>49852</v>
      </c>
      <c r="G45" s="474">
        <f t="shared" si="21"/>
        <v>228221.7</v>
      </c>
      <c r="H45" s="474">
        <f t="shared" si="21"/>
        <v>4637.2</v>
      </c>
      <c r="I45" s="475">
        <f t="shared" si="21"/>
        <v>1371.3</v>
      </c>
      <c r="J45" s="476">
        <f t="shared" si="21"/>
        <v>634323</v>
      </c>
      <c r="K45" s="474">
        <f t="shared" si="22"/>
        <v>2666503.7999999998</v>
      </c>
      <c r="L45" s="474">
        <f t="shared" si="22"/>
        <v>49951.6</v>
      </c>
      <c r="M45" s="474">
        <f t="shared" si="22"/>
        <v>11994.2</v>
      </c>
      <c r="N45" s="474">
        <f t="shared" si="22"/>
        <v>49841</v>
      </c>
      <c r="O45" s="474">
        <f t="shared" si="22"/>
        <v>228335.1</v>
      </c>
      <c r="P45" s="474">
        <f t="shared" si="22"/>
        <v>3854.6</v>
      </c>
      <c r="Q45" s="477">
        <f t="shared" si="22"/>
        <v>709.6</v>
      </c>
      <c r="S45" s="478">
        <f t="shared" si="23"/>
        <v>2.0446476990402682E-2</v>
      </c>
      <c r="T45" s="479">
        <f t="shared" si="23"/>
        <v>1.2267886194241608</v>
      </c>
      <c r="U45" s="499">
        <f>Inputs!$B$12</f>
        <v>1.67</v>
      </c>
      <c r="V45" s="480">
        <f t="shared" si="23"/>
        <v>3.4145616573972477E-2</v>
      </c>
      <c r="W45" s="478">
        <f t="shared" si="23"/>
        <v>1.5698467463692529E-2</v>
      </c>
      <c r="X45" s="480">
        <f t="shared" si="23"/>
        <v>0.9419080478215518</v>
      </c>
      <c r="Y45" s="481">
        <f t="shared" si="23"/>
        <v>-3931.8999999999069</v>
      </c>
      <c r="Z45" s="482">
        <f t="shared" si="23"/>
        <v>-113.39999999999418</v>
      </c>
    </row>
    <row r="46" spans="1:26" ht="15.75" thickBot="1">
      <c r="A46" s="493">
        <v>2060</v>
      </c>
      <c r="B46" s="494">
        <f t="shared" si="24"/>
        <v>634344</v>
      </c>
      <c r="C46" s="495">
        <f t="shared" si="21"/>
        <v>2662571.9</v>
      </c>
      <c r="D46" s="495">
        <f t="shared" si="21"/>
        <v>62921.7</v>
      </c>
      <c r="E46" s="496">
        <f t="shared" si="21"/>
        <v>24130.5</v>
      </c>
      <c r="F46" s="496">
        <f t="shared" si="21"/>
        <v>49852</v>
      </c>
      <c r="G46" s="496">
        <f t="shared" si="21"/>
        <v>228221.7</v>
      </c>
      <c r="H46" s="495">
        <f t="shared" si="21"/>
        <v>4637.2</v>
      </c>
      <c r="I46" s="497">
        <f t="shared" si="21"/>
        <v>1371.3</v>
      </c>
      <c r="J46" s="495">
        <f t="shared" si="21"/>
        <v>634323</v>
      </c>
      <c r="K46" s="495">
        <f t="shared" si="22"/>
        <v>2666503.7999999998</v>
      </c>
      <c r="L46" s="495">
        <f t="shared" si="22"/>
        <v>49951.6</v>
      </c>
      <c r="M46" s="496">
        <f t="shared" si="22"/>
        <v>11994.2</v>
      </c>
      <c r="N46" s="496">
        <f t="shared" si="22"/>
        <v>49841</v>
      </c>
      <c r="O46" s="496">
        <f t="shared" si="22"/>
        <v>228335.1</v>
      </c>
      <c r="P46" s="495">
        <f t="shared" si="22"/>
        <v>3854.6</v>
      </c>
      <c r="Q46" s="498">
        <f t="shared" si="22"/>
        <v>709.6</v>
      </c>
      <c r="S46" s="488">
        <f t="shared" si="23"/>
        <v>2.0446476990402682E-2</v>
      </c>
      <c r="T46" s="489">
        <f t="shared" si="23"/>
        <v>1.2267886194241608</v>
      </c>
      <c r="U46" s="499">
        <f>Inputs!$B$12</f>
        <v>1.67</v>
      </c>
      <c r="V46" s="490">
        <f t="shared" si="23"/>
        <v>3.4145616573972477E-2</v>
      </c>
      <c r="W46" s="488">
        <f t="shared" si="23"/>
        <v>1.5698467463692529E-2</v>
      </c>
      <c r="X46" s="490">
        <f t="shared" si="23"/>
        <v>0.9419080478215518</v>
      </c>
      <c r="Y46" s="491">
        <f t="shared" si="23"/>
        <v>-3931.8999999999069</v>
      </c>
      <c r="Z46" s="492">
        <f t="shared" si="23"/>
        <v>-113.39999999999418</v>
      </c>
    </row>
    <row r="47" spans="1:26" ht="15.75" thickTop="1">
      <c r="A47" s="808" t="s">
        <v>853</v>
      </c>
      <c r="B47" s="808"/>
      <c r="C47" s="808"/>
      <c r="D47" s="808"/>
      <c r="E47" s="808"/>
      <c r="F47" s="808"/>
      <c r="G47" s="808"/>
      <c r="H47" s="808"/>
      <c r="I47" s="808"/>
      <c r="J47" s="808"/>
      <c r="K47" s="808"/>
      <c r="L47" s="808"/>
      <c r="M47" s="808"/>
      <c r="N47" s="808"/>
      <c r="O47" s="808"/>
      <c r="P47" s="808"/>
      <c r="Q47" s="808"/>
    </row>
    <row r="48" spans="1:26" ht="15" customHeight="1">
      <c r="A48" s="813" t="s">
        <v>854</v>
      </c>
      <c r="B48" s="813"/>
      <c r="C48" s="813"/>
      <c r="D48" s="813"/>
      <c r="E48" s="813"/>
      <c r="F48" s="813"/>
      <c r="G48" s="813"/>
      <c r="H48" s="813"/>
      <c r="I48" s="813"/>
      <c r="J48" s="813"/>
      <c r="K48" s="813"/>
      <c r="L48" s="813"/>
      <c r="M48" s="813"/>
      <c r="N48" s="813"/>
      <c r="O48" s="813"/>
      <c r="P48" s="813"/>
      <c r="Q48" s="813"/>
    </row>
    <row r="49" spans="1:17" ht="15" customHeight="1">
      <c r="A49" s="814" t="s">
        <v>855</v>
      </c>
      <c r="B49" s="814"/>
      <c r="C49" s="814"/>
      <c r="D49" s="814"/>
      <c r="E49" s="814"/>
      <c r="F49" s="814"/>
      <c r="G49" s="814"/>
      <c r="H49" s="814"/>
      <c r="I49" s="814"/>
      <c r="J49" s="814"/>
      <c r="K49" s="814"/>
      <c r="L49" s="814"/>
      <c r="M49" s="814"/>
      <c r="N49" s="814"/>
      <c r="O49" s="814"/>
      <c r="P49" s="814"/>
      <c r="Q49" s="814"/>
    </row>
    <row r="50" spans="1:17" ht="30" customHeight="1">
      <c r="A50" s="815" t="s">
        <v>856</v>
      </c>
      <c r="B50" s="815"/>
      <c r="C50" s="815"/>
      <c r="D50" s="815"/>
      <c r="E50" s="815"/>
      <c r="F50" s="815"/>
      <c r="G50" s="815"/>
      <c r="H50" s="815"/>
      <c r="I50" s="815"/>
      <c r="J50" s="815"/>
      <c r="K50" s="815"/>
      <c r="L50" s="815"/>
      <c r="M50" s="815"/>
      <c r="N50" s="815"/>
      <c r="O50" s="815"/>
      <c r="P50" s="815"/>
      <c r="Q50" s="815"/>
    </row>
    <row r="52" spans="1:17">
      <c r="A52" s="416" t="s">
        <v>863</v>
      </c>
    </row>
  </sheetData>
  <sheetProtection algorithmName="SHA-512" hashValue="SYVf3mznNt6kvCRwvRezSQgXBY3lXht2zdtEgpZcOHgeEwj3xxnDDeSD2tdvjLnHaoPT0pbBn/zcckEmtLiI1g==" saltValue="W1P/v8tfLqNqzoQlFgOwEw==" spinCount="100000" sheet="1" objects="1" scenarios="1"/>
  <mergeCells count="39">
    <mergeCell ref="A48:I48"/>
    <mergeCell ref="J48:Q48"/>
    <mergeCell ref="A49:I49"/>
    <mergeCell ref="J49:Q49"/>
    <mergeCell ref="A50:I50"/>
    <mergeCell ref="J50:Q50"/>
    <mergeCell ref="Y3:Z3"/>
    <mergeCell ref="AC3:AC4"/>
    <mergeCell ref="AD3:AE3"/>
    <mergeCell ref="AF3:AG3"/>
    <mergeCell ref="AH3:AI3"/>
    <mergeCell ref="J47:Q47"/>
    <mergeCell ref="J3:J4"/>
    <mergeCell ref="K3:K4"/>
    <mergeCell ref="M3:M4"/>
    <mergeCell ref="N3:N4"/>
    <mergeCell ref="O3:O4"/>
    <mergeCell ref="Q3:Q4"/>
    <mergeCell ref="E3:E4"/>
    <mergeCell ref="F3:F4"/>
    <mergeCell ref="G3:G4"/>
    <mergeCell ref="I3:I4"/>
    <mergeCell ref="A47:I47"/>
    <mergeCell ref="A1:I1"/>
    <mergeCell ref="J1:Q1"/>
    <mergeCell ref="S1:V1"/>
    <mergeCell ref="W1:X1"/>
    <mergeCell ref="A2:A4"/>
    <mergeCell ref="B2:E2"/>
    <mergeCell ref="F2:I2"/>
    <mergeCell ref="J2:M2"/>
    <mergeCell ref="N2:Q2"/>
    <mergeCell ref="S2:S3"/>
    <mergeCell ref="T2:T3"/>
    <mergeCell ref="U2:U3"/>
    <mergeCell ref="W2:W3"/>
    <mergeCell ref="X2:X3"/>
    <mergeCell ref="B3:B4"/>
    <mergeCell ref="C3:C4"/>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9" tint="0.79998168889431442"/>
  </sheetPr>
  <dimension ref="A1:I107"/>
  <sheetViews>
    <sheetView zoomScale="85" zoomScaleNormal="85" workbookViewId="0">
      <selection activeCell="A107" sqref="A107"/>
    </sheetView>
  </sheetViews>
  <sheetFormatPr defaultColWidth="8.85546875" defaultRowHeight="12.75"/>
  <cols>
    <col min="1" max="1" width="16.7109375" style="72" bestFit="1" customWidth="1"/>
    <col min="2" max="3" width="27.7109375" style="72" bestFit="1" customWidth="1"/>
    <col min="4" max="4" width="13.85546875" style="72" bestFit="1" customWidth="1"/>
    <col min="5" max="5" width="9.7109375" style="72" bestFit="1" customWidth="1"/>
    <col min="6" max="7" width="13.85546875" style="72" bestFit="1" customWidth="1"/>
    <col min="8" max="8" width="22.28515625" style="72" bestFit="1" customWidth="1"/>
    <col min="9" max="9" width="18.140625" style="72" bestFit="1" customWidth="1"/>
    <col min="10" max="256" width="8.85546875" style="72"/>
    <col min="257" max="257" width="16.7109375" style="72" bestFit="1" customWidth="1"/>
    <col min="258" max="259" width="27.7109375" style="72" bestFit="1" customWidth="1"/>
    <col min="260" max="260" width="13.85546875" style="72" bestFit="1" customWidth="1"/>
    <col min="261" max="261" width="9.7109375" style="72" bestFit="1" customWidth="1"/>
    <col min="262" max="263" width="13.85546875" style="72" bestFit="1" customWidth="1"/>
    <col min="264" max="264" width="22.28515625" style="72" bestFit="1" customWidth="1"/>
    <col min="265" max="265" width="18.140625" style="72" bestFit="1" customWidth="1"/>
    <col min="266" max="512" width="8.85546875" style="72"/>
    <col min="513" max="513" width="16.7109375" style="72" bestFit="1" customWidth="1"/>
    <col min="514" max="515" width="27.7109375" style="72" bestFit="1" customWidth="1"/>
    <col min="516" max="516" width="13.85546875" style="72" bestFit="1" customWidth="1"/>
    <col min="517" max="517" width="9.7109375" style="72" bestFit="1" customWidth="1"/>
    <col min="518" max="519" width="13.85546875" style="72" bestFit="1" customWidth="1"/>
    <col min="520" max="520" width="22.28515625" style="72" bestFit="1" customWidth="1"/>
    <col min="521" max="521" width="18.140625" style="72" bestFit="1" customWidth="1"/>
    <col min="522" max="768" width="8.85546875" style="72"/>
    <col min="769" max="769" width="16.7109375" style="72" bestFit="1" customWidth="1"/>
    <col min="770" max="771" width="27.7109375" style="72" bestFit="1" customWidth="1"/>
    <col min="772" max="772" width="13.85546875" style="72" bestFit="1" customWidth="1"/>
    <col min="773" max="773" width="9.7109375" style="72" bestFit="1" customWidth="1"/>
    <col min="774" max="775" width="13.85546875" style="72" bestFit="1" customWidth="1"/>
    <col min="776" max="776" width="22.28515625" style="72" bestFit="1" customWidth="1"/>
    <col min="777" max="777" width="18.140625" style="72" bestFit="1" customWidth="1"/>
    <col min="778" max="1024" width="8.85546875" style="72"/>
    <col min="1025" max="1025" width="16.7109375" style="72" bestFit="1" customWidth="1"/>
    <col min="1026" max="1027" width="27.7109375" style="72" bestFit="1" customWidth="1"/>
    <col min="1028" max="1028" width="13.85546875" style="72" bestFit="1" customWidth="1"/>
    <col min="1029" max="1029" width="9.7109375" style="72" bestFit="1" customWidth="1"/>
    <col min="1030" max="1031" width="13.85546875" style="72" bestFit="1" customWidth="1"/>
    <col min="1032" max="1032" width="22.28515625" style="72" bestFit="1" customWidth="1"/>
    <col min="1033" max="1033" width="18.140625" style="72" bestFit="1" customWidth="1"/>
    <col min="1034" max="1280" width="8.85546875" style="72"/>
    <col min="1281" max="1281" width="16.7109375" style="72" bestFit="1" customWidth="1"/>
    <col min="1282" max="1283" width="27.7109375" style="72" bestFit="1" customWidth="1"/>
    <col min="1284" max="1284" width="13.85546875" style="72" bestFit="1" customWidth="1"/>
    <col min="1285" max="1285" width="9.7109375" style="72" bestFit="1" customWidth="1"/>
    <col min="1286" max="1287" width="13.85546875" style="72" bestFit="1" customWidth="1"/>
    <col min="1288" max="1288" width="22.28515625" style="72" bestFit="1" customWidth="1"/>
    <col min="1289" max="1289" width="18.140625" style="72" bestFit="1" customWidth="1"/>
    <col min="1290" max="1536" width="8.85546875" style="72"/>
    <col min="1537" max="1537" width="16.7109375" style="72" bestFit="1" customWidth="1"/>
    <col min="1538" max="1539" width="27.7109375" style="72" bestFit="1" customWidth="1"/>
    <col min="1540" max="1540" width="13.85546875" style="72" bestFit="1" customWidth="1"/>
    <col min="1541" max="1541" width="9.7109375" style="72" bestFit="1" customWidth="1"/>
    <col min="1542" max="1543" width="13.85546875" style="72" bestFit="1" customWidth="1"/>
    <col min="1544" max="1544" width="22.28515625" style="72" bestFit="1" customWidth="1"/>
    <col min="1545" max="1545" width="18.140625" style="72" bestFit="1" customWidth="1"/>
    <col min="1546" max="1792" width="8.85546875" style="72"/>
    <col min="1793" max="1793" width="16.7109375" style="72" bestFit="1" customWidth="1"/>
    <col min="1794" max="1795" width="27.7109375" style="72" bestFit="1" customWidth="1"/>
    <col min="1796" max="1796" width="13.85546875" style="72" bestFit="1" customWidth="1"/>
    <col min="1797" max="1797" width="9.7109375" style="72" bestFit="1" customWidth="1"/>
    <col min="1798" max="1799" width="13.85546875" style="72" bestFit="1" customWidth="1"/>
    <col min="1800" max="1800" width="22.28515625" style="72" bestFit="1" customWidth="1"/>
    <col min="1801" max="1801" width="18.140625" style="72" bestFit="1" customWidth="1"/>
    <col min="1802" max="2048" width="8.85546875" style="72"/>
    <col min="2049" max="2049" width="16.7109375" style="72" bestFit="1" customWidth="1"/>
    <col min="2050" max="2051" width="27.7109375" style="72" bestFit="1" customWidth="1"/>
    <col min="2052" max="2052" width="13.85546875" style="72" bestFit="1" customWidth="1"/>
    <col min="2053" max="2053" width="9.7109375" style="72" bestFit="1" customWidth="1"/>
    <col min="2054" max="2055" width="13.85546875" style="72" bestFit="1" customWidth="1"/>
    <col min="2056" max="2056" width="22.28515625" style="72" bestFit="1" customWidth="1"/>
    <col min="2057" max="2057" width="18.140625" style="72" bestFit="1" customWidth="1"/>
    <col min="2058" max="2304" width="8.85546875" style="72"/>
    <col min="2305" max="2305" width="16.7109375" style="72" bestFit="1" customWidth="1"/>
    <col min="2306" max="2307" width="27.7109375" style="72" bestFit="1" customWidth="1"/>
    <col min="2308" max="2308" width="13.85546875" style="72" bestFit="1" customWidth="1"/>
    <col min="2309" max="2309" width="9.7109375" style="72" bestFit="1" customWidth="1"/>
    <col min="2310" max="2311" width="13.85546875" style="72" bestFit="1" customWidth="1"/>
    <col min="2312" max="2312" width="22.28515625" style="72" bestFit="1" customWidth="1"/>
    <col min="2313" max="2313" width="18.140625" style="72" bestFit="1" customWidth="1"/>
    <col min="2314" max="2560" width="8.85546875" style="72"/>
    <col min="2561" max="2561" width="16.7109375" style="72" bestFit="1" customWidth="1"/>
    <col min="2562" max="2563" width="27.7109375" style="72" bestFit="1" customWidth="1"/>
    <col min="2564" max="2564" width="13.85546875" style="72" bestFit="1" customWidth="1"/>
    <col min="2565" max="2565" width="9.7109375" style="72" bestFit="1" customWidth="1"/>
    <col min="2566" max="2567" width="13.85546875" style="72" bestFit="1" customWidth="1"/>
    <col min="2568" max="2568" width="22.28515625" style="72" bestFit="1" customWidth="1"/>
    <col min="2569" max="2569" width="18.140625" style="72" bestFit="1" customWidth="1"/>
    <col min="2570" max="2816" width="8.85546875" style="72"/>
    <col min="2817" max="2817" width="16.7109375" style="72" bestFit="1" customWidth="1"/>
    <col min="2818" max="2819" width="27.7109375" style="72" bestFit="1" customWidth="1"/>
    <col min="2820" max="2820" width="13.85546875" style="72" bestFit="1" customWidth="1"/>
    <col min="2821" max="2821" width="9.7109375" style="72" bestFit="1" customWidth="1"/>
    <col min="2822" max="2823" width="13.85546875" style="72" bestFit="1" customWidth="1"/>
    <col min="2824" max="2824" width="22.28515625" style="72" bestFit="1" customWidth="1"/>
    <col min="2825" max="2825" width="18.140625" style="72" bestFit="1" customWidth="1"/>
    <col min="2826" max="3072" width="8.85546875" style="72"/>
    <col min="3073" max="3073" width="16.7109375" style="72" bestFit="1" customWidth="1"/>
    <col min="3074" max="3075" width="27.7109375" style="72" bestFit="1" customWidth="1"/>
    <col min="3076" max="3076" width="13.85546875" style="72" bestFit="1" customWidth="1"/>
    <col min="3077" max="3077" width="9.7109375" style="72" bestFit="1" customWidth="1"/>
    <col min="3078" max="3079" width="13.85546875" style="72" bestFit="1" customWidth="1"/>
    <col min="3080" max="3080" width="22.28515625" style="72" bestFit="1" customWidth="1"/>
    <col min="3081" max="3081" width="18.140625" style="72" bestFit="1" customWidth="1"/>
    <col min="3082" max="3328" width="8.85546875" style="72"/>
    <col min="3329" max="3329" width="16.7109375" style="72" bestFit="1" customWidth="1"/>
    <col min="3330" max="3331" width="27.7109375" style="72" bestFit="1" customWidth="1"/>
    <col min="3332" max="3332" width="13.85546875" style="72" bestFit="1" customWidth="1"/>
    <col min="3333" max="3333" width="9.7109375" style="72" bestFit="1" customWidth="1"/>
    <col min="3334" max="3335" width="13.85546875" style="72" bestFit="1" customWidth="1"/>
    <col min="3336" max="3336" width="22.28515625" style="72" bestFit="1" customWidth="1"/>
    <col min="3337" max="3337" width="18.140625" style="72" bestFit="1" customWidth="1"/>
    <col min="3338" max="3584" width="8.85546875" style="72"/>
    <col min="3585" max="3585" width="16.7109375" style="72" bestFit="1" customWidth="1"/>
    <col min="3586" max="3587" width="27.7109375" style="72" bestFit="1" customWidth="1"/>
    <col min="3588" max="3588" width="13.85546875" style="72" bestFit="1" customWidth="1"/>
    <col min="3589" max="3589" width="9.7109375" style="72" bestFit="1" customWidth="1"/>
    <col min="3590" max="3591" width="13.85546875" style="72" bestFit="1" customWidth="1"/>
    <col min="3592" max="3592" width="22.28515625" style="72" bestFit="1" customWidth="1"/>
    <col min="3593" max="3593" width="18.140625" style="72" bestFit="1" customWidth="1"/>
    <col min="3594" max="3840" width="8.85546875" style="72"/>
    <col min="3841" max="3841" width="16.7109375" style="72" bestFit="1" customWidth="1"/>
    <col min="3842" max="3843" width="27.7109375" style="72" bestFit="1" customWidth="1"/>
    <col min="3844" max="3844" width="13.85546875" style="72" bestFit="1" customWidth="1"/>
    <col min="3845" max="3845" width="9.7109375" style="72" bestFit="1" customWidth="1"/>
    <col min="3846" max="3847" width="13.85546875" style="72" bestFit="1" customWidth="1"/>
    <col min="3848" max="3848" width="22.28515625" style="72" bestFit="1" customWidth="1"/>
    <col min="3849" max="3849" width="18.140625" style="72" bestFit="1" customWidth="1"/>
    <col min="3850" max="4096" width="8.85546875" style="72"/>
    <col min="4097" max="4097" width="16.7109375" style="72" bestFit="1" customWidth="1"/>
    <col min="4098" max="4099" width="27.7109375" style="72" bestFit="1" customWidth="1"/>
    <col min="4100" max="4100" width="13.85546875" style="72" bestFit="1" customWidth="1"/>
    <col min="4101" max="4101" width="9.7109375" style="72" bestFit="1" customWidth="1"/>
    <col min="4102" max="4103" width="13.85546875" style="72" bestFit="1" customWidth="1"/>
    <col min="4104" max="4104" width="22.28515625" style="72" bestFit="1" customWidth="1"/>
    <col min="4105" max="4105" width="18.140625" style="72" bestFit="1" customWidth="1"/>
    <col min="4106" max="4352" width="8.85546875" style="72"/>
    <col min="4353" max="4353" width="16.7109375" style="72" bestFit="1" customWidth="1"/>
    <col min="4354" max="4355" width="27.7109375" style="72" bestFit="1" customWidth="1"/>
    <col min="4356" max="4356" width="13.85546875" style="72" bestFit="1" customWidth="1"/>
    <col min="4357" max="4357" width="9.7109375" style="72" bestFit="1" customWidth="1"/>
    <col min="4358" max="4359" width="13.85546875" style="72" bestFit="1" customWidth="1"/>
    <col min="4360" max="4360" width="22.28515625" style="72" bestFit="1" customWidth="1"/>
    <col min="4361" max="4361" width="18.140625" style="72" bestFit="1" customWidth="1"/>
    <col min="4362" max="4608" width="8.85546875" style="72"/>
    <col min="4609" max="4609" width="16.7109375" style="72" bestFit="1" customWidth="1"/>
    <col min="4610" max="4611" width="27.7109375" style="72" bestFit="1" customWidth="1"/>
    <col min="4612" max="4612" width="13.85546875" style="72" bestFit="1" customWidth="1"/>
    <col min="4613" max="4613" width="9.7109375" style="72" bestFit="1" customWidth="1"/>
    <col min="4614" max="4615" width="13.85546875" style="72" bestFit="1" customWidth="1"/>
    <col min="4616" max="4616" width="22.28515625" style="72" bestFit="1" customWidth="1"/>
    <col min="4617" max="4617" width="18.140625" style="72" bestFit="1" customWidth="1"/>
    <col min="4618" max="4864" width="8.85546875" style="72"/>
    <col min="4865" max="4865" width="16.7109375" style="72" bestFit="1" customWidth="1"/>
    <col min="4866" max="4867" width="27.7109375" style="72" bestFit="1" customWidth="1"/>
    <col min="4868" max="4868" width="13.85546875" style="72" bestFit="1" customWidth="1"/>
    <col min="4869" max="4869" width="9.7109375" style="72" bestFit="1" customWidth="1"/>
    <col min="4870" max="4871" width="13.85546875" style="72" bestFit="1" customWidth="1"/>
    <col min="4872" max="4872" width="22.28515625" style="72" bestFit="1" customWidth="1"/>
    <col min="4873" max="4873" width="18.140625" style="72" bestFit="1" customWidth="1"/>
    <col min="4874" max="5120" width="8.85546875" style="72"/>
    <col min="5121" max="5121" width="16.7109375" style="72" bestFit="1" customWidth="1"/>
    <col min="5122" max="5123" width="27.7109375" style="72" bestFit="1" customWidth="1"/>
    <col min="5124" max="5124" width="13.85546875" style="72" bestFit="1" customWidth="1"/>
    <col min="5125" max="5125" width="9.7109375" style="72" bestFit="1" customWidth="1"/>
    <col min="5126" max="5127" width="13.85546875" style="72" bestFit="1" customWidth="1"/>
    <col min="5128" max="5128" width="22.28515625" style="72" bestFit="1" customWidth="1"/>
    <col min="5129" max="5129" width="18.140625" style="72" bestFit="1" customWidth="1"/>
    <col min="5130" max="5376" width="8.85546875" style="72"/>
    <col min="5377" max="5377" width="16.7109375" style="72" bestFit="1" customWidth="1"/>
    <col min="5378" max="5379" width="27.7109375" style="72" bestFit="1" customWidth="1"/>
    <col min="5380" max="5380" width="13.85546875" style="72" bestFit="1" customWidth="1"/>
    <col min="5381" max="5381" width="9.7109375" style="72" bestFit="1" customWidth="1"/>
    <col min="5382" max="5383" width="13.85546875" style="72" bestFit="1" customWidth="1"/>
    <col min="5384" max="5384" width="22.28515625" style="72" bestFit="1" customWidth="1"/>
    <col min="5385" max="5385" width="18.140625" style="72" bestFit="1" customWidth="1"/>
    <col min="5386" max="5632" width="8.85546875" style="72"/>
    <col min="5633" max="5633" width="16.7109375" style="72" bestFit="1" customWidth="1"/>
    <col min="5634" max="5635" width="27.7109375" style="72" bestFit="1" customWidth="1"/>
    <col min="5636" max="5636" width="13.85546875" style="72" bestFit="1" customWidth="1"/>
    <col min="5637" max="5637" width="9.7109375" style="72" bestFit="1" customWidth="1"/>
    <col min="5638" max="5639" width="13.85546875" style="72" bestFit="1" customWidth="1"/>
    <col min="5640" max="5640" width="22.28515625" style="72" bestFit="1" customWidth="1"/>
    <col min="5641" max="5641" width="18.140625" style="72" bestFit="1" customWidth="1"/>
    <col min="5642" max="5888" width="8.85546875" style="72"/>
    <col min="5889" max="5889" width="16.7109375" style="72" bestFit="1" customWidth="1"/>
    <col min="5890" max="5891" width="27.7109375" style="72" bestFit="1" customWidth="1"/>
    <col min="5892" max="5892" width="13.85546875" style="72" bestFit="1" customWidth="1"/>
    <col min="5893" max="5893" width="9.7109375" style="72" bestFit="1" customWidth="1"/>
    <col min="5894" max="5895" width="13.85546875" style="72" bestFit="1" customWidth="1"/>
    <col min="5896" max="5896" width="22.28515625" style="72" bestFit="1" customWidth="1"/>
    <col min="5897" max="5897" width="18.140625" style="72" bestFit="1" customWidth="1"/>
    <col min="5898" max="6144" width="8.85546875" style="72"/>
    <col min="6145" max="6145" width="16.7109375" style="72" bestFit="1" customWidth="1"/>
    <col min="6146" max="6147" width="27.7109375" style="72" bestFit="1" customWidth="1"/>
    <col min="6148" max="6148" width="13.85546875" style="72" bestFit="1" customWidth="1"/>
    <col min="6149" max="6149" width="9.7109375" style="72" bestFit="1" customWidth="1"/>
    <col min="6150" max="6151" width="13.85546875" style="72" bestFit="1" customWidth="1"/>
    <col min="6152" max="6152" width="22.28515625" style="72" bestFit="1" customWidth="1"/>
    <col min="6153" max="6153" width="18.140625" style="72" bestFit="1" customWidth="1"/>
    <col min="6154" max="6400" width="8.85546875" style="72"/>
    <col min="6401" max="6401" width="16.7109375" style="72" bestFit="1" customWidth="1"/>
    <col min="6402" max="6403" width="27.7109375" style="72" bestFit="1" customWidth="1"/>
    <col min="6404" max="6404" width="13.85546875" style="72" bestFit="1" customWidth="1"/>
    <col min="6405" max="6405" width="9.7109375" style="72" bestFit="1" customWidth="1"/>
    <col min="6406" max="6407" width="13.85546875" style="72" bestFit="1" customWidth="1"/>
    <col min="6408" max="6408" width="22.28515625" style="72" bestFit="1" customWidth="1"/>
    <col min="6409" max="6409" width="18.140625" style="72" bestFit="1" customWidth="1"/>
    <col min="6410" max="6656" width="8.85546875" style="72"/>
    <col min="6657" max="6657" width="16.7109375" style="72" bestFit="1" customWidth="1"/>
    <col min="6658" max="6659" width="27.7109375" style="72" bestFit="1" customWidth="1"/>
    <col min="6660" max="6660" width="13.85546875" style="72" bestFit="1" customWidth="1"/>
    <col min="6661" max="6661" width="9.7109375" style="72" bestFit="1" customWidth="1"/>
    <col min="6662" max="6663" width="13.85546875" style="72" bestFit="1" customWidth="1"/>
    <col min="6664" max="6664" width="22.28515625" style="72" bestFit="1" customWidth="1"/>
    <col min="6665" max="6665" width="18.140625" style="72" bestFit="1" customWidth="1"/>
    <col min="6666" max="6912" width="8.85546875" style="72"/>
    <col min="6913" max="6913" width="16.7109375" style="72" bestFit="1" customWidth="1"/>
    <col min="6914" max="6915" width="27.7109375" style="72" bestFit="1" customWidth="1"/>
    <col min="6916" max="6916" width="13.85546875" style="72" bestFit="1" customWidth="1"/>
    <col min="6917" max="6917" width="9.7109375" style="72" bestFit="1" customWidth="1"/>
    <col min="6918" max="6919" width="13.85546875" style="72" bestFit="1" customWidth="1"/>
    <col min="6920" max="6920" width="22.28515625" style="72" bestFit="1" customWidth="1"/>
    <col min="6921" max="6921" width="18.140625" style="72" bestFit="1" customWidth="1"/>
    <col min="6922" max="7168" width="8.85546875" style="72"/>
    <col min="7169" max="7169" width="16.7109375" style="72" bestFit="1" customWidth="1"/>
    <col min="7170" max="7171" width="27.7109375" style="72" bestFit="1" customWidth="1"/>
    <col min="7172" max="7172" width="13.85546875" style="72" bestFit="1" customWidth="1"/>
    <col min="7173" max="7173" width="9.7109375" style="72" bestFit="1" customWidth="1"/>
    <col min="7174" max="7175" width="13.85546875" style="72" bestFit="1" customWidth="1"/>
    <col min="7176" max="7176" width="22.28515625" style="72" bestFit="1" customWidth="1"/>
    <col min="7177" max="7177" width="18.140625" style="72" bestFit="1" customWidth="1"/>
    <col min="7178" max="7424" width="8.85546875" style="72"/>
    <col min="7425" max="7425" width="16.7109375" style="72" bestFit="1" customWidth="1"/>
    <col min="7426" max="7427" width="27.7109375" style="72" bestFit="1" customWidth="1"/>
    <col min="7428" max="7428" width="13.85546875" style="72" bestFit="1" customWidth="1"/>
    <col min="7429" max="7429" width="9.7109375" style="72" bestFit="1" customWidth="1"/>
    <col min="7430" max="7431" width="13.85546875" style="72" bestFit="1" customWidth="1"/>
    <col min="7432" max="7432" width="22.28515625" style="72" bestFit="1" customWidth="1"/>
    <col min="7433" max="7433" width="18.140625" style="72" bestFit="1" customWidth="1"/>
    <col min="7434" max="7680" width="8.85546875" style="72"/>
    <col min="7681" max="7681" width="16.7109375" style="72" bestFit="1" customWidth="1"/>
    <col min="7682" max="7683" width="27.7109375" style="72" bestFit="1" customWidth="1"/>
    <col min="7684" max="7684" width="13.85546875" style="72" bestFit="1" customWidth="1"/>
    <col min="7685" max="7685" width="9.7109375" style="72" bestFit="1" customWidth="1"/>
    <col min="7686" max="7687" width="13.85546875" style="72" bestFit="1" customWidth="1"/>
    <col min="7688" max="7688" width="22.28515625" style="72" bestFit="1" customWidth="1"/>
    <col min="7689" max="7689" width="18.140625" style="72" bestFit="1" customWidth="1"/>
    <col min="7690" max="7936" width="8.85546875" style="72"/>
    <col min="7937" max="7937" width="16.7109375" style="72" bestFit="1" customWidth="1"/>
    <col min="7938" max="7939" width="27.7109375" style="72" bestFit="1" customWidth="1"/>
    <col min="7940" max="7940" width="13.85546875" style="72" bestFit="1" customWidth="1"/>
    <col min="7941" max="7941" width="9.7109375" style="72" bestFit="1" customWidth="1"/>
    <col min="7942" max="7943" width="13.85546875" style="72" bestFit="1" customWidth="1"/>
    <col min="7944" max="7944" width="22.28515625" style="72" bestFit="1" customWidth="1"/>
    <col min="7945" max="7945" width="18.140625" style="72" bestFit="1" customWidth="1"/>
    <col min="7946" max="8192" width="8.85546875" style="72"/>
    <col min="8193" max="8193" width="16.7109375" style="72" bestFit="1" customWidth="1"/>
    <col min="8194" max="8195" width="27.7109375" style="72" bestFit="1" customWidth="1"/>
    <col min="8196" max="8196" width="13.85546875" style="72" bestFit="1" customWidth="1"/>
    <col min="8197" max="8197" width="9.7109375" style="72" bestFit="1" customWidth="1"/>
    <col min="8198" max="8199" width="13.85546875" style="72" bestFit="1" customWidth="1"/>
    <col min="8200" max="8200" width="22.28515625" style="72" bestFit="1" customWidth="1"/>
    <col min="8201" max="8201" width="18.140625" style="72" bestFit="1" customWidth="1"/>
    <col min="8202" max="8448" width="8.85546875" style="72"/>
    <col min="8449" max="8449" width="16.7109375" style="72" bestFit="1" customWidth="1"/>
    <col min="8450" max="8451" width="27.7109375" style="72" bestFit="1" customWidth="1"/>
    <col min="8452" max="8452" width="13.85546875" style="72" bestFit="1" customWidth="1"/>
    <col min="8453" max="8453" width="9.7109375" style="72" bestFit="1" customWidth="1"/>
    <col min="8454" max="8455" width="13.85546875" style="72" bestFit="1" customWidth="1"/>
    <col min="8456" max="8456" width="22.28515625" style="72" bestFit="1" customWidth="1"/>
    <col min="8457" max="8457" width="18.140625" style="72" bestFit="1" customWidth="1"/>
    <col min="8458" max="8704" width="8.85546875" style="72"/>
    <col min="8705" max="8705" width="16.7109375" style="72" bestFit="1" customWidth="1"/>
    <col min="8706" max="8707" width="27.7109375" style="72" bestFit="1" customWidth="1"/>
    <col min="8708" max="8708" width="13.85546875" style="72" bestFit="1" customWidth="1"/>
    <col min="8709" max="8709" width="9.7109375" style="72" bestFit="1" customWidth="1"/>
    <col min="8710" max="8711" width="13.85546875" style="72" bestFit="1" customWidth="1"/>
    <col min="8712" max="8712" width="22.28515625" style="72" bestFit="1" customWidth="1"/>
    <col min="8713" max="8713" width="18.140625" style="72" bestFit="1" customWidth="1"/>
    <col min="8714" max="8960" width="8.85546875" style="72"/>
    <col min="8961" max="8961" width="16.7109375" style="72" bestFit="1" customWidth="1"/>
    <col min="8962" max="8963" width="27.7109375" style="72" bestFit="1" customWidth="1"/>
    <col min="8964" max="8964" width="13.85546875" style="72" bestFit="1" customWidth="1"/>
    <col min="8965" max="8965" width="9.7109375" style="72" bestFit="1" customWidth="1"/>
    <col min="8966" max="8967" width="13.85546875" style="72" bestFit="1" customWidth="1"/>
    <col min="8968" max="8968" width="22.28515625" style="72" bestFit="1" customWidth="1"/>
    <col min="8969" max="8969" width="18.140625" style="72" bestFit="1" customWidth="1"/>
    <col min="8970" max="9216" width="8.85546875" style="72"/>
    <col min="9217" max="9217" width="16.7109375" style="72" bestFit="1" customWidth="1"/>
    <col min="9218" max="9219" width="27.7109375" style="72" bestFit="1" customWidth="1"/>
    <col min="9220" max="9220" width="13.85546875" style="72" bestFit="1" customWidth="1"/>
    <col min="9221" max="9221" width="9.7109375" style="72" bestFit="1" customWidth="1"/>
    <col min="9222" max="9223" width="13.85546875" style="72" bestFit="1" customWidth="1"/>
    <col min="9224" max="9224" width="22.28515625" style="72" bestFit="1" customWidth="1"/>
    <col min="9225" max="9225" width="18.140625" style="72" bestFit="1" customWidth="1"/>
    <col min="9226" max="9472" width="8.85546875" style="72"/>
    <col min="9473" max="9473" width="16.7109375" style="72" bestFit="1" customWidth="1"/>
    <col min="9474" max="9475" width="27.7109375" style="72" bestFit="1" customWidth="1"/>
    <col min="9476" max="9476" width="13.85546875" style="72" bestFit="1" customWidth="1"/>
    <col min="9477" max="9477" width="9.7109375" style="72" bestFit="1" customWidth="1"/>
    <col min="9478" max="9479" width="13.85546875" style="72" bestFit="1" customWidth="1"/>
    <col min="9480" max="9480" width="22.28515625" style="72" bestFit="1" customWidth="1"/>
    <col min="9481" max="9481" width="18.140625" style="72" bestFit="1" customWidth="1"/>
    <col min="9482" max="9728" width="8.85546875" style="72"/>
    <col min="9729" max="9729" width="16.7109375" style="72" bestFit="1" customWidth="1"/>
    <col min="9730" max="9731" width="27.7109375" style="72" bestFit="1" customWidth="1"/>
    <col min="9732" max="9732" width="13.85546875" style="72" bestFit="1" customWidth="1"/>
    <col min="9733" max="9733" width="9.7109375" style="72" bestFit="1" customWidth="1"/>
    <col min="9734" max="9735" width="13.85546875" style="72" bestFit="1" customWidth="1"/>
    <col min="9736" max="9736" width="22.28515625" style="72" bestFit="1" customWidth="1"/>
    <col min="9737" max="9737" width="18.140625" style="72" bestFit="1" customWidth="1"/>
    <col min="9738" max="9984" width="8.85546875" style="72"/>
    <col min="9985" max="9985" width="16.7109375" style="72" bestFit="1" customWidth="1"/>
    <col min="9986" max="9987" width="27.7109375" style="72" bestFit="1" customWidth="1"/>
    <col min="9988" max="9988" width="13.85546875" style="72" bestFit="1" customWidth="1"/>
    <col min="9989" max="9989" width="9.7109375" style="72" bestFit="1" customWidth="1"/>
    <col min="9990" max="9991" width="13.85546875" style="72" bestFit="1" customWidth="1"/>
    <col min="9992" max="9992" width="22.28515625" style="72" bestFit="1" customWidth="1"/>
    <col min="9993" max="9993" width="18.140625" style="72" bestFit="1" customWidth="1"/>
    <col min="9994" max="10240" width="8.85546875" style="72"/>
    <col min="10241" max="10241" width="16.7109375" style="72" bestFit="1" customWidth="1"/>
    <col min="10242" max="10243" width="27.7109375" style="72" bestFit="1" customWidth="1"/>
    <col min="10244" max="10244" width="13.85546875" style="72" bestFit="1" customWidth="1"/>
    <col min="10245" max="10245" width="9.7109375" style="72" bestFit="1" customWidth="1"/>
    <col min="10246" max="10247" width="13.85546875" style="72" bestFit="1" customWidth="1"/>
    <col min="10248" max="10248" width="22.28515625" style="72" bestFit="1" customWidth="1"/>
    <col min="10249" max="10249" width="18.140625" style="72" bestFit="1" customWidth="1"/>
    <col min="10250" max="10496" width="8.85546875" style="72"/>
    <col min="10497" max="10497" width="16.7109375" style="72" bestFit="1" customWidth="1"/>
    <col min="10498" max="10499" width="27.7109375" style="72" bestFit="1" customWidth="1"/>
    <col min="10500" max="10500" width="13.85546875" style="72" bestFit="1" customWidth="1"/>
    <col min="10501" max="10501" width="9.7109375" style="72" bestFit="1" customWidth="1"/>
    <col min="10502" max="10503" width="13.85546875" style="72" bestFit="1" customWidth="1"/>
    <col min="10504" max="10504" width="22.28515625" style="72" bestFit="1" customWidth="1"/>
    <col min="10505" max="10505" width="18.140625" style="72" bestFit="1" customWidth="1"/>
    <col min="10506" max="10752" width="8.85546875" style="72"/>
    <col min="10753" max="10753" width="16.7109375" style="72" bestFit="1" customWidth="1"/>
    <col min="10754" max="10755" width="27.7109375" style="72" bestFit="1" customWidth="1"/>
    <col min="10756" max="10756" width="13.85546875" style="72" bestFit="1" customWidth="1"/>
    <col min="10757" max="10757" width="9.7109375" style="72" bestFit="1" customWidth="1"/>
    <col min="10758" max="10759" width="13.85546875" style="72" bestFit="1" customWidth="1"/>
    <col min="10760" max="10760" width="22.28515625" style="72" bestFit="1" customWidth="1"/>
    <col min="10761" max="10761" width="18.140625" style="72" bestFit="1" customWidth="1"/>
    <col min="10762" max="11008" width="8.85546875" style="72"/>
    <col min="11009" max="11009" width="16.7109375" style="72" bestFit="1" customWidth="1"/>
    <col min="11010" max="11011" width="27.7109375" style="72" bestFit="1" customWidth="1"/>
    <col min="11012" max="11012" width="13.85546875" style="72" bestFit="1" customWidth="1"/>
    <col min="11013" max="11013" width="9.7109375" style="72" bestFit="1" customWidth="1"/>
    <col min="11014" max="11015" width="13.85546875" style="72" bestFit="1" customWidth="1"/>
    <col min="11016" max="11016" width="22.28515625" style="72" bestFit="1" customWidth="1"/>
    <col min="11017" max="11017" width="18.140625" style="72" bestFit="1" customWidth="1"/>
    <col min="11018" max="11264" width="8.85546875" style="72"/>
    <col min="11265" max="11265" width="16.7109375" style="72" bestFit="1" customWidth="1"/>
    <col min="11266" max="11267" width="27.7109375" style="72" bestFit="1" customWidth="1"/>
    <col min="11268" max="11268" width="13.85546875" style="72" bestFit="1" customWidth="1"/>
    <col min="11269" max="11269" width="9.7109375" style="72" bestFit="1" customWidth="1"/>
    <col min="11270" max="11271" width="13.85546875" style="72" bestFit="1" customWidth="1"/>
    <col min="11272" max="11272" width="22.28515625" style="72" bestFit="1" customWidth="1"/>
    <col min="11273" max="11273" width="18.140625" style="72" bestFit="1" customWidth="1"/>
    <col min="11274" max="11520" width="8.85546875" style="72"/>
    <col min="11521" max="11521" width="16.7109375" style="72" bestFit="1" customWidth="1"/>
    <col min="11522" max="11523" width="27.7109375" style="72" bestFit="1" customWidth="1"/>
    <col min="11524" max="11524" width="13.85546875" style="72" bestFit="1" customWidth="1"/>
    <col min="11525" max="11525" width="9.7109375" style="72" bestFit="1" customWidth="1"/>
    <col min="11526" max="11527" width="13.85546875" style="72" bestFit="1" customWidth="1"/>
    <col min="11528" max="11528" width="22.28515625" style="72" bestFit="1" customWidth="1"/>
    <col min="11529" max="11529" width="18.140625" style="72" bestFit="1" customWidth="1"/>
    <col min="11530" max="11776" width="8.85546875" style="72"/>
    <col min="11777" max="11777" width="16.7109375" style="72" bestFit="1" customWidth="1"/>
    <col min="11778" max="11779" width="27.7109375" style="72" bestFit="1" customWidth="1"/>
    <col min="11780" max="11780" width="13.85546875" style="72" bestFit="1" customWidth="1"/>
    <col min="11781" max="11781" width="9.7109375" style="72" bestFit="1" customWidth="1"/>
    <col min="11782" max="11783" width="13.85546875" style="72" bestFit="1" customWidth="1"/>
    <col min="11784" max="11784" width="22.28515625" style="72" bestFit="1" customWidth="1"/>
    <col min="11785" max="11785" width="18.140625" style="72" bestFit="1" customWidth="1"/>
    <col min="11786" max="12032" width="8.85546875" style="72"/>
    <col min="12033" max="12033" width="16.7109375" style="72" bestFit="1" customWidth="1"/>
    <col min="12034" max="12035" width="27.7109375" style="72" bestFit="1" customWidth="1"/>
    <col min="12036" max="12036" width="13.85546875" style="72" bestFit="1" customWidth="1"/>
    <col min="12037" max="12037" width="9.7109375" style="72" bestFit="1" customWidth="1"/>
    <col min="12038" max="12039" width="13.85546875" style="72" bestFit="1" customWidth="1"/>
    <col min="12040" max="12040" width="22.28515625" style="72" bestFit="1" customWidth="1"/>
    <col min="12041" max="12041" width="18.140625" style="72" bestFit="1" customWidth="1"/>
    <col min="12042" max="12288" width="8.85546875" style="72"/>
    <col min="12289" max="12289" width="16.7109375" style="72" bestFit="1" customWidth="1"/>
    <col min="12290" max="12291" width="27.7109375" style="72" bestFit="1" customWidth="1"/>
    <col min="12292" max="12292" width="13.85546875" style="72" bestFit="1" customWidth="1"/>
    <col min="12293" max="12293" width="9.7109375" style="72" bestFit="1" customWidth="1"/>
    <col min="12294" max="12295" width="13.85546875" style="72" bestFit="1" customWidth="1"/>
    <col min="12296" max="12296" width="22.28515625" style="72" bestFit="1" customWidth="1"/>
    <col min="12297" max="12297" width="18.140625" style="72" bestFit="1" customWidth="1"/>
    <col min="12298" max="12544" width="8.85546875" style="72"/>
    <col min="12545" max="12545" width="16.7109375" style="72" bestFit="1" customWidth="1"/>
    <col min="12546" max="12547" width="27.7109375" style="72" bestFit="1" customWidth="1"/>
    <col min="12548" max="12548" width="13.85546875" style="72" bestFit="1" customWidth="1"/>
    <col min="12549" max="12549" width="9.7109375" style="72" bestFit="1" customWidth="1"/>
    <col min="12550" max="12551" width="13.85546875" style="72" bestFit="1" customWidth="1"/>
    <col min="12552" max="12552" width="22.28515625" style="72" bestFit="1" customWidth="1"/>
    <col min="12553" max="12553" width="18.140625" style="72" bestFit="1" customWidth="1"/>
    <col min="12554" max="12800" width="8.85546875" style="72"/>
    <col min="12801" max="12801" width="16.7109375" style="72" bestFit="1" customWidth="1"/>
    <col min="12802" max="12803" width="27.7109375" style="72" bestFit="1" customWidth="1"/>
    <col min="12804" max="12804" width="13.85546875" style="72" bestFit="1" customWidth="1"/>
    <col min="12805" max="12805" width="9.7109375" style="72" bestFit="1" customWidth="1"/>
    <col min="12806" max="12807" width="13.85546875" style="72" bestFit="1" customWidth="1"/>
    <col min="12808" max="12808" width="22.28515625" style="72" bestFit="1" customWidth="1"/>
    <col min="12809" max="12809" width="18.140625" style="72" bestFit="1" customWidth="1"/>
    <col min="12810" max="13056" width="8.85546875" style="72"/>
    <col min="13057" max="13057" width="16.7109375" style="72" bestFit="1" customWidth="1"/>
    <col min="13058" max="13059" width="27.7109375" style="72" bestFit="1" customWidth="1"/>
    <col min="13060" max="13060" width="13.85546875" style="72" bestFit="1" customWidth="1"/>
    <col min="13061" max="13061" width="9.7109375" style="72" bestFit="1" customWidth="1"/>
    <col min="13062" max="13063" width="13.85546875" style="72" bestFit="1" customWidth="1"/>
    <col min="13064" max="13064" width="22.28515625" style="72" bestFit="1" customWidth="1"/>
    <col min="13065" max="13065" width="18.140625" style="72" bestFit="1" customWidth="1"/>
    <col min="13066" max="13312" width="8.85546875" style="72"/>
    <col min="13313" max="13313" width="16.7109375" style="72" bestFit="1" customWidth="1"/>
    <col min="13314" max="13315" width="27.7109375" style="72" bestFit="1" customWidth="1"/>
    <col min="13316" max="13316" width="13.85546875" style="72" bestFit="1" customWidth="1"/>
    <col min="13317" max="13317" width="9.7109375" style="72" bestFit="1" customWidth="1"/>
    <col min="13318" max="13319" width="13.85546875" style="72" bestFit="1" customWidth="1"/>
    <col min="13320" max="13320" width="22.28515625" style="72" bestFit="1" customWidth="1"/>
    <col min="13321" max="13321" width="18.140625" style="72" bestFit="1" customWidth="1"/>
    <col min="13322" max="13568" width="8.85546875" style="72"/>
    <col min="13569" max="13569" width="16.7109375" style="72" bestFit="1" customWidth="1"/>
    <col min="13570" max="13571" width="27.7109375" style="72" bestFit="1" customWidth="1"/>
    <col min="13572" max="13572" width="13.85546875" style="72" bestFit="1" customWidth="1"/>
    <col min="13573" max="13573" width="9.7109375" style="72" bestFit="1" customWidth="1"/>
    <col min="13574" max="13575" width="13.85546875" style="72" bestFit="1" customWidth="1"/>
    <col min="13576" max="13576" width="22.28515625" style="72" bestFit="1" customWidth="1"/>
    <col min="13577" max="13577" width="18.140625" style="72" bestFit="1" customWidth="1"/>
    <col min="13578" max="13824" width="8.85546875" style="72"/>
    <col min="13825" max="13825" width="16.7109375" style="72" bestFit="1" customWidth="1"/>
    <col min="13826" max="13827" width="27.7109375" style="72" bestFit="1" customWidth="1"/>
    <col min="13828" max="13828" width="13.85546875" style="72" bestFit="1" customWidth="1"/>
    <col min="13829" max="13829" width="9.7109375" style="72" bestFit="1" customWidth="1"/>
    <col min="13830" max="13831" width="13.85546875" style="72" bestFit="1" customWidth="1"/>
    <col min="13832" max="13832" width="22.28515625" style="72" bestFit="1" customWidth="1"/>
    <col min="13833" max="13833" width="18.140625" style="72" bestFit="1" customWidth="1"/>
    <col min="13834" max="14080" width="8.85546875" style="72"/>
    <col min="14081" max="14081" width="16.7109375" style="72" bestFit="1" customWidth="1"/>
    <col min="14082" max="14083" width="27.7109375" style="72" bestFit="1" customWidth="1"/>
    <col min="14084" max="14084" width="13.85546875" style="72" bestFit="1" customWidth="1"/>
    <col min="14085" max="14085" width="9.7109375" style="72" bestFit="1" customWidth="1"/>
    <col min="14086" max="14087" width="13.85546875" style="72" bestFit="1" customWidth="1"/>
    <col min="14088" max="14088" width="22.28515625" style="72" bestFit="1" customWidth="1"/>
    <col min="14089" max="14089" width="18.140625" style="72" bestFit="1" customWidth="1"/>
    <col min="14090" max="14336" width="8.85546875" style="72"/>
    <col min="14337" max="14337" width="16.7109375" style="72" bestFit="1" customWidth="1"/>
    <col min="14338" max="14339" width="27.7109375" style="72" bestFit="1" customWidth="1"/>
    <col min="14340" max="14340" width="13.85546875" style="72" bestFit="1" customWidth="1"/>
    <col min="14341" max="14341" width="9.7109375" style="72" bestFit="1" customWidth="1"/>
    <col min="14342" max="14343" width="13.85546875" style="72" bestFit="1" customWidth="1"/>
    <col min="14344" max="14344" width="22.28515625" style="72" bestFit="1" customWidth="1"/>
    <col min="14345" max="14345" width="18.140625" style="72" bestFit="1" customWidth="1"/>
    <col min="14346" max="14592" width="8.85546875" style="72"/>
    <col min="14593" max="14593" width="16.7109375" style="72" bestFit="1" customWidth="1"/>
    <col min="14594" max="14595" width="27.7109375" style="72" bestFit="1" customWidth="1"/>
    <col min="14596" max="14596" width="13.85546875" style="72" bestFit="1" customWidth="1"/>
    <col min="14597" max="14597" width="9.7109375" style="72" bestFit="1" customWidth="1"/>
    <col min="14598" max="14599" width="13.85546875" style="72" bestFit="1" customWidth="1"/>
    <col min="14600" max="14600" width="22.28515625" style="72" bestFit="1" customWidth="1"/>
    <col min="14601" max="14601" width="18.140625" style="72" bestFit="1" customWidth="1"/>
    <col min="14602" max="14848" width="8.85546875" style="72"/>
    <col min="14849" max="14849" width="16.7109375" style="72" bestFit="1" customWidth="1"/>
    <col min="14850" max="14851" width="27.7109375" style="72" bestFit="1" customWidth="1"/>
    <col min="14852" max="14852" width="13.85546875" style="72" bestFit="1" customWidth="1"/>
    <col min="14853" max="14853" width="9.7109375" style="72" bestFit="1" customWidth="1"/>
    <col min="14854" max="14855" width="13.85546875" style="72" bestFit="1" customWidth="1"/>
    <col min="14856" max="14856" width="22.28515625" style="72" bestFit="1" customWidth="1"/>
    <col min="14857" max="14857" width="18.140625" style="72" bestFit="1" customWidth="1"/>
    <col min="14858" max="15104" width="8.85546875" style="72"/>
    <col min="15105" max="15105" width="16.7109375" style="72" bestFit="1" customWidth="1"/>
    <col min="15106" max="15107" width="27.7109375" style="72" bestFit="1" customWidth="1"/>
    <col min="15108" max="15108" width="13.85546875" style="72" bestFit="1" customWidth="1"/>
    <col min="15109" max="15109" width="9.7109375" style="72" bestFit="1" customWidth="1"/>
    <col min="15110" max="15111" width="13.85546875" style="72" bestFit="1" customWidth="1"/>
    <col min="15112" max="15112" width="22.28515625" style="72" bestFit="1" customWidth="1"/>
    <col min="15113" max="15113" width="18.140625" style="72" bestFit="1" customWidth="1"/>
    <col min="15114" max="15360" width="8.85546875" style="72"/>
    <col min="15361" max="15361" width="16.7109375" style="72" bestFit="1" customWidth="1"/>
    <col min="15362" max="15363" width="27.7109375" style="72" bestFit="1" customWidth="1"/>
    <col min="15364" max="15364" width="13.85546875" style="72" bestFit="1" customWidth="1"/>
    <col min="15365" max="15365" width="9.7109375" style="72" bestFit="1" customWidth="1"/>
    <col min="15366" max="15367" width="13.85546875" style="72" bestFit="1" customWidth="1"/>
    <col min="15368" max="15368" width="22.28515625" style="72" bestFit="1" customWidth="1"/>
    <col min="15369" max="15369" width="18.140625" style="72" bestFit="1" customWidth="1"/>
    <col min="15370" max="15616" width="8.85546875" style="72"/>
    <col min="15617" max="15617" width="16.7109375" style="72" bestFit="1" customWidth="1"/>
    <col min="15618" max="15619" width="27.7109375" style="72" bestFit="1" customWidth="1"/>
    <col min="15620" max="15620" width="13.85546875" style="72" bestFit="1" customWidth="1"/>
    <col min="15621" max="15621" width="9.7109375" style="72" bestFit="1" customWidth="1"/>
    <col min="15622" max="15623" width="13.85546875" style="72" bestFit="1" customWidth="1"/>
    <col min="15624" max="15624" width="22.28515625" style="72" bestFit="1" customWidth="1"/>
    <col min="15625" max="15625" width="18.140625" style="72" bestFit="1" customWidth="1"/>
    <col min="15626" max="15872" width="8.85546875" style="72"/>
    <col min="15873" max="15873" width="16.7109375" style="72" bestFit="1" customWidth="1"/>
    <col min="15874" max="15875" width="27.7109375" style="72" bestFit="1" customWidth="1"/>
    <col min="15876" max="15876" width="13.85546875" style="72" bestFit="1" customWidth="1"/>
    <col min="15877" max="15877" width="9.7109375" style="72" bestFit="1" customWidth="1"/>
    <col min="15878" max="15879" width="13.85546875" style="72" bestFit="1" customWidth="1"/>
    <col min="15880" max="15880" width="22.28515625" style="72" bestFit="1" customWidth="1"/>
    <col min="15881" max="15881" width="18.140625" style="72" bestFit="1" customWidth="1"/>
    <col min="15882" max="16128" width="8.85546875" style="72"/>
    <col min="16129" max="16129" width="16.7109375" style="72" bestFit="1" customWidth="1"/>
    <col min="16130" max="16131" width="27.7109375" style="72" bestFit="1" customWidth="1"/>
    <col min="16132" max="16132" width="13.85546875" style="72" bestFit="1" customWidth="1"/>
    <col min="16133" max="16133" width="9.7109375" style="72" bestFit="1" customWidth="1"/>
    <col min="16134" max="16135" width="13.85546875" style="72" bestFit="1" customWidth="1"/>
    <col min="16136" max="16136" width="22.28515625" style="72" bestFit="1" customWidth="1"/>
    <col min="16137" max="16137" width="18.140625" style="72" bestFit="1" customWidth="1"/>
    <col min="16138" max="16384" width="8.85546875" style="72"/>
  </cols>
  <sheetData>
    <row r="1" spans="1:9" ht="16.149999999999999" customHeight="1">
      <c r="A1" s="816" t="s">
        <v>109</v>
      </c>
      <c r="B1" s="816"/>
      <c r="C1" s="816"/>
      <c r="D1" s="816"/>
      <c r="E1" s="816"/>
      <c r="F1" s="816"/>
      <c r="G1" s="816"/>
      <c r="H1" s="816"/>
      <c r="I1" s="816"/>
    </row>
    <row r="2" spans="1:9" ht="13.9" customHeight="1">
      <c r="A2" s="73"/>
    </row>
    <row r="3" spans="1:9" ht="13.9" customHeight="1">
      <c r="A3" s="413" t="s">
        <v>110</v>
      </c>
      <c r="B3" s="817" t="s">
        <v>111</v>
      </c>
      <c r="C3" s="818"/>
      <c r="D3" s="817" t="s">
        <v>112</v>
      </c>
      <c r="E3" s="818"/>
      <c r="F3" s="817" t="s">
        <v>113</v>
      </c>
      <c r="G3" s="819"/>
      <c r="H3" s="819"/>
      <c r="I3" s="818"/>
    </row>
    <row r="4" spans="1:9" ht="13.9" customHeight="1">
      <c r="A4" s="413" t="s">
        <v>84</v>
      </c>
      <c r="B4" s="413" t="s">
        <v>114</v>
      </c>
      <c r="C4" s="413" t="s">
        <v>115</v>
      </c>
      <c r="D4" s="413" t="s">
        <v>116</v>
      </c>
      <c r="E4" s="413" t="s">
        <v>117</v>
      </c>
      <c r="F4" s="413" t="s">
        <v>118</v>
      </c>
      <c r="G4" s="413" t="s">
        <v>119</v>
      </c>
      <c r="H4" s="413" t="s">
        <v>120</v>
      </c>
      <c r="I4" s="413" t="s">
        <v>121</v>
      </c>
    </row>
    <row r="5" spans="1:9" ht="16.149999999999999" customHeight="1">
      <c r="A5" s="414" t="s">
        <v>122</v>
      </c>
      <c r="B5" s="415">
        <v>170698</v>
      </c>
      <c r="C5" s="415">
        <v>188660</v>
      </c>
      <c r="D5" s="415">
        <v>17962</v>
      </c>
      <c r="E5" s="415">
        <v>10.5</v>
      </c>
      <c r="F5" s="415">
        <v>21006</v>
      </c>
      <c r="G5" s="415">
        <v>19904</v>
      </c>
      <c r="H5" s="415">
        <v>1102</v>
      </c>
      <c r="I5" s="415">
        <v>16860</v>
      </c>
    </row>
    <row r="6" spans="1:9" ht="16.149999999999999" customHeight="1">
      <c r="A6" s="414" t="s">
        <v>123</v>
      </c>
      <c r="B6" s="415">
        <v>38524</v>
      </c>
      <c r="C6" s="415">
        <v>40286</v>
      </c>
      <c r="D6" s="415">
        <v>1762</v>
      </c>
      <c r="E6" s="415">
        <v>4.5999999999999996</v>
      </c>
      <c r="F6" s="415">
        <v>3939</v>
      </c>
      <c r="G6" s="415">
        <v>5127</v>
      </c>
      <c r="H6" s="415">
        <v>-1188</v>
      </c>
      <c r="I6" s="415">
        <v>2950</v>
      </c>
    </row>
    <row r="7" spans="1:9" ht="16.149999999999999" customHeight="1">
      <c r="A7" s="414" t="s">
        <v>124</v>
      </c>
      <c r="B7" s="415">
        <v>11558</v>
      </c>
      <c r="C7" s="415">
        <v>12302</v>
      </c>
      <c r="D7" s="415">
        <v>744</v>
      </c>
      <c r="E7" s="415">
        <v>6.4</v>
      </c>
      <c r="F7" s="415">
        <v>1191</v>
      </c>
      <c r="G7" s="415">
        <v>1699</v>
      </c>
      <c r="H7" s="415">
        <v>-508</v>
      </c>
      <c r="I7" s="415">
        <v>1252</v>
      </c>
    </row>
    <row r="8" spans="1:9" ht="16.149999999999999" customHeight="1">
      <c r="A8" s="414" t="s">
        <v>125</v>
      </c>
      <c r="B8" s="415">
        <v>23889</v>
      </c>
      <c r="C8" s="415">
        <v>23277</v>
      </c>
      <c r="D8" s="415">
        <v>-612</v>
      </c>
      <c r="E8" s="415">
        <v>-2.6</v>
      </c>
      <c r="F8" s="415">
        <v>2272</v>
      </c>
      <c r="G8" s="415">
        <v>3193</v>
      </c>
      <c r="H8" s="415">
        <v>-921</v>
      </c>
      <c r="I8" s="415">
        <v>309</v>
      </c>
    </row>
    <row r="9" spans="1:9" ht="16.149999999999999" customHeight="1">
      <c r="A9" s="414" t="s">
        <v>126</v>
      </c>
      <c r="B9" s="415">
        <v>28020</v>
      </c>
      <c r="C9" s="415">
        <v>30294</v>
      </c>
      <c r="D9" s="415">
        <v>2274</v>
      </c>
      <c r="E9" s="415">
        <v>8.1</v>
      </c>
      <c r="F9" s="415">
        <v>2347</v>
      </c>
      <c r="G9" s="415">
        <v>4213</v>
      </c>
      <c r="H9" s="415">
        <v>-1866</v>
      </c>
      <c r="I9" s="415">
        <v>4140</v>
      </c>
    </row>
    <row r="10" spans="1:9" ht="16.149999999999999" customHeight="1">
      <c r="A10" s="414" t="s">
        <v>127</v>
      </c>
      <c r="B10" s="415">
        <v>18182</v>
      </c>
      <c r="C10" s="415">
        <v>18780</v>
      </c>
      <c r="D10" s="415">
        <v>598</v>
      </c>
      <c r="E10" s="415">
        <v>3.3</v>
      </c>
      <c r="F10" s="415">
        <v>1450</v>
      </c>
      <c r="G10" s="415">
        <v>2407</v>
      </c>
      <c r="H10" s="415">
        <v>-957</v>
      </c>
      <c r="I10" s="415">
        <v>1555</v>
      </c>
    </row>
    <row r="11" spans="1:9" ht="16.149999999999999" customHeight="1">
      <c r="A11" s="414" t="s">
        <v>128</v>
      </c>
      <c r="B11" s="415">
        <v>47400</v>
      </c>
      <c r="C11" s="415">
        <v>47069</v>
      </c>
      <c r="D11" s="415">
        <v>-331</v>
      </c>
      <c r="E11" s="415">
        <v>-0.7</v>
      </c>
      <c r="F11" s="415">
        <v>4564</v>
      </c>
      <c r="G11" s="415">
        <v>7094</v>
      </c>
      <c r="H11" s="415">
        <v>-2530</v>
      </c>
      <c r="I11" s="415">
        <v>2199</v>
      </c>
    </row>
    <row r="12" spans="1:9" ht="16.149999999999999" customHeight="1">
      <c r="A12" s="414" t="s">
        <v>129</v>
      </c>
      <c r="B12" s="415">
        <v>19496</v>
      </c>
      <c r="C12" s="415">
        <v>18496</v>
      </c>
      <c r="D12" s="415">
        <v>-1000</v>
      </c>
      <c r="E12" s="415">
        <v>-5.0999999999999996</v>
      </c>
      <c r="F12" s="415">
        <v>1798</v>
      </c>
      <c r="G12" s="415">
        <v>2569</v>
      </c>
      <c r="H12" s="415">
        <v>-771</v>
      </c>
      <c r="I12" s="415">
        <v>-229</v>
      </c>
    </row>
    <row r="13" spans="1:9" ht="16.149999999999999" customHeight="1">
      <c r="A13" s="414" t="s">
        <v>130</v>
      </c>
      <c r="B13" s="415">
        <v>34421</v>
      </c>
      <c r="C13" s="415">
        <v>33813</v>
      </c>
      <c r="D13" s="415">
        <v>-608</v>
      </c>
      <c r="E13" s="415">
        <v>-1.8</v>
      </c>
      <c r="F13" s="415">
        <v>3633</v>
      </c>
      <c r="G13" s="415">
        <v>4652</v>
      </c>
      <c r="H13" s="415">
        <v>-1019</v>
      </c>
      <c r="I13" s="415">
        <v>411</v>
      </c>
    </row>
    <row r="14" spans="1:9" ht="16.149999999999999" customHeight="1">
      <c r="A14" s="414" t="s">
        <v>131</v>
      </c>
      <c r="B14" s="415">
        <v>147644</v>
      </c>
      <c r="C14" s="415">
        <v>180776</v>
      </c>
      <c r="D14" s="415">
        <v>33132</v>
      </c>
      <c r="E14" s="415">
        <v>22.4</v>
      </c>
      <c r="F14" s="415">
        <v>11839</v>
      </c>
      <c r="G14" s="415">
        <v>22910</v>
      </c>
      <c r="H14" s="415">
        <v>-11071</v>
      </c>
      <c r="I14" s="415">
        <v>44203</v>
      </c>
    </row>
    <row r="15" spans="1:9" ht="16.149999999999999" customHeight="1">
      <c r="A15" s="414" t="s">
        <v>132</v>
      </c>
      <c r="B15" s="415">
        <v>264408</v>
      </c>
      <c r="C15" s="415">
        <v>283363</v>
      </c>
      <c r="D15" s="415">
        <v>18955</v>
      </c>
      <c r="E15" s="415">
        <v>7.2</v>
      </c>
      <c r="F15" s="415">
        <v>24451</v>
      </c>
      <c r="G15" s="415">
        <v>31192</v>
      </c>
      <c r="H15" s="415">
        <v>-6741</v>
      </c>
      <c r="I15" s="415">
        <v>25696</v>
      </c>
    </row>
    <row r="16" spans="1:9" ht="16.149999999999999" customHeight="1">
      <c r="A16" s="414" t="s">
        <v>133</v>
      </c>
      <c r="B16" s="415">
        <v>91708</v>
      </c>
      <c r="C16" s="415">
        <v>93787</v>
      </c>
      <c r="D16" s="415">
        <v>2079</v>
      </c>
      <c r="E16" s="415">
        <v>2.2999999999999998</v>
      </c>
      <c r="F16" s="415">
        <v>9683</v>
      </c>
      <c r="G16" s="415">
        <v>11971</v>
      </c>
      <c r="H16" s="415">
        <v>-2288</v>
      </c>
      <c r="I16" s="415">
        <v>4367</v>
      </c>
    </row>
    <row r="17" spans="1:9" ht="16.149999999999999" customHeight="1">
      <c r="A17" s="414" t="s">
        <v>134</v>
      </c>
      <c r="B17" s="415">
        <v>216841</v>
      </c>
      <c r="C17" s="415">
        <v>257692</v>
      </c>
      <c r="D17" s="415">
        <v>40851</v>
      </c>
      <c r="E17" s="415">
        <v>18.8</v>
      </c>
      <c r="F17" s="415">
        <v>30896</v>
      </c>
      <c r="G17" s="415">
        <v>20889</v>
      </c>
      <c r="H17" s="415">
        <v>10007</v>
      </c>
      <c r="I17" s="415">
        <v>30844</v>
      </c>
    </row>
    <row r="18" spans="1:9" ht="16.149999999999999" customHeight="1">
      <c r="A18" s="414" t="s">
        <v>135</v>
      </c>
      <c r="B18" s="415">
        <v>84230</v>
      </c>
      <c r="C18" s="415">
        <v>88161</v>
      </c>
      <c r="D18" s="415">
        <v>3931</v>
      </c>
      <c r="E18" s="415">
        <v>4.7</v>
      </c>
      <c r="F18" s="415">
        <v>8967</v>
      </c>
      <c r="G18" s="415">
        <v>11271</v>
      </c>
      <c r="H18" s="415">
        <v>-2304</v>
      </c>
      <c r="I18" s="415">
        <v>6235</v>
      </c>
    </row>
    <row r="19" spans="1:9" ht="16.149999999999999" customHeight="1">
      <c r="A19" s="414" t="s">
        <v>136</v>
      </c>
      <c r="B19" s="415">
        <v>10575</v>
      </c>
      <c r="C19" s="415">
        <v>10617</v>
      </c>
      <c r="D19" s="415">
        <v>42</v>
      </c>
      <c r="E19" s="415">
        <v>0.4</v>
      </c>
      <c r="F19" s="415">
        <v>1061</v>
      </c>
      <c r="G19" s="415">
        <v>1123</v>
      </c>
      <c r="H19" s="415">
        <v>-62</v>
      </c>
      <c r="I19" s="415">
        <v>104</v>
      </c>
    </row>
    <row r="20" spans="1:9" ht="16.149999999999999" customHeight="1">
      <c r="A20" s="414" t="s">
        <v>137</v>
      </c>
      <c r="B20" s="415">
        <v>71352</v>
      </c>
      <c r="C20" s="415">
        <v>76159</v>
      </c>
      <c r="D20" s="415">
        <v>4807</v>
      </c>
      <c r="E20" s="415">
        <v>6.7</v>
      </c>
      <c r="F20" s="415">
        <v>5823</v>
      </c>
      <c r="G20" s="415">
        <v>10158</v>
      </c>
      <c r="H20" s="415">
        <v>-4335</v>
      </c>
      <c r="I20" s="415">
        <v>9142</v>
      </c>
    </row>
    <row r="21" spans="1:9" ht="16.149999999999999" customHeight="1">
      <c r="A21" s="414" t="s">
        <v>138</v>
      </c>
      <c r="B21" s="415">
        <v>23462</v>
      </c>
      <c r="C21" s="415">
        <v>23348</v>
      </c>
      <c r="D21" s="415">
        <v>-114</v>
      </c>
      <c r="E21" s="415">
        <v>-0.5</v>
      </c>
      <c r="F21" s="415">
        <v>2175</v>
      </c>
      <c r="G21" s="415">
        <v>3234</v>
      </c>
      <c r="H21" s="415">
        <v>-1059</v>
      </c>
      <c r="I21" s="415">
        <v>945</v>
      </c>
    </row>
    <row r="22" spans="1:9" ht="16.149999999999999" customHeight="1">
      <c r="A22" s="414" t="s">
        <v>139</v>
      </c>
      <c r="B22" s="415">
        <v>160732</v>
      </c>
      <c r="C22" s="415">
        <v>172637</v>
      </c>
      <c r="D22" s="415">
        <v>11905</v>
      </c>
      <c r="E22" s="415">
        <v>7.4</v>
      </c>
      <c r="F22" s="415">
        <v>18448</v>
      </c>
      <c r="G22" s="415">
        <v>20402</v>
      </c>
      <c r="H22" s="415">
        <v>-1954</v>
      </c>
      <c r="I22" s="415">
        <v>13859</v>
      </c>
    </row>
    <row r="23" spans="1:9" ht="16.149999999999999" customHeight="1">
      <c r="A23" s="414" t="s">
        <v>140</v>
      </c>
      <c r="B23" s="415">
        <v>77061</v>
      </c>
      <c r="C23" s="415">
        <v>91813</v>
      </c>
      <c r="D23" s="415">
        <v>14752</v>
      </c>
      <c r="E23" s="415">
        <v>19.100000000000001</v>
      </c>
      <c r="F23" s="415">
        <v>7774</v>
      </c>
      <c r="G23" s="415">
        <v>10100</v>
      </c>
      <c r="H23" s="415">
        <v>-2326</v>
      </c>
      <c r="I23" s="415">
        <v>17078</v>
      </c>
    </row>
    <row r="24" spans="1:9" ht="16.149999999999999" customHeight="1">
      <c r="A24" s="414" t="s">
        <v>141</v>
      </c>
      <c r="B24" s="415">
        <v>29610</v>
      </c>
      <c r="C24" s="415">
        <v>32106</v>
      </c>
      <c r="D24" s="415">
        <v>2496</v>
      </c>
      <c r="E24" s="415">
        <v>8.4</v>
      </c>
      <c r="F24" s="415">
        <v>2694</v>
      </c>
      <c r="G24" s="415">
        <v>4671</v>
      </c>
      <c r="H24" s="415">
        <v>-1977</v>
      </c>
      <c r="I24" s="415">
        <v>4473</v>
      </c>
    </row>
    <row r="25" spans="1:9" ht="16.149999999999999" customHeight="1">
      <c r="A25" s="414" t="s">
        <v>142</v>
      </c>
      <c r="B25" s="415">
        <v>14114</v>
      </c>
      <c r="C25" s="415">
        <v>13767</v>
      </c>
      <c r="D25" s="415">
        <v>-347</v>
      </c>
      <c r="E25" s="415">
        <v>-2.5</v>
      </c>
      <c r="F25" s="415">
        <v>1421</v>
      </c>
      <c r="G25" s="415">
        <v>2092</v>
      </c>
      <c r="H25" s="415">
        <v>-671</v>
      </c>
      <c r="I25" s="415">
        <v>324</v>
      </c>
    </row>
    <row r="26" spans="1:9" ht="16.149999999999999" customHeight="1">
      <c r="A26" s="414" t="s">
        <v>143</v>
      </c>
      <c r="B26" s="415">
        <v>11759</v>
      </c>
      <c r="C26" s="415">
        <v>12870</v>
      </c>
      <c r="D26" s="415">
        <v>1111</v>
      </c>
      <c r="E26" s="415">
        <v>9.4</v>
      </c>
      <c r="F26" s="415">
        <v>1054</v>
      </c>
      <c r="G26" s="415">
        <v>1855</v>
      </c>
      <c r="H26" s="415">
        <v>-801</v>
      </c>
      <c r="I26" s="415">
        <v>1912</v>
      </c>
    </row>
    <row r="27" spans="1:9" ht="16.149999999999999" customHeight="1">
      <c r="A27" s="414" t="s">
        <v>144</v>
      </c>
      <c r="B27" s="415">
        <v>100814</v>
      </c>
      <c r="C27" s="415">
        <v>103964</v>
      </c>
      <c r="D27" s="415">
        <v>3150</v>
      </c>
      <c r="E27" s="415">
        <v>3.1</v>
      </c>
      <c r="F27" s="415">
        <v>11688</v>
      </c>
      <c r="G27" s="415">
        <v>14159</v>
      </c>
      <c r="H27" s="415">
        <v>-2471</v>
      </c>
      <c r="I27" s="415">
        <v>5621</v>
      </c>
    </row>
    <row r="28" spans="1:9" ht="16.149999999999999" customHeight="1">
      <c r="A28" s="414" t="s">
        <v>145</v>
      </c>
      <c r="B28" s="415">
        <v>56002</v>
      </c>
      <c r="C28" s="415">
        <v>53476</v>
      </c>
      <c r="D28" s="415">
        <v>-2526</v>
      </c>
      <c r="E28" s="415">
        <v>-4.5</v>
      </c>
      <c r="F28" s="415">
        <v>5851</v>
      </c>
      <c r="G28" s="415">
        <v>7464</v>
      </c>
      <c r="H28" s="415">
        <v>-1613</v>
      </c>
      <c r="I28" s="415">
        <v>-913</v>
      </c>
    </row>
    <row r="29" spans="1:9" ht="16.149999999999999" customHeight="1">
      <c r="A29" s="414" t="s">
        <v>85</v>
      </c>
      <c r="B29" s="415">
        <v>103016</v>
      </c>
      <c r="C29" s="415">
        <v>102411</v>
      </c>
      <c r="D29" s="415">
        <v>-605</v>
      </c>
      <c r="E29" s="415">
        <v>-0.6</v>
      </c>
      <c r="F29" s="415">
        <v>13423</v>
      </c>
      <c r="G29" s="415">
        <v>11394</v>
      </c>
      <c r="H29" s="415">
        <v>2029</v>
      </c>
      <c r="I29" s="415">
        <v>-2634</v>
      </c>
    </row>
    <row r="30" spans="1:9" ht="16.149999999999999" customHeight="1">
      <c r="A30" s="414" t="s">
        <v>82</v>
      </c>
      <c r="B30" s="415">
        <v>333531</v>
      </c>
      <c r="C30" s="415">
        <v>334709</v>
      </c>
      <c r="D30" s="415">
        <v>1178</v>
      </c>
      <c r="E30" s="415">
        <v>0.4</v>
      </c>
      <c r="F30" s="415">
        <v>46813</v>
      </c>
      <c r="G30" s="415">
        <v>29886</v>
      </c>
      <c r="H30" s="415">
        <v>16927</v>
      </c>
      <c r="I30" s="415">
        <v>-15749</v>
      </c>
    </row>
    <row r="31" spans="1:9" ht="16.149999999999999" customHeight="1">
      <c r="A31" s="414" t="s">
        <v>146</v>
      </c>
      <c r="B31" s="415">
        <v>28048</v>
      </c>
      <c r="C31" s="415">
        <v>32017</v>
      </c>
      <c r="D31" s="415">
        <v>3969</v>
      </c>
      <c r="E31" s="415">
        <v>14.2</v>
      </c>
      <c r="F31" s="415">
        <v>3086</v>
      </c>
      <c r="G31" s="415">
        <v>3021</v>
      </c>
      <c r="H31" s="415">
        <v>65</v>
      </c>
      <c r="I31" s="415">
        <v>3904</v>
      </c>
    </row>
    <row r="32" spans="1:9" ht="16.149999999999999" customHeight="1">
      <c r="A32" s="414" t="s">
        <v>147</v>
      </c>
      <c r="B32" s="415">
        <v>38027</v>
      </c>
      <c r="C32" s="415">
        <v>41268</v>
      </c>
      <c r="D32" s="415">
        <v>3241</v>
      </c>
      <c r="E32" s="415">
        <v>8.5</v>
      </c>
      <c r="F32" s="415">
        <v>3675</v>
      </c>
      <c r="G32" s="415">
        <v>4582</v>
      </c>
      <c r="H32" s="415">
        <v>-907</v>
      </c>
      <c r="I32" s="415">
        <v>4148</v>
      </c>
    </row>
    <row r="33" spans="1:9" ht="16.149999999999999" customHeight="1">
      <c r="A33" s="414" t="s">
        <v>148</v>
      </c>
      <c r="B33" s="415">
        <v>170370</v>
      </c>
      <c r="C33" s="415">
        <v>182801</v>
      </c>
      <c r="D33" s="415">
        <v>12431</v>
      </c>
      <c r="E33" s="415">
        <v>7.3</v>
      </c>
      <c r="F33" s="415">
        <v>19901</v>
      </c>
      <c r="G33" s="415">
        <v>21630</v>
      </c>
      <c r="H33" s="415">
        <v>-1729</v>
      </c>
      <c r="I33" s="415">
        <v>14160</v>
      </c>
    </row>
    <row r="34" spans="1:9" ht="16.149999999999999" customHeight="1">
      <c r="A34" s="414" t="s">
        <v>149</v>
      </c>
      <c r="B34" s="415">
        <v>43746</v>
      </c>
      <c r="C34" s="415">
        <v>49255</v>
      </c>
      <c r="D34" s="415">
        <v>5509</v>
      </c>
      <c r="E34" s="415">
        <v>12.6</v>
      </c>
      <c r="F34" s="415">
        <v>4675</v>
      </c>
      <c r="G34" s="415">
        <v>5842</v>
      </c>
      <c r="H34" s="415">
        <v>-1167</v>
      </c>
      <c r="I34" s="415">
        <v>6676</v>
      </c>
    </row>
    <row r="35" spans="1:9" ht="16.149999999999999" customHeight="1">
      <c r="A35" s="414" t="s">
        <v>150</v>
      </c>
      <c r="B35" s="415">
        <v>60177</v>
      </c>
      <c r="C35" s="415">
        <v>61384</v>
      </c>
      <c r="D35" s="415">
        <v>1207</v>
      </c>
      <c r="E35" s="415">
        <v>2</v>
      </c>
      <c r="F35" s="415">
        <v>7495</v>
      </c>
      <c r="G35" s="415">
        <v>6305</v>
      </c>
      <c r="H35" s="415">
        <v>1190</v>
      </c>
      <c r="I35" s="415">
        <v>17</v>
      </c>
    </row>
    <row r="36" spans="1:9" ht="16.149999999999999" customHeight="1">
      <c r="A36" s="414" t="s">
        <v>151</v>
      </c>
      <c r="B36" s="415">
        <v>321261</v>
      </c>
      <c r="C36" s="415">
        <v>365859</v>
      </c>
      <c r="D36" s="415">
        <v>44598</v>
      </c>
      <c r="E36" s="415">
        <v>13.9</v>
      </c>
      <c r="F36" s="415">
        <v>44406</v>
      </c>
      <c r="G36" s="415">
        <v>25744</v>
      </c>
      <c r="H36" s="415">
        <v>18662</v>
      </c>
      <c r="I36" s="415">
        <v>25936</v>
      </c>
    </row>
    <row r="37" spans="1:9" ht="16.149999999999999" customHeight="1">
      <c r="A37" s="414" t="s">
        <v>152</v>
      </c>
      <c r="B37" s="415">
        <v>52024</v>
      </c>
      <c r="C37" s="415">
        <v>47855</v>
      </c>
      <c r="D37" s="415">
        <v>-4169</v>
      </c>
      <c r="E37" s="415">
        <v>-8</v>
      </c>
      <c r="F37" s="415">
        <v>5446</v>
      </c>
      <c r="G37" s="415">
        <v>7143</v>
      </c>
      <c r="H37" s="415">
        <v>-1697</v>
      </c>
      <c r="I37" s="415">
        <v>-2472</v>
      </c>
    </row>
    <row r="38" spans="1:9" ht="16.149999999999999" customHeight="1">
      <c r="A38" s="414" t="s">
        <v>153</v>
      </c>
      <c r="B38" s="415">
        <v>380964</v>
      </c>
      <c r="C38" s="415">
        <v>411256</v>
      </c>
      <c r="D38" s="415">
        <v>30292</v>
      </c>
      <c r="E38" s="415">
        <v>8</v>
      </c>
      <c r="F38" s="415">
        <v>46294</v>
      </c>
      <c r="G38" s="415">
        <v>39877</v>
      </c>
      <c r="H38" s="415">
        <v>6417</v>
      </c>
      <c r="I38" s="415">
        <v>23875</v>
      </c>
    </row>
    <row r="39" spans="1:9" ht="16.149999999999999" customHeight="1">
      <c r="A39" s="414" t="s">
        <v>154</v>
      </c>
      <c r="B39" s="415">
        <v>71196</v>
      </c>
      <c r="C39" s="415">
        <v>82418</v>
      </c>
      <c r="D39" s="415">
        <v>11222</v>
      </c>
      <c r="E39" s="415">
        <v>15.8</v>
      </c>
      <c r="F39" s="415">
        <v>8477</v>
      </c>
      <c r="G39" s="415">
        <v>8186</v>
      </c>
      <c r="H39" s="415">
        <v>291</v>
      </c>
      <c r="I39" s="415">
        <v>10931</v>
      </c>
    </row>
    <row r="40" spans="1:9" ht="16.149999999999999" customHeight="1">
      <c r="A40" s="414" t="s">
        <v>155</v>
      </c>
      <c r="B40" s="415">
        <v>224168</v>
      </c>
      <c r="C40" s="415">
        <v>240069</v>
      </c>
      <c r="D40" s="415">
        <v>15901</v>
      </c>
      <c r="E40" s="415">
        <v>7.1</v>
      </c>
      <c r="F40" s="415">
        <v>27092</v>
      </c>
      <c r="G40" s="415">
        <v>26901</v>
      </c>
      <c r="H40" s="415">
        <v>191</v>
      </c>
      <c r="I40" s="415">
        <v>15710</v>
      </c>
    </row>
    <row r="41" spans="1:9" ht="16.149999999999999" customHeight="1">
      <c r="A41" s="414" t="s">
        <v>156</v>
      </c>
      <c r="B41" s="415">
        <v>11908</v>
      </c>
      <c r="C41" s="415">
        <v>11736</v>
      </c>
      <c r="D41" s="415">
        <v>-172</v>
      </c>
      <c r="E41" s="415">
        <v>-1.4</v>
      </c>
      <c r="F41" s="415">
        <v>1038</v>
      </c>
      <c r="G41" s="415">
        <v>1456</v>
      </c>
      <c r="H41" s="415">
        <v>-418</v>
      </c>
      <c r="I41" s="415">
        <v>246</v>
      </c>
    </row>
    <row r="42" spans="1:9" ht="16.149999999999999" customHeight="1">
      <c r="A42" s="414" t="s">
        <v>157</v>
      </c>
      <c r="B42" s="415">
        <v>8642</v>
      </c>
      <c r="C42" s="415">
        <v>8450</v>
      </c>
      <c r="D42" s="415">
        <v>-192</v>
      </c>
      <c r="E42" s="415">
        <v>-2.2000000000000002</v>
      </c>
      <c r="F42" s="415">
        <v>847</v>
      </c>
      <c r="G42" s="415">
        <v>1194</v>
      </c>
      <c r="H42" s="415">
        <v>-347</v>
      </c>
      <c r="I42" s="415">
        <v>155</v>
      </c>
    </row>
    <row r="43" spans="1:9" ht="16.149999999999999" customHeight="1">
      <c r="A43" s="414" t="s">
        <v>158</v>
      </c>
      <c r="B43" s="415">
        <v>61628</v>
      </c>
      <c r="C43" s="415">
        <v>68078</v>
      </c>
      <c r="D43" s="415">
        <v>6450</v>
      </c>
      <c r="E43" s="415">
        <v>10.5</v>
      </c>
      <c r="F43" s="415">
        <v>6525</v>
      </c>
      <c r="G43" s="415">
        <v>7023</v>
      </c>
      <c r="H43" s="415">
        <v>-498</v>
      </c>
      <c r="I43" s="415">
        <v>6948</v>
      </c>
    </row>
    <row r="44" spans="1:9" ht="16.149999999999999" customHeight="1">
      <c r="A44" s="414" t="s">
        <v>159</v>
      </c>
      <c r="B44" s="415">
        <v>20951</v>
      </c>
      <c r="C44" s="415">
        <v>20844</v>
      </c>
      <c r="D44" s="415">
        <v>-107</v>
      </c>
      <c r="E44" s="415">
        <v>-0.5</v>
      </c>
      <c r="F44" s="415">
        <v>2161</v>
      </c>
      <c r="G44" s="415">
        <v>2391</v>
      </c>
      <c r="H44" s="415">
        <v>-230</v>
      </c>
      <c r="I44" s="415">
        <v>123</v>
      </c>
    </row>
    <row r="45" spans="1:9" ht="16.149999999999999" customHeight="1">
      <c r="A45" s="414" t="s">
        <v>160</v>
      </c>
      <c r="B45" s="415">
        <v>538431</v>
      </c>
      <c r="C45" s="415">
        <v>583552</v>
      </c>
      <c r="D45" s="415">
        <v>45121</v>
      </c>
      <c r="E45" s="415">
        <v>8.4</v>
      </c>
      <c r="F45" s="415">
        <v>63660</v>
      </c>
      <c r="G45" s="415">
        <v>52990</v>
      </c>
      <c r="H45" s="415">
        <v>10670</v>
      </c>
      <c r="I45" s="415">
        <v>34451</v>
      </c>
    </row>
    <row r="46" spans="1:9" ht="16.149999999999999" customHeight="1">
      <c r="A46" s="414" t="s">
        <v>161</v>
      </c>
      <c r="B46" s="415">
        <v>50898</v>
      </c>
      <c r="C46" s="415">
        <v>47093</v>
      </c>
      <c r="D46" s="415">
        <v>-3805</v>
      </c>
      <c r="E46" s="415">
        <v>-7.5</v>
      </c>
      <c r="F46" s="415">
        <v>5583</v>
      </c>
      <c r="G46" s="415">
        <v>7004</v>
      </c>
      <c r="H46" s="415">
        <v>-1421</v>
      </c>
      <c r="I46" s="415">
        <v>-2384</v>
      </c>
    </row>
    <row r="47" spans="1:9" ht="16.149999999999999" customHeight="1">
      <c r="A47" s="414" t="s">
        <v>81</v>
      </c>
      <c r="B47" s="415">
        <v>136705</v>
      </c>
      <c r="C47" s="415">
        <v>154930</v>
      </c>
      <c r="D47" s="415">
        <v>18225</v>
      </c>
      <c r="E47" s="415">
        <v>13.3</v>
      </c>
      <c r="F47" s="415">
        <v>19495</v>
      </c>
      <c r="G47" s="415">
        <v>12620</v>
      </c>
      <c r="H47" s="415">
        <v>6875</v>
      </c>
      <c r="I47" s="415">
        <v>11350</v>
      </c>
    </row>
    <row r="48" spans="1:9" ht="16.149999999999999" customHeight="1">
      <c r="A48" s="414" t="s">
        <v>162</v>
      </c>
      <c r="B48" s="415">
        <v>63481</v>
      </c>
      <c r="C48" s="415">
        <v>67931</v>
      </c>
      <c r="D48" s="415">
        <v>4450</v>
      </c>
      <c r="E48" s="415">
        <v>7</v>
      </c>
      <c r="F48" s="415">
        <v>6386</v>
      </c>
      <c r="G48" s="415">
        <v>9509</v>
      </c>
      <c r="H48" s="415">
        <v>-3123</v>
      </c>
      <c r="I48" s="415">
        <v>7573</v>
      </c>
    </row>
    <row r="49" spans="1:9" ht="16.149999999999999" customHeight="1">
      <c r="A49" s="414" t="s">
        <v>163</v>
      </c>
      <c r="B49" s="415">
        <v>118563</v>
      </c>
      <c r="C49" s="415">
        <v>133007</v>
      </c>
      <c r="D49" s="415">
        <v>14444</v>
      </c>
      <c r="E49" s="415">
        <v>12.2</v>
      </c>
      <c r="F49" s="415">
        <v>12230</v>
      </c>
      <c r="G49" s="415">
        <v>17554</v>
      </c>
      <c r="H49" s="415">
        <v>-5324</v>
      </c>
      <c r="I49" s="415">
        <v>19768</v>
      </c>
    </row>
    <row r="50" spans="1:9" ht="16.149999999999999" customHeight="1">
      <c r="A50" s="414" t="s">
        <v>164</v>
      </c>
      <c r="B50" s="415">
        <v>23720</v>
      </c>
      <c r="C50" s="415">
        <v>23310</v>
      </c>
      <c r="D50" s="415">
        <v>-410</v>
      </c>
      <c r="E50" s="415">
        <v>-1.7</v>
      </c>
      <c r="F50" s="415">
        <v>2134</v>
      </c>
      <c r="G50" s="415">
        <v>3321</v>
      </c>
      <c r="H50" s="415">
        <v>-1187</v>
      </c>
      <c r="I50" s="415">
        <v>777</v>
      </c>
    </row>
    <row r="51" spans="1:9" ht="16.149999999999999" customHeight="1">
      <c r="A51" s="414" t="s">
        <v>165</v>
      </c>
      <c r="B51" s="415">
        <v>54682</v>
      </c>
      <c r="C51" s="415">
        <v>57946</v>
      </c>
      <c r="D51" s="415">
        <v>3264</v>
      </c>
      <c r="E51" s="415">
        <v>6</v>
      </c>
      <c r="F51" s="415">
        <v>8073</v>
      </c>
      <c r="G51" s="415">
        <v>4233</v>
      </c>
      <c r="H51" s="415">
        <v>3840</v>
      </c>
      <c r="I51" s="415">
        <v>-576</v>
      </c>
    </row>
    <row r="52" spans="1:9" ht="16.149999999999999" customHeight="1">
      <c r="A52" s="414" t="s">
        <v>166</v>
      </c>
      <c r="B52" s="415">
        <v>5119</v>
      </c>
      <c r="C52" s="415">
        <v>4853</v>
      </c>
      <c r="D52" s="415">
        <v>-266</v>
      </c>
      <c r="E52" s="415">
        <v>-5.2</v>
      </c>
      <c r="F52" s="415">
        <v>397</v>
      </c>
      <c r="G52" s="415">
        <v>709</v>
      </c>
      <c r="H52" s="415">
        <v>-312</v>
      </c>
      <c r="I52" s="415">
        <v>46</v>
      </c>
    </row>
    <row r="53" spans="1:9" ht="16.149999999999999" customHeight="1">
      <c r="A53" s="414" t="s">
        <v>167</v>
      </c>
      <c r="B53" s="415">
        <v>183309</v>
      </c>
      <c r="C53" s="415">
        <v>207217</v>
      </c>
      <c r="D53" s="415">
        <v>23908</v>
      </c>
      <c r="E53" s="415">
        <v>13</v>
      </c>
      <c r="F53" s="415">
        <v>22661</v>
      </c>
      <c r="G53" s="415">
        <v>20351</v>
      </c>
      <c r="H53" s="415">
        <v>2310</v>
      </c>
      <c r="I53" s="415">
        <v>21598</v>
      </c>
    </row>
    <row r="54" spans="1:9" ht="16.149999999999999" customHeight="1">
      <c r="A54" s="414" t="s">
        <v>168</v>
      </c>
      <c r="B54" s="415">
        <v>44354</v>
      </c>
      <c r="C54" s="415">
        <v>48165</v>
      </c>
      <c r="D54" s="415">
        <v>3811</v>
      </c>
      <c r="E54" s="415">
        <v>8.6</v>
      </c>
      <c r="F54" s="415">
        <v>4015</v>
      </c>
      <c r="G54" s="415">
        <v>4936</v>
      </c>
      <c r="H54" s="415">
        <v>-921</v>
      </c>
      <c r="I54" s="415">
        <v>4732</v>
      </c>
    </row>
    <row r="55" spans="1:9" ht="16.149999999999999" customHeight="1">
      <c r="A55" s="414" t="s">
        <v>80</v>
      </c>
      <c r="B55" s="415">
        <v>211626</v>
      </c>
      <c r="C55" s="415">
        <v>264618</v>
      </c>
      <c r="D55" s="415">
        <v>52992</v>
      </c>
      <c r="E55" s="415">
        <v>25</v>
      </c>
      <c r="F55" s="415">
        <v>31267</v>
      </c>
      <c r="G55" s="415">
        <v>20833</v>
      </c>
      <c r="H55" s="415">
        <v>10434</v>
      </c>
      <c r="I55" s="415">
        <v>42558</v>
      </c>
    </row>
    <row r="56" spans="1:9" ht="16.149999999999999" customHeight="1">
      <c r="A56" s="414" t="s">
        <v>86</v>
      </c>
      <c r="B56" s="415">
        <v>10067</v>
      </c>
      <c r="C56" s="415">
        <v>10006</v>
      </c>
      <c r="D56" s="415">
        <v>-61</v>
      </c>
      <c r="E56" s="415">
        <v>-0.6</v>
      </c>
      <c r="F56" s="415">
        <v>950</v>
      </c>
      <c r="G56" s="415">
        <v>1411</v>
      </c>
      <c r="H56" s="415">
        <v>-461</v>
      </c>
      <c r="I56" s="415">
        <v>400</v>
      </c>
    </row>
    <row r="57" spans="1:9" ht="16.149999999999999" customHeight="1">
      <c r="A57" s="414" t="s">
        <v>169</v>
      </c>
      <c r="B57" s="415">
        <v>61663</v>
      </c>
      <c r="C57" s="415">
        <v>66893</v>
      </c>
      <c r="D57" s="415">
        <v>5230</v>
      </c>
      <c r="E57" s="415">
        <v>8.5</v>
      </c>
      <c r="F57" s="415">
        <v>8499</v>
      </c>
      <c r="G57" s="415">
        <v>6861</v>
      </c>
      <c r="H57" s="415">
        <v>1638</v>
      </c>
      <c r="I57" s="415">
        <v>3592</v>
      </c>
    </row>
    <row r="58" spans="1:9" ht="16.149999999999999" customHeight="1">
      <c r="A58" s="414" t="s">
        <v>87</v>
      </c>
      <c r="B58" s="415">
        <v>56876</v>
      </c>
      <c r="C58" s="415">
        <v>55751</v>
      </c>
      <c r="D58" s="415">
        <v>-1125</v>
      </c>
      <c r="E58" s="415">
        <v>-2</v>
      </c>
      <c r="F58" s="415">
        <v>6714</v>
      </c>
      <c r="G58" s="415">
        <v>7716</v>
      </c>
      <c r="H58" s="415">
        <v>-1002</v>
      </c>
      <c r="I58" s="415">
        <v>-123</v>
      </c>
    </row>
    <row r="59" spans="1:9" ht="16.149999999999999" customHeight="1">
      <c r="A59" s="414" t="s">
        <v>170</v>
      </c>
      <c r="B59" s="415">
        <v>88699</v>
      </c>
      <c r="C59" s="415">
        <v>101026</v>
      </c>
      <c r="D59" s="415">
        <v>12327</v>
      </c>
      <c r="E59" s="415">
        <v>13.9</v>
      </c>
      <c r="F59" s="415">
        <v>9743</v>
      </c>
      <c r="G59" s="415">
        <v>10934</v>
      </c>
      <c r="H59" s="415">
        <v>-1191</v>
      </c>
      <c r="I59" s="415">
        <v>13518</v>
      </c>
    </row>
    <row r="60" spans="1:9" ht="16.149999999999999" customHeight="1">
      <c r="A60" s="414" t="s">
        <v>171</v>
      </c>
      <c r="B60" s="415">
        <v>37014</v>
      </c>
      <c r="C60" s="415">
        <v>42382</v>
      </c>
      <c r="D60" s="415">
        <v>5368</v>
      </c>
      <c r="E60" s="415">
        <v>14.5</v>
      </c>
      <c r="F60" s="415">
        <v>4032</v>
      </c>
      <c r="G60" s="415">
        <v>5793</v>
      </c>
      <c r="H60" s="415">
        <v>-1761</v>
      </c>
      <c r="I60" s="415">
        <v>7129</v>
      </c>
    </row>
    <row r="61" spans="1:9" ht="16.149999999999999" customHeight="1">
      <c r="A61" s="414" t="s">
        <v>172</v>
      </c>
      <c r="B61" s="415">
        <v>22500</v>
      </c>
      <c r="C61" s="415">
        <v>23843</v>
      </c>
      <c r="D61" s="415">
        <v>1343</v>
      </c>
      <c r="E61" s="415">
        <v>6</v>
      </c>
      <c r="F61" s="415">
        <v>2222</v>
      </c>
      <c r="G61" s="415">
        <v>3067</v>
      </c>
      <c r="H61" s="415">
        <v>-845</v>
      </c>
      <c r="I61" s="415">
        <v>2188</v>
      </c>
    </row>
    <row r="62" spans="1:9" ht="16.149999999999999" customHeight="1">
      <c r="A62" s="414" t="s">
        <v>173</v>
      </c>
      <c r="B62" s="415">
        <v>22904</v>
      </c>
      <c r="C62" s="415">
        <v>21511</v>
      </c>
      <c r="D62" s="415">
        <v>-1393</v>
      </c>
      <c r="E62" s="415">
        <v>-6.1</v>
      </c>
      <c r="F62" s="415">
        <v>2579</v>
      </c>
      <c r="G62" s="415">
        <v>3475</v>
      </c>
      <c r="H62" s="415">
        <v>-896</v>
      </c>
      <c r="I62" s="415">
        <v>-497</v>
      </c>
    </row>
    <row r="63" spans="1:9" ht="16.149999999999999" customHeight="1">
      <c r="A63" s="414" t="s">
        <v>174</v>
      </c>
      <c r="B63" s="415">
        <v>46530</v>
      </c>
      <c r="C63" s="415">
        <v>47712</v>
      </c>
      <c r="D63" s="415">
        <v>1182</v>
      </c>
      <c r="E63" s="415">
        <v>2.5</v>
      </c>
      <c r="F63" s="415">
        <v>4845</v>
      </c>
      <c r="G63" s="415">
        <v>6160</v>
      </c>
      <c r="H63" s="415">
        <v>-1315</v>
      </c>
      <c r="I63" s="415">
        <v>2497</v>
      </c>
    </row>
    <row r="64" spans="1:9" ht="16.149999999999999" customHeight="1">
      <c r="A64" s="414" t="s">
        <v>175</v>
      </c>
      <c r="B64" s="415">
        <v>1118775</v>
      </c>
      <c r="C64" s="415">
        <v>1329914</v>
      </c>
      <c r="D64" s="415">
        <v>211139</v>
      </c>
      <c r="E64" s="415">
        <v>18.899999999999999</v>
      </c>
      <c r="F64" s="415">
        <v>152503</v>
      </c>
      <c r="G64" s="415">
        <v>83585</v>
      </c>
      <c r="H64" s="415">
        <v>68918</v>
      </c>
      <c r="I64" s="415">
        <v>142221</v>
      </c>
    </row>
    <row r="65" spans="1:9" ht="16.149999999999999" customHeight="1">
      <c r="A65" s="414" t="s">
        <v>176</v>
      </c>
      <c r="B65" s="415">
        <v>15112</v>
      </c>
      <c r="C65" s="415">
        <v>14805</v>
      </c>
      <c r="D65" s="415">
        <v>-307</v>
      </c>
      <c r="E65" s="415">
        <v>-2</v>
      </c>
      <c r="F65" s="415">
        <v>1444</v>
      </c>
      <c r="G65" s="415">
        <v>2349</v>
      </c>
      <c r="H65" s="415">
        <v>-905</v>
      </c>
      <c r="I65" s="415">
        <v>598</v>
      </c>
    </row>
    <row r="66" spans="1:9" ht="16.149999999999999" customHeight="1">
      <c r="A66" s="414" t="s">
        <v>177</v>
      </c>
      <c r="B66" s="415">
        <v>27753</v>
      </c>
      <c r="C66" s="415">
        <v>28006</v>
      </c>
      <c r="D66" s="415">
        <v>253</v>
      </c>
      <c r="E66" s="415">
        <v>0.9</v>
      </c>
      <c r="F66" s="415">
        <v>3182</v>
      </c>
      <c r="G66" s="415">
        <v>3426</v>
      </c>
      <c r="H66" s="415">
        <v>-244</v>
      </c>
      <c r="I66" s="415">
        <v>497</v>
      </c>
    </row>
    <row r="67" spans="1:9" ht="16.149999999999999" customHeight="1">
      <c r="A67" s="414" t="s">
        <v>178</v>
      </c>
      <c r="B67" s="415">
        <v>102814</v>
      </c>
      <c r="C67" s="415">
        <v>120258</v>
      </c>
      <c r="D67" s="415">
        <v>17444</v>
      </c>
      <c r="E67" s="415">
        <v>17</v>
      </c>
      <c r="F67" s="415">
        <v>13315</v>
      </c>
      <c r="G67" s="415">
        <v>14029</v>
      </c>
      <c r="H67" s="415">
        <v>-714</v>
      </c>
      <c r="I67" s="415">
        <v>18158</v>
      </c>
    </row>
    <row r="68" spans="1:9" ht="16.149999999999999" customHeight="1">
      <c r="A68" s="414" t="s">
        <v>78</v>
      </c>
      <c r="B68" s="415">
        <v>96669</v>
      </c>
      <c r="C68" s="415">
        <v>99926</v>
      </c>
      <c r="D68" s="415">
        <v>3257</v>
      </c>
      <c r="E68" s="415">
        <v>3.4</v>
      </c>
      <c r="F68" s="415">
        <v>11585</v>
      </c>
      <c r="G68" s="415">
        <v>12528</v>
      </c>
      <c r="H68" s="415">
        <v>-943</v>
      </c>
      <c r="I68" s="415">
        <v>4200</v>
      </c>
    </row>
    <row r="69" spans="1:9" ht="16.149999999999999" customHeight="1">
      <c r="A69" s="414" t="s">
        <v>179</v>
      </c>
      <c r="B69" s="415">
        <v>235231</v>
      </c>
      <c r="C69" s="415">
        <v>267340</v>
      </c>
      <c r="D69" s="415">
        <v>32109</v>
      </c>
      <c r="E69" s="415">
        <v>13.6</v>
      </c>
      <c r="F69" s="415">
        <v>23981</v>
      </c>
      <c r="G69" s="415">
        <v>24437</v>
      </c>
      <c r="H69" s="415">
        <v>-456</v>
      </c>
      <c r="I69" s="415">
        <v>32565</v>
      </c>
    </row>
    <row r="70" spans="1:9" ht="16.149999999999999" customHeight="1">
      <c r="A70" s="414" t="s">
        <v>77</v>
      </c>
      <c r="B70" s="415">
        <v>20054</v>
      </c>
      <c r="C70" s="415">
        <v>17124</v>
      </c>
      <c r="D70" s="415">
        <v>-2930</v>
      </c>
      <c r="E70" s="415">
        <v>-14.6</v>
      </c>
      <c r="F70" s="415">
        <v>1907</v>
      </c>
      <c r="G70" s="415">
        <v>2677</v>
      </c>
      <c r="H70" s="415">
        <v>-770</v>
      </c>
      <c r="I70" s="415">
        <v>-2160</v>
      </c>
    </row>
    <row r="71" spans="1:9" ht="16.149999999999999" customHeight="1">
      <c r="A71" s="414" t="s">
        <v>180</v>
      </c>
      <c r="B71" s="415">
        <v>210056</v>
      </c>
      <c r="C71" s="415">
        <v>231558</v>
      </c>
      <c r="D71" s="415">
        <v>21502</v>
      </c>
      <c r="E71" s="415">
        <v>10.199999999999999</v>
      </c>
      <c r="F71" s="415">
        <v>38031</v>
      </c>
      <c r="G71" s="415">
        <v>14321</v>
      </c>
      <c r="H71" s="415">
        <v>23710</v>
      </c>
      <c r="I71" s="415">
        <v>-2208</v>
      </c>
    </row>
    <row r="72" spans="1:9" ht="16.149999999999999" customHeight="1">
      <c r="A72" s="414" t="s">
        <v>181</v>
      </c>
      <c r="B72" s="415">
        <v>147907</v>
      </c>
      <c r="C72" s="415">
        <v>162267</v>
      </c>
      <c r="D72" s="415">
        <v>14360</v>
      </c>
      <c r="E72" s="415">
        <v>9.6999999999999993</v>
      </c>
      <c r="F72" s="415">
        <v>12467</v>
      </c>
      <c r="G72" s="415">
        <v>10900</v>
      </c>
      <c r="H72" s="415">
        <v>1567</v>
      </c>
      <c r="I72" s="415">
        <v>12793</v>
      </c>
    </row>
    <row r="73" spans="1:9" ht="16.149999999999999" customHeight="1">
      <c r="A73" s="414" t="s">
        <v>182</v>
      </c>
      <c r="B73" s="415">
        <v>13277</v>
      </c>
      <c r="C73" s="415">
        <v>13392</v>
      </c>
      <c r="D73" s="415">
        <v>115</v>
      </c>
      <c r="E73" s="415">
        <v>0.9</v>
      </c>
      <c r="F73" s="415">
        <v>948</v>
      </c>
      <c r="G73" s="415">
        <v>2119</v>
      </c>
      <c r="H73" s="415">
        <v>-1171</v>
      </c>
      <c r="I73" s="415">
        <v>1286</v>
      </c>
    </row>
    <row r="74" spans="1:9" ht="16.149999999999999" customHeight="1">
      <c r="A74" s="414" t="s">
        <v>183</v>
      </c>
      <c r="B74" s="415">
        <v>39952</v>
      </c>
      <c r="C74" s="415">
        <v>39729</v>
      </c>
      <c r="D74" s="415">
        <v>-223</v>
      </c>
      <c r="E74" s="415">
        <v>-0.6</v>
      </c>
      <c r="F74" s="415">
        <v>4725</v>
      </c>
      <c r="G74" s="415">
        <v>4443</v>
      </c>
      <c r="H74" s="415">
        <v>282</v>
      </c>
      <c r="I74" s="415">
        <v>-505</v>
      </c>
    </row>
    <row r="75" spans="1:9" ht="16.149999999999999" customHeight="1">
      <c r="A75" s="414" t="s">
        <v>184</v>
      </c>
      <c r="B75" s="415">
        <v>63949</v>
      </c>
      <c r="C75" s="415">
        <v>72153</v>
      </c>
      <c r="D75" s="415">
        <v>8204</v>
      </c>
      <c r="E75" s="415">
        <v>12.8</v>
      </c>
      <c r="F75" s="415">
        <v>7297</v>
      </c>
      <c r="G75" s="415">
        <v>7377</v>
      </c>
      <c r="H75" s="415">
        <v>-80</v>
      </c>
      <c r="I75" s="415">
        <v>8284</v>
      </c>
    </row>
    <row r="76" spans="1:9" ht="16.149999999999999" customHeight="1">
      <c r="A76" s="414" t="s">
        <v>185</v>
      </c>
      <c r="B76" s="415">
        <v>13807</v>
      </c>
      <c r="C76" s="415">
        <v>14826</v>
      </c>
      <c r="D76" s="415">
        <v>1019</v>
      </c>
      <c r="E76" s="415">
        <v>7.4</v>
      </c>
      <c r="F76" s="415">
        <v>1307</v>
      </c>
      <c r="G76" s="415">
        <v>2148</v>
      </c>
      <c r="H76" s="415">
        <v>-841</v>
      </c>
      <c r="I76" s="415">
        <v>1860</v>
      </c>
    </row>
    <row r="77" spans="1:9" ht="16.149999999999999" customHeight="1">
      <c r="A77" s="414" t="s">
        <v>186</v>
      </c>
      <c r="B77" s="415">
        <v>40450</v>
      </c>
      <c r="C77" s="415">
        <v>41560</v>
      </c>
      <c r="D77" s="415">
        <v>1110</v>
      </c>
      <c r="E77" s="415">
        <v>2.7</v>
      </c>
      <c r="F77" s="415">
        <v>4637</v>
      </c>
      <c r="G77" s="415">
        <v>5155</v>
      </c>
      <c r="H77" s="415">
        <v>-518</v>
      </c>
      <c r="I77" s="415">
        <v>1628</v>
      </c>
    </row>
    <row r="78" spans="1:9" ht="16.149999999999999" customHeight="1">
      <c r="A78" s="414" t="s">
        <v>187</v>
      </c>
      <c r="B78" s="415">
        <v>183285</v>
      </c>
      <c r="C78" s="415">
        <v>205556</v>
      </c>
      <c r="D78" s="415">
        <v>22271</v>
      </c>
      <c r="E78" s="415">
        <v>12.2</v>
      </c>
      <c r="F78" s="415">
        <v>23063</v>
      </c>
      <c r="G78" s="415">
        <v>15983</v>
      </c>
      <c r="H78" s="415">
        <v>7080</v>
      </c>
      <c r="I78" s="415">
        <v>15191</v>
      </c>
    </row>
    <row r="79" spans="1:9" ht="16.149999999999999" customHeight="1">
      <c r="A79" s="414" t="s">
        <v>188</v>
      </c>
      <c r="B79" s="415">
        <v>21923</v>
      </c>
      <c r="C79" s="415">
        <v>23544</v>
      </c>
      <c r="D79" s="415">
        <v>1621</v>
      </c>
      <c r="E79" s="415">
        <v>7.4</v>
      </c>
      <c r="F79" s="415">
        <v>1746</v>
      </c>
      <c r="G79" s="415">
        <v>3334</v>
      </c>
      <c r="H79" s="415">
        <v>-1588</v>
      </c>
      <c r="I79" s="415">
        <v>3209</v>
      </c>
    </row>
    <row r="80" spans="1:9" ht="16.149999999999999" customHeight="1">
      <c r="A80" s="414" t="s">
        <v>189</v>
      </c>
      <c r="B80" s="415">
        <v>145246</v>
      </c>
      <c r="C80" s="415">
        <v>152412</v>
      </c>
      <c r="D80" s="415">
        <v>7166</v>
      </c>
      <c r="E80" s="415">
        <v>4.9000000000000004</v>
      </c>
      <c r="F80" s="415">
        <v>17419</v>
      </c>
      <c r="G80" s="415">
        <v>17678</v>
      </c>
      <c r="H80" s="415">
        <v>-259</v>
      </c>
      <c r="I80" s="415">
        <v>7425</v>
      </c>
    </row>
    <row r="81" spans="1:9" ht="16.149999999999999" customHeight="1">
      <c r="A81" s="414" t="s">
        <v>190</v>
      </c>
      <c r="B81" s="415">
        <v>45014</v>
      </c>
      <c r="C81" s="415">
        <v>43921</v>
      </c>
      <c r="D81" s="415">
        <v>-1093</v>
      </c>
      <c r="E81" s="415">
        <v>-2.4</v>
      </c>
      <c r="F81" s="415">
        <v>5502</v>
      </c>
      <c r="G81" s="415">
        <v>5821</v>
      </c>
      <c r="H81" s="415">
        <v>-319</v>
      </c>
      <c r="I81" s="415">
        <v>-774</v>
      </c>
    </row>
    <row r="82" spans="1:9" ht="16.149999999999999" customHeight="1">
      <c r="A82" s="414" t="s">
        <v>83</v>
      </c>
      <c r="B82" s="415">
        <v>131238</v>
      </c>
      <c r="C82" s="415">
        <v>129627</v>
      </c>
      <c r="D82" s="415">
        <v>-1611</v>
      </c>
      <c r="E82" s="415">
        <v>-1.2</v>
      </c>
      <c r="F82" s="415">
        <v>16706</v>
      </c>
      <c r="G82" s="415">
        <v>15136</v>
      </c>
      <c r="H82" s="415">
        <v>1570</v>
      </c>
      <c r="I82" s="415">
        <v>-3181</v>
      </c>
    </row>
    <row r="83" spans="1:9" ht="16.149999999999999" customHeight="1">
      <c r="A83" s="414" t="s">
        <v>191</v>
      </c>
      <c r="B83" s="415">
        <v>91915</v>
      </c>
      <c r="C83" s="415">
        <v>91586</v>
      </c>
      <c r="D83" s="415">
        <v>-329</v>
      </c>
      <c r="E83" s="415">
        <v>-0.4</v>
      </c>
      <c r="F83" s="415">
        <v>9573</v>
      </c>
      <c r="G83" s="415">
        <v>12531</v>
      </c>
      <c r="H83" s="415">
        <v>-2958</v>
      </c>
      <c r="I83" s="415">
        <v>2629</v>
      </c>
    </row>
    <row r="84" spans="1:9" ht="16.149999999999999" customHeight="1">
      <c r="A84" s="414" t="s">
        <v>192</v>
      </c>
      <c r="B84" s="415">
        <v>143274</v>
      </c>
      <c r="C84" s="415">
        <v>148482</v>
      </c>
      <c r="D84" s="415">
        <v>5208</v>
      </c>
      <c r="E84" s="415">
        <v>3.6</v>
      </c>
      <c r="F84" s="415">
        <v>16564</v>
      </c>
      <c r="G84" s="415">
        <v>18004</v>
      </c>
      <c r="H84" s="415">
        <v>-1440</v>
      </c>
      <c r="I84" s="415">
        <v>6648</v>
      </c>
    </row>
    <row r="85" spans="1:9" ht="16.149999999999999" customHeight="1">
      <c r="A85" s="414" t="s">
        <v>193</v>
      </c>
      <c r="B85" s="415">
        <v>69049</v>
      </c>
      <c r="C85" s="415">
        <v>72706</v>
      </c>
      <c r="D85" s="415">
        <v>3657</v>
      </c>
      <c r="E85" s="415">
        <v>5.3</v>
      </c>
      <c r="F85" s="415">
        <v>7420</v>
      </c>
      <c r="G85" s="415">
        <v>9771</v>
      </c>
      <c r="H85" s="415">
        <v>-2351</v>
      </c>
      <c r="I85" s="415">
        <v>6008</v>
      </c>
    </row>
    <row r="86" spans="1:9" ht="16.149999999999999" customHeight="1">
      <c r="A86" s="414" t="s">
        <v>194</v>
      </c>
      <c r="B86" s="415">
        <v>64053</v>
      </c>
      <c r="C86" s="415">
        <v>64058</v>
      </c>
      <c r="D86" s="415">
        <v>5</v>
      </c>
      <c r="E86" s="415">
        <v>0</v>
      </c>
      <c r="F86" s="415">
        <v>8675</v>
      </c>
      <c r="G86" s="415">
        <v>7622</v>
      </c>
      <c r="H86" s="415">
        <v>1053</v>
      </c>
      <c r="I86" s="415">
        <v>-1048</v>
      </c>
    </row>
    <row r="87" spans="1:9" ht="16.149999999999999" customHeight="1">
      <c r="A87" s="414" t="s">
        <v>195</v>
      </c>
      <c r="B87" s="415">
        <v>35724</v>
      </c>
      <c r="C87" s="415">
        <v>35389</v>
      </c>
      <c r="D87" s="415">
        <v>-335</v>
      </c>
      <c r="E87" s="415">
        <v>-0.9</v>
      </c>
      <c r="F87" s="415">
        <v>4554</v>
      </c>
      <c r="G87" s="415">
        <v>4400</v>
      </c>
      <c r="H87" s="415">
        <v>154</v>
      </c>
      <c r="I87" s="415">
        <v>-489</v>
      </c>
    </row>
    <row r="88" spans="1:9" ht="16.149999999999999" customHeight="1">
      <c r="A88" s="414" t="s">
        <v>196</v>
      </c>
      <c r="B88" s="415">
        <v>64691</v>
      </c>
      <c r="C88" s="415">
        <v>67759</v>
      </c>
      <c r="D88" s="415">
        <v>3068</v>
      </c>
      <c r="E88" s="415">
        <v>4.7</v>
      </c>
      <c r="F88" s="415">
        <v>7190</v>
      </c>
      <c r="G88" s="415">
        <v>8472</v>
      </c>
      <c r="H88" s="415">
        <v>-1282</v>
      </c>
      <c r="I88" s="415">
        <v>4350</v>
      </c>
    </row>
    <row r="89" spans="1:9" ht="16.149999999999999" customHeight="1">
      <c r="A89" s="414" t="s">
        <v>197</v>
      </c>
      <c r="B89" s="415">
        <v>46684</v>
      </c>
      <c r="C89" s="415">
        <v>46804</v>
      </c>
      <c r="D89" s="415">
        <v>120</v>
      </c>
      <c r="E89" s="415">
        <v>0.3</v>
      </c>
      <c r="F89" s="415">
        <v>4477</v>
      </c>
      <c r="G89" s="415">
        <v>6467</v>
      </c>
      <c r="H89" s="415">
        <v>-1990</v>
      </c>
      <c r="I89" s="415">
        <v>2110</v>
      </c>
    </row>
    <row r="90" spans="1:9" ht="16.149999999999999" customHeight="1">
      <c r="A90" s="414" t="s">
        <v>198</v>
      </c>
      <c r="B90" s="415">
        <v>73548</v>
      </c>
      <c r="C90" s="415">
        <v>74383</v>
      </c>
      <c r="D90" s="415">
        <v>835</v>
      </c>
      <c r="E90" s="415">
        <v>1.1000000000000001</v>
      </c>
      <c r="F90" s="415">
        <v>8351</v>
      </c>
      <c r="G90" s="415">
        <v>9970</v>
      </c>
      <c r="H90" s="415">
        <v>-1619</v>
      </c>
      <c r="I90" s="415">
        <v>2454</v>
      </c>
    </row>
    <row r="91" spans="1:9" ht="16.149999999999999" customHeight="1">
      <c r="A91" s="414" t="s">
        <v>199</v>
      </c>
      <c r="B91" s="415">
        <v>14489</v>
      </c>
      <c r="C91" s="415">
        <v>14838</v>
      </c>
      <c r="D91" s="415">
        <v>349</v>
      </c>
      <c r="E91" s="415">
        <v>2.4</v>
      </c>
      <c r="F91" s="415">
        <v>1747</v>
      </c>
      <c r="G91" s="415">
        <v>2039</v>
      </c>
      <c r="H91" s="415">
        <v>-292</v>
      </c>
      <c r="I91" s="415">
        <v>641</v>
      </c>
    </row>
    <row r="92" spans="1:9" ht="16.149999999999999" customHeight="1">
      <c r="A92" s="414" t="s">
        <v>200</v>
      </c>
      <c r="B92" s="415">
        <v>35511</v>
      </c>
      <c r="C92" s="415">
        <v>38352</v>
      </c>
      <c r="D92" s="415">
        <v>2841</v>
      </c>
      <c r="E92" s="415">
        <v>8</v>
      </c>
      <c r="F92" s="415">
        <v>3123</v>
      </c>
      <c r="G92" s="415">
        <v>5400</v>
      </c>
      <c r="H92" s="415">
        <v>-2277</v>
      </c>
      <c r="I92" s="415">
        <v>5118</v>
      </c>
    </row>
    <row r="93" spans="1:9" ht="16.149999999999999" customHeight="1">
      <c r="A93" s="414" t="s">
        <v>201</v>
      </c>
      <c r="B93" s="415">
        <v>3767</v>
      </c>
      <c r="C93" s="415">
        <v>3701</v>
      </c>
      <c r="D93" s="415">
        <v>-66</v>
      </c>
      <c r="E93" s="415">
        <v>-1.8</v>
      </c>
      <c r="F93" s="415">
        <v>372</v>
      </c>
      <c r="G93" s="415">
        <v>478</v>
      </c>
      <c r="H93" s="415">
        <v>-106</v>
      </c>
      <c r="I93" s="415">
        <v>40</v>
      </c>
    </row>
    <row r="94" spans="1:9" ht="16.149999999999999" customHeight="1">
      <c r="A94" s="414" t="s">
        <v>202</v>
      </c>
      <c r="B94" s="415">
        <v>238740</v>
      </c>
      <c r="C94" s="415">
        <v>286899</v>
      </c>
      <c r="D94" s="415">
        <v>48159</v>
      </c>
      <c r="E94" s="415">
        <v>20.2</v>
      </c>
      <c r="F94" s="415">
        <v>32658</v>
      </c>
      <c r="G94" s="415">
        <v>20508</v>
      </c>
      <c r="H94" s="415">
        <v>12150</v>
      </c>
      <c r="I94" s="415">
        <v>36009</v>
      </c>
    </row>
    <row r="95" spans="1:9" ht="16.149999999999999" customHeight="1">
      <c r="A95" s="414" t="s">
        <v>203</v>
      </c>
      <c r="B95" s="415">
        <v>45435</v>
      </c>
      <c r="C95" s="415">
        <v>45431</v>
      </c>
      <c r="D95" s="415">
        <v>-4</v>
      </c>
      <c r="E95" s="415">
        <v>0</v>
      </c>
      <c r="F95" s="415">
        <v>5820</v>
      </c>
      <c r="G95" s="415">
        <v>5705</v>
      </c>
      <c r="H95" s="415">
        <v>115</v>
      </c>
      <c r="I95" s="415">
        <v>-119</v>
      </c>
    </row>
    <row r="96" spans="1:9" ht="16.149999999999999" customHeight="1">
      <c r="A96" s="414" t="s">
        <v>204</v>
      </c>
      <c r="B96" s="415">
        <v>1102782</v>
      </c>
      <c r="C96" s="415">
        <v>1305154</v>
      </c>
      <c r="D96" s="415">
        <v>202372</v>
      </c>
      <c r="E96" s="415">
        <v>18.399999999999999</v>
      </c>
      <c r="F96" s="415">
        <v>139070</v>
      </c>
      <c r="G96" s="415">
        <v>78857</v>
      </c>
      <c r="H96" s="415">
        <v>60213</v>
      </c>
      <c r="I96" s="415">
        <v>142159</v>
      </c>
    </row>
    <row r="97" spans="1:9" ht="16.149999999999999" customHeight="1">
      <c r="A97" s="414" t="s">
        <v>205</v>
      </c>
      <c r="B97" s="415">
        <v>19767</v>
      </c>
      <c r="C97" s="415">
        <v>17972</v>
      </c>
      <c r="D97" s="415">
        <v>-1795</v>
      </c>
      <c r="E97" s="415">
        <v>-9.1</v>
      </c>
      <c r="F97" s="415">
        <v>1718</v>
      </c>
      <c r="G97" s="415">
        <v>2773</v>
      </c>
      <c r="H97" s="415">
        <v>-1055</v>
      </c>
      <c r="I97" s="415">
        <v>-740</v>
      </c>
    </row>
    <row r="98" spans="1:9" ht="16.149999999999999" customHeight="1">
      <c r="A98" s="414" t="s">
        <v>206</v>
      </c>
      <c r="B98" s="415">
        <v>12039</v>
      </c>
      <c r="C98" s="415">
        <v>11194</v>
      </c>
      <c r="D98" s="415">
        <v>-845</v>
      </c>
      <c r="E98" s="415">
        <v>-7</v>
      </c>
      <c r="F98" s="415">
        <v>1405</v>
      </c>
      <c r="G98" s="415">
        <v>1738</v>
      </c>
      <c r="H98" s="415">
        <v>-333</v>
      </c>
      <c r="I98" s="415">
        <v>-512</v>
      </c>
    </row>
    <row r="99" spans="1:9" ht="16.149999999999999" customHeight="1">
      <c r="A99" s="414" t="s">
        <v>207</v>
      </c>
      <c r="B99" s="415">
        <v>57011</v>
      </c>
      <c r="C99" s="415">
        <v>63224</v>
      </c>
      <c r="D99" s="415">
        <v>6213</v>
      </c>
      <c r="E99" s="415">
        <v>10.9</v>
      </c>
      <c r="F99" s="415">
        <v>4236</v>
      </c>
      <c r="G99" s="415">
        <v>4461</v>
      </c>
      <c r="H99" s="415">
        <v>-225</v>
      </c>
      <c r="I99" s="415">
        <v>6438</v>
      </c>
    </row>
    <row r="100" spans="1:9" ht="16.149999999999999" customHeight="1">
      <c r="A100" s="414" t="s">
        <v>88</v>
      </c>
      <c r="B100" s="415">
        <v>126339</v>
      </c>
      <c r="C100" s="415">
        <v>130737</v>
      </c>
      <c r="D100" s="415">
        <v>4398</v>
      </c>
      <c r="E100" s="415">
        <v>3.5</v>
      </c>
      <c r="F100" s="415">
        <v>16083</v>
      </c>
      <c r="G100" s="415">
        <v>13840</v>
      </c>
      <c r="H100" s="415">
        <v>2243</v>
      </c>
      <c r="I100" s="415">
        <v>2155</v>
      </c>
    </row>
    <row r="101" spans="1:9" ht="16.149999999999999" customHeight="1">
      <c r="A101" s="414" t="s">
        <v>208</v>
      </c>
      <c r="B101" s="415">
        <v>70263</v>
      </c>
      <c r="C101" s="415">
        <v>72721</v>
      </c>
      <c r="D101" s="415">
        <v>2458</v>
      </c>
      <c r="E101" s="415">
        <v>3.5</v>
      </c>
      <c r="F101" s="415">
        <v>7556</v>
      </c>
      <c r="G101" s="415">
        <v>9629</v>
      </c>
      <c r="H101" s="415">
        <v>-2073</v>
      </c>
      <c r="I101" s="415">
        <v>4531</v>
      </c>
    </row>
    <row r="102" spans="1:9" ht="16.149999999999999" customHeight="1">
      <c r="A102" s="414" t="s">
        <v>79</v>
      </c>
      <c r="B102" s="415">
        <v>83495</v>
      </c>
      <c r="C102" s="415">
        <v>89175</v>
      </c>
      <c r="D102" s="415">
        <v>5680</v>
      </c>
      <c r="E102" s="415">
        <v>6.8</v>
      </c>
      <c r="F102" s="415">
        <v>10223</v>
      </c>
      <c r="G102" s="415">
        <v>10199</v>
      </c>
      <c r="H102" s="415">
        <v>24</v>
      </c>
      <c r="I102" s="415">
        <v>5656</v>
      </c>
    </row>
    <row r="103" spans="1:9" ht="16.149999999999999" customHeight="1">
      <c r="A103" s="414" t="s">
        <v>209</v>
      </c>
      <c r="B103" s="415">
        <v>38145</v>
      </c>
      <c r="C103" s="415">
        <v>38070</v>
      </c>
      <c r="D103" s="415">
        <v>-75</v>
      </c>
      <c r="E103" s="415">
        <v>-0.2</v>
      </c>
      <c r="F103" s="415">
        <v>4191</v>
      </c>
      <c r="G103" s="415">
        <v>4967</v>
      </c>
      <c r="H103" s="415">
        <v>-776</v>
      </c>
      <c r="I103" s="415">
        <v>701</v>
      </c>
    </row>
    <row r="104" spans="1:9" ht="16.149999999999999" customHeight="1">
      <c r="A104" s="414" t="s">
        <v>210</v>
      </c>
      <c r="B104" s="415">
        <v>18909</v>
      </c>
      <c r="C104" s="415">
        <v>21381</v>
      </c>
      <c r="D104" s="415">
        <v>2472</v>
      </c>
      <c r="E104" s="415">
        <v>13.1</v>
      </c>
      <c r="F104" s="415">
        <v>2138</v>
      </c>
      <c r="G104" s="415">
        <v>2741</v>
      </c>
      <c r="H104" s="415">
        <v>-603</v>
      </c>
      <c r="I104" s="415">
        <v>3075</v>
      </c>
    </row>
    <row r="105" spans="1:9" ht="16.149999999999999" customHeight="1" thickBot="1">
      <c r="A105" s="414" t="s">
        <v>211</v>
      </c>
      <c r="B105" s="415">
        <v>10587440</v>
      </c>
      <c r="C105" s="415">
        <v>11677603</v>
      </c>
      <c r="D105" s="415">
        <v>1090163</v>
      </c>
      <c r="E105" s="415">
        <v>10.3</v>
      </c>
      <c r="F105" s="415">
        <v>1281773</v>
      </c>
      <c r="G105" s="415">
        <v>1114416</v>
      </c>
      <c r="H105" s="415">
        <v>167357</v>
      </c>
      <c r="I105" s="415">
        <v>922806</v>
      </c>
    </row>
    <row r="106" spans="1:9" ht="16.149999999999999" customHeight="1">
      <c r="A106" s="820" t="s">
        <v>823</v>
      </c>
      <c r="B106" s="820"/>
      <c r="C106" s="820"/>
      <c r="D106" s="820"/>
      <c r="E106" s="820"/>
      <c r="F106" s="820"/>
      <c r="G106" s="820"/>
      <c r="H106" s="820"/>
      <c r="I106" s="820"/>
    </row>
    <row r="107" spans="1:9" ht="15">
      <c r="A107" s="223" t="s">
        <v>514</v>
      </c>
    </row>
  </sheetData>
  <sheetProtection algorithmName="SHA-512" hashValue="kJwLcITyl2KzO/YL6HBG4vUrgnMU+6dHTWdZg1YkQxXqqN+7fBVv8rA/5hl+sZBwXxhtr6OvxHHVO+fRZX/1Hg==" saltValue="jkU5gLWyZhgs/VegWty+JA==" spinCount="100000" sheet="1" objects="1" scenarios="1"/>
  <mergeCells count="5">
    <mergeCell ref="A1:I1"/>
    <mergeCell ref="B3:C3"/>
    <mergeCell ref="D3:E3"/>
    <mergeCell ref="F3:I3"/>
    <mergeCell ref="A106:I106"/>
  </mergeCells>
  <hyperlinks>
    <hyperlink ref="A107" r:id="rId1" xr:uid="{7E12F883-18E2-428A-BD4B-153F36471E0A}"/>
  </hyperlinks>
  <pageMargins left="0.08" right="0.08" top="1" bottom="1" header="0.5" footer="0.5"/>
  <pageSetup orientation="portrait" horizontalDpi="300" verticalDpi="300"/>
  <headerFooter>
    <oddFooter>Return to Top_x000D_Last updated    October 5, 2017</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theme="9" tint="0.79998168889431442"/>
  </sheetPr>
  <dimension ref="A1:I107"/>
  <sheetViews>
    <sheetView zoomScale="85" zoomScaleNormal="85" workbookViewId="0">
      <selection activeCell="A107" sqref="A107"/>
    </sheetView>
  </sheetViews>
  <sheetFormatPr defaultColWidth="8.85546875" defaultRowHeight="12.75"/>
  <cols>
    <col min="1" max="1" width="16.7109375" style="72" bestFit="1" customWidth="1"/>
    <col min="2" max="3" width="27.7109375" style="72" bestFit="1" customWidth="1"/>
    <col min="4" max="4" width="13.85546875" style="72" bestFit="1" customWidth="1"/>
    <col min="5" max="5" width="9.7109375" style="72" bestFit="1" customWidth="1"/>
    <col min="6" max="7" width="13.85546875" style="72" bestFit="1" customWidth="1"/>
    <col min="8" max="8" width="22.28515625" style="72" bestFit="1" customWidth="1"/>
    <col min="9" max="9" width="18.140625" style="72" bestFit="1" customWidth="1"/>
    <col min="10" max="256" width="8.85546875" style="72"/>
    <col min="257" max="257" width="16.7109375" style="72" bestFit="1" customWidth="1"/>
    <col min="258" max="259" width="27.7109375" style="72" bestFit="1" customWidth="1"/>
    <col min="260" max="260" width="13.85546875" style="72" bestFit="1" customWidth="1"/>
    <col min="261" max="261" width="9.7109375" style="72" bestFit="1" customWidth="1"/>
    <col min="262" max="263" width="13.85546875" style="72" bestFit="1" customWidth="1"/>
    <col min="264" max="264" width="22.28515625" style="72" bestFit="1" customWidth="1"/>
    <col min="265" max="265" width="18.140625" style="72" bestFit="1" customWidth="1"/>
    <col min="266" max="512" width="8.85546875" style="72"/>
    <col min="513" max="513" width="16.7109375" style="72" bestFit="1" customWidth="1"/>
    <col min="514" max="515" width="27.7109375" style="72" bestFit="1" customWidth="1"/>
    <col min="516" max="516" width="13.85546875" style="72" bestFit="1" customWidth="1"/>
    <col min="517" max="517" width="9.7109375" style="72" bestFit="1" customWidth="1"/>
    <col min="518" max="519" width="13.85546875" style="72" bestFit="1" customWidth="1"/>
    <col min="520" max="520" width="22.28515625" style="72" bestFit="1" customWidth="1"/>
    <col min="521" max="521" width="18.140625" style="72" bestFit="1" customWidth="1"/>
    <col min="522" max="768" width="8.85546875" style="72"/>
    <col min="769" max="769" width="16.7109375" style="72" bestFit="1" customWidth="1"/>
    <col min="770" max="771" width="27.7109375" style="72" bestFit="1" customWidth="1"/>
    <col min="772" max="772" width="13.85546875" style="72" bestFit="1" customWidth="1"/>
    <col min="773" max="773" width="9.7109375" style="72" bestFit="1" customWidth="1"/>
    <col min="774" max="775" width="13.85546875" style="72" bestFit="1" customWidth="1"/>
    <col min="776" max="776" width="22.28515625" style="72" bestFit="1" customWidth="1"/>
    <col min="777" max="777" width="18.140625" style="72" bestFit="1" customWidth="1"/>
    <col min="778" max="1024" width="8.85546875" style="72"/>
    <col min="1025" max="1025" width="16.7109375" style="72" bestFit="1" customWidth="1"/>
    <col min="1026" max="1027" width="27.7109375" style="72" bestFit="1" customWidth="1"/>
    <col min="1028" max="1028" width="13.85546875" style="72" bestFit="1" customWidth="1"/>
    <col min="1029" max="1029" width="9.7109375" style="72" bestFit="1" customWidth="1"/>
    <col min="1030" max="1031" width="13.85546875" style="72" bestFit="1" customWidth="1"/>
    <col min="1032" max="1032" width="22.28515625" style="72" bestFit="1" customWidth="1"/>
    <col min="1033" max="1033" width="18.140625" style="72" bestFit="1" customWidth="1"/>
    <col min="1034" max="1280" width="8.85546875" style="72"/>
    <col min="1281" max="1281" width="16.7109375" style="72" bestFit="1" customWidth="1"/>
    <col min="1282" max="1283" width="27.7109375" style="72" bestFit="1" customWidth="1"/>
    <col min="1284" max="1284" width="13.85546875" style="72" bestFit="1" customWidth="1"/>
    <col min="1285" max="1285" width="9.7109375" style="72" bestFit="1" customWidth="1"/>
    <col min="1286" max="1287" width="13.85546875" style="72" bestFit="1" customWidth="1"/>
    <col min="1288" max="1288" width="22.28515625" style="72" bestFit="1" customWidth="1"/>
    <col min="1289" max="1289" width="18.140625" style="72" bestFit="1" customWidth="1"/>
    <col min="1290" max="1536" width="8.85546875" style="72"/>
    <col min="1537" max="1537" width="16.7109375" style="72" bestFit="1" customWidth="1"/>
    <col min="1538" max="1539" width="27.7109375" style="72" bestFit="1" customWidth="1"/>
    <col min="1540" max="1540" width="13.85546875" style="72" bestFit="1" customWidth="1"/>
    <col min="1541" max="1541" width="9.7109375" style="72" bestFit="1" customWidth="1"/>
    <col min="1542" max="1543" width="13.85546875" style="72" bestFit="1" customWidth="1"/>
    <col min="1544" max="1544" width="22.28515625" style="72" bestFit="1" customWidth="1"/>
    <col min="1545" max="1545" width="18.140625" style="72" bestFit="1" customWidth="1"/>
    <col min="1546" max="1792" width="8.85546875" style="72"/>
    <col min="1793" max="1793" width="16.7109375" style="72" bestFit="1" customWidth="1"/>
    <col min="1794" max="1795" width="27.7109375" style="72" bestFit="1" customWidth="1"/>
    <col min="1796" max="1796" width="13.85546875" style="72" bestFit="1" customWidth="1"/>
    <col min="1797" max="1797" width="9.7109375" style="72" bestFit="1" customWidth="1"/>
    <col min="1798" max="1799" width="13.85546875" style="72" bestFit="1" customWidth="1"/>
    <col min="1800" max="1800" width="22.28515625" style="72" bestFit="1" customWidth="1"/>
    <col min="1801" max="1801" width="18.140625" style="72" bestFit="1" customWidth="1"/>
    <col min="1802" max="2048" width="8.85546875" style="72"/>
    <col min="2049" max="2049" width="16.7109375" style="72" bestFit="1" customWidth="1"/>
    <col min="2050" max="2051" width="27.7109375" style="72" bestFit="1" customWidth="1"/>
    <col min="2052" max="2052" width="13.85546875" style="72" bestFit="1" customWidth="1"/>
    <col min="2053" max="2053" width="9.7109375" style="72" bestFit="1" customWidth="1"/>
    <col min="2054" max="2055" width="13.85546875" style="72" bestFit="1" customWidth="1"/>
    <col min="2056" max="2056" width="22.28515625" style="72" bestFit="1" customWidth="1"/>
    <col min="2057" max="2057" width="18.140625" style="72" bestFit="1" customWidth="1"/>
    <col min="2058" max="2304" width="8.85546875" style="72"/>
    <col min="2305" max="2305" width="16.7109375" style="72" bestFit="1" customWidth="1"/>
    <col min="2306" max="2307" width="27.7109375" style="72" bestFit="1" customWidth="1"/>
    <col min="2308" max="2308" width="13.85546875" style="72" bestFit="1" customWidth="1"/>
    <col min="2309" max="2309" width="9.7109375" style="72" bestFit="1" customWidth="1"/>
    <col min="2310" max="2311" width="13.85546875" style="72" bestFit="1" customWidth="1"/>
    <col min="2312" max="2312" width="22.28515625" style="72" bestFit="1" customWidth="1"/>
    <col min="2313" max="2313" width="18.140625" style="72" bestFit="1" customWidth="1"/>
    <col min="2314" max="2560" width="8.85546875" style="72"/>
    <col min="2561" max="2561" width="16.7109375" style="72" bestFit="1" customWidth="1"/>
    <col min="2562" max="2563" width="27.7109375" style="72" bestFit="1" customWidth="1"/>
    <col min="2564" max="2564" width="13.85546875" style="72" bestFit="1" customWidth="1"/>
    <col min="2565" max="2565" width="9.7109375" style="72" bestFit="1" customWidth="1"/>
    <col min="2566" max="2567" width="13.85546875" style="72" bestFit="1" customWidth="1"/>
    <col min="2568" max="2568" width="22.28515625" style="72" bestFit="1" customWidth="1"/>
    <col min="2569" max="2569" width="18.140625" style="72" bestFit="1" customWidth="1"/>
    <col min="2570" max="2816" width="8.85546875" style="72"/>
    <col min="2817" max="2817" width="16.7109375" style="72" bestFit="1" customWidth="1"/>
    <col min="2818" max="2819" width="27.7109375" style="72" bestFit="1" customWidth="1"/>
    <col min="2820" max="2820" width="13.85546875" style="72" bestFit="1" customWidth="1"/>
    <col min="2821" max="2821" width="9.7109375" style="72" bestFit="1" customWidth="1"/>
    <col min="2822" max="2823" width="13.85546875" style="72" bestFit="1" customWidth="1"/>
    <col min="2824" max="2824" width="22.28515625" style="72" bestFit="1" customWidth="1"/>
    <col min="2825" max="2825" width="18.140625" style="72" bestFit="1" customWidth="1"/>
    <col min="2826" max="3072" width="8.85546875" style="72"/>
    <col min="3073" max="3073" width="16.7109375" style="72" bestFit="1" customWidth="1"/>
    <col min="3074" max="3075" width="27.7109375" style="72" bestFit="1" customWidth="1"/>
    <col min="3076" max="3076" width="13.85546875" style="72" bestFit="1" customWidth="1"/>
    <col min="3077" max="3077" width="9.7109375" style="72" bestFit="1" customWidth="1"/>
    <col min="3078" max="3079" width="13.85546875" style="72" bestFit="1" customWidth="1"/>
    <col min="3080" max="3080" width="22.28515625" style="72" bestFit="1" customWidth="1"/>
    <col min="3081" max="3081" width="18.140625" style="72" bestFit="1" customWidth="1"/>
    <col min="3082" max="3328" width="8.85546875" style="72"/>
    <col min="3329" max="3329" width="16.7109375" style="72" bestFit="1" customWidth="1"/>
    <col min="3330" max="3331" width="27.7109375" style="72" bestFit="1" customWidth="1"/>
    <col min="3332" max="3332" width="13.85546875" style="72" bestFit="1" customWidth="1"/>
    <col min="3333" max="3333" width="9.7109375" style="72" bestFit="1" customWidth="1"/>
    <col min="3334" max="3335" width="13.85546875" style="72" bestFit="1" customWidth="1"/>
    <col min="3336" max="3336" width="22.28515625" style="72" bestFit="1" customWidth="1"/>
    <col min="3337" max="3337" width="18.140625" style="72" bestFit="1" customWidth="1"/>
    <col min="3338" max="3584" width="8.85546875" style="72"/>
    <col min="3585" max="3585" width="16.7109375" style="72" bestFit="1" customWidth="1"/>
    <col min="3586" max="3587" width="27.7109375" style="72" bestFit="1" customWidth="1"/>
    <col min="3588" max="3588" width="13.85546875" style="72" bestFit="1" customWidth="1"/>
    <col min="3589" max="3589" width="9.7109375" style="72" bestFit="1" customWidth="1"/>
    <col min="3590" max="3591" width="13.85546875" style="72" bestFit="1" customWidth="1"/>
    <col min="3592" max="3592" width="22.28515625" style="72" bestFit="1" customWidth="1"/>
    <col min="3593" max="3593" width="18.140625" style="72" bestFit="1" customWidth="1"/>
    <col min="3594" max="3840" width="8.85546875" style="72"/>
    <col min="3841" max="3841" width="16.7109375" style="72" bestFit="1" customWidth="1"/>
    <col min="3842" max="3843" width="27.7109375" style="72" bestFit="1" customWidth="1"/>
    <col min="3844" max="3844" width="13.85546875" style="72" bestFit="1" customWidth="1"/>
    <col min="3845" max="3845" width="9.7109375" style="72" bestFit="1" customWidth="1"/>
    <col min="3846" max="3847" width="13.85546875" style="72" bestFit="1" customWidth="1"/>
    <col min="3848" max="3848" width="22.28515625" style="72" bestFit="1" customWidth="1"/>
    <col min="3849" max="3849" width="18.140625" style="72" bestFit="1" customWidth="1"/>
    <col min="3850" max="4096" width="8.85546875" style="72"/>
    <col min="4097" max="4097" width="16.7109375" style="72" bestFit="1" customWidth="1"/>
    <col min="4098" max="4099" width="27.7109375" style="72" bestFit="1" customWidth="1"/>
    <col min="4100" max="4100" width="13.85546875" style="72" bestFit="1" customWidth="1"/>
    <col min="4101" max="4101" width="9.7109375" style="72" bestFit="1" customWidth="1"/>
    <col min="4102" max="4103" width="13.85546875" style="72" bestFit="1" customWidth="1"/>
    <col min="4104" max="4104" width="22.28515625" style="72" bestFit="1" customWidth="1"/>
    <col min="4105" max="4105" width="18.140625" style="72" bestFit="1" customWidth="1"/>
    <col min="4106" max="4352" width="8.85546875" style="72"/>
    <col min="4353" max="4353" width="16.7109375" style="72" bestFit="1" customWidth="1"/>
    <col min="4354" max="4355" width="27.7109375" style="72" bestFit="1" customWidth="1"/>
    <col min="4356" max="4356" width="13.85546875" style="72" bestFit="1" customWidth="1"/>
    <col min="4357" max="4357" width="9.7109375" style="72" bestFit="1" customWidth="1"/>
    <col min="4358" max="4359" width="13.85546875" style="72" bestFit="1" customWidth="1"/>
    <col min="4360" max="4360" width="22.28515625" style="72" bestFit="1" customWidth="1"/>
    <col min="4361" max="4361" width="18.140625" style="72" bestFit="1" customWidth="1"/>
    <col min="4362" max="4608" width="8.85546875" style="72"/>
    <col min="4609" max="4609" width="16.7109375" style="72" bestFit="1" customWidth="1"/>
    <col min="4610" max="4611" width="27.7109375" style="72" bestFit="1" customWidth="1"/>
    <col min="4612" max="4612" width="13.85546875" style="72" bestFit="1" customWidth="1"/>
    <col min="4613" max="4613" width="9.7109375" style="72" bestFit="1" customWidth="1"/>
    <col min="4614" max="4615" width="13.85546875" style="72" bestFit="1" customWidth="1"/>
    <col min="4616" max="4616" width="22.28515625" style="72" bestFit="1" customWidth="1"/>
    <col min="4617" max="4617" width="18.140625" style="72" bestFit="1" customWidth="1"/>
    <col min="4618" max="4864" width="8.85546875" style="72"/>
    <col min="4865" max="4865" width="16.7109375" style="72" bestFit="1" customWidth="1"/>
    <col min="4866" max="4867" width="27.7109375" style="72" bestFit="1" customWidth="1"/>
    <col min="4868" max="4868" width="13.85546875" style="72" bestFit="1" customWidth="1"/>
    <col min="4869" max="4869" width="9.7109375" style="72" bestFit="1" customWidth="1"/>
    <col min="4870" max="4871" width="13.85546875" style="72" bestFit="1" customWidth="1"/>
    <col min="4872" max="4872" width="22.28515625" style="72" bestFit="1" customWidth="1"/>
    <col min="4873" max="4873" width="18.140625" style="72" bestFit="1" customWidth="1"/>
    <col min="4874" max="5120" width="8.85546875" style="72"/>
    <col min="5121" max="5121" width="16.7109375" style="72" bestFit="1" customWidth="1"/>
    <col min="5122" max="5123" width="27.7109375" style="72" bestFit="1" customWidth="1"/>
    <col min="5124" max="5124" width="13.85546875" style="72" bestFit="1" customWidth="1"/>
    <col min="5125" max="5125" width="9.7109375" style="72" bestFit="1" customWidth="1"/>
    <col min="5126" max="5127" width="13.85546875" style="72" bestFit="1" customWidth="1"/>
    <col min="5128" max="5128" width="22.28515625" style="72" bestFit="1" customWidth="1"/>
    <col min="5129" max="5129" width="18.140625" style="72" bestFit="1" customWidth="1"/>
    <col min="5130" max="5376" width="8.85546875" style="72"/>
    <col min="5377" max="5377" width="16.7109375" style="72" bestFit="1" customWidth="1"/>
    <col min="5378" max="5379" width="27.7109375" style="72" bestFit="1" customWidth="1"/>
    <col min="5380" max="5380" width="13.85546875" style="72" bestFit="1" customWidth="1"/>
    <col min="5381" max="5381" width="9.7109375" style="72" bestFit="1" customWidth="1"/>
    <col min="5382" max="5383" width="13.85546875" style="72" bestFit="1" customWidth="1"/>
    <col min="5384" max="5384" width="22.28515625" style="72" bestFit="1" customWidth="1"/>
    <col min="5385" max="5385" width="18.140625" style="72" bestFit="1" customWidth="1"/>
    <col min="5386" max="5632" width="8.85546875" style="72"/>
    <col min="5633" max="5633" width="16.7109375" style="72" bestFit="1" customWidth="1"/>
    <col min="5634" max="5635" width="27.7109375" style="72" bestFit="1" customWidth="1"/>
    <col min="5636" max="5636" width="13.85546875" style="72" bestFit="1" customWidth="1"/>
    <col min="5637" max="5637" width="9.7109375" style="72" bestFit="1" customWidth="1"/>
    <col min="5638" max="5639" width="13.85546875" style="72" bestFit="1" customWidth="1"/>
    <col min="5640" max="5640" width="22.28515625" style="72" bestFit="1" customWidth="1"/>
    <col min="5641" max="5641" width="18.140625" style="72" bestFit="1" customWidth="1"/>
    <col min="5642" max="5888" width="8.85546875" style="72"/>
    <col min="5889" max="5889" width="16.7109375" style="72" bestFit="1" customWidth="1"/>
    <col min="5890" max="5891" width="27.7109375" style="72" bestFit="1" customWidth="1"/>
    <col min="5892" max="5892" width="13.85546875" style="72" bestFit="1" customWidth="1"/>
    <col min="5893" max="5893" width="9.7109375" style="72" bestFit="1" customWidth="1"/>
    <col min="5894" max="5895" width="13.85546875" style="72" bestFit="1" customWidth="1"/>
    <col min="5896" max="5896" width="22.28515625" style="72" bestFit="1" customWidth="1"/>
    <col min="5897" max="5897" width="18.140625" style="72" bestFit="1" customWidth="1"/>
    <col min="5898" max="6144" width="8.85546875" style="72"/>
    <col min="6145" max="6145" width="16.7109375" style="72" bestFit="1" customWidth="1"/>
    <col min="6146" max="6147" width="27.7109375" style="72" bestFit="1" customWidth="1"/>
    <col min="6148" max="6148" width="13.85546875" style="72" bestFit="1" customWidth="1"/>
    <col min="6149" max="6149" width="9.7109375" style="72" bestFit="1" customWidth="1"/>
    <col min="6150" max="6151" width="13.85546875" style="72" bestFit="1" customWidth="1"/>
    <col min="6152" max="6152" width="22.28515625" style="72" bestFit="1" customWidth="1"/>
    <col min="6153" max="6153" width="18.140625" style="72" bestFit="1" customWidth="1"/>
    <col min="6154" max="6400" width="8.85546875" style="72"/>
    <col min="6401" max="6401" width="16.7109375" style="72" bestFit="1" customWidth="1"/>
    <col min="6402" max="6403" width="27.7109375" style="72" bestFit="1" customWidth="1"/>
    <col min="6404" max="6404" width="13.85546875" style="72" bestFit="1" customWidth="1"/>
    <col min="6405" max="6405" width="9.7109375" style="72" bestFit="1" customWidth="1"/>
    <col min="6406" max="6407" width="13.85546875" style="72" bestFit="1" customWidth="1"/>
    <col min="6408" max="6408" width="22.28515625" style="72" bestFit="1" customWidth="1"/>
    <col min="6409" max="6409" width="18.140625" style="72" bestFit="1" customWidth="1"/>
    <col min="6410" max="6656" width="8.85546875" style="72"/>
    <col min="6657" max="6657" width="16.7109375" style="72" bestFit="1" customWidth="1"/>
    <col min="6658" max="6659" width="27.7109375" style="72" bestFit="1" customWidth="1"/>
    <col min="6660" max="6660" width="13.85546875" style="72" bestFit="1" customWidth="1"/>
    <col min="6661" max="6661" width="9.7109375" style="72" bestFit="1" customWidth="1"/>
    <col min="6662" max="6663" width="13.85546875" style="72" bestFit="1" customWidth="1"/>
    <col min="6664" max="6664" width="22.28515625" style="72" bestFit="1" customWidth="1"/>
    <col min="6665" max="6665" width="18.140625" style="72" bestFit="1" customWidth="1"/>
    <col min="6666" max="6912" width="8.85546875" style="72"/>
    <col min="6913" max="6913" width="16.7109375" style="72" bestFit="1" customWidth="1"/>
    <col min="6914" max="6915" width="27.7109375" style="72" bestFit="1" customWidth="1"/>
    <col min="6916" max="6916" width="13.85546875" style="72" bestFit="1" customWidth="1"/>
    <col min="6917" max="6917" width="9.7109375" style="72" bestFit="1" customWidth="1"/>
    <col min="6918" max="6919" width="13.85546875" style="72" bestFit="1" customWidth="1"/>
    <col min="6920" max="6920" width="22.28515625" style="72" bestFit="1" customWidth="1"/>
    <col min="6921" max="6921" width="18.140625" style="72" bestFit="1" customWidth="1"/>
    <col min="6922" max="7168" width="8.85546875" style="72"/>
    <col min="7169" max="7169" width="16.7109375" style="72" bestFit="1" customWidth="1"/>
    <col min="7170" max="7171" width="27.7109375" style="72" bestFit="1" customWidth="1"/>
    <col min="7172" max="7172" width="13.85546875" style="72" bestFit="1" customWidth="1"/>
    <col min="7173" max="7173" width="9.7109375" style="72" bestFit="1" customWidth="1"/>
    <col min="7174" max="7175" width="13.85546875" style="72" bestFit="1" customWidth="1"/>
    <col min="7176" max="7176" width="22.28515625" style="72" bestFit="1" customWidth="1"/>
    <col min="7177" max="7177" width="18.140625" style="72" bestFit="1" customWidth="1"/>
    <col min="7178" max="7424" width="8.85546875" style="72"/>
    <col min="7425" max="7425" width="16.7109375" style="72" bestFit="1" customWidth="1"/>
    <col min="7426" max="7427" width="27.7109375" style="72" bestFit="1" customWidth="1"/>
    <col min="7428" max="7428" width="13.85546875" style="72" bestFit="1" customWidth="1"/>
    <col min="7429" max="7429" width="9.7109375" style="72" bestFit="1" customWidth="1"/>
    <col min="7430" max="7431" width="13.85546875" style="72" bestFit="1" customWidth="1"/>
    <col min="7432" max="7432" width="22.28515625" style="72" bestFit="1" customWidth="1"/>
    <col min="7433" max="7433" width="18.140625" style="72" bestFit="1" customWidth="1"/>
    <col min="7434" max="7680" width="8.85546875" style="72"/>
    <col min="7681" max="7681" width="16.7109375" style="72" bestFit="1" customWidth="1"/>
    <col min="7682" max="7683" width="27.7109375" style="72" bestFit="1" customWidth="1"/>
    <col min="7684" max="7684" width="13.85546875" style="72" bestFit="1" customWidth="1"/>
    <col min="7685" max="7685" width="9.7109375" style="72" bestFit="1" customWidth="1"/>
    <col min="7686" max="7687" width="13.85546875" style="72" bestFit="1" customWidth="1"/>
    <col min="7688" max="7688" width="22.28515625" style="72" bestFit="1" customWidth="1"/>
    <col min="7689" max="7689" width="18.140625" style="72" bestFit="1" customWidth="1"/>
    <col min="7690" max="7936" width="8.85546875" style="72"/>
    <col min="7937" max="7937" width="16.7109375" style="72" bestFit="1" customWidth="1"/>
    <col min="7938" max="7939" width="27.7109375" style="72" bestFit="1" customWidth="1"/>
    <col min="7940" max="7940" width="13.85546875" style="72" bestFit="1" customWidth="1"/>
    <col min="7941" max="7941" width="9.7109375" style="72" bestFit="1" customWidth="1"/>
    <col min="7942" max="7943" width="13.85546875" style="72" bestFit="1" customWidth="1"/>
    <col min="7944" max="7944" width="22.28515625" style="72" bestFit="1" customWidth="1"/>
    <col min="7945" max="7945" width="18.140625" style="72" bestFit="1" customWidth="1"/>
    <col min="7946" max="8192" width="8.85546875" style="72"/>
    <col min="8193" max="8193" width="16.7109375" style="72" bestFit="1" customWidth="1"/>
    <col min="8194" max="8195" width="27.7109375" style="72" bestFit="1" customWidth="1"/>
    <col min="8196" max="8196" width="13.85546875" style="72" bestFit="1" customWidth="1"/>
    <col min="8197" max="8197" width="9.7109375" style="72" bestFit="1" customWidth="1"/>
    <col min="8198" max="8199" width="13.85546875" style="72" bestFit="1" customWidth="1"/>
    <col min="8200" max="8200" width="22.28515625" style="72" bestFit="1" customWidth="1"/>
    <col min="8201" max="8201" width="18.140625" style="72" bestFit="1" customWidth="1"/>
    <col min="8202" max="8448" width="8.85546875" style="72"/>
    <col min="8449" max="8449" width="16.7109375" style="72" bestFit="1" customWidth="1"/>
    <col min="8450" max="8451" width="27.7109375" style="72" bestFit="1" customWidth="1"/>
    <col min="8452" max="8452" width="13.85546875" style="72" bestFit="1" customWidth="1"/>
    <col min="8453" max="8453" width="9.7109375" style="72" bestFit="1" customWidth="1"/>
    <col min="8454" max="8455" width="13.85546875" style="72" bestFit="1" customWidth="1"/>
    <col min="8456" max="8456" width="22.28515625" style="72" bestFit="1" customWidth="1"/>
    <col min="8457" max="8457" width="18.140625" style="72" bestFit="1" customWidth="1"/>
    <col min="8458" max="8704" width="8.85546875" style="72"/>
    <col min="8705" max="8705" width="16.7109375" style="72" bestFit="1" customWidth="1"/>
    <col min="8706" max="8707" width="27.7109375" style="72" bestFit="1" customWidth="1"/>
    <col min="8708" max="8708" width="13.85546875" style="72" bestFit="1" customWidth="1"/>
    <col min="8709" max="8709" width="9.7109375" style="72" bestFit="1" customWidth="1"/>
    <col min="8710" max="8711" width="13.85546875" style="72" bestFit="1" customWidth="1"/>
    <col min="8712" max="8712" width="22.28515625" style="72" bestFit="1" customWidth="1"/>
    <col min="8713" max="8713" width="18.140625" style="72" bestFit="1" customWidth="1"/>
    <col min="8714" max="8960" width="8.85546875" style="72"/>
    <col min="8961" max="8961" width="16.7109375" style="72" bestFit="1" customWidth="1"/>
    <col min="8962" max="8963" width="27.7109375" style="72" bestFit="1" customWidth="1"/>
    <col min="8964" max="8964" width="13.85546875" style="72" bestFit="1" customWidth="1"/>
    <col min="8965" max="8965" width="9.7109375" style="72" bestFit="1" customWidth="1"/>
    <col min="8966" max="8967" width="13.85546875" style="72" bestFit="1" customWidth="1"/>
    <col min="8968" max="8968" width="22.28515625" style="72" bestFit="1" customWidth="1"/>
    <col min="8969" max="8969" width="18.140625" style="72" bestFit="1" customWidth="1"/>
    <col min="8970" max="9216" width="8.85546875" style="72"/>
    <col min="9217" max="9217" width="16.7109375" style="72" bestFit="1" customWidth="1"/>
    <col min="9218" max="9219" width="27.7109375" style="72" bestFit="1" customWidth="1"/>
    <col min="9220" max="9220" width="13.85546875" style="72" bestFit="1" customWidth="1"/>
    <col min="9221" max="9221" width="9.7109375" style="72" bestFit="1" customWidth="1"/>
    <col min="9222" max="9223" width="13.85546875" style="72" bestFit="1" customWidth="1"/>
    <col min="9224" max="9224" width="22.28515625" style="72" bestFit="1" customWidth="1"/>
    <col min="9225" max="9225" width="18.140625" style="72" bestFit="1" customWidth="1"/>
    <col min="9226" max="9472" width="8.85546875" style="72"/>
    <col min="9473" max="9473" width="16.7109375" style="72" bestFit="1" customWidth="1"/>
    <col min="9474" max="9475" width="27.7109375" style="72" bestFit="1" customWidth="1"/>
    <col min="9476" max="9476" width="13.85546875" style="72" bestFit="1" customWidth="1"/>
    <col min="9477" max="9477" width="9.7109375" style="72" bestFit="1" customWidth="1"/>
    <col min="9478" max="9479" width="13.85546875" style="72" bestFit="1" customWidth="1"/>
    <col min="9480" max="9480" width="22.28515625" style="72" bestFit="1" customWidth="1"/>
    <col min="9481" max="9481" width="18.140625" style="72" bestFit="1" customWidth="1"/>
    <col min="9482" max="9728" width="8.85546875" style="72"/>
    <col min="9729" max="9729" width="16.7109375" style="72" bestFit="1" customWidth="1"/>
    <col min="9730" max="9731" width="27.7109375" style="72" bestFit="1" customWidth="1"/>
    <col min="9732" max="9732" width="13.85546875" style="72" bestFit="1" customWidth="1"/>
    <col min="9733" max="9733" width="9.7109375" style="72" bestFit="1" customWidth="1"/>
    <col min="9734" max="9735" width="13.85546875" style="72" bestFit="1" customWidth="1"/>
    <col min="9736" max="9736" width="22.28515625" style="72" bestFit="1" customWidth="1"/>
    <col min="9737" max="9737" width="18.140625" style="72" bestFit="1" customWidth="1"/>
    <col min="9738" max="9984" width="8.85546875" style="72"/>
    <col min="9985" max="9985" width="16.7109375" style="72" bestFit="1" customWidth="1"/>
    <col min="9986" max="9987" width="27.7109375" style="72" bestFit="1" customWidth="1"/>
    <col min="9988" max="9988" width="13.85546875" style="72" bestFit="1" customWidth="1"/>
    <col min="9989" max="9989" width="9.7109375" style="72" bestFit="1" customWidth="1"/>
    <col min="9990" max="9991" width="13.85546875" style="72" bestFit="1" customWidth="1"/>
    <col min="9992" max="9992" width="22.28515625" style="72" bestFit="1" customWidth="1"/>
    <col min="9993" max="9993" width="18.140625" style="72" bestFit="1" customWidth="1"/>
    <col min="9994" max="10240" width="8.85546875" style="72"/>
    <col min="10241" max="10241" width="16.7109375" style="72" bestFit="1" customWidth="1"/>
    <col min="10242" max="10243" width="27.7109375" style="72" bestFit="1" customWidth="1"/>
    <col min="10244" max="10244" width="13.85546875" style="72" bestFit="1" customWidth="1"/>
    <col min="10245" max="10245" width="9.7109375" style="72" bestFit="1" customWidth="1"/>
    <col min="10246" max="10247" width="13.85546875" style="72" bestFit="1" customWidth="1"/>
    <col min="10248" max="10248" width="22.28515625" style="72" bestFit="1" customWidth="1"/>
    <col min="10249" max="10249" width="18.140625" style="72" bestFit="1" customWidth="1"/>
    <col min="10250" max="10496" width="8.85546875" style="72"/>
    <col min="10497" max="10497" width="16.7109375" style="72" bestFit="1" customWidth="1"/>
    <col min="10498" max="10499" width="27.7109375" style="72" bestFit="1" customWidth="1"/>
    <col min="10500" max="10500" width="13.85546875" style="72" bestFit="1" customWidth="1"/>
    <col min="10501" max="10501" width="9.7109375" style="72" bestFit="1" customWidth="1"/>
    <col min="10502" max="10503" width="13.85546875" style="72" bestFit="1" customWidth="1"/>
    <col min="10504" max="10504" width="22.28515625" style="72" bestFit="1" customWidth="1"/>
    <col min="10505" max="10505" width="18.140625" style="72" bestFit="1" customWidth="1"/>
    <col min="10506" max="10752" width="8.85546875" style="72"/>
    <col min="10753" max="10753" width="16.7109375" style="72" bestFit="1" customWidth="1"/>
    <col min="10754" max="10755" width="27.7109375" style="72" bestFit="1" customWidth="1"/>
    <col min="10756" max="10756" width="13.85546875" style="72" bestFit="1" customWidth="1"/>
    <col min="10757" max="10757" width="9.7109375" style="72" bestFit="1" customWidth="1"/>
    <col min="10758" max="10759" width="13.85546875" style="72" bestFit="1" customWidth="1"/>
    <col min="10760" max="10760" width="22.28515625" style="72" bestFit="1" customWidth="1"/>
    <col min="10761" max="10761" width="18.140625" style="72" bestFit="1" customWidth="1"/>
    <col min="10762" max="11008" width="8.85546875" style="72"/>
    <col min="11009" max="11009" width="16.7109375" style="72" bestFit="1" customWidth="1"/>
    <col min="11010" max="11011" width="27.7109375" style="72" bestFit="1" customWidth="1"/>
    <col min="11012" max="11012" width="13.85546875" style="72" bestFit="1" customWidth="1"/>
    <col min="11013" max="11013" width="9.7109375" style="72" bestFit="1" customWidth="1"/>
    <col min="11014" max="11015" width="13.85546875" style="72" bestFit="1" customWidth="1"/>
    <col min="11016" max="11016" width="22.28515625" style="72" bestFit="1" customWidth="1"/>
    <col min="11017" max="11017" width="18.140625" style="72" bestFit="1" customWidth="1"/>
    <col min="11018" max="11264" width="8.85546875" style="72"/>
    <col min="11265" max="11265" width="16.7109375" style="72" bestFit="1" customWidth="1"/>
    <col min="11266" max="11267" width="27.7109375" style="72" bestFit="1" customWidth="1"/>
    <col min="11268" max="11268" width="13.85546875" style="72" bestFit="1" customWidth="1"/>
    <col min="11269" max="11269" width="9.7109375" style="72" bestFit="1" customWidth="1"/>
    <col min="11270" max="11271" width="13.85546875" style="72" bestFit="1" customWidth="1"/>
    <col min="11272" max="11272" width="22.28515625" style="72" bestFit="1" customWidth="1"/>
    <col min="11273" max="11273" width="18.140625" style="72" bestFit="1" customWidth="1"/>
    <col min="11274" max="11520" width="8.85546875" style="72"/>
    <col min="11521" max="11521" width="16.7109375" style="72" bestFit="1" customWidth="1"/>
    <col min="11522" max="11523" width="27.7109375" style="72" bestFit="1" customWidth="1"/>
    <col min="11524" max="11524" width="13.85546875" style="72" bestFit="1" customWidth="1"/>
    <col min="11525" max="11525" width="9.7109375" style="72" bestFit="1" customWidth="1"/>
    <col min="11526" max="11527" width="13.85546875" style="72" bestFit="1" customWidth="1"/>
    <col min="11528" max="11528" width="22.28515625" style="72" bestFit="1" customWidth="1"/>
    <col min="11529" max="11529" width="18.140625" style="72" bestFit="1" customWidth="1"/>
    <col min="11530" max="11776" width="8.85546875" style="72"/>
    <col min="11777" max="11777" width="16.7109375" style="72" bestFit="1" customWidth="1"/>
    <col min="11778" max="11779" width="27.7109375" style="72" bestFit="1" customWidth="1"/>
    <col min="11780" max="11780" width="13.85546875" style="72" bestFit="1" customWidth="1"/>
    <col min="11781" max="11781" width="9.7109375" style="72" bestFit="1" customWidth="1"/>
    <col min="11782" max="11783" width="13.85546875" style="72" bestFit="1" customWidth="1"/>
    <col min="11784" max="11784" width="22.28515625" style="72" bestFit="1" customWidth="1"/>
    <col min="11785" max="11785" width="18.140625" style="72" bestFit="1" customWidth="1"/>
    <col min="11786" max="12032" width="8.85546875" style="72"/>
    <col min="12033" max="12033" width="16.7109375" style="72" bestFit="1" customWidth="1"/>
    <col min="12034" max="12035" width="27.7109375" style="72" bestFit="1" customWidth="1"/>
    <col min="12036" max="12036" width="13.85546875" style="72" bestFit="1" customWidth="1"/>
    <col min="12037" max="12037" width="9.7109375" style="72" bestFit="1" customWidth="1"/>
    <col min="12038" max="12039" width="13.85546875" style="72" bestFit="1" customWidth="1"/>
    <col min="12040" max="12040" width="22.28515625" style="72" bestFit="1" customWidth="1"/>
    <col min="12041" max="12041" width="18.140625" style="72" bestFit="1" customWidth="1"/>
    <col min="12042" max="12288" width="8.85546875" style="72"/>
    <col min="12289" max="12289" width="16.7109375" style="72" bestFit="1" customWidth="1"/>
    <col min="12290" max="12291" width="27.7109375" style="72" bestFit="1" customWidth="1"/>
    <col min="12292" max="12292" width="13.85546875" style="72" bestFit="1" customWidth="1"/>
    <col min="12293" max="12293" width="9.7109375" style="72" bestFit="1" customWidth="1"/>
    <col min="12294" max="12295" width="13.85546875" style="72" bestFit="1" customWidth="1"/>
    <col min="12296" max="12296" width="22.28515625" style="72" bestFit="1" customWidth="1"/>
    <col min="12297" max="12297" width="18.140625" style="72" bestFit="1" customWidth="1"/>
    <col min="12298" max="12544" width="8.85546875" style="72"/>
    <col min="12545" max="12545" width="16.7109375" style="72" bestFit="1" customWidth="1"/>
    <col min="12546" max="12547" width="27.7109375" style="72" bestFit="1" customWidth="1"/>
    <col min="12548" max="12548" width="13.85546875" style="72" bestFit="1" customWidth="1"/>
    <col min="12549" max="12549" width="9.7109375" style="72" bestFit="1" customWidth="1"/>
    <col min="12550" max="12551" width="13.85546875" style="72" bestFit="1" customWidth="1"/>
    <col min="12552" max="12552" width="22.28515625" style="72" bestFit="1" customWidth="1"/>
    <col min="12553" max="12553" width="18.140625" style="72" bestFit="1" customWidth="1"/>
    <col min="12554" max="12800" width="8.85546875" style="72"/>
    <col min="12801" max="12801" width="16.7109375" style="72" bestFit="1" customWidth="1"/>
    <col min="12802" max="12803" width="27.7109375" style="72" bestFit="1" customWidth="1"/>
    <col min="12804" max="12804" width="13.85546875" style="72" bestFit="1" customWidth="1"/>
    <col min="12805" max="12805" width="9.7109375" style="72" bestFit="1" customWidth="1"/>
    <col min="12806" max="12807" width="13.85546875" style="72" bestFit="1" customWidth="1"/>
    <col min="12808" max="12808" width="22.28515625" style="72" bestFit="1" customWidth="1"/>
    <col min="12809" max="12809" width="18.140625" style="72" bestFit="1" customWidth="1"/>
    <col min="12810" max="13056" width="8.85546875" style="72"/>
    <col min="13057" max="13057" width="16.7109375" style="72" bestFit="1" customWidth="1"/>
    <col min="13058" max="13059" width="27.7109375" style="72" bestFit="1" customWidth="1"/>
    <col min="13060" max="13060" width="13.85546875" style="72" bestFit="1" customWidth="1"/>
    <col min="13061" max="13061" width="9.7109375" style="72" bestFit="1" customWidth="1"/>
    <col min="13062" max="13063" width="13.85546875" style="72" bestFit="1" customWidth="1"/>
    <col min="13064" max="13064" width="22.28515625" style="72" bestFit="1" customWidth="1"/>
    <col min="13065" max="13065" width="18.140625" style="72" bestFit="1" customWidth="1"/>
    <col min="13066" max="13312" width="8.85546875" style="72"/>
    <col min="13313" max="13313" width="16.7109375" style="72" bestFit="1" customWidth="1"/>
    <col min="13314" max="13315" width="27.7109375" style="72" bestFit="1" customWidth="1"/>
    <col min="13316" max="13316" width="13.85546875" style="72" bestFit="1" customWidth="1"/>
    <col min="13317" max="13317" width="9.7109375" style="72" bestFit="1" customWidth="1"/>
    <col min="13318" max="13319" width="13.85546875" style="72" bestFit="1" customWidth="1"/>
    <col min="13320" max="13320" width="22.28515625" style="72" bestFit="1" customWidth="1"/>
    <col min="13321" max="13321" width="18.140625" style="72" bestFit="1" customWidth="1"/>
    <col min="13322" max="13568" width="8.85546875" style="72"/>
    <col min="13569" max="13569" width="16.7109375" style="72" bestFit="1" customWidth="1"/>
    <col min="13570" max="13571" width="27.7109375" style="72" bestFit="1" customWidth="1"/>
    <col min="13572" max="13572" width="13.85546875" style="72" bestFit="1" customWidth="1"/>
    <col min="13573" max="13573" width="9.7109375" style="72" bestFit="1" customWidth="1"/>
    <col min="13574" max="13575" width="13.85546875" style="72" bestFit="1" customWidth="1"/>
    <col min="13576" max="13576" width="22.28515625" style="72" bestFit="1" customWidth="1"/>
    <col min="13577" max="13577" width="18.140625" style="72" bestFit="1" customWidth="1"/>
    <col min="13578" max="13824" width="8.85546875" style="72"/>
    <col min="13825" max="13825" width="16.7109375" style="72" bestFit="1" customWidth="1"/>
    <col min="13826" max="13827" width="27.7109375" style="72" bestFit="1" customWidth="1"/>
    <col min="13828" max="13828" width="13.85546875" style="72" bestFit="1" customWidth="1"/>
    <col min="13829" max="13829" width="9.7109375" style="72" bestFit="1" customWidth="1"/>
    <col min="13830" max="13831" width="13.85546875" style="72" bestFit="1" customWidth="1"/>
    <col min="13832" max="13832" width="22.28515625" style="72" bestFit="1" customWidth="1"/>
    <col min="13833" max="13833" width="18.140625" style="72" bestFit="1" customWidth="1"/>
    <col min="13834" max="14080" width="8.85546875" style="72"/>
    <col min="14081" max="14081" width="16.7109375" style="72" bestFit="1" customWidth="1"/>
    <col min="14082" max="14083" width="27.7109375" style="72" bestFit="1" customWidth="1"/>
    <col min="14084" max="14084" width="13.85546875" style="72" bestFit="1" customWidth="1"/>
    <col min="14085" max="14085" width="9.7109375" style="72" bestFit="1" customWidth="1"/>
    <col min="14086" max="14087" width="13.85546875" style="72" bestFit="1" customWidth="1"/>
    <col min="14088" max="14088" width="22.28515625" style="72" bestFit="1" customWidth="1"/>
    <col min="14089" max="14089" width="18.140625" style="72" bestFit="1" customWidth="1"/>
    <col min="14090" max="14336" width="8.85546875" style="72"/>
    <col min="14337" max="14337" width="16.7109375" style="72" bestFit="1" customWidth="1"/>
    <col min="14338" max="14339" width="27.7109375" style="72" bestFit="1" customWidth="1"/>
    <col min="14340" max="14340" width="13.85546875" style="72" bestFit="1" customWidth="1"/>
    <col min="14341" max="14341" width="9.7109375" style="72" bestFit="1" customWidth="1"/>
    <col min="14342" max="14343" width="13.85546875" style="72" bestFit="1" customWidth="1"/>
    <col min="14344" max="14344" width="22.28515625" style="72" bestFit="1" customWidth="1"/>
    <col min="14345" max="14345" width="18.140625" style="72" bestFit="1" customWidth="1"/>
    <col min="14346" max="14592" width="8.85546875" style="72"/>
    <col min="14593" max="14593" width="16.7109375" style="72" bestFit="1" customWidth="1"/>
    <col min="14594" max="14595" width="27.7109375" style="72" bestFit="1" customWidth="1"/>
    <col min="14596" max="14596" width="13.85546875" style="72" bestFit="1" customWidth="1"/>
    <col min="14597" max="14597" width="9.7109375" style="72" bestFit="1" customWidth="1"/>
    <col min="14598" max="14599" width="13.85546875" style="72" bestFit="1" customWidth="1"/>
    <col min="14600" max="14600" width="22.28515625" style="72" bestFit="1" customWidth="1"/>
    <col min="14601" max="14601" width="18.140625" style="72" bestFit="1" customWidth="1"/>
    <col min="14602" max="14848" width="8.85546875" style="72"/>
    <col min="14849" max="14849" width="16.7109375" style="72" bestFit="1" customWidth="1"/>
    <col min="14850" max="14851" width="27.7109375" style="72" bestFit="1" customWidth="1"/>
    <col min="14852" max="14852" width="13.85546875" style="72" bestFit="1" customWidth="1"/>
    <col min="14853" max="14853" width="9.7109375" style="72" bestFit="1" customWidth="1"/>
    <col min="14854" max="14855" width="13.85546875" style="72" bestFit="1" customWidth="1"/>
    <col min="14856" max="14856" width="22.28515625" style="72" bestFit="1" customWidth="1"/>
    <col min="14857" max="14857" width="18.140625" style="72" bestFit="1" customWidth="1"/>
    <col min="14858" max="15104" width="8.85546875" style="72"/>
    <col min="15105" max="15105" width="16.7109375" style="72" bestFit="1" customWidth="1"/>
    <col min="15106" max="15107" width="27.7109375" style="72" bestFit="1" customWidth="1"/>
    <col min="15108" max="15108" width="13.85546875" style="72" bestFit="1" customWidth="1"/>
    <col min="15109" max="15109" width="9.7109375" style="72" bestFit="1" customWidth="1"/>
    <col min="15110" max="15111" width="13.85546875" style="72" bestFit="1" customWidth="1"/>
    <col min="15112" max="15112" width="22.28515625" style="72" bestFit="1" customWidth="1"/>
    <col min="15113" max="15113" width="18.140625" style="72" bestFit="1" customWidth="1"/>
    <col min="15114" max="15360" width="8.85546875" style="72"/>
    <col min="15361" max="15361" width="16.7109375" style="72" bestFit="1" customWidth="1"/>
    <col min="15362" max="15363" width="27.7109375" style="72" bestFit="1" customWidth="1"/>
    <col min="15364" max="15364" width="13.85546875" style="72" bestFit="1" customWidth="1"/>
    <col min="15365" max="15365" width="9.7109375" style="72" bestFit="1" customWidth="1"/>
    <col min="15366" max="15367" width="13.85546875" style="72" bestFit="1" customWidth="1"/>
    <col min="15368" max="15368" width="22.28515625" style="72" bestFit="1" customWidth="1"/>
    <col min="15369" max="15369" width="18.140625" style="72" bestFit="1" customWidth="1"/>
    <col min="15370" max="15616" width="8.85546875" style="72"/>
    <col min="15617" max="15617" width="16.7109375" style="72" bestFit="1" customWidth="1"/>
    <col min="15618" max="15619" width="27.7109375" style="72" bestFit="1" customWidth="1"/>
    <col min="15620" max="15620" width="13.85546875" style="72" bestFit="1" customWidth="1"/>
    <col min="15621" max="15621" width="9.7109375" style="72" bestFit="1" customWidth="1"/>
    <col min="15622" max="15623" width="13.85546875" style="72" bestFit="1" customWidth="1"/>
    <col min="15624" max="15624" width="22.28515625" style="72" bestFit="1" customWidth="1"/>
    <col min="15625" max="15625" width="18.140625" style="72" bestFit="1" customWidth="1"/>
    <col min="15626" max="15872" width="8.85546875" style="72"/>
    <col min="15873" max="15873" width="16.7109375" style="72" bestFit="1" customWidth="1"/>
    <col min="15874" max="15875" width="27.7109375" style="72" bestFit="1" customWidth="1"/>
    <col min="15876" max="15876" width="13.85546875" style="72" bestFit="1" customWidth="1"/>
    <col min="15877" max="15877" width="9.7109375" style="72" bestFit="1" customWidth="1"/>
    <col min="15878" max="15879" width="13.85546875" style="72" bestFit="1" customWidth="1"/>
    <col min="15880" max="15880" width="22.28515625" style="72" bestFit="1" customWidth="1"/>
    <col min="15881" max="15881" width="18.140625" style="72" bestFit="1" customWidth="1"/>
    <col min="15882" max="16128" width="8.85546875" style="72"/>
    <col min="16129" max="16129" width="16.7109375" style="72" bestFit="1" customWidth="1"/>
    <col min="16130" max="16131" width="27.7109375" style="72" bestFit="1" customWidth="1"/>
    <col min="16132" max="16132" width="13.85546875" style="72" bestFit="1" customWidth="1"/>
    <col min="16133" max="16133" width="9.7109375" style="72" bestFit="1" customWidth="1"/>
    <col min="16134" max="16135" width="13.85546875" style="72" bestFit="1" customWidth="1"/>
    <col min="16136" max="16136" width="22.28515625" style="72" bestFit="1" customWidth="1"/>
    <col min="16137" max="16137" width="18.140625" style="72" bestFit="1" customWidth="1"/>
    <col min="16138" max="16384" width="8.85546875" style="72"/>
  </cols>
  <sheetData>
    <row r="1" spans="1:9" ht="16.149999999999999" customHeight="1">
      <c r="A1" s="816" t="s">
        <v>824</v>
      </c>
      <c r="B1" s="816"/>
      <c r="C1" s="816"/>
      <c r="D1" s="816"/>
      <c r="E1" s="816"/>
      <c r="F1" s="816"/>
      <c r="G1" s="816"/>
      <c r="H1" s="816"/>
      <c r="I1" s="816"/>
    </row>
    <row r="2" spans="1:9" ht="18" customHeight="1">
      <c r="A2" s="417"/>
      <c r="B2" s="416"/>
      <c r="C2" s="416"/>
      <c r="D2" s="416"/>
      <c r="E2" s="416"/>
      <c r="F2" s="416"/>
      <c r="G2" s="416"/>
      <c r="H2" s="416"/>
      <c r="I2" s="416"/>
    </row>
    <row r="3" spans="1:9" ht="13.9" customHeight="1">
      <c r="A3" s="418" t="s">
        <v>110</v>
      </c>
      <c r="B3" s="817" t="s">
        <v>111</v>
      </c>
      <c r="C3" s="818"/>
      <c r="D3" s="817" t="s">
        <v>112</v>
      </c>
      <c r="E3" s="818"/>
      <c r="F3" s="817" t="s">
        <v>113</v>
      </c>
      <c r="G3" s="819"/>
      <c r="H3" s="819"/>
      <c r="I3" s="818"/>
    </row>
    <row r="4" spans="1:9" ht="13.9" customHeight="1">
      <c r="A4" s="418" t="s">
        <v>84</v>
      </c>
      <c r="B4" s="418" t="s">
        <v>115</v>
      </c>
      <c r="C4" s="418" t="s">
        <v>825</v>
      </c>
      <c r="D4" s="418" t="s">
        <v>116</v>
      </c>
      <c r="E4" s="418" t="s">
        <v>117</v>
      </c>
      <c r="F4" s="418" t="s">
        <v>118</v>
      </c>
      <c r="G4" s="418" t="s">
        <v>119</v>
      </c>
      <c r="H4" s="418" t="s">
        <v>120</v>
      </c>
      <c r="I4" s="418" t="s">
        <v>121</v>
      </c>
    </row>
    <row r="5" spans="1:9" ht="13.9" customHeight="1">
      <c r="A5" s="419" t="s">
        <v>122</v>
      </c>
      <c r="B5" s="420">
        <v>188660</v>
      </c>
      <c r="C5" s="420">
        <v>208019</v>
      </c>
      <c r="D5" s="420">
        <v>19359</v>
      </c>
      <c r="E5" s="420">
        <v>10.3</v>
      </c>
      <c r="F5" s="420">
        <v>22737</v>
      </c>
      <c r="G5" s="420">
        <v>24078</v>
      </c>
      <c r="H5" s="420">
        <v>-1341</v>
      </c>
      <c r="I5" s="420">
        <v>20700</v>
      </c>
    </row>
    <row r="6" spans="1:9" ht="16.149999999999999" customHeight="1">
      <c r="A6" s="419" t="s">
        <v>123</v>
      </c>
      <c r="B6" s="420">
        <v>40286</v>
      </c>
      <c r="C6" s="420">
        <v>42211</v>
      </c>
      <c r="D6" s="420">
        <v>1925</v>
      </c>
      <c r="E6" s="420">
        <v>4.8</v>
      </c>
      <c r="F6" s="420">
        <v>4063</v>
      </c>
      <c r="G6" s="420">
        <v>6132</v>
      </c>
      <c r="H6" s="420">
        <v>-2069</v>
      </c>
      <c r="I6" s="420">
        <v>3994</v>
      </c>
    </row>
    <row r="7" spans="1:9" ht="16.149999999999999" customHeight="1">
      <c r="A7" s="419" t="s">
        <v>124</v>
      </c>
      <c r="B7" s="420">
        <v>12302</v>
      </c>
      <c r="C7" s="420">
        <v>13087</v>
      </c>
      <c r="D7" s="420">
        <v>785</v>
      </c>
      <c r="E7" s="420">
        <v>6.4</v>
      </c>
      <c r="F7" s="420">
        <v>1253</v>
      </c>
      <c r="G7" s="420">
        <v>1889</v>
      </c>
      <c r="H7" s="420">
        <v>-636</v>
      </c>
      <c r="I7" s="420">
        <v>1421</v>
      </c>
    </row>
    <row r="8" spans="1:9" ht="16.149999999999999" customHeight="1">
      <c r="A8" s="419" t="s">
        <v>125</v>
      </c>
      <c r="B8" s="420">
        <v>23277</v>
      </c>
      <c r="C8" s="420">
        <v>22786</v>
      </c>
      <c r="D8" s="420">
        <v>-491</v>
      </c>
      <c r="E8" s="420">
        <v>-2.1</v>
      </c>
      <c r="F8" s="420">
        <v>2088</v>
      </c>
      <c r="G8" s="420">
        <v>3423</v>
      </c>
      <c r="H8" s="420">
        <v>-1335</v>
      </c>
      <c r="I8" s="420">
        <v>844</v>
      </c>
    </row>
    <row r="9" spans="1:9" ht="16.149999999999999" customHeight="1">
      <c r="A9" s="419" t="s">
        <v>126</v>
      </c>
      <c r="B9" s="420">
        <v>30294</v>
      </c>
      <c r="C9" s="420">
        <v>32673</v>
      </c>
      <c r="D9" s="420">
        <v>2379</v>
      </c>
      <c r="E9" s="420">
        <v>7.9</v>
      </c>
      <c r="F9" s="420">
        <v>2555</v>
      </c>
      <c r="G9" s="420">
        <v>5073</v>
      </c>
      <c r="H9" s="420">
        <v>-2518</v>
      </c>
      <c r="I9" s="420">
        <v>4897</v>
      </c>
    </row>
    <row r="10" spans="1:9" ht="16.149999999999999" customHeight="1">
      <c r="A10" s="419" t="s">
        <v>127</v>
      </c>
      <c r="B10" s="420">
        <v>18780</v>
      </c>
      <c r="C10" s="420">
        <v>19449</v>
      </c>
      <c r="D10" s="420">
        <v>669</v>
      </c>
      <c r="E10" s="420">
        <v>3.6</v>
      </c>
      <c r="F10" s="420">
        <v>1383</v>
      </c>
      <c r="G10" s="420">
        <v>2796</v>
      </c>
      <c r="H10" s="420">
        <v>-1413</v>
      </c>
      <c r="I10" s="420">
        <v>2082</v>
      </c>
    </row>
    <row r="11" spans="1:9" ht="16.149999999999999" customHeight="1">
      <c r="A11" s="419" t="s">
        <v>128</v>
      </c>
      <c r="B11" s="420">
        <v>47069</v>
      </c>
      <c r="C11" s="420">
        <v>46955</v>
      </c>
      <c r="D11" s="420">
        <v>-114</v>
      </c>
      <c r="E11" s="420">
        <v>-0.2</v>
      </c>
      <c r="F11" s="420">
        <v>4482</v>
      </c>
      <c r="G11" s="420">
        <v>7956</v>
      </c>
      <c r="H11" s="420">
        <v>-3474</v>
      </c>
      <c r="I11" s="420">
        <v>3360</v>
      </c>
    </row>
    <row r="12" spans="1:9" ht="16.149999999999999" customHeight="1">
      <c r="A12" s="419" t="s">
        <v>129</v>
      </c>
      <c r="B12" s="420">
        <v>18496</v>
      </c>
      <c r="C12" s="420">
        <v>17625</v>
      </c>
      <c r="D12" s="420">
        <v>-871</v>
      </c>
      <c r="E12" s="420">
        <v>-4.7</v>
      </c>
      <c r="F12" s="420">
        <v>1520</v>
      </c>
      <c r="G12" s="420">
        <v>2677</v>
      </c>
      <c r="H12" s="420">
        <v>-1157</v>
      </c>
      <c r="I12" s="420">
        <v>286</v>
      </c>
    </row>
    <row r="13" spans="1:9" ht="16.149999999999999" customHeight="1">
      <c r="A13" s="419" t="s">
        <v>130</v>
      </c>
      <c r="B13" s="420">
        <v>33813</v>
      </c>
      <c r="C13" s="420">
        <v>33367</v>
      </c>
      <c r="D13" s="420">
        <v>-446</v>
      </c>
      <c r="E13" s="420">
        <v>-1.3</v>
      </c>
      <c r="F13" s="420">
        <v>3518</v>
      </c>
      <c r="G13" s="420">
        <v>4948</v>
      </c>
      <c r="H13" s="420">
        <v>-1430</v>
      </c>
      <c r="I13" s="420">
        <v>984</v>
      </c>
    </row>
    <row r="14" spans="1:9" ht="16.149999999999999" customHeight="1">
      <c r="A14" s="419" t="s">
        <v>131</v>
      </c>
      <c r="B14" s="420">
        <v>180776</v>
      </c>
      <c r="C14" s="420">
        <v>213371</v>
      </c>
      <c r="D14" s="420">
        <v>32595</v>
      </c>
      <c r="E14" s="420">
        <v>18</v>
      </c>
      <c r="F14" s="420">
        <v>13809</v>
      </c>
      <c r="G14" s="420">
        <v>33081</v>
      </c>
      <c r="H14" s="420">
        <v>-19272</v>
      </c>
      <c r="I14" s="420">
        <v>51867</v>
      </c>
    </row>
    <row r="15" spans="1:9" ht="16.149999999999999" customHeight="1">
      <c r="A15" s="419" t="s">
        <v>132</v>
      </c>
      <c r="B15" s="420">
        <v>283363</v>
      </c>
      <c r="C15" s="420">
        <v>303393</v>
      </c>
      <c r="D15" s="420">
        <v>20030</v>
      </c>
      <c r="E15" s="420">
        <v>7.1</v>
      </c>
      <c r="F15" s="420">
        <v>25485</v>
      </c>
      <c r="G15" s="420">
        <v>38079</v>
      </c>
      <c r="H15" s="420">
        <v>-12594</v>
      </c>
      <c r="I15" s="420">
        <v>32624</v>
      </c>
    </row>
    <row r="16" spans="1:9" ht="16.149999999999999" customHeight="1">
      <c r="A16" s="419" t="s">
        <v>133</v>
      </c>
      <c r="B16" s="420">
        <v>93787</v>
      </c>
      <c r="C16" s="420">
        <v>96431</v>
      </c>
      <c r="D16" s="420">
        <v>2644</v>
      </c>
      <c r="E16" s="420">
        <v>2.8</v>
      </c>
      <c r="F16" s="420">
        <v>9554</v>
      </c>
      <c r="G16" s="420">
        <v>13486</v>
      </c>
      <c r="H16" s="420">
        <v>-3932</v>
      </c>
      <c r="I16" s="420">
        <v>6576</v>
      </c>
    </row>
    <row r="17" spans="1:9" ht="16.149999999999999" customHeight="1">
      <c r="A17" s="419" t="s">
        <v>134</v>
      </c>
      <c r="B17" s="420">
        <v>257692</v>
      </c>
      <c r="C17" s="420">
        <v>299548</v>
      </c>
      <c r="D17" s="420">
        <v>41856</v>
      </c>
      <c r="E17" s="420">
        <v>16.2</v>
      </c>
      <c r="F17" s="420">
        <v>35996</v>
      </c>
      <c r="G17" s="420">
        <v>27975</v>
      </c>
      <c r="H17" s="420">
        <v>8021</v>
      </c>
      <c r="I17" s="420">
        <v>33835</v>
      </c>
    </row>
    <row r="18" spans="1:9" ht="16.149999999999999" customHeight="1">
      <c r="A18" s="419" t="s">
        <v>135</v>
      </c>
      <c r="B18" s="420">
        <v>88161</v>
      </c>
      <c r="C18" s="420">
        <v>92212</v>
      </c>
      <c r="D18" s="420">
        <v>4051</v>
      </c>
      <c r="E18" s="420">
        <v>4.5999999999999996</v>
      </c>
      <c r="F18" s="420">
        <v>8902</v>
      </c>
      <c r="G18" s="420">
        <v>13033</v>
      </c>
      <c r="H18" s="420">
        <v>-4131</v>
      </c>
      <c r="I18" s="420">
        <v>8182</v>
      </c>
    </row>
    <row r="19" spans="1:9" ht="16.149999999999999" customHeight="1">
      <c r="A19" s="419" t="s">
        <v>136</v>
      </c>
      <c r="B19" s="420">
        <v>10617</v>
      </c>
      <c r="C19" s="420">
        <v>10644</v>
      </c>
      <c r="D19" s="420">
        <v>27</v>
      </c>
      <c r="E19" s="420">
        <v>0.3</v>
      </c>
      <c r="F19" s="420">
        <v>938</v>
      </c>
      <c r="G19" s="420">
        <v>1356</v>
      </c>
      <c r="H19" s="420">
        <v>-418</v>
      </c>
      <c r="I19" s="420">
        <v>445</v>
      </c>
    </row>
    <row r="20" spans="1:9" ht="16.149999999999999" customHeight="1">
      <c r="A20" s="419" t="s">
        <v>137</v>
      </c>
      <c r="B20" s="420">
        <v>76159</v>
      </c>
      <c r="C20" s="420">
        <v>81302</v>
      </c>
      <c r="D20" s="420">
        <v>5143</v>
      </c>
      <c r="E20" s="420">
        <v>6.8</v>
      </c>
      <c r="F20" s="420">
        <v>6070</v>
      </c>
      <c r="G20" s="420">
        <v>12207</v>
      </c>
      <c r="H20" s="420">
        <v>-6137</v>
      </c>
      <c r="I20" s="420">
        <v>11280</v>
      </c>
    </row>
    <row r="21" spans="1:9" ht="16.149999999999999" customHeight="1">
      <c r="A21" s="419" t="s">
        <v>138</v>
      </c>
      <c r="B21" s="420">
        <v>23348</v>
      </c>
      <c r="C21" s="420">
        <v>23349</v>
      </c>
      <c r="D21" s="420">
        <v>1</v>
      </c>
      <c r="E21" s="420">
        <v>0</v>
      </c>
      <c r="F21" s="420">
        <v>2077</v>
      </c>
      <c r="G21" s="420">
        <v>3689</v>
      </c>
      <c r="H21" s="420">
        <v>-1612</v>
      </c>
      <c r="I21" s="420">
        <v>1613</v>
      </c>
    </row>
    <row r="22" spans="1:9" ht="16.149999999999999" customHeight="1">
      <c r="A22" s="419" t="s">
        <v>139</v>
      </c>
      <c r="B22" s="420">
        <v>172637</v>
      </c>
      <c r="C22" s="420">
        <v>185203</v>
      </c>
      <c r="D22" s="420">
        <v>12566</v>
      </c>
      <c r="E22" s="420">
        <v>7.3</v>
      </c>
      <c r="F22" s="420">
        <v>19684</v>
      </c>
      <c r="G22" s="420">
        <v>24881</v>
      </c>
      <c r="H22" s="420">
        <v>-5197</v>
      </c>
      <c r="I22" s="420">
        <v>17763</v>
      </c>
    </row>
    <row r="23" spans="1:9" ht="16.149999999999999" customHeight="1">
      <c r="A23" s="419" t="s">
        <v>140</v>
      </c>
      <c r="B23" s="420">
        <v>91813</v>
      </c>
      <c r="C23" s="420">
        <v>106778</v>
      </c>
      <c r="D23" s="420">
        <v>14965</v>
      </c>
      <c r="E23" s="420">
        <v>16.3</v>
      </c>
      <c r="F23" s="420">
        <v>9044</v>
      </c>
      <c r="G23" s="420">
        <v>14197</v>
      </c>
      <c r="H23" s="420">
        <v>-5153</v>
      </c>
      <c r="I23" s="420">
        <v>20118</v>
      </c>
    </row>
    <row r="24" spans="1:9" ht="16.149999999999999" customHeight="1">
      <c r="A24" s="419" t="s">
        <v>141</v>
      </c>
      <c r="B24" s="420">
        <v>32106</v>
      </c>
      <c r="C24" s="420">
        <v>34705</v>
      </c>
      <c r="D24" s="420">
        <v>2599</v>
      </c>
      <c r="E24" s="420">
        <v>8.1</v>
      </c>
      <c r="F24" s="420">
        <v>2726</v>
      </c>
      <c r="G24" s="420">
        <v>5640</v>
      </c>
      <c r="H24" s="420">
        <v>-2914</v>
      </c>
      <c r="I24" s="420">
        <v>5513</v>
      </c>
    </row>
    <row r="25" spans="1:9" ht="16.149999999999999" customHeight="1">
      <c r="A25" s="419" t="s">
        <v>142</v>
      </c>
      <c r="B25" s="420">
        <v>13767</v>
      </c>
      <c r="C25" s="420">
        <v>13485</v>
      </c>
      <c r="D25" s="420">
        <v>-282</v>
      </c>
      <c r="E25" s="420">
        <v>-2</v>
      </c>
      <c r="F25" s="420">
        <v>1397</v>
      </c>
      <c r="G25" s="420">
        <v>2120</v>
      </c>
      <c r="H25" s="420">
        <v>-723</v>
      </c>
      <c r="I25" s="420">
        <v>441</v>
      </c>
    </row>
    <row r="26" spans="1:9" ht="16.149999999999999" customHeight="1">
      <c r="A26" s="419" t="s">
        <v>143</v>
      </c>
      <c r="B26" s="420">
        <v>12870</v>
      </c>
      <c r="C26" s="420">
        <v>13813</v>
      </c>
      <c r="D26" s="420">
        <v>943</v>
      </c>
      <c r="E26" s="420">
        <v>7.3</v>
      </c>
      <c r="F26" s="420">
        <v>1121</v>
      </c>
      <c r="G26" s="420">
        <v>2242</v>
      </c>
      <c r="H26" s="420">
        <v>-1121</v>
      </c>
      <c r="I26" s="420">
        <v>2064</v>
      </c>
    </row>
    <row r="27" spans="1:9" ht="16.149999999999999" customHeight="1">
      <c r="A27" s="419" t="s">
        <v>144</v>
      </c>
      <c r="B27" s="420">
        <v>103964</v>
      </c>
      <c r="C27" s="420">
        <v>104521</v>
      </c>
      <c r="D27" s="420">
        <v>557</v>
      </c>
      <c r="E27" s="420">
        <v>0.5</v>
      </c>
      <c r="F27" s="420">
        <v>11530</v>
      </c>
      <c r="G27" s="420">
        <v>15722</v>
      </c>
      <c r="H27" s="420">
        <v>-4192</v>
      </c>
      <c r="I27" s="420">
        <v>4749</v>
      </c>
    </row>
    <row r="28" spans="1:9" ht="16.149999999999999" customHeight="1">
      <c r="A28" s="419" t="s">
        <v>145</v>
      </c>
      <c r="B28" s="420">
        <v>53476</v>
      </c>
      <c r="C28" s="420">
        <v>51225</v>
      </c>
      <c r="D28" s="420">
        <v>-2251</v>
      </c>
      <c r="E28" s="420">
        <v>-4.2</v>
      </c>
      <c r="F28" s="420">
        <v>5433</v>
      </c>
      <c r="G28" s="420">
        <v>7870</v>
      </c>
      <c r="H28" s="420">
        <v>-2437</v>
      </c>
      <c r="I28" s="420">
        <v>186</v>
      </c>
    </row>
    <row r="29" spans="1:9" ht="16.149999999999999" customHeight="1">
      <c r="A29" s="419" t="s">
        <v>85</v>
      </c>
      <c r="B29" s="420">
        <v>102411</v>
      </c>
      <c r="C29" s="420">
        <v>102396</v>
      </c>
      <c r="D29" s="420">
        <v>-15</v>
      </c>
      <c r="E29" s="420">
        <v>0</v>
      </c>
      <c r="F29" s="420">
        <v>15176</v>
      </c>
      <c r="G29" s="420">
        <v>11428</v>
      </c>
      <c r="H29" s="420">
        <v>3748</v>
      </c>
      <c r="I29" s="420">
        <v>-3763</v>
      </c>
    </row>
    <row r="30" spans="1:9" ht="16.149999999999999" customHeight="1">
      <c r="A30" s="419" t="s">
        <v>82</v>
      </c>
      <c r="B30" s="420">
        <v>334709</v>
      </c>
      <c r="C30" s="420">
        <v>334831</v>
      </c>
      <c r="D30" s="420">
        <v>122</v>
      </c>
      <c r="E30" s="420">
        <v>0</v>
      </c>
      <c r="F30" s="420">
        <v>43193</v>
      </c>
      <c r="G30" s="420">
        <v>34629</v>
      </c>
      <c r="H30" s="420">
        <v>8564</v>
      </c>
      <c r="I30" s="420">
        <v>-8442</v>
      </c>
    </row>
    <row r="31" spans="1:9" ht="16.149999999999999" customHeight="1">
      <c r="A31" s="419" t="s">
        <v>146</v>
      </c>
      <c r="B31" s="420">
        <v>32017</v>
      </c>
      <c r="C31" s="420">
        <v>36092</v>
      </c>
      <c r="D31" s="420">
        <v>4075</v>
      </c>
      <c r="E31" s="420">
        <v>12.7</v>
      </c>
      <c r="F31" s="420">
        <v>3298</v>
      </c>
      <c r="G31" s="420">
        <v>4102</v>
      </c>
      <c r="H31" s="420">
        <v>-804</v>
      </c>
      <c r="I31" s="420">
        <v>4879</v>
      </c>
    </row>
    <row r="32" spans="1:9" ht="16.149999999999999" customHeight="1">
      <c r="A32" s="419" t="s">
        <v>147</v>
      </c>
      <c r="B32" s="420">
        <v>41268</v>
      </c>
      <c r="C32" s="420">
        <v>42975</v>
      </c>
      <c r="D32" s="420">
        <v>1707</v>
      </c>
      <c r="E32" s="420">
        <v>4.0999999999999996</v>
      </c>
      <c r="F32" s="420">
        <v>3868</v>
      </c>
      <c r="G32" s="420">
        <v>5796</v>
      </c>
      <c r="H32" s="420">
        <v>-1928</v>
      </c>
      <c r="I32" s="420">
        <v>3635</v>
      </c>
    </row>
    <row r="33" spans="1:9" ht="16.149999999999999" customHeight="1">
      <c r="A33" s="419" t="s">
        <v>148</v>
      </c>
      <c r="B33" s="420">
        <v>182801</v>
      </c>
      <c r="C33" s="420">
        <v>195934</v>
      </c>
      <c r="D33" s="420">
        <v>13133</v>
      </c>
      <c r="E33" s="420">
        <v>7.2</v>
      </c>
      <c r="F33" s="420">
        <v>20370</v>
      </c>
      <c r="G33" s="420">
        <v>25486</v>
      </c>
      <c r="H33" s="420">
        <v>-5116</v>
      </c>
      <c r="I33" s="420">
        <v>18249</v>
      </c>
    </row>
    <row r="34" spans="1:9" ht="16.149999999999999" customHeight="1">
      <c r="A34" s="419" t="s">
        <v>149</v>
      </c>
      <c r="B34" s="420">
        <v>49255</v>
      </c>
      <c r="C34" s="420">
        <v>54867</v>
      </c>
      <c r="D34" s="420">
        <v>5612</v>
      </c>
      <c r="E34" s="420">
        <v>11.4</v>
      </c>
      <c r="F34" s="420">
        <v>4854</v>
      </c>
      <c r="G34" s="420">
        <v>7381</v>
      </c>
      <c r="H34" s="420">
        <v>-2527</v>
      </c>
      <c r="I34" s="420">
        <v>8139</v>
      </c>
    </row>
    <row r="35" spans="1:9" ht="16.149999999999999" customHeight="1">
      <c r="A35" s="419" t="s">
        <v>150</v>
      </c>
      <c r="B35" s="420">
        <v>61384</v>
      </c>
      <c r="C35" s="420">
        <v>62319</v>
      </c>
      <c r="D35" s="420">
        <v>935</v>
      </c>
      <c r="E35" s="420">
        <v>1.5</v>
      </c>
      <c r="F35" s="420">
        <v>7926</v>
      </c>
      <c r="G35" s="420">
        <v>7011</v>
      </c>
      <c r="H35" s="420">
        <v>915</v>
      </c>
      <c r="I35" s="420">
        <v>20</v>
      </c>
    </row>
    <row r="36" spans="1:9" ht="16.149999999999999" customHeight="1">
      <c r="A36" s="419" t="s">
        <v>151</v>
      </c>
      <c r="B36" s="420">
        <v>365859</v>
      </c>
      <c r="C36" s="420">
        <v>411793</v>
      </c>
      <c r="D36" s="420">
        <v>45934</v>
      </c>
      <c r="E36" s="420">
        <v>12.6</v>
      </c>
      <c r="F36" s="420">
        <v>53925</v>
      </c>
      <c r="G36" s="420">
        <v>33970</v>
      </c>
      <c r="H36" s="420">
        <v>19955</v>
      </c>
      <c r="I36" s="420">
        <v>25979</v>
      </c>
    </row>
    <row r="37" spans="1:9" ht="16.149999999999999" customHeight="1">
      <c r="A37" s="419" t="s">
        <v>152</v>
      </c>
      <c r="B37" s="420">
        <v>47855</v>
      </c>
      <c r="C37" s="420">
        <v>43968</v>
      </c>
      <c r="D37" s="420">
        <v>-3887</v>
      </c>
      <c r="E37" s="420">
        <v>-8.1</v>
      </c>
      <c r="F37" s="420">
        <v>5127</v>
      </c>
      <c r="G37" s="420">
        <v>7486</v>
      </c>
      <c r="H37" s="420">
        <v>-2359</v>
      </c>
      <c r="I37" s="420">
        <v>-1528</v>
      </c>
    </row>
    <row r="38" spans="1:9" ht="16.149999999999999" customHeight="1">
      <c r="A38" s="419" t="s">
        <v>153</v>
      </c>
      <c r="B38" s="420">
        <v>411256</v>
      </c>
      <c r="C38" s="420">
        <v>445036</v>
      </c>
      <c r="D38" s="420">
        <v>33780</v>
      </c>
      <c r="E38" s="420">
        <v>8.1999999999999993</v>
      </c>
      <c r="F38" s="420">
        <v>50848</v>
      </c>
      <c r="G38" s="420">
        <v>48100</v>
      </c>
      <c r="H38" s="420">
        <v>2748</v>
      </c>
      <c r="I38" s="420">
        <v>31032</v>
      </c>
    </row>
    <row r="39" spans="1:9" ht="16.149999999999999" customHeight="1">
      <c r="A39" s="419" t="s">
        <v>154</v>
      </c>
      <c r="B39" s="420">
        <v>82418</v>
      </c>
      <c r="C39" s="420">
        <v>93888</v>
      </c>
      <c r="D39" s="420">
        <v>11470</v>
      </c>
      <c r="E39" s="420">
        <v>13.9</v>
      </c>
      <c r="F39" s="420">
        <v>9467</v>
      </c>
      <c r="G39" s="420">
        <v>10879</v>
      </c>
      <c r="H39" s="420">
        <v>-1412</v>
      </c>
      <c r="I39" s="420">
        <v>12882</v>
      </c>
    </row>
    <row r="40" spans="1:9" ht="16.149999999999999" customHeight="1">
      <c r="A40" s="419" t="s">
        <v>155</v>
      </c>
      <c r="B40" s="420">
        <v>240069</v>
      </c>
      <c r="C40" s="420">
        <v>257446</v>
      </c>
      <c r="D40" s="420">
        <v>17377</v>
      </c>
      <c r="E40" s="420">
        <v>7.2</v>
      </c>
      <c r="F40" s="420">
        <v>28701</v>
      </c>
      <c r="G40" s="420">
        <v>31741</v>
      </c>
      <c r="H40" s="420">
        <v>-3040</v>
      </c>
      <c r="I40" s="420">
        <v>20417</v>
      </c>
    </row>
    <row r="41" spans="1:9" ht="16.149999999999999" customHeight="1">
      <c r="A41" s="419" t="s">
        <v>156</v>
      </c>
      <c r="B41" s="420">
        <v>11736</v>
      </c>
      <c r="C41" s="420">
        <v>11733</v>
      </c>
      <c r="D41" s="420">
        <v>-3</v>
      </c>
      <c r="E41" s="420">
        <v>0</v>
      </c>
      <c r="F41" s="420">
        <v>854</v>
      </c>
      <c r="G41" s="420">
        <v>1666</v>
      </c>
      <c r="H41" s="420">
        <v>-812</v>
      </c>
      <c r="I41" s="420">
        <v>809</v>
      </c>
    </row>
    <row r="42" spans="1:9" ht="16.149999999999999" customHeight="1">
      <c r="A42" s="419" t="s">
        <v>157</v>
      </c>
      <c r="B42" s="420">
        <v>8450</v>
      </c>
      <c r="C42" s="420">
        <v>8416</v>
      </c>
      <c r="D42" s="420">
        <v>-34</v>
      </c>
      <c r="E42" s="420">
        <v>-0.4</v>
      </c>
      <c r="F42" s="420">
        <v>828</v>
      </c>
      <c r="G42" s="420">
        <v>1274</v>
      </c>
      <c r="H42" s="420">
        <v>-446</v>
      </c>
      <c r="I42" s="420">
        <v>412</v>
      </c>
    </row>
    <row r="43" spans="1:9" ht="16.149999999999999" customHeight="1">
      <c r="A43" s="419" t="s">
        <v>158</v>
      </c>
      <c r="B43" s="420">
        <v>68078</v>
      </c>
      <c r="C43" s="420">
        <v>74774</v>
      </c>
      <c r="D43" s="420">
        <v>6696</v>
      </c>
      <c r="E43" s="420">
        <v>9.8000000000000007</v>
      </c>
      <c r="F43" s="420">
        <v>6798</v>
      </c>
      <c r="G43" s="420">
        <v>9076</v>
      </c>
      <c r="H43" s="420">
        <v>-2278</v>
      </c>
      <c r="I43" s="420">
        <v>8974</v>
      </c>
    </row>
    <row r="44" spans="1:9" ht="16.149999999999999" customHeight="1">
      <c r="A44" s="419" t="s">
        <v>159</v>
      </c>
      <c r="B44" s="420">
        <v>20844</v>
      </c>
      <c r="C44" s="420">
        <v>20844</v>
      </c>
      <c r="D44" s="420">
        <v>0</v>
      </c>
      <c r="E44" s="420">
        <v>0</v>
      </c>
      <c r="F44" s="420">
        <v>2197</v>
      </c>
      <c r="G44" s="420">
        <v>2754</v>
      </c>
      <c r="H44" s="420">
        <v>-557</v>
      </c>
      <c r="I44" s="420">
        <v>557</v>
      </c>
    </row>
    <row r="45" spans="1:9" ht="16.149999999999999" customHeight="1">
      <c r="A45" s="419" t="s">
        <v>160</v>
      </c>
      <c r="B45" s="420">
        <v>583552</v>
      </c>
      <c r="C45" s="420">
        <v>649608</v>
      </c>
      <c r="D45" s="420">
        <v>66056</v>
      </c>
      <c r="E45" s="420">
        <v>11.3</v>
      </c>
      <c r="F45" s="420">
        <v>71004</v>
      </c>
      <c r="G45" s="420">
        <v>65901</v>
      </c>
      <c r="H45" s="420">
        <v>5103</v>
      </c>
      <c r="I45" s="420">
        <v>60953</v>
      </c>
    </row>
    <row r="46" spans="1:9" ht="16.149999999999999" customHeight="1">
      <c r="A46" s="419" t="s">
        <v>161</v>
      </c>
      <c r="B46" s="420">
        <v>47093</v>
      </c>
      <c r="C46" s="420">
        <v>43561</v>
      </c>
      <c r="D46" s="420">
        <v>-3532</v>
      </c>
      <c r="E46" s="420">
        <v>-7.5</v>
      </c>
      <c r="F46" s="420">
        <v>4937</v>
      </c>
      <c r="G46" s="420">
        <v>7235</v>
      </c>
      <c r="H46" s="420">
        <v>-2298</v>
      </c>
      <c r="I46" s="420">
        <v>-1234</v>
      </c>
    </row>
    <row r="47" spans="1:9" ht="16.149999999999999" customHeight="1">
      <c r="A47" s="419" t="s">
        <v>81</v>
      </c>
      <c r="B47" s="420">
        <v>154930</v>
      </c>
      <c r="C47" s="420">
        <v>173721</v>
      </c>
      <c r="D47" s="420">
        <v>18791</v>
      </c>
      <c r="E47" s="420">
        <v>12.1</v>
      </c>
      <c r="F47" s="420">
        <v>22221</v>
      </c>
      <c r="G47" s="420">
        <v>15812</v>
      </c>
      <c r="H47" s="420">
        <v>6409</v>
      </c>
      <c r="I47" s="420">
        <v>12382</v>
      </c>
    </row>
    <row r="48" spans="1:9" ht="16.149999999999999" customHeight="1">
      <c r="A48" s="419" t="s">
        <v>162</v>
      </c>
      <c r="B48" s="420">
        <v>67931</v>
      </c>
      <c r="C48" s="420">
        <v>72621</v>
      </c>
      <c r="D48" s="420">
        <v>4690</v>
      </c>
      <c r="E48" s="420">
        <v>6.9</v>
      </c>
      <c r="F48" s="420">
        <v>6645</v>
      </c>
      <c r="G48" s="420">
        <v>10941</v>
      </c>
      <c r="H48" s="420">
        <v>-4296</v>
      </c>
      <c r="I48" s="420">
        <v>8986</v>
      </c>
    </row>
    <row r="49" spans="1:9" ht="16.149999999999999" customHeight="1">
      <c r="A49" s="419" t="s">
        <v>163</v>
      </c>
      <c r="B49" s="420">
        <v>133007</v>
      </c>
      <c r="C49" s="420">
        <v>148116</v>
      </c>
      <c r="D49" s="420">
        <v>15109</v>
      </c>
      <c r="E49" s="420">
        <v>11.4</v>
      </c>
      <c r="F49" s="420">
        <v>13703</v>
      </c>
      <c r="G49" s="420">
        <v>21527</v>
      </c>
      <c r="H49" s="420">
        <v>-7824</v>
      </c>
      <c r="I49" s="420">
        <v>22933</v>
      </c>
    </row>
    <row r="50" spans="1:9" ht="16.149999999999999" customHeight="1">
      <c r="A50" s="419" t="s">
        <v>164</v>
      </c>
      <c r="B50" s="420">
        <v>23310</v>
      </c>
      <c r="C50" s="420">
        <v>23300</v>
      </c>
      <c r="D50" s="420">
        <v>-10</v>
      </c>
      <c r="E50" s="420">
        <v>0</v>
      </c>
      <c r="F50" s="420">
        <v>2164</v>
      </c>
      <c r="G50" s="420">
        <v>3508</v>
      </c>
      <c r="H50" s="420">
        <v>-1344</v>
      </c>
      <c r="I50" s="420">
        <v>1334</v>
      </c>
    </row>
    <row r="51" spans="1:9" ht="16.149999999999999" customHeight="1">
      <c r="A51" s="419" t="s">
        <v>165</v>
      </c>
      <c r="B51" s="420">
        <v>57946</v>
      </c>
      <c r="C51" s="420">
        <v>61150</v>
      </c>
      <c r="D51" s="420">
        <v>3204</v>
      </c>
      <c r="E51" s="420">
        <v>5.5</v>
      </c>
      <c r="F51" s="420">
        <v>9405</v>
      </c>
      <c r="G51" s="420">
        <v>5325</v>
      </c>
      <c r="H51" s="420">
        <v>4080</v>
      </c>
      <c r="I51" s="420">
        <v>-876</v>
      </c>
    </row>
    <row r="52" spans="1:9" ht="16.149999999999999" customHeight="1">
      <c r="A52" s="419" t="s">
        <v>166</v>
      </c>
      <c r="B52" s="420">
        <v>4853</v>
      </c>
      <c r="C52" s="420">
        <v>4609</v>
      </c>
      <c r="D52" s="420">
        <v>-244</v>
      </c>
      <c r="E52" s="420">
        <v>-5</v>
      </c>
      <c r="F52" s="420">
        <v>410</v>
      </c>
      <c r="G52" s="420">
        <v>791</v>
      </c>
      <c r="H52" s="420">
        <v>-381</v>
      </c>
      <c r="I52" s="420">
        <v>137</v>
      </c>
    </row>
    <row r="53" spans="1:9" ht="16.149999999999999" customHeight="1">
      <c r="A53" s="419" t="s">
        <v>167</v>
      </c>
      <c r="B53" s="420">
        <v>207217</v>
      </c>
      <c r="C53" s="420">
        <v>231817</v>
      </c>
      <c r="D53" s="420">
        <v>24600</v>
      </c>
      <c r="E53" s="420">
        <v>11.9</v>
      </c>
      <c r="F53" s="420">
        <v>24338</v>
      </c>
      <c r="G53" s="420">
        <v>26172</v>
      </c>
      <c r="H53" s="420">
        <v>-1834</v>
      </c>
      <c r="I53" s="420">
        <v>26434</v>
      </c>
    </row>
    <row r="54" spans="1:9" ht="16.149999999999999" customHeight="1">
      <c r="A54" s="419" t="s">
        <v>168</v>
      </c>
      <c r="B54" s="420">
        <v>48165</v>
      </c>
      <c r="C54" s="420">
        <v>52154</v>
      </c>
      <c r="D54" s="420">
        <v>3989</v>
      </c>
      <c r="E54" s="420">
        <v>8.3000000000000007</v>
      </c>
      <c r="F54" s="420">
        <v>4443</v>
      </c>
      <c r="G54" s="420">
        <v>5911</v>
      </c>
      <c r="H54" s="420">
        <v>-1468</v>
      </c>
      <c r="I54" s="420">
        <v>5457</v>
      </c>
    </row>
    <row r="55" spans="1:9" ht="16.149999999999999" customHeight="1">
      <c r="A55" s="419" t="s">
        <v>80</v>
      </c>
      <c r="B55" s="420">
        <v>264618</v>
      </c>
      <c r="C55" s="420">
        <v>315026</v>
      </c>
      <c r="D55" s="420">
        <v>50408</v>
      </c>
      <c r="E55" s="420">
        <v>19</v>
      </c>
      <c r="F55" s="420">
        <v>37625</v>
      </c>
      <c r="G55" s="420">
        <v>29129</v>
      </c>
      <c r="H55" s="420">
        <v>8496</v>
      </c>
      <c r="I55" s="420">
        <v>41912</v>
      </c>
    </row>
    <row r="56" spans="1:9" ht="16.149999999999999" customHeight="1">
      <c r="A56" s="419" t="s">
        <v>86</v>
      </c>
      <c r="B56" s="420">
        <v>10006</v>
      </c>
      <c r="C56" s="420">
        <v>9986</v>
      </c>
      <c r="D56" s="420">
        <v>-20</v>
      </c>
      <c r="E56" s="420">
        <v>-0.2</v>
      </c>
      <c r="F56" s="420">
        <v>898</v>
      </c>
      <c r="G56" s="420">
        <v>1535</v>
      </c>
      <c r="H56" s="420">
        <v>-637</v>
      </c>
      <c r="I56" s="420">
        <v>617</v>
      </c>
    </row>
    <row r="57" spans="1:9" ht="16.149999999999999" customHeight="1">
      <c r="A57" s="419" t="s">
        <v>169</v>
      </c>
      <c r="B57" s="420">
        <v>66893</v>
      </c>
      <c r="C57" s="420">
        <v>72513</v>
      </c>
      <c r="D57" s="420">
        <v>5620</v>
      </c>
      <c r="E57" s="420">
        <v>8.4</v>
      </c>
      <c r="F57" s="420">
        <v>9448</v>
      </c>
      <c r="G57" s="420">
        <v>7993</v>
      </c>
      <c r="H57" s="420">
        <v>1455</v>
      </c>
      <c r="I57" s="420">
        <v>4165</v>
      </c>
    </row>
    <row r="58" spans="1:9" ht="16.149999999999999" customHeight="1">
      <c r="A58" s="419" t="s">
        <v>87</v>
      </c>
      <c r="B58" s="420">
        <v>55751</v>
      </c>
      <c r="C58" s="420">
        <v>54901</v>
      </c>
      <c r="D58" s="420">
        <v>-850</v>
      </c>
      <c r="E58" s="420">
        <v>-1.5</v>
      </c>
      <c r="F58" s="420">
        <v>6659</v>
      </c>
      <c r="G58" s="420">
        <v>8133</v>
      </c>
      <c r="H58" s="420">
        <v>-1474</v>
      </c>
      <c r="I58" s="420">
        <v>624</v>
      </c>
    </row>
    <row r="59" spans="1:9" ht="16.149999999999999" customHeight="1">
      <c r="A59" s="419" t="s">
        <v>170</v>
      </c>
      <c r="B59" s="420">
        <v>101026</v>
      </c>
      <c r="C59" s="420">
        <v>113855</v>
      </c>
      <c r="D59" s="420">
        <v>12829</v>
      </c>
      <c r="E59" s="420">
        <v>12.7</v>
      </c>
      <c r="F59" s="420">
        <v>10516</v>
      </c>
      <c r="G59" s="420">
        <v>14429</v>
      </c>
      <c r="H59" s="420">
        <v>-3913</v>
      </c>
      <c r="I59" s="420">
        <v>16742</v>
      </c>
    </row>
    <row r="60" spans="1:9" ht="16.149999999999999" customHeight="1">
      <c r="A60" s="419" t="s">
        <v>171</v>
      </c>
      <c r="B60" s="420">
        <v>42382</v>
      </c>
      <c r="C60" s="420">
        <v>47862</v>
      </c>
      <c r="D60" s="420">
        <v>5480</v>
      </c>
      <c r="E60" s="420">
        <v>12.9</v>
      </c>
      <c r="F60" s="420">
        <v>4539</v>
      </c>
      <c r="G60" s="420">
        <v>6973</v>
      </c>
      <c r="H60" s="420">
        <v>-2434</v>
      </c>
      <c r="I60" s="420">
        <v>7914</v>
      </c>
    </row>
    <row r="61" spans="1:9" ht="16.149999999999999" customHeight="1">
      <c r="A61" s="419" t="s">
        <v>172</v>
      </c>
      <c r="B61" s="420">
        <v>23843</v>
      </c>
      <c r="C61" s="420">
        <v>25276</v>
      </c>
      <c r="D61" s="420">
        <v>1433</v>
      </c>
      <c r="E61" s="420">
        <v>6</v>
      </c>
      <c r="F61" s="420">
        <v>2266</v>
      </c>
      <c r="G61" s="420">
        <v>3698</v>
      </c>
      <c r="H61" s="420">
        <v>-1432</v>
      </c>
      <c r="I61" s="420">
        <v>2865</v>
      </c>
    </row>
    <row r="62" spans="1:9" ht="16.149999999999999" customHeight="1">
      <c r="A62" s="419" t="s">
        <v>173</v>
      </c>
      <c r="B62" s="420">
        <v>21511</v>
      </c>
      <c r="C62" s="420">
        <v>20230</v>
      </c>
      <c r="D62" s="420">
        <v>-1281</v>
      </c>
      <c r="E62" s="420">
        <v>-6</v>
      </c>
      <c r="F62" s="420">
        <v>2347</v>
      </c>
      <c r="G62" s="420">
        <v>3587</v>
      </c>
      <c r="H62" s="420">
        <v>-1240</v>
      </c>
      <c r="I62" s="420">
        <v>-41</v>
      </c>
    </row>
    <row r="63" spans="1:9" ht="16.149999999999999" customHeight="1">
      <c r="A63" s="419" t="s">
        <v>174</v>
      </c>
      <c r="B63" s="420">
        <v>47712</v>
      </c>
      <c r="C63" s="420">
        <v>49097</v>
      </c>
      <c r="D63" s="420">
        <v>1385</v>
      </c>
      <c r="E63" s="420">
        <v>2.9</v>
      </c>
      <c r="F63" s="420">
        <v>4866</v>
      </c>
      <c r="G63" s="420">
        <v>7095</v>
      </c>
      <c r="H63" s="420">
        <v>-2229</v>
      </c>
      <c r="I63" s="420">
        <v>3614</v>
      </c>
    </row>
    <row r="64" spans="1:9" ht="16.149999999999999" customHeight="1">
      <c r="A64" s="419" t="s">
        <v>175</v>
      </c>
      <c r="B64" s="420">
        <v>1329914</v>
      </c>
      <c r="C64" s="420">
        <v>1540320</v>
      </c>
      <c r="D64" s="420">
        <v>210406</v>
      </c>
      <c r="E64" s="420">
        <v>15.8</v>
      </c>
      <c r="F64" s="420">
        <v>175315</v>
      </c>
      <c r="G64" s="420">
        <v>117965</v>
      </c>
      <c r="H64" s="420">
        <v>57350</v>
      </c>
      <c r="I64" s="420">
        <v>153056</v>
      </c>
    </row>
    <row r="65" spans="1:9" ht="16.149999999999999" customHeight="1">
      <c r="A65" s="419" t="s">
        <v>176</v>
      </c>
      <c r="B65" s="420">
        <v>14805</v>
      </c>
      <c r="C65" s="420">
        <v>14583</v>
      </c>
      <c r="D65" s="420">
        <v>-222</v>
      </c>
      <c r="E65" s="420">
        <v>-1.5</v>
      </c>
      <c r="F65" s="420">
        <v>1394</v>
      </c>
      <c r="G65" s="420">
        <v>2381</v>
      </c>
      <c r="H65" s="420">
        <v>-987</v>
      </c>
      <c r="I65" s="420">
        <v>765</v>
      </c>
    </row>
    <row r="66" spans="1:9" ht="16.149999999999999" customHeight="1">
      <c r="A66" s="419" t="s">
        <v>177</v>
      </c>
      <c r="B66" s="420">
        <v>28006</v>
      </c>
      <c r="C66" s="420">
        <v>28393</v>
      </c>
      <c r="D66" s="420">
        <v>387</v>
      </c>
      <c r="E66" s="420">
        <v>1.4</v>
      </c>
      <c r="F66" s="420">
        <v>3314</v>
      </c>
      <c r="G66" s="420">
        <v>3852</v>
      </c>
      <c r="H66" s="420">
        <v>-538</v>
      </c>
      <c r="I66" s="420">
        <v>925</v>
      </c>
    </row>
    <row r="67" spans="1:9" ht="16.149999999999999" customHeight="1">
      <c r="A67" s="419" t="s">
        <v>178</v>
      </c>
      <c r="B67" s="420">
        <v>120258</v>
      </c>
      <c r="C67" s="420">
        <v>137848</v>
      </c>
      <c r="D67" s="420">
        <v>17590</v>
      </c>
      <c r="E67" s="420">
        <v>14.6</v>
      </c>
      <c r="F67" s="420">
        <v>15337</v>
      </c>
      <c r="G67" s="420">
        <v>17370</v>
      </c>
      <c r="H67" s="420">
        <v>-2033</v>
      </c>
      <c r="I67" s="420">
        <v>19623</v>
      </c>
    </row>
    <row r="68" spans="1:9" ht="16.149999999999999" customHeight="1">
      <c r="A68" s="419" t="s">
        <v>78</v>
      </c>
      <c r="B68" s="420">
        <v>99926</v>
      </c>
      <c r="C68" s="420">
        <v>100977</v>
      </c>
      <c r="D68" s="420">
        <v>1051</v>
      </c>
      <c r="E68" s="420">
        <v>1.1000000000000001</v>
      </c>
      <c r="F68" s="420">
        <v>11385</v>
      </c>
      <c r="G68" s="420">
        <v>14601</v>
      </c>
      <c r="H68" s="420">
        <v>-3216</v>
      </c>
      <c r="I68" s="420">
        <v>4267</v>
      </c>
    </row>
    <row r="69" spans="1:9" ht="16.149999999999999" customHeight="1">
      <c r="A69" s="419" t="s">
        <v>179</v>
      </c>
      <c r="B69" s="420">
        <v>267340</v>
      </c>
      <c r="C69" s="420">
        <v>300389</v>
      </c>
      <c r="D69" s="420">
        <v>33049</v>
      </c>
      <c r="E69" s="420">
        <v>12.4</v>
      </c>
      <c r="F69" s="420">
        <v>27114</v>
      </c>
      <c r="G69" s="420">
        <v>31026</v>
      </c>
      <c r="H69" s="420">
        <v>-3912</v>
      </c>
      <c r="I69" s="420">
        <v>36961</v>
      </c>
    </row>
    <row r="70" spans="1:9" ht="16.149999999999999" customHeight="1">
      <c r="A70" s="419" t="s">
        <v>77</v>
      </c>
      <c r="B70" s="420">
        <v>17124</v>
      </c>
      <c r="C70" s="420">
        <v>14310</v>
      </c>
      <c r="D70" s="420">
        <v>-2814</v>
      </c>
      <c r="E70" s="420">
        <v>-16.399999999999999</v>
      </c>
      <c r="F70" s="420">
        <v>1558</v>
      </c>
      <c r="G70" s="420">
        <v>2376</v>
      </c>
      <c r="H70" s="420">
        <v>-818</v>
      </c>
      <c r="I70" s="420">
        <v>-1996</v>
      </c>
    </row>
    <row r="71" spans="1:9" ht="16.149999999999999" customHeight="1">
      <c r="A71" s="419" t="s">
        <v>180</v>
      </c>
      <c r="B71" s="420">
        <v>231558</v>
      </c>
      <c r="C71" s="420">
        <v>253774</v>
      </c>
      <c r="D71" s="420">
        <v>22216</v>
      </c>
      <c r="E71" s="420">
        <v>9.6</v>
      </c>
      <c r="F71" s="420">
        <v>48548</v>
      </c>
      <c r="G71" s="420">
        <v>17161</v>
      </c>
      <c r="H71" s="420">
        <v>31387</v>
      </c>
      <c r="I71" s="420">
        <v>-9171</v>
      </c>
    </row>
    <row r="72" spans="1:9" ht="16.149999999999999" customHeight="1">
      <c r="A72" s="419" t="s">
        <v>181</v>
      </c>
      <c r="B72" s="420">
        <v>162267</v>
      </c>
      <c r="C72" s="420">
        <v>177101</v>
      </c>
      <c r="D72" s="420">
        <v>14834</v>
      </c>
      <c r="E72" s="420">
        <v>9.1</v>
      </c>
      <c r="F72" s="420">
        <v>13371</v>
      </c>
      <c r="G72" s="420">
        <v>15031</v>
      </c>
      <c r="H72" s="420">
        <v>-1660</v>
      </c>
      <c r="I72" s="420">
        <v>16494</v>
      </c>
    </row>
    <row r="73" spans="1:9" ht="16.149999999999999" customHeight="1">
      <c r="A73" s="419" t="s">
        <v>182</v>
      </c>
      <c r="B73" s="420">
        <v>13392</v>
      </c>
      <c r="C73" s="420">
        <v>13559</v>
      </c>
      <c r="D73" s="420">
        <v>167</v>
      </c>
      <c r="E73" s="420">
        <v>1.2</v>
      </c>
      <c r="F73" s="420">
        <v>914</v>
      </c>
      <c r="G73" s="420">
        <v>2422</v>
      </c>
      <c r="H73" s="420">
        <v>-1508</v>
      </c>
      <c r="I73" s="420">
        <v>1675</v>
      </c>
    </row>
    <row r="74" spans="1:9" ht="16.149999999999999" customHeight="1">
      <c r="A74" s="419" t="s">
        <v>183</v>
      </c>
      <c r="B74" s="420">
        <v>39729</v>
      </c>
      <c r="C74" s="420">
        <v>39727</v>
      </c>
      <c r="D74" s="420">
        <v>-2</v>
      </c>
      <c r="E74" s="420">
        <v>0</v>
      </c>
      <c r="F74" s="420">
        <v>4908</v>
      </c>
      <c r="G74" s="420">
        <v>4881</v>
      </c>
      <c r="H74" s="420">
        <v>27</v>
      </c>
      <c r="I74" s="420">
        <v>-29</v>
      </c>
    </row>
    <row r="75" spans="1:9" ht="16.149999999999999" customHeight="1">
      <c r="A75" s="419" t="s">
        <v>184</v>
      </c>
      <c r="B75" s="420">
        <v>72153</v>
      </c>
      <c r="C75" s="420">
        <v>80591</v>
      </c>
      <c r="D75" s="420">
        <v>8438</v>
      </c>
      <c r="E75" s="420">
        <v>11.7</v>
      </c>
      <c r="F75" s="420">
        <v>8324</v>
      </c>
      <c r="G75" s="420">
        <v>9260</v>
      </c>
      <c r="H75" s="420">
        <v>-936</v>
      </c>
      <c r="I75" s="420">
        <v>9374</v>
      </c>
    </row>
    <row r="76" spans="1:9" ht="16.149999999999999" customHeight="1">
      <c r="A76" s="419" t="s">
        <v>185</v>
      </c>
      <c r="B76" s="420">
        <v>14826</v>
      </c>
      <c r="C76" s="420">
        <v>16012</v>
      </c>
      <c r="D76" s="420">
        <v>1186</v>
      </c>
      <c r="E76" s="420">
        <v>8</v>
      </c>
      <c r="F76" s="420">
        <v>1349</v>
      </c>
      <c r="G76" s="420">
        <v>2524</v>
      </c>
      <c r="H76" s="420">
        <v>-1175</v>
      </c>
      <c r="I76" s="420">
        <v>2361</v>
      </c>
    </row>
    <row r="77" spans="1:9" ht="16.149999999999999" customHeight="1">
      <c r="A77" s="419" t="s">
        <v>186</v>
      </c>
      <c r="B77" s="420">
        <v>41560</v>
      </c>
      <c r="C77" s="420">
        <v>42498</v>
      </c>
      <c r="D77" s="420">
        <v>938</v>
      </c>
      <c r="E77" s="420">
        <v>2.2999999999999998</v>
      </c>
      <c r="F77" s="420">
        <v>4526</v>
      </c>
      <c r="G77" s="420">
        <v>5984</v>
      </c>
      <c r="H77" s="420">
        <v>-1458</v>
      </c>
      <c r="I77" s="420">
        <v>2396</v>
      </c>
    </row>
    <row r="78" spans="1:9" ht="16.149999999999999" customHeight="1">
      <c r="A78" s="419" t="s">
        <v>187</v>
      </c>
      <c r="B78" s="420">
        <v>205556</v>
      </c>
      <c r="C78" s="420">
        <v>228596</v>
      </c>
      <c r="D78" s="420">
        <v>23040</v>
      </c>
      <c r="E78" s="420">
        <v>11.2</v>
      </c>
      <c r="F78" s="420">
        <v>27106</v>
      </c>
      <c r="G78" s="420">
        <v>20218</v>
      </c>
      <c r="H78" s="420">
        <v>6888</v>
      </c>
      <c r="I78" s="420">
        <v>16152</v>
      </c>
    </row>
    <row r="79" spans="1:9" ht="16.149999999999999" customHeight="1">
      <c r="A79" s="419" t="s">
        <v>188</v>
      </c>
      <c r="B79" s="420">
        <v>23544</v>
      </c>
      <c r="C79" s="420">
        <v>25224</v>
      </c>
      <c r="D79" s="420">
        <v>1680</v>
      </c>
      <c r="E79" s="420">
        <v>7.1</v>
      </c>
      <c r="F79" s="420">
        <v>1654</v>
      </c>
      <c r="G79" s="420">
        <v>4039</v>
      </c>
      <c r="H79" s="420">
        <v>-2385</v>
      </c>
      <c r="I79" s="420">
        <v>4065</v>
      </c>
    </row>
    <row r="80" spans="1:9" ht="16.149999999999999" customHeight="1">
      <c r="A80" s="419" t="s">
        <v>189</v>
      </c>
      <c r="B80" s="420">
        <v>152412</v>
      </c>
      <c r="C80" s="420">
        <v>160215</v>
      </c>
      <c r="D80" s="420">
        <v>7803</v>
      </c>
      <c r="E80" s="420">
        <v>5.0999999999999996</v>
      </c>
      <c r="F80" s="420">
        <v>18437</v>
      </c>
      <c r="G80" s="420">
        <v>20526</v>
      </c>
      <c r="H80" s="420">
        <v>-2089</v>
      </c>
      <c r="I80" s="420">
        <v>9892</v>
      </c>
    </row>
    <row r="81" spans="1:9" ht="16.149999999999999" customHeight="1">
      <c r="A81" s="419" t="s">
        <v>190</v>
      </c>
      <c r="B81" s="420">
        <v>43921</v>
      </c>
      <c r="C81" s="420">
        <v>43057</v>
      </c>
      <c r="D81" s="420">
        <v>-864</v>
      </c>
      <c r="E81" s="420">
        <v>-2</v>
      </c>
      <c r="F81" s="420">
        <v>5272</v>
      </c>
      <c r="G81" s="420">
        <v>6168</v>
      </c>
      <c r="H81" s="420">
        <v>-896</v>
      </c>
      <c r="I81" s="420">
        <v>32</v>
      </c>
    </row>
    <row r="82" spans="1:9" ht="16.149999999999999" customHeight="1">
      <c r="A82" s="419" t="s">
        <v>83</v>
      </c>
      <c r="B82" s="420">
        <v>129627</v>
      </c>
      <c r="C82" s="420">
        <v>128698</v>
      </c>
      <c r="D82" s="420">
        <v>-929</v>
      </c>
      <c r="E82" s="420">
        <v>-0.7</v>
      </c>
      <c r="F82" s="420">
        <v>16461</v>
      </c>
      <c r="G82" s="420">
        <v>16524</v>
      </c>
      <c r="H82" s="420">
        <v>-63</v>
      </c>
      <c r="I82" s="420">
        <v>-866</v>
      </c>
    </row>
    <row r="83" spans="1:9" ht="16.149999999999999" customHeight="1">
      <c r="A83" s="419" t="s">
        <v>191</v>
      </c>
      <c r="B83" s="420">
        <v>91586</v>
      </c>
      <c r="C83" s="420">
        <v>91587</v>
      </c>
      <c r="D83" s="420">
        <v>1</v>
      </c>
      <c r="E83" s="420">
        <v>0</v>
      </c>
      <c r="F83" s="420">
        <v>8995</v>
      </c>
      <c r="G83" s="420">
        <v>13706</v>
      </c>
      <c r="H83" s="420">
        <v>-4711</v>
      </c>
      <c r="I83" s="420">
        <v>4712</v>
      </c>
    </row>
    <row r="84" spans="1:9" ht="16.149999999999999" customHeight="1">
      <c r="A84" s="419" t="s">
        <v>192</v>
      </c>
      <c r="B84" s="420">
        <v>148482</v>
      </c>
      <c r="C84" s="420">
        <v>155315</v>
      </c>
      <c r="D84" s="420">
        <v>6833</v>
      </c>
      <c r="E84" s="420">
        <v>4.5999999999999996</v>
      </c>
      <c r="F84" s="420">
        <v>17335</v>
      </c>
      <c r="G84" s="420">
        <v>20791</v>
      </c>
      <c r="H84" s="420">
        <v>-3456</v>
      </c>
      <c r="I84" s="420">
        <v>10289</v>
      </c>
    </row>
    <row r="85" spans="1:9" ht="16.149999999999999" customHeight="1">
      <c r="A85" s="419" t="s">
        <v>193</v>
      </c>
      <c r="B85" s="420">
        <v>72706</v>
      </c>
      <c r="C85" s="420">
        <v>76657</v>
      </c>
      <c r="D85" s="420">
        <v>3951</v>
      </c>
      <c r="E85" s="420">
        <v>5.4</v>
      </c>
      <c r="F85" s="420">
        <v>7081</v>
      </c>
      <c r="G85" s="420">
        <v>11389</v>
      </c>
      <c r="H85" s="420">
        <v>-4308</v>
      </c>
      <c r="I85" s="420">
        <v>8259</v>
      </c>
    </row>
    <row r="86" spans="1:9" ht="16.149999999999999" customHeight="1">
      <c r="A86" s="419" t="s">
        <v>194</v>
      </c>
      <c r="B86" s="420">
        <v>64058</v>
      </c>
      <c r="C86" s="420">
        <v>64108</v>
      </c>
      <c r="D86" s="420">
        <v>50</v>
      </c>
      <c r="E86" s="420">
        <v>0.1</v>
      </c>
      <c r="F86" s="420">
        <v>9234</v>
      </c>
      <c r="G86" s="420">
        <v>8270</v>
      </c>
      <c r="H86" s="420">
        <v>964</v>
      </c>
      <c r="I86" s="420">
        <v>-914</v>
      </c>
    </row>
    <row r="87" spans="1:9" ht="16.149999999999999" customHeight="1">
      <c r="A87" s="419" t="s">
        <v>195</v>
      </c>
      <c r="B87" s="420">
        <v>35389</v>
      </c>
      <c r="C87" s="420">
        <v>35225</v>
      </c>
      <c r="D87" s="420">
        <v>-164</v>
      </c>
      <c r="E87" s="420">
        <v>-0.5</v>
      </c>
      <c r="F87" s="420">
        <v>4432</v>
      </c>
      <c r="G87" s="420">
        <v>4811</v>
      </c>
      <c r="H87" s="420">
        <v>-379</v>
      </c>
      <c r="I87" s="420">
        <v>215</v>
      </c>
    </row>
    <row r="88" spans="1:9" ht="16.149999999999999" customHeight="1">
      <c r="A88" s="419" t="s">
        <v>196</v>
      </c>
      <c r="B88" s="420">
        <v>67759</v>
      </c>
      <c r="C88" s="420">
        <v>71024</v>
      </c>
      <c r="D88" s="420">
        <v>3265</v>
      </c>
      <c r="E88" s="420">
        <v>4.8</v>
      </c>
      <c r="F88" s="420">
        <v>7290</v>
      </c>
      <c r="G88" s="420">
        <v>9996</v>
      </c>
      <c r="H88" s="420">
        <v>-2706</v>
      </c>
      <c r="I88" s="420">
        <v>5971</v>
      </c>
    </row>
    <row r="89" spans="1:9" ht="16.149999999999999" customHeight="1">
      <c r="A89" s="419" t="s">
        <v>197</v>
      </c>
      <c r="B89" s="420">
        <v>46804</v>
      </c>
      <c r="C89" s="420">
        <v>46875</v>
      </c>
      <c r="D89" s="420">
        <v>71</v>
      </c>
      <c r="E89" s="420">
        <v>0.2</v>
      </c>
      <c r="F89" s="420">
        <v>3918</v>
      </c>
      <c r="G89" s="420">
        <v>7583</v>
      </c>
      <c r="H89" s="420">
        <v>-3665</v>
      </c>
      <c r="I89" s="420">
        <v>3736</v>
      </c>
    </row>
    <row r="90" spans="1:9" ht="16.149999999999999" customHeight="1">
      <c r="A90" s="419" t="s">
        <v>198</v>
      </c>
      <c r="B90" s="420">
        <v>74383</v>
      </c>
      <c r="C90" s="420">
        <v>75551</v>
      </c>
      <c r="D90" s="420">
        <v>1168</v>
      </c>
      <c r="E90" s="420">
        <v>1.6</v>
      </c>
      <c r="F90" s="420">
        <v>8475</v>
      </c>
      <c r="G90" s="420">
        <v>10837</v>
      </c>
      <c r="H90" s="420">
        <v>-2362</v>
      </c>
      <c r="I90" s="420">
        <v>3530</v>
      </c>
    </row>
    <row r="91" spans="1:9" ht="16.149999999999999" customHeight="1">
      <c r="A91" s="419" t="s">
        <v>199</v>
      </c>
      <c r="B91" s="420">
        <v>14838</v>
      </c>
      <c r="C91" s="420">
        <v>15309</v>
      </c>
      <c r="D91" s="420">
        <v>471</v>
      </c>
      <c r="E91" s="420">
        <v>3.2</v>
      </c>
      <c r="F91" s="420">
        <v>1750</v>
      </c>
      <c r="G91" s="420">
        <v>2179</v>
      </c>
      <c r="H91" s="420">
        <v>-429</v>
      </c>
      <c r="I91" s="420">
        <v>900</v>
      </c>
    </row>
    <row r="92" spans="1:9" ht="16.149999999999999" customHeight="1">
      <c r="A92" s="419" t="s">
        <v>200</v>
      </c>
      <c r="B92" s="420">
        <v>38352</v>
      </c>
      <c r="C92" s="420">
        <v>41331</v>
      </c>
      <c r="D92" s="420">
        <v>2979</v>
      </c>
      <c r="E92" s="420">
        <v>7.8</v>
      </c>
      <c r="F92" s="420">
        <v>3139</v>
      </c>
      <c r="G92" s="420">
        <v>6474</v>
      </c>
      <c r="H92" s="420">
        <v>-3335</v>
      </c>
      <c r="I92" s="420">
        <v>6314</v>
      </c>
    </row>
    <row r="93" spans="1:9" ht="16.149999999999999" customHeight="1">
      <c r="A93" s="419" t="s">
        <v>201</v>
      </c>
      <c r="B93" s="420">
        <v>3701</v>
      </c>
      <c r="C93" s="420">
        <v>3655</v>
      </c>
      <c r="D93" s="420">
        <v>-46</v>
      </c>
      <c r="E93" s="420">
        <v>-1.2</v>
      </c>
      <c r="F93" s="420">
        <v>430</v>
      </c>
      <c r="G93" s="420">
        <v>505</v>
      </c>
      <c r="H93" s="420">
        <v>-75</v>
      </c>
      <c r="I93" s="420">
        <v>29</v>
      </c>
    </row>
    <row r="94" spans="1:9" ht="16.149999999999999" customHeight="1">
      <c r="A94" s="419" t="s">
        <v>202</v>
      </c>
      <c r="B94" s="420">
        <v>286899</v>
      </c>
      <c r="C94" s="420">
        <v>338092</v>
      </c>
      <c r="D94" s="420">
        <v>51193</v>
      </c>
      <c r="E94" s="420">
        <v>17.8</v>
      </c>
      <c r="F94" s="420">
        <v>36080</v>
      </c>
      <c r="G94" s="420">
        <v>29449</v>
      </c>
      <c r="H94" s="420">
        <v>6631</v>
      </c>
      <c r="I94" s="420">
        <v>44562</v>
      </c>
    </row>
    <row r="95" spans="1:9" ht="16.149999999999999" customHeight="1">
      <c r="A95" s="419" t="s">
        <v>203</v>
      </c>
      <c r="B95" s="420">
        <v>45431</v>
      </c>
      <c r="C95" s="420">
        <v>45466</v>
      </c>
      <c r="D95" s="420">
        <v>35</v>
      </c>
      <c r="E95" s="420">
        <v>0.1</v>
      </c>
      <c r="F95" s="420">
        <v>5772</v>
      </c>
      <c r="G95" s="420">
        <v>6088</v>
      </c>
      <c r="H95" s="420">
        <v>-316</v>
      </c>
      <c r="I95" s="420">
        <v>351</v>
      </c>
    </row>
    <row r="96" spans="1:9" ht="16.149999999999999" customHeight="1">
      <c r="A96" s="419" t="s">
        <v>204</v>
      </c>
      <c r="B96" s="420">
        <v>1305154</v>
      </c>
      <c r="C96" s="420">
        <v>1517529</v>
      </c>
      <c r="D96" s="420">
        <v>212375</v>
      </c>
      <c r="E96" s="420">
        <v>16.3</v>
      </c>
      <c r="F96" s="420">
        <v>162432</v>
      </c>
      <c r="G96" s="420">
        <v>115592</v>
      </c>
      <c r="H96" s="420">
        <v>46840</v>
      </c>
      <c r="I96" s="420">
        <v>165535</v>
      </c>
    </row>
    <row r="97" spans="1:9" ht="16.149999999999999" customHeight="1">
      <c r="A97" s="419" t="s">
        <v>205</v>
      </c>
      <c r="B97" s="420">
        <v>17972</v>
      </c>
      <c r="C97" s="420">
        <v>16289</v>
      </c>
      <c r="D97" s="420">
        <v>-1683</v>
      </c>
      <c r="E97" s="420">
        <v>-9.4</v>
      </c>
      <c r="F97" s="420">
        <v>1455</v>
      </c>
      <c r="G97" s="420">
        <v>2786</v>
      </c>
      <c r="H97" s="420">
        <v>-1331</v>
      </c>
      <c r="I97" s="420">
        <v>-352</v>
      </c>
    </row>
    <row r="98" spans="1:9" ht="16.149999999999999" customHeight="1">
      <c r="A98" s="419" t="s">
        <v>206</v>
      </c>
      <c r="B98" s="420">
        <v>11194</v>
      </c>
      <c r="C98" s="420">
        <v>10412</v>
      </c>
      <c r="D98" s="420">
        <v>-782</v>
      </c>
      <c r="E98" s="420">
        <v>-7</v>
      </c>
      <c r="F98" s="420">
        <v>1251</v>
      </c>
      <c r="G98" s="420">
        <v>1782</v>
      </c>
      <c r="H98" s="420">
        <v>-531</v>
      </c>
      <c r="I98" s="420">
        <v>-251</v>
      </c>
    </row>
    <row r="99" spans="1:9" ht="16.149999999999999" customHeight="1">
      <c r="A99" s="419" t="s">
        <v>207</v>
      </c>
      <c r="B99" s="420">
        <v>63224</v>
      </c>
      <c r="C99" s="420">
        <v>70705</v>
      </c>
      <c r="D99" s="420">
        <v>7481</v>
      </c>
      <c r="E99" s="420">
        <v>11.8</v>
      </c>
      <c r="F99" s="420">
        <v>4898</v>
      </c>
      <c r="G99" s="420">
        <v>5704</v>
      </c>
      <c r="H99" s="420">
        <v>-806</v>
      </c>
      <c r="I99" s="420">
        <v>8287</v>
      </c>
    </row>
    <row r="100" spans="1:9" ht="16.149999999999999" customHeight="1">
      <c r="A100" s="419" t="s">
        <v>88</v>
      </c>
      <c r="B100" s="420">
        <v>130737</v>
      </c>
      <c r="C100" s="420">
        <v>135727</v>
      </c>
      <c r="D100" s="420">
        <v>4990</v>
      </c>
      <c r="E100" s="420">
        <v>3.8</v>
      </c>
      <c r="F100" s="420">
        <v>17013</v>
      </c>
      <c r="G100" s="420">
        <v>15589</v>
      </c>
      <c r="H100" s="420">
        <v>1424</v>
      </c>
      <c r="I100" s="420">
        <v>3566</v>
      </c>
    </row>
    <row r="101" spans="1:9" ht="16.149999999999999" customHeight="1">
      <c r="A101" s="419" t="s">
        <v>208</v>
      </c>
      <c r="B101" s="420">
        <v>72721</v>
      </c>
      <c r="C101" s="420">
        <v>75477</v>
      </c>
      <c r="D101" s="420">
        <v>2756</v>
      </c>
      <c r="E101" s="420">
        <v>3.8</v>
      </c>
      <c r="F101" s="420">
        <v>7531</v>
      </c>
      <c r="G101" s="420">
        <v>11090</v>
      </c>
      <c r="H101" s="420">
        <v>-3559</v>
      </c>
      <c r="I101" s="420">
        <v>6315</v>
      </c>
    </row>
    <row r="102" spans="1:9" ht="16.149999999999999" customHeight="1">
      <c r="A102" s="419" t="s">
        <v>79</v>
      </c>
      <c r="B102" s="420">
        <v>89175</v>
      </c>
      <c r="C102" s="420">
        <v>94638</v>
      </c>
      <c r="D102" s="420">
        <v>5463</v>
      </c>
      <c r="E102" s="420">
        <v>6.1</v>
      </c>
      <c r="F102" s="420">
        <v>10501</v>
      </c>
      <c r="G102" s="420">
        <v>12225</v>
      </c>
      <c r="H102" s="420">
        <v>-1724</v>
      </c>
      <c r="I102" s="420">
        <v>7187</v>
      </c>
    </row>
    <row r="103" spans="1:9" ht="16.149999999999999" customHeight="1">
      <c r="A103" s="419" t="s">
        <v>209</v>
      </c>
      <c r="B103" s="420">
        <v>38070</v>
      </c>
      <c r="C103" s="420">
        <v>38076</v>
      </c>
      <c r="D103" s="420">
        <v>6</v>
      </c>
      <c r="E103" s="420">
        <v>0</v>
      </c>
      <c r="F103" s="420">
        <v>4030</v>
      </c>
      <c r="G103" s="420">
        <v>5533</v>
      </c>
      <c r="H103" s="420">
        <v>-1503</v>
      </c>
      <c r="I103" s="420">
        <v>1509</v>
      </c>
    </row>
    <row r="104" spans="1:9" ht="16.149999999999999" customHeight="1">
      <c r="A104" s="419" t="s">
        <v>210</v>
      </c>
      <c r="B104" s="420">
        <v>21381</v>
      </c>
      <c r="C104" s="420">
        <v>23921</v>
      </c>
      <c r="D104" s="420">
        <v>2540</v>
      </c>
      <c r="E104" s="420">
        <v>11.9</v>
      </c>
      <c r="F104" s="420">
        <v>2229</v>
      </c>
      <c r="G104" s="420">
        <v>3203</v>
      </c>
      <c r="H104" s="420">
        <v>-974</v>
      </c>
      <c r="I104" s="420">
        <v>3514</v>
      </c>
    </row>
    <row r="105" spans="1:9" ht="16.149999999999999" customHeight="1" thickBot="1">
      <c r="A105" s="419" t="s">
        <v>211</v>
      </c>
      <c r="B105" s="420">
        <v>11677603</v>
      </c>
      <c r="C105" s="420">
        <v>12821708</v>
      </c>
      <c r="D105" s="420">
        <v>1144105</v>
      </c>
      <c r="E105" s="420">
        <v>9.8000000000000007</v>
      </c>
      <c r="F105" s="420">
        <v>1404793</v>
      </c>
      <c r="G105" s="420">
        <v>1382911</v>
      </c>
      <c r="H105" s="420">
        <v>21882</v>
      </c>
      <c r="I105" s="420">
        <v>1122223</v>
      </c>
    </row>
    <row r="106" spans="1:9" ht="16.149999999999999" customHeight="1">
      <c r="A106" s="820" t="s">
        <v>823</v>
      </c>
      <c r="B106" s="820"/>
      <c r="C106" s="820"/>
      <c r="D106" s="820"/>
      <c r="E106" s="820"/>
      <c r="F106" s="820"/>
      <c r="G106" s="820"/>
      <c r="H106" s="820"/>
      <c r="I106" s="820"/>
    </row>
    <row r="107" spans="1:9" ht="15">
      <c r="A107" s="223" t="s">
        <v>826</v>
      </c>
    </row>
  </sheetData>
  <sheetProtection algorithmName="SHA-512" hashValue="daLRadnw+AG62ZX0EE9I1AbtX3edHMruMtF+UXTdlKNBb/LzEc6oFq/zRHiHnvQ0qOCKSYeO3ZbDb83l06Kt9Q==" saltValue="7n/WMzsuvdn14H7LtklMlA==" spinCount="100000" sheet="1" objects="1" scenarios="1"/>
  <mergeCells count="5">
    <mergeCell ref="A1:I1"/>
    <mergeCell ref="B3:C3"/>
    <mergeCell ref="D3:E3"/>
    <mergeCell ref="F3:I3"/>
    <mergeCell ref="A106:I106"/>
  </mergeCells>
  <pageMargins left="0.08" right="0.08" top="1" bottom="1" header="0.5" footer="0.5"/>
  <pageSetup orientation="portrait" horizontalDpi="300" verticalDpi="300"/>
  <headerFooter>
    <oddFooter>Return to Top_x000D_Last updated    October 5, 2017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5" tint="0.79998168889431442"/>
  </sheetPr>
  <dimension ref="A1:S51"/>
  <sheetViews>
    <sheetView workbookViewId="0">
      <selection activeCell="C21" sqref="C21"/>
    </sheetView>
  </sheetViews>
  <sheetFormatPr defaultRowHeight="15"/>
  <cols>
    <col min="2" max="2" width="11.7109375" bestFit="1" customWidth="1"/>
    <col min="3" max="3" width="14" bestFit="1" customWidth="1"/>
    <col min="4" max="4" width="11.42578125" bestFit="1" customWidth="1"/>
    <col min="7" max="9" width="11.42578125" bestFit="1" customWidth="1"/>
    <col min="12" max="12" width="11.7109375" bestFit="1" customWidth="1"/>
    <col min="14" max="14" width="11.42578125" bestFit="1" customWidth="1"/>
    <col min="17" max="19" width="11.42578125" bestFit="1" customWidth="1"/>
  </cols>
  <sheetData>
    <row r="1" spans="1:16" s="140" customFormat="1">
      <c r="A1" s="140" t="s">
        <v>335</v>
      </c>
    </row>
    <row r="2" spans="1:16" s="140" customFormat="1">
      <c r="A2" s="140" t="s">
        <v>569</v>
      </c>
    </row>
    <row r="3" spans="1:16" s="140" customFormat="1">
      <c r="A3" s="140" t="s">
        <v>326</v>
      </c>
      <c r="K3" s="140" t="s">
        <v>327</v>
      </c>
    </row>
    <row r="5" spans="1:16">
      <c r="A5" t="s">
        <v>321</v>
      </c>
      <c r="K5" t="s">
        <v>321</v>
      </c>
    </row>
    <row r="6" spans="1:16">
      <c r="F6" t="s">
        <v>322</v>
      </c>
      <c r="P6" t="s">
        <v>322</v>
      </c>
    </row>
    <row r="8" spans="1:16">
      <c r="A8" t="s">
        <v>323</v>
      </c>
      <c r="B8" t="s">
        <v>324</v>
      </c>
      <c r="C8" t="s">
        <v>325</v>
      </c>
      <c r="D8" t="s">
        <v>0</v>
      </c>
      <c r="K8" t="s">
        <v>323</v>
      </c>
      <c r="L8" t="s">
        <v>324</v>
      </c>
      <c r="M8" t="s">
        <v>325</v>
      </c>
      <c r="N8" t="s">
        <v>0</v>
      </c>
    </row>
    <row r="9" spans="1:16">
      <c r="A9">
        <v>2020</v>
      </c>
      <c r="B9" s="139">
        <v>1600000</v>
      </c>
      <c r="C9" t="s">
        <v>328</v>
      </c>
      <c r="D9" s="139">
        <v>1600000</v>
      </c>
      <c r="F9" t="s">
        <v>329</v>
      </c>
      <c r="K9">
        <v>2020</v>
      </c>
      <c r="L9" s="139">
        <v>1611000</v>
      </c>
      <c r="M9" t="s">
        <v>328</v>
      </c>
      <c r="N9" s="139">
        <v>1611000</v>
      </c>
      <c r="P9" t="s">
        <v>329</v>
      </c>
    </row>
    <row r="10" spans="1:16">
      <c r="A10">
        <v>2021</v>
      </c>
      <c r="B10" s="139">
        <v>1600000</v>
      </c>
      <c r="C10" s="139">
        <v>100000</v>
      </c>
      <c r="D10" s="139">
        <v>1700000</v>
      </c>
      <c r="F10" t="s">
        <v>329</v>
      </c>
      <c r="K10">
        <v>2021</v>
      </c>
      <c r="L10" s="139">
        <v>1611000</v>
      </c>
      <c r="M10" s="139">
        <v>100000</v>
      </c>
      <c r="N10" s="139">
        <v>1711000</v>
      </c>
      <c r="P10" t="s">
        <v>329</v>
      </c>
    </row>
    <row r="11" spans="1:16">
      <c r="A11">
        <v>2022</v>
      </c>
      <c r="B11" s="139">
        <v>1600000</v>
      </c>
      <c r="C11" s="139">
        <v>100000</v>
      </c>
      <c r="D11" s="139">
        <v>1700000</v>
      </c>
      <c r="F11" t="s">
        <v>329</v>
      </c>
      <c r="K11">
        <v>2022</v>
      </c>
      <c r="L11" s="139">
        <v>1611000</v>
      </c>
      <c r="M11" s="139">
        <v>100000</v>
      </c>
      <c r="N11" s="139">
        <v>1711000</v>
      </c>
      <c r="P11" t="s">
        <v>329</v>
      </c>
    </row>
    <row r="12" spans="1:16">
      <c r="A12">
        <v>2023</v>
      </c>
      <c r="B12" s="139">
        <v>1600000</v>
      </c>
      <c r="C12" s="139">
        <v>100000</v>
      </c>
      <c r="D12" s="139">
        <v>1700000</v>
      </c>
      <c r="F12" t="s">
        <v>329</v>
      </c>
      <c r="K12">
        <v>2023</v>
      </c>
      <c r="L12" s="139">
        <v>1611000</v>
      </c>
      <c r="M12" s="139">
        <v>100000</v>
      </c>
      <c r="N12" s="139">
        <v>1711000</v>
      </c>
      <c r="P12" t="s">
        <v>329</v>
      </c>
    </row>
    <row r="13" spans="1:16">
      <c r="A13">
        <v>2024</v>
      </c>
      <c r="B13" s="139">
        <v>1600000</v>
      </c>
      <c r="C13" s="139">
        <v>100000</v>
      </c>
      <c r="D13" s="139">
        <v>1700000</v>
      </c>
      <c r="F13" t="s">
        <v>329</v>
      </c>
      <c r="K13">
        <v>2024</v>
      </c>
      <c r="L13" s="139">
        <v>1611000</v>
      </c>
      <c r="M13" s="139">
        <v>100000</v>
      </c>
      <c r="N13" s="139">
        <v>1711000</v>
      </c>
      <c r="P13" t="s">
        <v>329</v>
      </c>
    </row>
    <row r="14" spans="1:16">
      <c r="A14">
        <v>2025</v>
      </c>
      <c r="B14" s="139">
        <v>1600000</v>
      </c>
      <c r="C14" s="139">
        <v>100000</v>
      </c>
      <c r="D14" s="139">
        <v>1700000</v>
      </c>
      <c r="F14" t="s">
        <v>329</v>
      </c>
      <c r="K14">
        <v>2025</v>
      </c>
      <c r="L14" s="139">
        <v>1611000</v>
      </c>
      <c r="M14" s="139">
        <v>100000</v>
      </c>
      <c r="N14" s="139">
        <v>1711000</v>
      </c>
      <c r="P14" t="s">
        <v>329</v>
      </c>
    </row>
    <row r="15" spans="1:16">
      <c r="A15">
        <v>2026</v>
      </c>
      <c r="B15" s="139">
        <v>1600000</v>
      </c>
      <c r="C15" s="139">
        <v>796000</v>
      </c>
      <c r="D15" s="139">
        <v>2396000</v>
      </c>
      <c r="F15" t="s">
        <v>329</v>
      </c>
      <c r="K15">
        <v>2026</v>
      </c>
      <c r="L15" s="139">
        <v>1611000</v>
      </c>
      <c r="M15" s="139">
        <v>796000</v>
      </c>
      <c r="N15" s="139">
        <v>2407000</v>
      </c>
      <c r="P15" t="s">
        <v>329</v>
      </c>
    </row>
    <row r="16" spans="1:16">
      <c r="A16">
        <v>2027</v>
      </c>
      <c r="B16" s="139">
        <v>1600000</v>
      </c>
      <c r="C16" s="139">
        <v>100000</v>
      </c>
      <c r="D16" s="139">
        <v>1700000</v>
      </c>
      <c r="F16" t="s">
        <v>329</v>
      </c>
      <c r="K16">
        <v>2027</v>
      </c>
      <c r="L16" s="139">
        <v>1611000</v>
      </c>
      <c r="M16" s="139">
        <v>100000</v>
      </c>
      <c r="N16" s="139">
        <v>1711000</v>
      </c>
      <c r="P16" t="s">
        <v>329</v>
      </c>
    </row>
    <row r="17" spans="1:19">
      <c r="A17">
        <v>2028</v>
      </c>
      <c r="B17" s="139">
        <v>1600000</v>
      </c>
      <c r="C17" s="139">
        <v>100000</v>
      </c>
      <c r="D17" s="139">
        <v>1700000</v>
      </c>
      <c r="F17" t="s">
        <v>329</v>
      </c>
      <c r="K17">
        <v>2028</v>
      </c>
      <c r="L17" s="139">
        <v>1611000</v>
      </c>
      <c r="M17" s="139">
        <v>100000</v>
      </c>
      <c r="N17" s="139">
        <v>1711000</v>
      </c>
      <c r="P17" t="s">
        <v>329</v>
      </c>
    </row>
    <row r="18" spans="1:19">
      <c r="A18">
        <v>2029</v>
      </c>
      <c r="B18" s="139">
        <v>1600000</v>
      </c>
      <c r="C18" s="139">
        <v>100000</v>
      </c>
      <c r="D18" s="139">
        <v>1700000</v>
      </c>
      <c r="F18" t="s">
        <v>329</v>
      </c>
      <c r="K18">
        <v>2029</v>
      </c>
      <c r="L18" s="139">
        <v>1611000</v>
      </c>
      <c r="M18" s="139">
        <v>100000</v>
      </c>
      <c r="N18" s="139">
        <v>1711000</v>
      </c>
      <c r="P18" t="s">
        <v>329</v>
      </c>
    </row>
    <row r="19" spans="1:19">
      <c r="A19">
        <v>2030</v>
      </c>
      <c r="B19" s="139">
        <v>1600000</v>
      </c>
      <c r="C19" s="139">
        <v>268000</v>
      </c>
      <c r="D19" s="139">
        <v>1868000</v>
      </c>
      <c r="F19" t="s">
        <v>329</v>
      </c>
      <c r="K19">
        <v>2030</v>
      </c>
      <c r="L19" s="139">
        <v>1611000</v>
      </c>
      <c r="M19" s="139">
        <v>268000</v>
      </c>
      <c r="N19" s="139">
        <v>1879000</v>
      </c>
      <c r="P19" t="s">
        <v>329</v>
      </c>
    </row>
    <row r="20" spans="1:19">
      <c r="A20">
        <v>2031</v>
      </c>
      <c r="B20" s="139">
        <v>1600000</v>
      </c>
      <c r="C20" s="139">
        <v>100000</v>
      </c>
      <c r="D20" s="139">
        <v>1700000</v>
      </c>
      <c r="F20" t="s">
        <v>329</v>
      </c>
      <c r="K20">
        <v>2031</v>
      </c>
      <c r="L20" s="139">
        <v>1611000</v>
      </c>
      <c r="M20" s="139">
        <v>100000</v>
      </c>
      <c r="N20" s="139">
        <v>1711000</v>
      </c>
      <c r="P20" t="s">
        <v>329</v>
      </c>
    </row>
    <row r="21" spans="1:19">
      <c r="A21">
        <v>2032</v>
      </c>
      <c r="B21" s="139">
        <v>1600000</v>
      </c>
      <c r="C21" s="139">
        <v>8825000</v>
      </c>
      <c r="D21" s="139">
        <v>10425000</v>
      </c>
      <c r="F21" t="s">
        <v>329</v>
      </c>
      <c r="K21">
        <v>2032</v>
      </c>
      <c r="L21" s="139">
        <v>1611000</v>
      </c>
      <c r="M21" s="139">
        <v>9388000</v>
      </c>
      <c r="N21" s="139">
        <v>10999000</v>
      </c>
      <c r="P21" t="s">
        <v>329</v>
      </c>
    </row>
    <row r="22" spans="1:19">
      <c r="A22">
        <v>2033</v>
      </c>
      <c r="B22" s="139">
        <v>1600000</v>
      </c>
      <c r="C22" s="139">
        <v>100000</v>
      </c>
      <c r="D22" s="139">
        <v>1700000</v>
      </c>
      <c r="F22" t="s">
        <v>329</v>
      </c>
      <c r="K22">
        <v>2033</v>
      </c>
      <c r="L22" s="139">
        <v>1611000</v>
      </c>
      <c r="M22" s="139">
        <v>100000</v>
      </c>
      <c r="N22" s="139">
        <v>1711000</v>
      </c>
      <c r="P22" t="s">
        <v>329</v>
      </c>
    </row>
    <row r="23" spans="1:19">
      <c r="A23">
        <v>2034</v>
      </c>
      <c r="B23" s="139">
        <v>1600000</v>
      </c>
      <c r="C23" s="139">
        <v>100000</v>
      </c>
      <c r="D23" s="139">
        <v>1700000</v>
      </c>
      <c r="F23" t="s">
        <v>329</v>
      </c>
      <c r="K23">
        <v>2034</v>
      </c>
      <c r="L23" s="139">
        <v>1611000</v>
      </c>
      <c r="M23" s="139">
        <v>100000</v>
      </c>
      <c r="N23" s="139">
        <v>1711000</v>
      </c>
      <c r="P23" t="s">
        <v>329</v>
      </c>
    </row>
    <row r="24" spans="1:19">
      <c r="A24">
        <v>2035</v>
      </c>
      <c r="B24" s="139">
        <v>1600000</v>
      </c>
      <c r="C24" s="139">
        <v>100000</v>
      </c>
      <c r="D24" s="139">
        <v>1700000</v>
      </c>
      <c r="F24" t="s">
        <v>329</v>
      </c>
      <c r="K24">
        <v>2035</v>
      </c>
      <c r="L24" s="139">
        <v>1611000</v>
      </c>
      <c r="M24" s="139">
        <v>100000</v>
      </c>
      <c r="N24" s="139">
        <v>1711000</v>
      </c>
      <c r="P24" t="s">
        <v>329</v>
      </c>
    </row>
    <row r="25" spans="1:19">
      <c r="A25">
        <v>2036</v>
      </c>
      <c r="B25" s="139">
        <v>1600000</v>
      </c>
      <c r="C25" s="139">
        <v>100000</v>
      </c>
      <c r="D25" s="139">
        <v>1700000</v>
      </c>
      <c r="F25" t="s">
        <v>329</v>
      </c>
      <c r="K25">
        <v>2036</v>
      </c>
      <c r="L25" s="139">
        <v>1611000</v>
      </c>
      <c r="M25" s="139">
        <v>100000</v>
      </c>
      <c r="N25" s="139">
        <v>1711000</v>
      </c>
      <c r="P25" t="s">
        <v>329</v>
      </c>
    </row>
    <row r="26" spans="1:19">
      <c r="A26">
        <v>2037</v>
      </c>
      <c r="B26" s="139">
        <v>1600000</v>
      </c>
      <c r="C26" s="139">
        <v>100000</v>
      </c>
      <c r="D26" s="139">
        <v>1700000</v>
      </c>
      <c r="F26" t="s">
        <v>329</v>
      </c>
      <c r="K26">
        <v>2037</v>
      </c>
      <c r="L26" s="139">
        <v>1611000</v>
      </c>
      <c r="M26" s="139">
        <v>100000</v>
      </c>
      <c r="N26" s="139">
        <v>1711000</v>
      </c>
      <c r="P26" t="s">
        <v>329</v>
      </c>
    </row>
    <row r="27" spans="1:19">
      <c r="A27">
        <v>2038</v>
      </c>
      <c r="B27" s="139">
        <v>1600000</v>
      </c>
      <c r="C27" s="139">
        <v>796000</v>
      </c>
      <c r="D27" s="139">
        <v>2396000</v>
      </c>
      <c r="F27" t="s">
        <v>329</v>
      </c>
      <c r="K27">
        <v>2038</v>
      </c>
      <c r="L27" s="139">
        <v>1611000</v>
      </c>
      <c r="M27" s="139">
        <v>796000</v>
      </c>
      <c r="N27" s="139">
        <v>2407000</v>
      </c>
      <c r="P27" t="s">
        <v>329</v>
      </c>
    </row>
    <row r="28" spans="1:19">
      <c r="A28">
        <v>2039</v>
      </c>
      <c r="B28" s="139">
        <v>1600000</v>
      </c>
      <c r="C28" s="139">
        <v>100000</v>
      </c>
      <c r="D28" s="139">
        <v>1700000</v>
      </c>
      <c r="F28" t="s">
        <v>329</v>
      </c>
      <c r="K28">
        <v>2039</v>
      </c>
      <c r="L28" s="139">
        <v>1611000</v>
      </c>
      <c r="M28" s="139">
        <v>100000</v>
      </c>
      <c r="N28" s="139">
        <v>1711000</v>
      </c>
      <c r="P28" t="s">
        <v>329</v>
      </c>
    </row>
    <row r="29" spans="1:19">
      <c r="A29">
        <v>2040</v>
      </c>
      <c r="B29" s="139">
        <v>1600000</v>
      </c>
      <c r="C29" s="139">
        <v>268000</v>
      </c>
      <c r="D29" s="139">
        <v>1868000</v>
      </c>
      <c r="F29" t="s">
        <v>329</v>
      </c>
      <c r="G29" s="139">
        <v>33600000</v>
      </c>
      <c r="H29" s="139">
        <v>12453000</v>
      </c>
      <c r="I29" s="139">
        <v>46053000</v>
      </c>
      <c r="K29">
        <v>2040</v>
      </c>
      <c r="L29" s="139">
        <v>1611000</v>
      </c>
      <c r="M29" s="139">
        <v>268000</v>
      </c>
      <c r="N29" s="139">
        <v>1879000</v>
      </c>
      <c r="P29" t="s">
        <v>329</v>
      </c>
      <c r="Q29" s="139">
        <v>33831000</v>
      </c>
      <c r="R29" s="139">
        <v>13016000</v>
      </c>
      <c r="S29" s="139">
        <v>46847000</v>
      </c>
    </row>
    <row r="30" spans="1:19">
      <c r="A30">
        <v>2041</v>
      </c>
      <c r="B30" s="139">
        <v>1600000</v>
      </c>
      <c r="C30" s="139">
        <v>100000</v>
      </c>
      <c r="D30" s="139">
        <v>1700000</v>
      </c>
      <c r="F30" t="s">
        <v>329</v>
      </c>
      <c r="K30">
        <v>2041</v>
      </c>
      <c r="L30" s="139">
        <v>1611000</v>
      </c>
      <c r="M30" s="139">
        <v>100000</v>
      </c>
      <c r="N30" s="139">
        <v>1711000</v>
      </c>
      <c r="P30" t="s">
        <v>329</v>
      </c>
    </row>
    <row r="31" spans="1:19">
      <c r="A31">
        <v>2042</v>
      </c>
      <c r="B31" s="139">
        <v>1600000</v>
      </c>
      <c r="C31" s="139">
        <v>100000</v>
      </c>
      <c r="D31" s="139">
        <v>1700000</v>
      </c>
      <c r="F31" t="s">
        <v>329</v>
      </c>
      <c r="K31">
        <v>2042</v>
      </c>
      <c r="L31" s="139">
        <v>1611000</v>
      </c>
      <c r="M31" s="139">
        <v>100000</v>
      </c>
      <c r="N31" s="139">
        <v>1711000</v>
      </c>
      <c r="P31" t="s">
        <v>329</v>
      </c>
    </row>
    <row r="32" spans="1:19">
      <c r="A32">
        <v>2043</v>
      </c>
      <c r="B32" s="139">
        <v>1600000</v>
      </c>
      <c r="C32" s="139">
        <v>100000</v>
      </c>
      <c r="D32" s="139">
        <v>1700000</v>
      </c>
      <c r="F32" t="s">
        <v>329</v>
      </c>
      <c r="K32">
        <v>2043</v>
      </c>
      <c r="L32" s="139">
        <v>1611000</v>
      </c>
      <c r="M32" s="139">
        <v>100000</v>
      </c>
      <c r="N32" s="139">
        <v>1711000</v>
      </c>
      <c r="P32" t="s">
        <v>329</v>
      </c>
    </row>
    <row r="33" spans="1:16">
      <c r="A33">
        <v>2044</v>
      </c>
      <c r="B33" s="139">
        <v>1600000</v>
      </c>
      <c r="C33" s="139">
        <v>10683000</v>
      </c>
      <c r="D33" s="139">
        <v>12283000</v>
      </c>
      <c r="F33" t="s">
        <v>329</v>
      </c>
      <c r="K33">
        <v>2044</v>
      </c>
      <c r="L33" s="139">
        <v>1611000</v>
      </c>
      <c r="M33" s="139">
        <v>13105000</v>
      </c>
      <c r="N33" s="139">
        <v>14716000</v>
      </c>
      <c r="P33" t="s">
        <v>329</v>
      </c>
    </row>
    <row r="34" spans="1:16">
      <c r="A34">
        <v>2045</v>
      </c>
      <c r="B34" s="139">
        <v>1600000</v>
      </c>
      <c r="C34" s="139">
        <v>100000</v>
      </c>
      <c r="D34" s="139">
        <v>1700000</v>
      </c>
      <c r="F34" t="s">
        <v>329</v>
      </c>
      <c r="K34">
        <v>2045</v>
      </c>
      <c r="L34" s="139">
        <v>1611000</v>
      </c>
      <c r="M34" s="139">
        <v>100000</v>
      </c>
      <c r="N34" s="139">
        <v>1711000</v>
      </c>
      <c r="P34" t="s">
        <v>329</v>
      </c>
    </row>
    <row r="35" spans="1:16">
      <c r="A35">
        <v>2046</v>
      </c>
      <c r="B35" s="139">
        <v>1600000</v>
      </c>
      <c r="C35" s="139">
        <v>100000</v>
      </c>
      <c r="D35" s="139">
        <v>1700000</v>
      </c>
      <c r="F35" t="s">
        <v>329</v>
      </c>
      <c r="K35">
        <v>2046</v>
      </c>
      <c r="L35" s="139">
        <v>1611000</v>
      </c>
      <c r="M35" s="139">
        <v>100000</v>
      </c>
      <c r="N35" s="139">
        <v>1711000</v>
      </c>
      <c r="P35" t="s">
        <v>329</v>
      </c>
    </row>
    <row r="36" spans="1:16">
      <c r="A36">
        <v>2047</v>
      </c>
      <c r="B36" s="139">
        <v>1600000</v>
      </c>
      <c r="C36" s="139">
        <v>100000</v>
      </c>
      <c r="D36" s="139">
        <v>1700000</v>
      </c>
      <c r="F36" t="s">
        <v>329</v>
      </c>
      <c r="K36">
        <v>2047</v>
      </c>
      <c r="L36" s="139">
        <v>1611000</v>
      </c>
      <c r="M36" s="139">
        <v>100000</v>
      </c>
      <c r="N36" s="139">
        <v>1711000</v>
      </c>
      <c r="P36" t="s">
        <v>329</v>
      </c>
    </row>
    <row r="37" spans="1:16">
      <c r="A37">
        <v>2048</v>
      </c>
      <c r="B37" s="139">
        <v>1600000</v>
      </c>
      <c r="C37" s="139">
        <v>100000</v>
      </c>
      <c r="D37" s="139">
        <v>1700000</v>
      </c>
      <c r="F37" t="s">
        <v>329</v>
      </c>
      <c r="K37">
        <v>2048</v>
      </c>
      <c r="L37" s="139">
        <v>1611000</v>
      </c>
      <c r="M37" s="139">
        <v>100000</v>
      </c>
      <c r="N37" s="139">
        <v>1711000</v>
      </c>
      <c r="P37" t="s">
        <v>329</v>
      </c>
    </row>
    <row r="38" spans="1:16">
      <c r="A38">
        <v>2049</v>
      </c>
      <c r="B38" s="139">
        <v>1600000</v>
      </c>
      <c r="C38" s="139">
        <v>100000</v>
      </c>
      <c r="D38" s="139">
        <v>1700000</v>
      </c>
      <c r="F38" t="s">
        <v>329</v>
      </c>
      <c r="K38">
        <v>2049</v>
      </c>
      <c r="L38" s="139">
        <v>1611000</v>
      </c>
      <c r="M38" s="139">
        <v>100000</v>
      </c>
      <c r="N38" s="139">
        <v>1711000</v>
      </c>
      <c r="P38" t="s">
        <v>329</v>
      </c>
    </row>
    <row r="39" spans="1:16">
      <c r="A39">
        <v>2050</v>
      </c>
      <c r="B39" s="139">
        <v>1600000</v>
      </c>
      <c r="C39" s="139">
        <v>1832000</v>
      </c>
      <c r="D39" s="139">
        <v>3432000</v>
      </c>
      <c r="F39" t="s">
        <v>329</v>
      </c>
      <c r="K39">
        <v>2050</v>
      </c>
      <c r="L39" s="139">
        <v>1611000</v>
      </c>
      <c r="M39" s="139">
        <v>1832000</v>
      </c>
      <c r="N39" s="139">
        <v>3443000</v>
      </c>
      <c r="P39" t="s">
        <v>329</v>
      </c>
    </row>
    <row r="40" spans="1:16">
      <c r="A40">
        <v>2051</v>
      </c>
      <c r="B40" s="139">
        <v>1600000</v>
      </c>
      <c r="C40" s="139">
        <v>100000</v>
      </c>
      <c r="D40" s="139">
        <v>1700000</v>
      </c>
      <c r="F40" t="s">
        <v>329</v>
      </c>
      <c r="K40">
        <v>2051</v>
      </c>
      <c r="L40" s="139">
        <v>1611000</v>
      </c>
      <c r="M40" s="139">
        <v>100000</v>
      </c>
      <c r="N40" s="139">
        <v>1711000</v>
      </c>
      <c r="P40" t="s">
        <v>329</v>
      </c>
    </row>
    <row r="41" spans="1:16">
      <c r="A41">
        <v>2052</v>
      </c>
      <c r="B41" s="139">
        <v>1600000</v>
      </c>
      <c r="C41" s="139">
        <v>100000</v>
      </c>
      <c r="D41" s="139">
        <v>1700000</v>
      </c>
      <c r="F41" t="s">
        <v>329</v>
      </c>
      <c r="K41">
        <v>2052</v>
      </c>
      <c r="L41" s="139">
        <v>1611000</v>
      </c>
      <c r="M41" s="139">
        <v>100000</v>
      </c>
      <c r="N41" s="139">
        <v>1711000</v>
      </c>
      <c r="P41" t="s">
        <v>329</v>
      </c>
    </row>
    <row r="42" spans="1:16">
      <c r="A42">
        <v>2053</v>
      </c>
      <c r="B42" s="139">
        <v>1600000</v>
      </c>
      <c r="C42" s="139">
        <v>100000</v>
      </c>
      <c r="D42" s="139">
        <v>1700000</v>
      </c>
      <c r="F42" t="s">
        <v>329</v>
      </c>
      <c r="K42">
        <v>2053</v>
      </c>
      <c r="L42" s="139">
        <v>1611000</v>
      </c>
      <c r="M42" s="139">
        <v>100000</v>
      </c>
      <c r="N42" s="139">
        <v>1711000</v>
      </c>
      <c r="P42" t="s">
        <v>329</v>
      </c>
    </row>
    <row r="43" spans="1:16">
      <c r="A43">
        <v>2054</v>
      </c>
      <c r="B43" s="139">
        <v>1600000</v>
      </c>
      <c r="C43" s="139">
        <v>100000</v>
      </c>
      <c r="D43" s="139">
        <v>1700000</v>
      </c>
      <c r="F43" t="s">
        <v>329</v>
      </c>
      <c r="K43">
        <v>2054</v>
      </c>
      <c r="L43" s="139">
        <v>1611000</v>
      </c>
      <c r="M43" s="139">
        <v>100000</v>
      </c>
      <c r="N43" s="139">
        <v>1711000</v>
      </c>
      <c r="P43" t="s">
        <v>329</v>
      </c>
    </row>
    <row r="44" spans="1:16">
      <c r="A44">
        <v>2055</v>
      </c>
      <c r="B44" s="139">
        <v>1600000</v>
      </c>
      <c r="C44" s="139">
        <v>100000</v>
      </c>
      <c r="D44" s="139">
        <v>1700000</v>
      </c>
      <c r="F44" t="s">
        <v>329</v>
      </c>
      <c r="K44">
        <v>2055</v>
      </c>
      <c r="L44" s="139">
        <v>1611000</v>
      </c>
      <c r="M44" s="139">
        <v>100000</v>
      </c>
      <c r="N44" s="139">
        <v>1711000</v>
      </c>
      <c r="P44" t="s">
        <v>329</v>
      </c>
    </row>
    <row r="45" spans="1:16">
      <c r="A45">
        <v>2056</v>
      </c>
      <c r="B45" s="139">
        <v>1600000</v>
      </c>
      <c r="C45" s="139">
        <v>8825000</v>
      </c>
      <c r="D45" s="139">
        <v>10425000</v>
      </c>
      <c r="F45" t="s">
        <v>329</v>
      </c>
      <c r="K45">
        <v>2056</v>
      </c>
      <c r="L45" s="139">
        <v>1611000</v>
      </c>
      <c r="M45" s="139">
        <v>9388000</v>
      </c>
      <c r="N45" s="139">
        <v>10999000</v>
      </c>
      <c r="P45" t="s">
        <v>329</v>
      </c>
    </row>
    <row r="46" spans="1:16">
      <c r="A46">
        <v>2057</v>
      </c>
      <c r="B46" s="139">
        <v>1600000</v>
      </c>
      <c r="C46" s="139">
        <v>100000</v>
      </c>
      <c r="D46" s="139">
        <v>1700000</v>
      </c>
      <c r="F46" t="s">
        <v>329</v>
      </c>
      <c r="K46">
        <v>2057</v>
      </c>
      <c r="L46" s="139">
        <v>1611000</v>
      </c>
      <c r="M46" s="139">
        <v>100000</v>
      </c>
      <c r="N46" s="139">
        <v>1711000</v>
      </c>
      <c r="P46" t="s">
        <v>329</v>
      </c>
    </row>
    <row r="47" spans="1:16">
      <c r="A47">
        <v>2058</v>
      </c>
      <c r="B47" s="139">
        <v>1600000</v>
      </c>
      <c r="C47" s="139">
        <v>100000</v>
      </c>
      <c r="D47" s="139">
        <v>1700000</v>
      </c>
      <c r="F47" t="s">
        <v>329</v>
      </c>
      <c r="K47">
        <v>2058</v>
      </c>
      <c r="L47" s="139">
        <v>1611000</v>
      </c>
      <c r="M47" s="139">
        <v>100000</v>
      </c>
      <c r="N47" s="139">
        <v>1711000</v>
      </c>
      <c r="P47" t="s">
        <v>329</v>
      </c>
    </row>
    <row r="48" spans="1:16">
      <c r="A48">
        <v>2059</v>
      </c>
      <c r="B48" s="139">
        <v>1600000</v>
      </c>
      <c r="C48" s="139">
        <v>100000</v>
      </c>
      <c r="D48" s="139">
        <v>1700000</v>
      </c>
      <c r="F48" t="s">
        <v>329</v>
      </c>
      <c r="K48">
        <v>2059</v>
      </c>
      <c r="L48" s="139">
        <v>1611000</v>
      </c>
      <c r="M48" s="139">
        <v>100000</v>
      </c>
      <c r="N48" s="139">
        <v>1711000</v>
      </c>
      <c r="P48" t="s">
        <v>329</v>
      </c>
    </row>
    <row r="51" spans="1:13">
      <c r="A51" t="s">
        <v>322</v>
      </c>
      <c r="B51" t="b">
        <v>1</v>
      </c>
      <c r="C51" t="b">
        <v>1</v>
      </c>
      <c r="K51" t="s">
        <v>322</v>
      </c>
      <c r="L51" t="b">
        <v>1</v>
      </c>
      <c r="M51" t="b">
        <v>1</v>
      </c>
    </row>
  </sheetData>
  <sheetProtection algorithmName="SHA-512" hashValue="+vHB6T3bhJ59UHCP+mN+kmHafE2DIRzMEXacDl6ex/v6kIlr4fCZhleggQk32HxlK7AwHzeCA2ywoUtQMmL4bQ==" saltValue="BDd/jGf1l2NuHPfTX158QQ=="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79998168889431442"/>
  </sheetPr>
  <dimension ref="A1:S51"/>
  <sheetViews>
    <sheetView workbookViewId="0">
      <selection activeCell="A2" sqref="A2"/>
    </sheetView>
  </sheetViews>
  <sheetFormatPr defaultRowHeight="15"/>
  <cols>
    <col min="2" max="2" width="11.7109375" bestFit="1" customWidth="1"/>
    <col min="3" max="3" width="14.28515625" bestFit="1" customWidth="1"/>
    <col min="4" max="4" width="10.42578125" bestFit="1" customWidth="1"/>
    <col min="6" max="6" width="7.28515625" bestFit="1" customWidth="1"/>
    <col min="7" max="9" width="11.42578125" bestFit="1" customWidth="1"/>
    <col min="11" max="11" width="8" customWidth="1"/>
    <col min="12" max="12" width="11.7109375" bestFit="1" customWidth="1"/>
    <col min="13" max="13" width="14.28515625" bestFit="1" customWidth="1"/>
    <col min="14" max="14" width="11.42578125" bestFit="1" customWidth="1"/>
    <col min="16" max="16" width="7.28515625" bestFit="1" customWidth="1"/>
    <col min="17" max="19" width="11.42578125" bestFit="1" customWidth="1"/>
  </cols>
  <sheetData>
    <row r="1" spans="1:19" s="145" customFormat="1">
      <c r="A1" s="145" t="s">
        <v>336</v>
      </c>
    </row>
    <row r="2" spans="1:19" s="145" customFormat="1">
      <c r="A2" s="206" t="s">
        <v>569</v>
      </c>
    </row>
    <row r="3" spans="1:19" s="145" customFormat="1">
      <c r="A3" s="145" t="s">
        <v>326</v>
      </c>
      <c r="K3" s="145" t="s">
        <v>327</v>
      </c>
    </row>
    <row r="5" spans="1:19">
      <c r="A5" s="145" t="s">
        <v>321</v>
      </c>
      <c r="B5" s="145"/>
      <c r="C5" s="145"/>
      <c r="D5" s="145"/>
      <c r="E5" s="145"/>
      <c r="F5" s="145"/>
      <c r="G5" s="145"/>
      <c r="H5" s="145"/>
      <c r="I5" s="145"/>
      <c r="K5" s="145" t="s">
        <v>321</v>
      </c>
      <c r="L5" s="145"/>
      <c r="M5" s="145"/>
      <c r="N5" s="145"/>
      <c r="O5" s="145"/>
      <c r="P5" s="145"/>
      <c r="Q5" s="145"/>
      <c r="R5" s="145"/>
      <c r="S5" s="145"/>
    </row>
    <row r="6" spans="1:19">
      <c r="A6" s="145"/>
      <c r="B6" s="145"/>
      <c r="C6" s="145"/>
      <c r="D6" s="145"/>
      <c r="E6" s="145"/>
      <c r="F6" s="145" t="s">
        <v>322</v>
      </c>
      <c r="G6" s="145"/>
      <c r="H6" s="145"/>
      <c r="I6" s="145"/>
      <c r="K6" s="145"/>
      <c r="L6" s="145"/>
      <c r="M6" s="145"/>
      <c r="N6" s="145"/>
      <c r="O6" s="145"/>
      <c r="P6" s="145" t="s">
        <v>322</v>
      </c>
      <c r="Q6" s="145"/>
      <c r="R6" s="145"/>
      <c r="S6" s="145"/>
    </row>
    <row r="7" spans="1:19">
      <c r="A7" s="145"/>
      <c r="B7" s="145"/>
      <c r="C7" s="145"/>
      <c r="D7" s="145"/>
      <c r="E7" s="145"/>
      <c r="F7" s="145"/>
      <c r="G7" s="145"/>
      <c r="H7" s="145"/>
      <c r="I7" s="145"/>
      <c r="K7" s="145"/>
      <c r="L7" s="145"/>
      <c r="M7" s="145"/>
      <c r="N7" s="145"/>
      <c r="O7" s="145"/>
      <c r="P7" s="145"/>
      <c r="Q7" s="145"/>
      <c r="R7" s="145"/>
      <c r="S7" s="145"/>
    </row>
    <row r="8" spans="1:19">
      <c r="A8" s="145" t="s">
        <v>323</v>
      </c>
      <c r="B8" s="145" t="s">
        <v>324</v>
      </c>
      <c r="C8" s="145" t="s">
        <v>325</v>
      </c>
      <c r="D8" s="145" t="s">
        <v>0</v>
      </c>
      <c r="E8" s="145"/>
      <c r="F8" s="145"/>
      <c r="G8" s="145"/>
      <c r="H8" s="145"/>
      <c r="I8" s="145"/>
      <c r="K8" s="145" t="s">
        <v>323</v>
      </c>
      <c r="L8" s="145" t="s">
        <v>324</v>
      </c>
      <c r="M8" s="145" t="s">
        <v>325</v>
      </c>
      <c r="N8" s="145" t="s">
        <v>0</v>
      </c>
      <c r="O8" s="145"/>
      <c r="P8" s="145"/>
      <c r="Q8" s="145"/>
      <c r="R8" s="145"/>
      <c r="S8" s="145"/>
    </row>
    <row r="9" spans="1:19">
      <c r="A9" s="145">
        <v>2020</v>
      </c>
      <c r="B9" s="139">
        <v>1046000</v>
      </c>
      <c r="C9" s="145" t="s">
        <v>328</v>
      </c>
      <c r="D9" s="139">
        <v>1046000</v>
      </c>
      <c r="E9" s="145"/>
      <c r="F9" s="145" t="s">
        <v>329</v>
      </c>
      <c r="G9" s="145"/>
      <c r="H9" s="145"/>
      <c r="I9" s="145"/>
      <c r="K9" s="145">
        <v>2020</v>
      </c>
      <c r="L9" s="139">
        <v>1053000</v>
      </c>
      <c r="M9" s="145" t="s">
        <v>328</v>
      </c>
      <c r="N9" s="139">
        <v>1053000</v>
      </c>
      <c r="O9" s="145"/>
      <c r="P9" s="145" t="s">
        <v>329</v>
      </c>
      <c r="Q9" s="145"/>
      <c r="R9" s="145"/>
      <c r="S9" s="145"/>
    </row>
    <row r="10" spans="1:19">
      <c r="A10" s="145">
        <v>2021</v>
      </c>
      <c r="B10" s="139">
        <v>1046000</v>
      </c>
      <c r="C10" s="139">
        <v>100000</v>
      </c>
      <c r="D10" s="139">
        <v>1146000</v>
      </c>
      <c r="E10" s="145"/>
      <c r="F10" s="145" t="s">
        <v>329</v>
      </c>
      <c r="G10" s="145"/>
      <c r="H10" s="145"/>
      <c r="I10" s="145"/>
      <c r="K10" s="145">
        <v>2021</v>
      </c>
      <c r="L10" s="139">
        <v>1053000</v>
      </c>
      <c r="M10" s="139">
        <v>100000</v>
      </c>
      <c r="N10" s="139">
        <v>1153000</v>
      </c>
      <c r="O10" s="145"/>
      <c r="P10" s="145" t="s">
        <v>329</v>
      </c>
      <c r="Q10" s="145"/>
      <c r="R10" s="145"/>
      <c r="S10" s="145"/>
    </row>
    <row r="11" spans="1:19">
      <c r="A11" s="145">
        <v>2022</v>
      </c>
      <c r="B11" s="139">
        <v>1046000</v>
      </c>
      <c r="C11" s="139">
        <v>100000</v>
      </c>
      <c r="D11" s="139">
        <v>1146000</v>
      </c>
      <c r="E11" s="145"/>
      <c r="F11" s="145" t="s">
        <v>329</v>
      </c>
      <c r="G11" s="145"/>
      <c r="H11" s="145"/>
      <c r="I11" s="145"/>
      <c r="K11" s="145">
        <v>2022</v>
      </c>
      <c r="L11" s="139">
        <v>1053000</v>
      </c>
      <c r="M11" s="139">
        <v>100000</v>
      </c>
      <c r="N11" s="139">
        <v>1153000</v>
      </c>
      <c r="O11" s="145"/>
      <c r="P11" s="145" t="s">
        <v>329</v>
      </c>
      <c r="Q11" s="145"/>
      <c r="R11" s="145"/>
      <c r="S11" s="145"/>
    </row>
    <row r="12" spans="1:19">
      <c r="A12" s="145">
        <v>2023</v>
      </c>
      <c r="B12" s="139">
        <v>1046000</v>
      </c>
      <c r="C12" s="139">
        <v>100000</v>
      </c>
      <c r="D12" s="139">
        <v>1146000</v>
      </c>
      <c r="E12" s="145"/>
      <c r="F12" s="145" t="s">
        <v>329</v>
      </c>
      <c r="G12" s="145"/>
      <c r="H12" s="145"/>
      <c r="I12" s="145"/>
      <c r="K12" s="145">
        <v>2023</v>
      </c>
      <c r="L12" s="139">
        <v>1053000</v>
      </c>
      <c r="M12" s="139">
        <v>100000</v>
      </c>
      <c r="N12" s="139">
        <v>1153000</v>
      </c>
      <c r="O12" s="145"/>
      <c r="P12" s="145" t="s">
        <v>329</v>
      </c>
      <c r="Q12" s="145"/>
      <c r="R12" s="145"/>
      <c r="S12" s="145"/>
    </row>
    <row r="13" spans="1:19">
      <c r="A13" s="145">
        <v>2024</v>
      </c>
      <c r="B13" s="139">
        <v>1046000</v>
      </c>
      <c r="C13" s="139">
        <v>100000</v>
      </c>
      <c r="D13" s="139">
        <v>1146000</v>
      </c>
      <c r="E13" s="145"/>
      <c r="F13" s="145" t="s">
        <v>329</v>
      </c>
      <c r="G13" s="145"/>
      <c r="H13" s="145"/>
      <c r="I13" s="145"/>
      <c r="K13" s="145">
        <v>2024</v>
      </c>
      <c r="L13" s="139">
        <v>1053000</v>
      </c>
      <c r="M13" s="139">
        <v>100000</v>
      </c>
      <c r="N13" s="139">
        <v>1153000</v>
      </c>
      <c r="O13" s="145"/>
      <c r="P13" s="145" t="s">
        <v>329</v>
      </c>
      <c r="Q13" s="145"/>
      <c r="R13" s="145"/>
      <c r="S13" s="145"/>
    </row>
    <row r="14" spans="1:19">
      <c r="A14" s="145">
        <v>2025</v>
      </c>
      <c r="B14" s="139">
        <v>1046000</v>
      </c>
      <c r="C14" s="139">
        <v>100000</v>
      </c>
      <c r="D14" s="139">
        <v>1146000</v>
      </c>
      <c r="E14" s="145"/>
      <c r="F14" s="145" t="s">
        <v>329</v>
      </c>
      <c r="G14" s="145"/>
      <c r="H14" s="145"/>
      <c r="I14" s="145"/>
      <c r="K14" s="145">
        <v>2025</v>
      </c>
      <c r="L14" s="139">
        <v>1053000</v>
      </c>
      <c r="M14" s="139">
        <v>100000</v>
      </c>
      <c r="N14" s="139">
        <v>1153000</v>
      </c>
      <c r="O14" s="145"/>
      <c r="P14" s="145" t="s">
        <v>329</v>
      </c>
      <c r="Q14" s="145"/>
      <c r="R14" s="145"/>
      <c r="S14" s="145"/>
    </row>
    <row r="15" spans="1:19">
      <c r="A15" s="145">
        <v>2026</v>
      </c>
      <c r="B15" s="139">
        <v>1046000</v>
      </c>
      <c r="C15" s="139">
        <v>590000</v>
      </c>
      <c r="D15" s="139">
        <v>1636000</v>
      </c>
      <c r="E15" s="145"/>
      <c r="F15" s="145" t="s">
        <v>329</v>
      </c>
      <c r="G15" s="145"/>
      <c r="H15" s="145"/>
      <c r="I15" s="145"/>
      <c r="K15" s="145">
        <v>2026</v>
      </c>
      <c r="L15" s="139">
        <v>1053000</v>
      </c>
      <c r="M15" s="139">
        <v>590000</v>
      </c>
      <c r="N15" s="139">
        <v>1643000</v>
      </c>
      <c r="O15" s="145"/>
      <c r="P15" s="145" t="s">
        <v>329</v>
      </c>
      <c r="Q15" s="145"/>
      <c r="R15" s="145"/>
      <c r="S15" s="145"/>
    </row>
    <row r="16" spans="1:19">
      <c r="A16" s="145">
        <v>2027</v>
      </c>
      <c r="B16" s="139">
        <v>1046000</v>
      </c>
      <c r="C16" s="139">
        <v>100000</v>
      </c>
      <c r="D16" s="139">
        <v>1146000</v>
      </c>
      <c r="E16" s="145"/>
      <c r="F16" s="145" t="s">
        <v>329</v>
      </c>
      <c r="G16" s="145"/>
      <c r="H16" s="145"/>
      <c r="I16" s="145"/>
      <c r="K16" s="145">
        <v>2027</v>
      </c>
      <c r="L16" s="139">
        <v>1053000</v>
      </c>
      <c r="M16" s="139">
        <v>100000</v>
      </c>
      <c r="N16" s="139">
        <v>1153000</v>
      </c>
      <c r="O16" s="145"/>
      <c r="P16" s="145" t="s">
        <v>329</v>
      </c>
      <c r="Q16" s="145"/>
      <c r="R16" s="145"/>
      <c r="S16" s="145"/>
    </row>
    <row r="17" spans="1:19">
      <c r="A17" s="145">
        <v>2028</v>
      </c>
      <c r="B17" s="139">
        <v>1046000</v>
      </c>
      <c r="C17" s="139">
        <v>100000</v>
      </c>
      <c r="D17" s="139">
        <v>1146000</v>
      </c>
      <c r="E17" s="145"/>
      <c r="F17" s="145" t="s">
        <v>329</v>
      </c>
      <c r="G17" s="145"/>
      <c r="H17" s="145"/>
      <c r="I17" s="145"/>
      <c r="K17" s="145">
        <v>2028</v>
      </c>
      <c r="L17" s="139">
        <v>1053000</v>
      </c>
      <c r="M17" s="139">
        <v>100000</v>
      </c>
      <c r="N17" s="139">
        <v>1153000</v>
      </c>
      <c r="O17" s="145"/>
      <c r="P17" s="145" t="s">
        <v>329</v>
      </c>
      <c r="Q17" s="145"/>
      <c r="R17" s="145"/>
      <c r="S17" s="145"/>
    </row>
    <row r="18" spans="1:19">
      <c r="A18" s="145">
        <v>2029</v>
      </c>
      <c r="B18" s="139">
        <v>1046000</v>
      </c>
      <c r="C18" s="139">
        <v>100000</v>
      </c>
      <c r="D18" s="139">
        <v>1146000</v>
      </c>
      <c r="E18" s="145"/>
      <c r="F18" s="145" t="s">
        <v>329</v>
      </c>
      <c r="G18" s="145"/>
      <c r="H18" s="145"/>
      <c r="I18" s="145"/>
      <c r="K18" s="145">
        <v>2029</v>
      </c>
      <c r="L18" s="139">
        <v>1053000</v>
      </c>
      <c r="M18" s="139">
        <v>100000</v>
      </c>
      <c r="N18" s="139">
        <v>1153000</v>
      </c>
      <c r="O18" s="145"/>
      <c r="P18" s="145" t="s">
        <v>329</v>
      </c>
      <c r="Q18" s="145"/>
      <c r="R18" s="145"/>
      <c r="S18" s="145"/>
    </row>
    <row r="19" spans="1:19">
      <c r="A19" s="145">
        <v>2030</v>
      </c>
      <c r="B19" s="139">
        <v>1046000</v>
      </c>
      <c r="C19" s="139">
        <v>594000</v>
      </c>
      <c r="D19" s="139">
        <v>1640000</v>
      </c>
      <c r="E19" s="145"/>
      <c r="F19" s="145" t="s">
        <v>329</v>
      </c>
      <c r="G19" s="145"/>
      <c r="H19" s="145"/>
      <c r="I19" s="145"/>
      <c r="K19" s="145">
        <v>2030</v>
      </c>
      <c r="L19" s="139">
        <v>1053000</v>
      </c>
      <c r="M19" s="139">
        <v>594000</v>
      </c>
      <c r="N19" s="139">
        <v>1647000</v>
      </c>
      <c r="O19" s="145"/>
      <c r="P19" s="145" t="s">
        <v>329</v>
      </c>
      <c r="Q19" s="145"/>
      <c r="R19" s="145"/>
      <c r="S19" s="145"/>
    </row>
    <row r="20" spans="1:19">
      <c r="A20" s="145">
        <v>2031</v>
      </c>
      <c r="B20" s="139">
        <v>1046000</v>
      </c>
      <c r="C20" s="139">
        <v>100000</v>
      </c>
      <c r="D20" s="139">
        <v>1146000</v>
      </c>
      <c r="E20" s="145"/>
      <c r="F20" s="145" t="s">
        <v>329</v>
      </c>
      <c r="G20" s="145"/>
      <c r="H20" s="145"/>
      <c r="I20" s="145"/>
      <c r="K20" s="145">
        <v>2031</v>
      </c>
      <c r="L20" s="139">
        <v>1053000</v>
      </c>
      <c r="M20" s="139">
        <v>100000</v>
      </c>
      <c r="N20" s="139">
        <v>1153000</v>
      </c>
      <c r="O20" s="145"/>
      <c r="P20" s="145" t="s">
        <v>329</v>
      </c>
      <c r="Q20" s="145"/>
      <c r="R20" s="145"/>
      <c r="S20" s="145"/>
    </row>
    <row r="21" spans="1:19">
      <c r="A21" s="145">
        <v>2032</v>
      </c>
      <c r="B21" s="139">
        <v>1046000</v>
      </c>
      <c r="C21" s="139">
        <v>7167000</v>
      </c>
      <c r="D21" s="139">
        <v>8213000</v>
      </c>
      <c r="E21" s="145"/>
      <c r="F21" s="145" t="s">
        <v>329</v>
      </c>
      <c r="G21" s="145"/>
      <c r="H21" s="145"/>
      <c r="I21" s="145"/>
      <c r="K21" s="145">
        <v>2032</v>
      </c>
      <c r="L21" s="139">
        <v>1053000</v>
      </c>
      <c r="M21" s="139">
        <v>7758000</v>
      </c>
      <c r="N21" s="139">
        <v>8811000</v>
      </c>
      <c r="O21" s="145"/>
      <c r="P21" s="145" t="s">
        <v>329</v>
      </c>
      <c r="Q21" s="145"/>
      <c r="R21" s="145"/>
      <c r="S21" s="145"/>
    </row>
    <row r="22" spans="1:19">
      <c r="A22" s="145">
        <v>2033</v>
      </c>
      <c r="B22" s="139">
        <v>1046000</v>
      </c>
      <c r="C22" s="139">
        <v>100000</v>
      </c>
      <c r="D22" s="139">
        <v>1146000</v>
      </c>
      <c r="E22" s="145"/>
      <c r="F22" s="145" t="s">
        <v>329</v>
      </c>
      <c r="G22" s="145"/>
      <c r="H22" s="145"/>
      <c r="I22" s="145"/>
      <c r="K22" s="145">
        <v>2033</v>
      </c>
      <c r="L22" s="139">
        <v>1053000</v>
      </c>
      <c r="M22" s="139">
        <v>100000</v>
      </c>
      <c r="N22" s="139">
        <v>1153000</v>
      </c>
      <c r="O22" s="145"/>
      <c r="P22" s="145" t="s">
        <v>329</v>
      </c>
      <c r="Q22" s="145"/>
      <c r="R22" s="145"/>
      <c r="S22" s="145"/>
    </row>
    <row r="23" spans="1:19">
      <c r="A23" s="145">
        <v>2034</v>
      </c>
      <c r="B23" s="139">
        <v>1046000</v>
      </c>
      <c r="C23" s="139">
        <v>100000</v>
      </c>
      <c r="D23" s="139">
        <v>1146000</v>
      </c>
      <c r="E23" s="145"/>
      <c r="F23" s="145" t="s">
        <v>329</v>
      </c>
      <c r="G23" s="145"/>
      <c r="H23" s="145"/>
      <c r="I23" s="145"/>
      <c r="K23" s="145">
        <v>2034</v>
      </c>
      <c r="L23" s="139">
        <v>1053000</v>
      </c>
      <c r="M23" s="139">
        <v>100000</v>
      </c>
      <c r="N23" s="139">
        <v>1153000</v>
      </c>
      <c r="O23" s="145"/>
      <c r="P23" s="145" t="s">
        <v>329</v>
      </c>
      <c r="Q23" s="145"/>
      <c r="R23" s="145"/>
      <c r="S23" s="145"/>
    </row>
    <row r="24" spans="1:19">
      <c r="A24" s="145">
        <v>2035</v>
      </c>
      <c r="B24" s="139">
        <v>1046000</v>
      </c>
      <c r="C24" s="139">
        <v>100000</v>
      </c>
      <c r="D24" s="139">
        <v>1146000</v>
      </c>
      <c r="E24" s="145"/>
      <c r="F24" s="145" t="s">
        <v>329</v>
      </c>
      <c r="G24" s="145"/>
      <c r="H24" s="145"/>
      <c r="I24" s="145"/>
      <c r="K24" s="145">
        <v>2035</v>
      </c>
      <c r="L24" s="139">
        <v>1053000</v>
      </c>
      <c r="M24" s="139">
        <v>100000</v>
      </c>
      <c r="N24" s="139">
        <v>1153000</v>
      </c>
      <c r="O24" s="145"/>
      <c r="P24" s="145" t="s">
        <v>329</v>
      </c>
      <c r="Q24" s="145"/>
      <c r="R24" s="145"/>
      <c r="S24" s="145"/>
    </row>
    <row r="25" spans="1:19">
      <c r="A25" s="145">
        <v>2036</v>
      </c>
      <c r="B25" s="139">
        <v>1046000</v>
      </c>
      <c r="C25" s="139">
        <v>100000</v>
      </c>
      <c r="D25" s="139">
        <v>1146000</v>
      </c>
      <c r="E25" s="145"/>
      <c r="F25" s="145" t="s">
        <v>329</v>
      </c>
      <c r="G25" s="145"/>
      <c r="H25" s="145"/>
      <c r="I25" s="145"/>
      <c r="K25" s="145">
        <v>2036</v>
      </c>
      <c r="L25" s="139">
        <v>1053000</v>
      </c>
      <c r="M25" s="139">
        <v>100000</v>
      </c>
      <c r="N25" s="139">
        <v>1153000</v>
      </c>
      <c r="O25" s="145"/>
      <c r="P25" s="145" t="s">
        <v>329</v>
      </c>
      <c r="Q25" s="145"/>
      <c r="R25" s="145"/>
      <c r="S25" s="145"/>
    </row>
    <row r="26" spans="1:19">
      <c r="A26" s="145">
        <v>2037</v>
      </c>
      <c r="B26" s="139">
        <v>1046000</v>
      </c>
      <c r="C26" s="139">
        <v>100000</v>
      </c>
      <c r="D26" s="139">
        <v>1146000</v>
      </c>
      <c r="E26" s="145"/>
      <c r="F26" s="145" t="s">
        <v>329</v>
      </c>
      <c r="G26" s="145"/>
      <c r="H26" s="145"/>
      <c r="I26" s="145"/>
      <c r="K26" s="145">
        <v>2037</v>
      </c>
      <c r="L26" s="139">
        <v>1053000</v>
      </c>
      <c r="M26" s="139">
        <v>100000</v>
      </c>
      <c r="N26" s="139">
        <v>1153000</v>
      </c>
      <c r="O26" s="145"/>
      <c r="P26" s="145" t="s">
        <v>329</v>
      </c>
      <c r="Q26" s="145"/>
      <c r="R26" s="145"/>
      <c r="S26" s="145"/>
    </row>
    <row r="27" spans="1:19">
      <c r="A27" s="145">
        <v>2038</v>
      </c>
      <c r="B27" s="139">
        <v>1046000</v>
      </c>
      <c r="C27" s="139">
        <v>590000</v>
      </c>
      <c r="D27" s="139">
        <v>1636000</v>
      </c>
      <c r="E27" s="145"/>
      <c r="F27" s="145" t="s">
        <v>329</v>
      </c>
      <c r="G27" s="145"/>
      <c r="H27" s="145"/>
      <c r="I27" s="145"/>
      <c r="K27" s="145">
        <v>2038</v>
      </c>
      <c r="L27" s="139">
        <v>1053000</v>
      </c>
      <c r="M27" s="139">
        <v>590000</v>
      </c>
      <c r="N27" s="139">
        <v>1643000</v>
      </c>
      <c r="O27" s="145"/>
      <c r="P27" s="145" t="s">
        <v>329</v>
      </c>
      <c r="Q27" s="145"/>
      <c r="R27" s="145"/>
      <c r="S27" s="145"/>
    </row>
    <row r="28" spans="1:19">
      <c r="A28" s="145">
        <v>2039</v>
      </c>
      <c r="B28" s="139">
        <v>1046000</v>
      </c>
      <c r="C28" s="139">
        <v>100000</v>
      </c>
      <c r="D28" s="139">
        <v>1146000</v>
      </c>
      <c r="E28" s="145"/>
      <c r="F28" s="145" t="s">
        <v>329</v>
      </c>
      <c r="G28" s="145"/>
      <c r="H28" s="145"/>
      <c r="I28" s="145"/>
      <c r="K28" s="145">
        <v>2039</v>
      </c>
      <c r="L28" s="139">
        <v>1053000</v>
      </c>
      <c r="M28" s="139">
        <v>100000</v>
      </c>
      <c r="N28" s="139">
        <v>1153000</v>
      </c>
      <c r="O28" s="145"/>
      <c r="P28" s="145" t="s">
        <v>329</v>
      </c>
      <c r="Q28" s="145"/>
      <c r="R28" s="145"/>
      <c r="S28" s="145"/>
    </row>
    <row r="29" spans="1:19">
      <c r="A29" s="145">
        <v>2040</v>
      </c>
      <c r="B29" s="139">
        <v>1046000</v>
      </c>
      <c r="C29" s="139">
        <v>594000</v>
      </c>
      <c r="D29" s="139">
        <v>1640000</v>
      </c>
      <c r="E29" s="145"/>
      <c r="F29" s="145" t="s">
        <v>329</v>
      </c>
      <c r="G29" s="139">
        <v>21966000</v>
      </c>
      <c r="H29" s="139">
        <v>11035000</v>
      </c>
      <c r="I29" s="139">
        <v>33001000</v>
      </c>
      <c r="K29" s="145">
        <v>2040</v>
      </c>
      <c r="L29" s="139">
        <v>1053000</v>
      </c>
      <c r="M29" s="139">
        <v>594000</v>
      </c>
      <c r="N29" s="139">
        <v>1647000</v>
      </c>
      <c r="O29" s="145"/>
      <c r="P29" s="145" t="s">
        <v>329</v>
      </c>
      <c r="Q29" s="139">
        <v>22113000</v>
      </c>
      <c r="R29" s="139">
        <v>11626000</v>
      </c>
      <c r="S29" s="139">
        <v>33739000</v>
      </c>
    </row>
    <row r="30" spans="1:19">
      <c r="A30" s="145">
        <v>2041</v>
      </c>
      <c r="B30" s="139">
        <v>1046000</v>
      </c>
      <c r="C30" s="139">
        <v>100000</v>
      </c>
      <c r="D30" s="139">
        <v>1146000</v>
      </c>
      <c r="E30" s="145"/>
      <c r="F30" s="145" t="s">
        <v>329</v>
      </c>
      <c r="G30" s="145"/>
      <c r="H30" s="145"/>
      <c r="I30" s="145"/>
      <c r="K30" s="145">
        <v>2041</v>
      </c>
      <c r="L30" s="139">
        <v>1053000</v>
      </c>
      <c r="M30" s="139">
        <v>100000</v>
      </c>
      <c r="N30" s="139">
        <v>1153000</v>
      </c>
      <c r="O30" s="145"/>
      <c r="P30" s="145" t="s">
        <v>329</v>
      </c>
      <c r="Q30" s="145"/>
      <c r="R30" s="145"/>
      <c r="S30" s="145"/>
    </row>
    <row r="31" spans="1:19">
      <c r="A31" s="145">
        <v>2042</v>
      </c>
      <c r="B31" s="139">
        <v>1046000</v>
      </c>
      <c r="C31" s="139">
        <v>100000</v>
      </c>
      <c r="D31" s="139">
        <v>1146000</v>
      </c>
      <c r="E31" s="145"/>
      <c r="F31" s="145" t="s">
        <v>329</v>
      </c>
      <c r="G31" s="145"/>
      <c r="H31" s="145"/>
      <c r="I31" s="145"/>
      <c r="K31" s="145">
        <v>2042</v>
      </c>
      <c r="L31" s="139">
        <v>1053000</v>
      </c>
      <c r="M31" s="139">
        <v>100000</v>
      </c>
      <c r="N31" s="139">
        <v>1153000</v>
      </c>
      <c r="O31" s="145"/>
      <c r="P31" s="145" t="s">
        <v>329</v>
      </c>
      <c r="Q31" s="145"/>
      <c r="R31" s="145"/>
      <c r="S31" s="145"/>
    </row>
    <row r="32" spans="1:19">
      <c r="A32" s="145">
        <v>2043</v>
      </c>
      <c r="B32" s="139">
        <v>1046000</v>
      </c>
      <c r="C32" s="139">
        <v>100000</v>
      </c>
      <c r="D32" s="139">
        <v>1146000</v>
      </c>
      <c r="E32" s="145"/>
      <c r="F32" s="145" t="s">
        <v>329</v>
      </c>
      <c r="G32" s="145"/>
      <c r="H32" s="145"/>
      <c r="I32" s="145"/>
      <c r="K32" s="145">
        <v>2043</v>
      </c>
      <c r="L32" s="139">
        <v>1053000</v>
      </c>
      <c r="M32" s="139">
        <v>100000</v>
      </c>
      <c r="N32" s="139">
        <v>1153000</v>
      </c>
      <c r="O32" s="145"/>
      <c r="P32" s="145" t="s">
        <v>329</v>
      </c>
      <c r="Q32" s="145"/>
      <c r="R32" s="145"/>
      <c r="S32" s="145"/>
    </row>
    <row r="33" spans="1:19">
      <c r="A33" s="145">
        <v>2044</v>
      </c>
      <c r="B33" s="139">
        <v>1046000</v>
      </c>
      <c r="C33" s="139">
        <v>8476000</v>
      </c>
      <c r="D33" s="139">
        <v>9522000</v>
      </c>
      <c r="E33" s="145"/>
      <c r="F33" s="145" t="s">
        <v>329</v>
      </c>
      <c r="G33" s="145"/>
      <c r="H33" s="145"/>
      <c r="I33" s="145"/>
      <c r="K33" s="145">
        <v>2044</v>
      </c>
      <c r="L33" s="139">
        <v>1053000</v>
      </c>
      <c r="M33" s="139">
        <v>10049000</v>
      </c>
      <c r="N33" s="139">
        <v>11102000</v>
      </c>
      <c r="O33" s="145"/>
      <c r="P33" s="145" t="s">
        <v>329</v>
      </c>
      <c r="Q33" s="145"/>
      <c r="R33" s="145"/>
      <c r="S33" s="145"/>
    </row>
    <row r="34" spans="1:19">
      <c r="A34" s="145">
        <v>2045</v>
      </c>
      <c r="B34" s="139">
        <v>1046000</v>
      </c>
      <c r="C34" s="139">
        <v>100000</v>
      </c>
      <c r="D34" s="139">
        <v>1146000</v>
      </c>
      <c r="E34" s="145"/>
      <c r="F34" s="145" t="s">
        <v>329</v>
      </c>
      <c r="G34" s="145"/>
      <c r="H34" s="145"/>
      <c r="I34" s="145"/>
      <c r="K34" s="145">
        <v>2045</v>
      </c>
      <c r="L34" s="139">
        <v>1053000</v>
      </c>
      <c r="M34" s="139">
        <v>100000</v>
      </c>
      <c r="N34" s="139">
        <v>1153000</v>
      </c>
      <c r="O34" s="145"/>
      <c r="P34" s="145" t="s">
        <v>329</v>
      </c>
      <c r="Q34" s="145"/>
      <c r="R34" s="145"/>
      <c r="S34" s="145"/>
    </row>
    <row r="35" spans="1:19">
      <c r="A35" s="145">
        <v>2046</v>
      </c>
      <c r="B35" s="139">
        <v>1046000</v>
      </c>
      <c r="C35" s="139">
        <v>100000</v>
      </c>
      <c r="D35" s="139">
        <v>1146000</v>
      </c>
      <c r="E35" s="145"/>
      <c r="F35" s="145" t="s">
        <v>329</v>
      </c>
      <c r="G35" s="145"/>
      <c r="H35" s="145"/>
      <c r="I35" s="145"/>
      <c r="K35" s="145">
        <v>2046</v>
      </c>
      <c r="L35" s="139">
        <v>1053000</v>
      </c>
      <c r="M35" s="139">
        <v>100000</v>
      </c>
      <c r="N35" s="139">
        <v>1153000</v>
      </c>
      <c r="O35" s="145"/>
      <c r="P35" s="145" t="s">
        <v>329</v>
      </c>
      <c r="Q35" s="145"/>
      <c r="R35" s="145"/>
      <c r="S35" s="145"/>
    </row>
    <row r="36" spans="1:19">
      <c r="A36" s="145">
        <v>2047</v>
      </c>
      <c r="B36" s="139">
        <v>1046000</v>
      </c>
      <c r="C36" s="139">
        <v>100000</v>
      </c>
      <c r="D36" s="139">
        <v>1146000</v>
      </c>
      <c r="E36" s="145"/>
      <c r="F36" s="145" t="s">
        <v>329</v>
      </c>
      <c r="G36" s="145"/>
      <c r="H36" s="145"/>
      <c r="I36" s="145"/>
      <c r="K36" s="145">
        <v>2047</v>
      </c>
      <c r="L36" s="139">
        <v>1053000</v>
      </c>
      <c r="M36" s="139">
        <v>100000</v>
      </c>
      <c r="N36" s="139">
        <v>1153000</v>
      </c>
      <c r="O36" s="145"/>
      <c r="P36" s="145" t="s">
        <v>329</v>
      </c>
      <c r="Q36" s="145"/>
      <c r="R36" s="145"/>
      <c r="S36" s="145"/>
    </row>
    <row r="37" spans="1:19">
      <c r="A37" s="145">
        <v>2048</v>
      </c>
      <c r="B37" s="139">
        <v>1046000</v>
      </c>
      <c r="C37" s="139">
        <v>100000</v>
      </c>
      <c r="D37" s="139">
        <v>1146000</v>
      </c>
      <c r="E37" s="145"/>
      <c r="F37" s="145" t="s">
        <v>329</v>
      </c>
      <c r="G37" s="145"/>
      <c r="H37" s="145"/>
      <c r="I37" s="145"/>
      <c r="K37" s="145">
        <v>2048</v>
      </c>
      <c r="L37" s="139">
        <v>1053000</v>
      </c>
      <c r="M37" s="139">
        <v>100000</v>
      </c>
      <c r="N37" s="139">
        <v>1153000</v>
      </c>
      <c r="O37" s="145"/>
      <c r="P37" s="145" t="s">
        <v>329</v>
      </c>
      <c r="Q37" s="145"/>
      <c r="R37" s="145"/>
      <c r="S37" s="145"/>
    </row>
    <row r="38" spans="1:19">
      <c r="A38" s="145">
        <v>2049</v>
      </c>
      <c r="B38" s="139">
        <v>1046000</v>
      </c>
      <c r="C38" s="139">
        <v>100000</v>
      </c>
      <c r="D38" s="139">
        <v>1146000</v>
      </c>
      <c r="E38" s="145"/>
      <c r="F38" s="145" t="s">
        <v>329</v>
      </c>
      <c r="G38" s="145"/>
      <c r="H38" s="145"/>
      <c r="I38" s="145"/>
      <c r="K38" s="145">
        <v>2049</v>
      </c>
      <c r="L38" s="139">
        <v>1053000</v>
      </c>
      <c r="M38" s="139">
        <v>100000</v>
      </c>
      <c r="N38" s="139">
        <v>1153000</v>
      </c>
      <c r="O38" s="145"/>
      <c r="P38" s="145" t="s">
        <v>329</v>
      </c>
      <c r="Q38" s="145"/>
      <c r="R38" s="145"/>
      <c r="S38" s="145"/>
    </row>
    <row r="39" spans="1:19">
      <c r="A39" s="145">
        <v>2050</v>
      </c>
      <c r="B39" s="139">
        <v>1046000</v>
      </c>
      <c r="C39" s="139">
        <v>1768000</v>
      </c>
      <c r="D39" s="139">
        <v>2814000</v>
      </c>
      <c r="E39" s="145"/>
      <c r="F39" s="145" t="s">
        <v>329</v>
      </c>
      <c r="G39" s="145"/>
      <c r="H39" s="145"/>
      <c r="I39" s="145"/>
      <c r="K39" s="145">
        <v>2050</v>
      </c>
      <c r="L39" s="139">
        <v>1053000</v>
      </c>
      <c r="M39" s="139">
        <v>1777000</v>
      </c>
      <c r="N39" s="139">
        <v>2830000</v>
      </c>
      <c r="O39" s="145"/>
      <c r="P39" s="145" t="s">
        <v>329</v>
      </c>
      <c r="Q39" s="145"/>
      <c r="R39" s="145"/>
      <c r="S39" s="145"/>
    </row>
    <row r="40" spans="1:19">
      <c r="A40" s="145">
        <v>2051</v>
      </c>
      <c r="B40" s="139">
        <v>1046000</v>
      </c>
      <c r="C40" s="139">
        <v>100000</v>
      </c>
      <c r="D40" s="139">
        <v>1146000</v>
      </c>
      <c r="E40" s="145"/>
      <c r="F40" s="145" t="s">
        <v>329</v>
      </c>
      <c r="G40" s="145"/>
      <c r="H40" s="145"/>
      <c r="I40" s="145"/>
      <c r="K40" s="145">
        <v>2051</v>
      </c>
      <c r="L40" s="139">
        <v>1053000</v>
      </c>
      <c r="M40" s="139">
        <v>100000</v>
      </c>
      <c r="N40" s="139">
        <v>1153000</v>
      </c>
      <c r="O40" s="145"/>
      <c r="P40" s="145" t="s">
        <v>329</v>
      </c>
      <c r="Q40" s="145"/>
      <c r="R40" s="145"/>
      <c r="S40" s="145"/>
    </row>
    <row r="41" spans="1:19">
      <c r="A41" s="145">
        <v>2052</v>
      </c>
      <c r="B41" s="139">
        <v>1046000</v>
      </c>
      <c r="C41" s="139">
        <v>100000</v>
      </c>
      <c r="D41" s="139">
        <v>1146000</v>
      </c>
      <c r="E41" s="145"/>
      <c r="F41" s="145" t="s">
        <v>329</v>
      </c>
      <c r="G41" s="145"/>
      <c r="H41" s="145"/>
      <c r="I41" s="145"/>
      <c r="K41" s="145">
        <v>2052</v>
      </c>
      <c r="L41" s="139">
        <v>1053000</v>
      </c>
      <c r="M41" s="139">
        <v>100000</v>
      </c>
      <c r="N41" s="139">
        <v>1153000</v>
      </c>
      <c r="O41" s="145"/>
      <c r="P41" s="145" t="s">
        <v>329</v>
      </c>
      <c r="Q41" s="145"/>
      <c r="R41" s="145"/>
      <c r="S41" s="145"/>
    </row>
    <row r="42" spans="1:19">
      <c r="A42" s="145">
        <v>2053</v>
      </c>
      <c r="B42" s="139">
        <v>1046000</v>
      </c>
      <c r="C42" s="139">
        <v>100000</v>
      </c>
      <c r="D42" s="139">
        <v>1146000</v>
      </c>
      <c r="E42" s="145"/>
      <c r="F42" s="145" t="s">
        <v>329</v>
      </c>
      <c r="G42" s="145"/>
      <c r="H42" s="145"/>
      <c r="I42" s="145"/>
      <c r="K42" s="145">
        <v>2053</v>
      </c>
      <c r="L42" s="139">
        <v>1053000</v>
      </c>
      <c r="M42" s="139">
        <v>100000</v>
      </c>
      <c r="N42" s="139">
        <v>1153000</v>
      </c>
      <c r="O42" s="145"/>
      <c r="P42" s="145" t="s">
        <v>329</v>
      </c>
      <c r="Q42" s="145"/>
      <c r="R42" s="145"/>
      <c r="S42" s="145"/>
    </row>
    <row r="43" spans="1:19">
      <c r="A43" s="145">
        <v>2054</v>
      </c>
      <c r="B43" s="139">
        <v>1046000</v>
      </c>
      <c r="C43" s="139">
        <v>100000</v>
      </c>
      <c r="D43" s="139">
        <v>1146000</v>
      </c>
      <c r="E43" s="145"/>
      <c r="F43" s="145" t="s">
        <v>329</v>
      </c>
      <c r="G43" s="145"/>
      <c r="H43" s="145"/>
      <c r="I43" s="145"/>
      <c r="K43" s="145">
        <v>2054</v>
      </c>
      <c r="L43" s="139">
        <v>1053000</v>
      </c>
      <c r="M43" s="139">
        <v>100000</v>
      </c>
      <c r="N43" s="139">
        <v>1153000</v>
      </c>
      <c r="O43" s="145"/>
      <c r="P43" s="145" t="s">
        <v>329</v>
      </c>
      <c r="Q43" s="145"/>
      <c r="R43" s="145"/>
      <c r="S43" s="145"/>
    </row>
    <row r="44" spans="1:19">
      <c r="A44" s="145">
        <v>2055</v>
      </c>
      <c r="B44" s="139">
        <v>1046000</v>
      </c>
      <c r="C44" s="139">
        <v>100000</v>
      </c>
      <c r="D44" s="139">
        <v>1146000</v>
      </c>
      <c r="E44" s="145"/>
      <c r="F44" s="145" t="s">
        <v>329</v>
      </c>
      <c r="G44" s="145"/>
      <c r="H44" s="145"/>
      <c r="I44" s="145"/>
      <c r="K44" s="145">
        <v>2055</v>
      </c>
      <c r="L44" s="139">
        <v>1053000</v>
      </c>
      <c r="M44" s="139">
        <v>100000</v>
      </c>
      <c r="N44" s="139">
        <v>1153000</v>
      </c>
      <c r="O44" s="145"/>
      <c r="P44" s="145" t="s">
        <v>329</v>
      </c>
      <c r="Q44" s="145"/>
      <c r="R44" s="145"/>
      <c r="S44" s="145"/>
    </row>
    <row r="45" spans="1:19">
      <c r="A45" s="145">
        <v>2056</v>
      </c>
      <c r="B45" s="139">
        <v>1046000</v>
      </c>
      <c r="C45" s="139">
        <v>7167000</v>
      </c>
      <c r="D45" s="139">
        <v>8213000</v>
      </c>
      <c r="E45" s="145"/>
      <c r="F45" s="145" t="s">
        <v>329</v>
      </c>
      <c r="G45" s="145"/>
      <c r="H45" s="145"/>
      <c r="I45" s="145"/>
      <c r="K45" s="145">
        <v>2056</v>
      </c>
      <c r="L45" s="139">
        <v>1053000</v>
      </c>
      <c r="M45" s="139">
        <v>7758000</v>
      </c>
      <c r="N45" s="139">
        <v>8811000</v>
      </c>
      <c r="O45" s="145"/>
      <c r="P45" s="145" t="s">
        <v>329</v>
      </c>
      <c r="Q45" s="145"/>
      <c r="R45" s="145"/>
      <c r="S45" s="145"/>
    </row>
    <row r="46" spans="1:19">
      <c r="A46" s="145">
        <v>2057</v>
      </c>
      <c r="B46" s="139">
        <v>1046000</v>
      </c>
      <c r="C46" s="139">
        <v>100000</v>
      </c>
      <c r="D46" s="139">
        <v>1146000</v>
      </c>
      <c r="E46" s="145"/>
      <c r="F46" s="145" t="s">
        <v>329</v>
      </c>
      <c r="G46" s="145"/>
      <c r="H46" s="145"/>
      <c r="I46" s="145"/>
      <c r="K46" s="145">
        <v>2057</v>
      </c>
      <c r="L46" s="139">
        <v>1053000</v>
      </c>
      <c r="M46" s="139">
        <v>100000</v>
      </c>
      <c r="N46" s="139">
        <v>1153000</v>
      </c>
      <c r="O46" s="145"/>
      <c r="P46" s="145" t="s">
        <v>329</v>
      </c>
      <c r="Q46" s="145"/>
      <c r="R46" s="145"/>
      <c r="S46" s="145"/>
    </row>
    <row r="47" spans="1:19">
      <c r="A47" s="145">
        <v>2058</v>
      </c>
      <c r="B47" s="139">
        <v>1046000</v>
      </c>
      <c r="C47" s="139">
        <v>100000</v>
      </c>
      <c r="D47" s="139">
        <v>1146000</v>
      </c>
      <c r="E47" s="145"/>
      <c r="F47" s="145" t="s">
        <v>329</v>
      </c>
      <c r="G47" s="145"/>
      <c r="H47" s="145"/>
      <c r="I47" s="145"/>
      <c r="K47" s="145">
        <v>2058</v>
      </c>
      <c r="L47" s="139">
        <v>1053000</v>
      </c>
      <c r="M47" s="139">
        <v>100000</v>
      </c>
      <c r="N47" s="139">
        <v>1153000</v>
      </c>
      <c r="O47" s="145"/>
      <c r="P47" s="145" t="s">
        <v>329</v>
      </c>
      <c r="Q47" s="145"/>
      <c r="R47" s="145"/>
      <c r="S47" s="145"/>
    </row>
    <row r="48" spans="1:19">
      <c r="A48" s="145">
        <v>2059</v>
      </c>
      <c r="B48" s="139">
        <v>1046000</v>
      </c>
      <c r="C48" s="139">
        <v>100000</v>
      </c>
      <c r="D48" s="139">
        <v>1146000</v>
      </c>
      <c r="E48" s="145"/>
      <c r="F48" s="145" t="s">
        <v>329</v>
      </c>
      <c r="G48" s="145"/>
      <c r="H48" s="145"/>
      <c r="I48" s="145"/>
      <c r="K48" s="145">
        <v>2059</v>
      </c>
      <c r="L48" s="139">
        <v>1053000</v>
      </c>
      <c r="M48" s="139">
        <v>100000</v>
      </c>
      <c r="N48" s="139">
        <v>1153000</v>
      </c>
      <c r="O48" s="145"/>
      <c r="P48" s="145" t="s">
        <v>329</v>
      </c>
      <c r="Q48" s="145"/>
      <c r="R48" s="145"/>
      <c r="S48" s="145"/>
    </row>
    <row r="49" spans="1:19">
      <c r="A49" s="145"/>
      <c r="B49" s="145"/>
      <c r="C49" s="145"/>
      <c r="D49" s="145"/>
      <c r="E49" s="145"/>
      <c r="F49" s="145"/>
      <c r="G49" s="145"/>
      <c r="H49" s="145"/>
      <c r="I49" s="145"/>
      <c r="K49" s="145"/>
      <c r="L49" s="145"/>
      <c r="M49" s="145"/>
      <c r="N49" s="145"/>
      <c r="O49" s="145"/>
      <c r="P49" s="145"/>
      <c r="Q49" s="145"/>
      <c r="R49" s="145"/>
      <c r="S49" s="145"/>
    </row>
    <row r="50" spans="1:19">
      <c r="A50" s="145"/>
      <c r="B50" s="145"/>
      <c r="C50" s="145"/>
      <c r="D50" s="145"/>
      <c r="E50" s="145"/>
      <c r="F50" s="145"/>
      <c r="G50" s="145"/>
      <c r="H50" s="145"/>
      <c r="I50" s="145"/>
      <c r="K50" s="145"/>
      <c r="L50" s="145"/>
      <c r="M50" s="145"/>
      <c r="N50" s="145"/>
      <c r="O50" s="145"/>
      <c r="P50" s="145"/>
      <c r="Q50" s="145"/>
      <c r="R50" s="145"/>
      <c r="S50" s="145"/>
    </row>
    <row r="51" spans="1:19">
      <c r="A51" s="145" t="s">
        <v>322</v>
      </c>
      <c r="B51" s="145" t="b">
        <v>1</v>
      </c>
      <c r="C51" s="145" t="b">
        <v>1</v>
      </c>
      <c r="D51" s="145"/>
      <c r="E51" s="145"/>
      <c r="F51" s="145"/>
      <c r="G51" s="145"/>
      <c r="H51" s="145"/>
      <c r="I51" s="145"/>
      <c r="K51" s="145" t="s">
        <v>322</v>
      </c>
      <c r="L51" s="145" t="b">
        <v>1</v>
      </c>
      <c r="M51" s="145" t="b">
        <v>1</v>
      </c>
      <c r="N51" s="145"/>
      <c r="O51" s="145"/>
      <c r="P51" s="145"/>
      <c r="Q51" s="145"/>
      <c r="R51" s="145"/>
      <c r="S51" s="145"/>
    </row>
  </sheetData>
  <sheetProtection algorithmName="SHA-512" hashValue="yXjEaA8gc/ocG6uJ+sxQTa0QCsGYo7zEapT/RHH1OatQhOQWUEpPiXh9HOHZWayYlM6TJsYCGA4bDByQhSmO6w==" saltValue="kv3OcJkaPDB1q0mXBWgftQ=="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theme="5" tint="0.79998168889431442"/>
  </sheetPr>
  <dimension ref="A1:S52"/>
  <sheetViews>
    <sheetView workbookViewId="0">
      <selection activeCell="A2" sqref="A2"/>
    </sheetView>
  </sheetViews>
  <sheetFormatPr defaultColWidth="8.85546875" defaultRowHeight="15"/>
  <cols>
    <col min="1" max="1" width="8.85546875" style="140"/>
    <col min="2" max="2" width="11.7109375" style="140" bestFit="1" customWidth="1"/>
    <col min="3" max="3" width="14.28515625" style="140" bestFit="1" customWidth="1"/>
    <col min="4" max="4" width="11.42578125" style="140" bestFit="1" customWidth="1"/>
    <col min="5" max="5" width="8.85546875" style="140"/>
    <col min="6" max="6" width="7.28515625" style="140" bestFit="1" customWidth="1"/>
    <col min="7" max="9" width="11.42578125" style="140" bestFit="1" customWidth="1"/>
    <col min="10" max="11" width="8.85546875" style="140"/>
    <col min="12" max="12" width="11.7109375" style="140" bestFit="1" customWidth="1"/>
    <col min="13" max="13" width="14.28515625" style="140" bestFit="1" customWidth="1"/>
    <col min="14" max="14" width="11.42578125" style="140" bestFit="1" customWidth="1"/>
    <col min="15" max="16" width="8.85546875" style="140"/>
    <col min="17" max="19" width="11.42578125" style="140" bestFit="1" customWidth="1"/>
    <col min="20" max="16384" width="8.85546875" style="140"/>
  </cols>
  <sheetData>
    <row r="1" spans="1:19" s="145" customFormat="1">
      <c r="A1" s="145" t="s">
        <v>337</v>
      </c>
    </row>
    <row r="2" spans="1:19" s="145" customFormat="1">
      <c r="A2" s="206" t="s">
        <v>569</v>
      </c>
    </row>
    <row r="3" spans="1:19" s="145" customFormat="1">
      <c r="A3" s="145" t="s">
        <v>326</v>
      </c>
      <c r="K3" s="145" t="s">
        <v>327</v>
      </c>
    </row>
    <row r="5" spans="1:19">
      <c r="A5" s="147" t="s">
        <v>321</v>
      </c>
      <c r="B5" s="147"/>
      <c r="C5" s="147"/>
      <c r="D5" s="147"/>
      <c r="E5" s="147"/>
      <c r="F5" s="147"/>
      <c r="G5" s="147"/>
      <c r="H5" s="147"/>
      <c r="I5" s="147"/>
      <c r="K5" s="147" t="s">
        <v>321</v>
      </c>
      <c r="L5" s="147"/>
      <c r="M5" s="147"/>
      <c r="N5" s="147"/>
      <c r="O5" s="147"/>
      <c r="P5" s="147"/>
      <c r="Q5" s="147"/>
      <c r="R5" s="147"/>
      <c r="S5" s="147"/>
    </row>
    <row r="6" spans="1:19">
      <c r="A6" s="147"/>
      <c r="B6" s="147"/>
      <c r="C6" s="147"/>
      <c r="D6" s="147"/>
      <c r="E6" s="147"/>
      <c r="F6" s="147" t="s">
        <v>322</v>
      </c>
      <c r="G6" s="147"/>
      <c r="H6" s="147"/>
      <c r="I6" s="147"/>
      <c r="K6" s="147"/>
      <c r="L6" s="147"/>
      <c r="M6" s="147"/>
      <c r="N6" s="147"/>
      <c r="O6" s="147"/>
      <c r="P6" s="147" t="s">
        <v>322</v>
      </c>
      <c r="Q6" s="147"/>
      <c r="R6" s="147"/>
      <c r="S6" s="147"/>
    </row>
    <row r="7" spans="1:19">
      <c r="A7" s="147"/>
      <c r="B7" s="147"/>
      <c r="C7" s="147"/>
      <c r="D7" s="147"/>
      <c r="E7" s="147"/>
      <c r="F7" s="147"/>
      <c r="G7" s="147"/>
      <c r="H7" s="147"/>
      <c r="I7" s="147"/>
      <c r="K7" s="147"/>
      <c r="L7" s="147"/>
      <c r="M7" s="147"/>
      <c r="N7" s="147"/>
      <c r="O7" s="147"/>
      <c r="P7" s="147"/>
      <c r="Q7" s="147"/>
      <c r="R7" s="147"/>
      <c r="S7" s="147"/>
    </row>
    <row r="8" spans="1:19">
      <c r="A8" s="147" t="s">
        <v>323</v>
      </c>
      <c r="B8" s="147" t="s">
        <v>324</v>
      </c>
      <c r="C8" s="147" t="s">
        <v>325</v>
      </c>
      <c r="D8" s="147" t="s">
        <v>0</v>
      </c>
      <c r="E8" s="147"/>
      <c r="F8" s="147"/>
      <c r="G8" s="147"/>
      <c r="H8" s="147"/>
      <c r="I8" s="147"/>
      <c r="K8" s="147" t="s">
        <v>323</v>
      </c>
      <c r="L8" s="147" t="s">
        <v>324</v>
      </c>
      <c r="M8" s="147" t="s">
        <v>325</v>
      </c>
      <c r="N8" s="147" t="s">
        <v>0</v>
      </c>
      <c r="O8" s="147"/>
      <c r="P8" s="147"/>
      <c r="Q8" s="147"/>
      <c r="R8" s="147"/>
      <c r="S8" s="147"/>
    </row>
    <row r="9" spans="1:19">
      <c r="A9" s="147">
        <v>2020</v>
      </c>
      <c r="B9" s="139">
        <v>2771000</v>
      </c>
      <c r="C9" s="147" t="s">
        <v>328</v>
      </c>
      <c r="D9" s="139">
        <v>2771000</v>
      </c>
      <c r="E9" s="147"/>
      <c r="F9" s="147" t="s">
        <v>329</v>
      </c>
      <c r="G9" s="147"/>
      <c r="H9" s="147"/>
      <c r="I9" s="147"/>
      <c r="K9" s="147">
        <v>2020</v>
      </c>
      <c r="L9" s="139">
        <v>2777000</v>
      </c>
      <c r="M9" s="147" t="s">
        <v>328</v>
      </c>
      <c r="N9" s="139">
        <v>2777000</v>
      </c>
      <c r="O9" s="147"/>
      <c r="P9" s="147" t="s">
        <v>329</v>
      </c>
      <c r="Q9" s="147"/>
      <c r="R9" s="147"/>
      <c r="S9" s="147"/>
    </row>
    <row r="10" spans="1:19">
      <c r="A10" s="147">
        <v>2021</v>
      </c>
      <c r="B10" s="139">
        <v>2771000</v>
      </c>
      <c r="C10" s="139">
        <v>100000</v>
      </c>
      <c r="D10" s="139">
        <v>2871000</v>
      </c>
      <c r="E10" s="147"/>
      <c r="F10" s="147" t="s">
        <v>329</v>
      </c>
      <c r="G10" s="147"/>
      <c r="H10" s="147"/>
      <c r="I10" s="147"/>
      <c r="K10" s="147">
        <v>2021</v>
      </c>
      <c r="L10" s="139">
        <v>2777000</v>
      </c>
      <c r="M10" s="139">
        <v>100000</v>
      </c>
      <c r="N10" s="139">
        <v>2877000</v>
      </c>
      <c r="O10" s="147"/>
      <c r="P10" s="147" t="s">
        <v>329</v>
      </c>
      <c r="Q10" s="147"/>
      <c r="R10" s="147"/>
      <c r="S10" s="147"/>
    </row>
    <row r="11" spans="1:19">
      <c r="A11" s="147">
        <v>2022</v>
      </c>
      <c r="B11" s="139">
        <v>2771000</v>
      </c>
      <c r="C11" s="139">
        <v>100000</v>
      </c>
      <c r="D11" s="139">
        <v>2871000</v>
      </c>
      <c r="E11" s="147"/>
      <c r="F11" s="147" t="s">
        <v>329</v>
      </c>
      <c r="G11" s="147"/>
      <c r="H11" s="147"/>
      <c r="I11" s="147"/>
      <c r="K11" s="147">
        <v>2022</v>
      </c>
      <c r="L11" s="139">
        <v>2777000</v>
      </c>
      <c r="M11" s="139">
        <v>100000</v>
      </c>
      <c r="N11" s="139">
        <v>2877000</v>
      </c>
      <c r="O11" s="147"/>
      <c r="P11" s="147" t="s">
        <v>329</v>
      </c>
      <c r="Q11" s="147"/>
      <c r="R11" s="147"/>
      <c r="S11" s="147"/>
    </row>
    <row r="12" spans="1:19">
      <c r="A12" s="147">
        <v>2023</v>
      </c>
      <c r="B12" s="139">
        <v>2771000</v>
      </c>
      <c r="C12" s="139">
        <v>100000</v>
      </c>
      <c r="D12" s="139">
        <v>2871000</v>
      </c>
      <c r="E12" s="147"/>
      <c r="F12" s="147" t="s">
        <v>329</v>
      </c>
      <c r="G12" s="147"/>
      <c r="H12" s="147"/>
      <c r="I12" s="147"/>
      <c r="K12" s="147">
        <v>2023</v>
      </c>
      <c r="L12" s="139">
        <v>2777000</v>
      </c>
      <c r="M12" s="139">
        <v>100000</v>
      </c>
      <c r="N12" s="139">
        <v>2877000</v>
      </c>
      <c r="O12" s="147"/>
      <c r="P12" s="147" t="s">
        <v>329</v>
      </c>
      <c r="Q12" s="147"/>
      <c r="R12" s="147"/>
      <c r="S12" s="147"/>
    </row>
    <row r="13" spans="1:19">
      <c r="A13" s="147">
        <v>2024</v>
      </c>
      <c r="B13" s="139">
        <v>2771000</v>
      </c>
      <c r="C13" s="139">
        <v>100000</v>
      </c>
      <c r="D13" s="139">
        <v>2871000</v>
      </c>
      <c r="E13" s="147"/>
      <c r="F13" s="147" t="s">
        <v>329</v>
      </c>
      <c r="G13" s="147"/>
      <c r="H13" s="147"/>
      <c r="I13" s="147"/>
      <c r="K13" s="147">
        <v>2024</v>
      </c>
      <c r="L13" s="139">
        <v>2777000</v>
      </c>
      <c r="M13" s="139">
        <v>100000</v>
      </c>
      <c r="N13" s="139">
        <v>2877000</v>
      </c>
      <c r="O13" s="147"/>
      <c r="P13" s="147" t="s">
        <v>329</v>
      </c>
      <c r="Q13" s="147"/>
      <c r="R13" s="147"/>
      <c r="S13" s="147"/>
    </row>
    <row r="14" spans="1:19">
      <c r="A14" s="147">
        <v>2025</v>
      </c>
      <c r="B14" s="139">
        <v>2771000</v>
      </c>
      <c r="C14" s="139">
        <v>100000</v>
      </c>
      <c r="D14" s="139">
        <v>2871000</v>
      </c>
      <c r="E14" s="147"/>
      <c r="F14" s="147" t="s">
        <v>329</v>
      </c>
      <c r="G14" s="147"/>
      <c r="H14" s="147"/>
      <c r="I14" s="147"/>
      <c r="K14" s="147">
        <v>2025</v>
      </c>
      <c r="L14" s="139">
        <v>2777000</v>
      </c>
      <c r="M14" s="139">
        <v>100000</v>
      </c>
      <c r="N14" s="139">
        <v>2877000</v>
      </c>
      <c r="O14" s="147"/>
      <c r="P14" s="147" t="s">
        <v>329</v>
      </c>
      <c r="Q14" s="147"/>
      <c r="R14" s="147"/>
      <c r="S14" s="147"/>
    </row>
    <row r="15" spans="1:19">
      <c r="A15" s="147">
        <v>2026</v>
      </c>
      <c r="B15" s="139">
        <v>2771000</v>
      </c>
      <c r="C15" s="139">
        <v>1491000</v>
      </c>
      <c r="D15" s="139">
        <v>4262000</v>
      </c>
      <c r="E15" s="147"/>
      <c r="F15" s="147" t="s">
        <v>329</v>
      </c>
      <c r="G15" s="147"/>
      <c r="H15" s="147"/>
      <c r="I15" s="147"/>
      <c r="K15" s="147">
        <v>2026</v>
      </c>
      <c r="L15" s="139">
        <v>2777000</v>
      </c>
      <c r="M15" s="139">
        <v>1491000</v>
      </c>
      <c r="N15" s="139">
        <v>4268000</v>
      </c>
      <c r="O15" s="147"/>
      <c r="P15" s="147" t="s">
        <v>329</v>
      </c>
      <c r="Q15" s="147"/>
      <c r="R15" s="147"/>
      <c r="S15" s="147"/>
    </row>
    <row r="16" spans="1:19">
      <c r="A16" s="147">
        <v>2027</v>
      </c>
      <c r="B16" s="139">
        <v>2771000</v>
      </c>
      <c r="C16" s="139">
        <v>100000</v>
      </c>
      <c r="D16" s="139">
        <v>2871000</v>
      </c>
      <c r="E16" s="147"/>
      <c r="F16" s="147" t="s">
        <v>329</v>
      </c>
      <c r="G16" s="147"/>
      <c r="H16" s="147"/>
      <c r="I16" s="147"/>
      <c r="K16" s="147">
        <v>2027</v>
      </c>
      <c r="L16" s="139">
        <v>2777000</v>
      </c>
      <c r="M16" s="139">
        <v>100000</v>
      </c>
      <c r="N16" s="139">
        <v>2877000</v>
      </c>
      <c r="O16" s="147"/>
      <c r="P16" s="147" t="s">
        <v>329</v>
      </c>
      <c r="Q16" s="147"/>
      <c r="R16" s="147"/>
      <c r="S16" s="147"/>
    </row>
    <row r="17" spans="1:19">
      <c r="A17" s="147">
        <v>2028</v>
      </c>
      <c r="B17" s="139">
        <v>2771000</v>
      </c>
      <c r="C17" s="139">
        <v>100000</v>
      </c>
      <c r="D17" s="139">
        <v>2871000</v>
      </c>
      <c r="E17" s="147"/>
      <c r="F17" s="147" t="s">
        <v>329</v>
      </c>
      <c r="G17" s="147"/>
      <c r="H17" s="147"/>
      <c r="I17" s="147"/>
      <c r="K17" s="147">
        <v>2028</v>
      </c>
      <c r="L17" s="139">
        <v>2777000</v>
      </c>
      <c r="M17" s="139">
        <v>100000</v>
      </c>
      <c r="N17" s="139">
        <v>2877000</v>
      </c>
      <c r="O17" s="147"/>
      <c r="P17" s="147" t="s">
        <v>329</v>
      </c>
      <c r="Q17" s="147"/>
      <c r="R17" s="147"/>
      <c r="S17" s="147"/>
    </row>
    <row r="18" spans="1:19">
      <c r="A18" s="147">
        <v>2029</v>
      </c>
      <c r="B18" s="139">
        <v>2771000</v>
      </c>
      <c r="C18" s="139">
        <v>100000</v>
      </c>
      <c r="D18" s="139">
        <v>2871000</v>
      </c>
      <c r="E18" s="147"/>
      <c r="F18" s="147" t="s">
        <v>329</v>
      </c>
      <c r="G18" s="147"/>
      <c r="H18" s="147"/>
      <c r="I18" s="147"/>
      <c r="K18" s="147">
        <v>2029</v>
      </c>
      <c r="L18" s="139">
        <v>2777000</v>
      </c>
      <c r="M18" s="139">
        <v>100000</v>
      </c>
      <c r="N18" s="139">
        <v>2877000</v>
      </c>
      <c r="O18" s="147"/>
      <c r="P18" s="147" t="s">
        <v>329</v>
      </c>
      <c r="Q18" s="147"/>
      <c r="R18" s="147"/>
      <c r="S18" s="147"/>
    </row>
    <row r="19" spans="1:19">
      <c r="A19" s="147">
        <v>2030</v>
      </c>
      <c r="B19" s="139">
        <v>2771000</v>
      </c>
      <c r="C19" s="139">
        <v>496000</v>
      </c>
      <c r="D19" s="139">
        <v>3267000</v>
      </c>
      <c r="E19" s="147"/>
      <c r="F19" s="147" t="s">
        <v>329</v>
      </c>
      <c r="G19" s="147"/>
      <c r="H19" s="147"/>
      <c r="I19" s="147"/>
      <c r="K19" s="147">
        <v>2030</v>
      </c>
      <c r="L19" s="139">
        <v>2777000</v>
      </c>
      <c r="M19" s="139">
        <v>496000</v>
      </c>
      <c r="N19" s="139">
        <v>3273000</v>
      </c>
      <c r="O19" s="147"/>
      <c r="P19" s="147" t="s">
        <v>329</v>
      </c>
      <c r="Q19" s="147"/>
      <c r="R19" s="147"/>
      <c r="S19" s="147"/>
    </row>
    <row r="20" spans="1:19">
      <c r="A20" s="147">
        <v>2031</v>
      </c>
      <c r="B20" s="139">
        <v>2771000</v>
      </c>
      <c r="C20" s="139">
        <v>100000</v>
      </c>
      <c r="D20" s="139">
        <v>2871000</v>
      </c>
      <c r="E20" s="147"/>
      <c r="F20" s="147" t="s">
        <v>329</v>
      </c>
      <c r="G20" s="147"/>
      <c r="H20" s="147"/>
      <c r="I20" s="147"/>
      <c r="K20" s="147">
        <v>2031</v>
      </c>
      <c r="L20" s="139">
        <v>2777000</v>
      </c>
      <c r="M20" s="139">
        <v>100000</v>
      </c>
      <c r="N20" s="139">
        <v>2877000</v>
      </c>
      <c r="O20" s="147"/>
      <c r="P20" s="147" t="s">
        <v>329</v>
      </c>
      <c r="Q20" s="147"/>
      <c r="R20" s="147"/>
      <c r="S20" s="147"/>
    </row>
    <row r="21" spans="1:19">
      <c r="A21" s="147">
        <v>2032</v>
      </c>
      <c r="B21" s="139">
        <v>2771000</v>
      </c>
      <c r="C21" s="139">
        <v>17573000</v>
      </c>
      <c r="D21" s="139">
        <v>20344000</v>
      </c>
      <c r="E21" s="147"/>
      <c r="F21" s="147" t="s">
        <v>329</v>
      </c>
      <c r="G21" s="147"/>
      <c r="H21" s="147"/>
      <c r="I21" s="147"/>
      <c r="K21" s="147">
        <v>2032</v>
      </c>
      <c r="L21" s="139">
        <v>2777000</v>
      </c>
      <c r="M21" s="139">
        <v>18359000</v>
      </c>
      <c r="N21" s="139">
        <v>21136000</v>
      </c>
      <c r="O21" s="147"/>
      <c r="P21" s="147" t="s">
        <v>329</v>
      </c>
      <c r="Q21" s="147"/>
      <c r="R21" s="147"/>
      <c r="S21" s="147"/>
    </row>
    <row r="22" spans="1:19">
      <c r="A22" s="147">
        <v>2033</v>
      </c>
      <c r="B22" s="139">
        <v>2771000</v>
      </c>
      <c r="C22" s="139">
        <v>100000</v>
      </c>
      <c r="D22" s="139">
        <v>2871000</v>
      </c>
      <c r="E22" s="147"/>
      <c r="F22" s="147" t="s">
        <v>329</v>
      </c>
      <c r="G22" s="147"/>
      <c r="H22" s="147"/>
      <c r="I22" s="147"/>
      <c r="K22" s="147">
        <v>2033</v>
      </c>
      <c r="L22" s="139">
        <v>2777000</v>
      </c>
      <c r="M22" s="139">
        <v>100000</v>
      </c>
      <c r="N22" s="139">
        <v>2877000</v>
      </c>
      <c r="O22" s="147"/>
      <c r="P22" s="147" t="s">
        <v>329</v>
      </c>
      <c r="Q22" s="147"/>
      <c r="R22" s="147"/>
      <c r="S22" s="147"/>
    </row>
    <row r="23" spans="1:19">
      <c r="A23" s="147">
        <v>2034</v>
      </c>
      <c r="B23" s="139">
        <v>2771000</v>
      </c>
      <c r="C23" s="139">
        <v>100000</v>
      </c>
      <c r="D23" s="139">
        <v>2871000</v>
      </c>
      <c r="E23" s="147"/>
      <c r="F23" s="147" t="s">
        <v>329</v>
      </c>
      <c r="G23" s="147"/>
      <c r="H23" s="147"/>
      <c r="I23" s="147"/>
      <c r="K23" s="147">
        <v>2034</v>
      </c>
      <c r="L23" s="139">
        <v>2777000</v>
      </c>
      <c r="M23" s="139">
        <v>100000</v>
      </c>
      <c r="N23" s="139">
        <v>2877000</v>
      </c>
      <c r="O23" s="147"/>
      <c r="P23" s="147" t="s">
        <v>329</v>
      </c>
      <c r="Q23" s="147"/>
      <c r="R23" s="147"/>
      <c r="S23" s="147"/>
    </row>
    <row r="24" spans="1:19">
      <c r="A24" s="147">
        <v>2035</v>
      </c>
      <c r="B24" s="139">
        <v>2771000</v>
      </c>
      <c r="C24" s="139">
        <v>100000</v>
      </c>
      <c r="D24" s="139">
        <v>2871000</v>
      </c>
      <c r="E24" s="147"/>
      <c r="F24" s="147" t="s">
        <v>329</v>
      </c>
      <c r="G24" s="147"/>
      <c r="H24" s="147"/>
      <c r="I24" s="147"/>
      <c r="K24" s="147">
        <v>2035</v>
      </c>
      <c r="L24" s="139">
        <v>2777000</v>
      </c>
      <c r="M24" s="139">
        <v>100000</v>
      </c>
      <c r="N24" s="139">
        <v>2877000</v>
      </c>
      <c r="O24" s="147"/>
      <c r="P24" s="147" t="s">
        <v>329</v>
      </c>
      <c r="Q24" s="147"/>
      <c r="R24" s="147"/>
      <c r="S24" s="147"/>
    </row>
    <row r="25" spans="1:19">
      <c r="A25" s="147">
        <v>2036</v>
      </c>
      <c r="B25" s="139">
        <v>2771000</v>
      </c>
      <c r="C25" s="139">
        <v>100000</v>
      </c>
      <c r="D25" s="139">
        <v>2871000</v>
      </c>
      <c r="E25" s="147"/>
      <c r="F25" s="147" t="s">
        <v>329</v>
      </c>
      <c r="G25" s="147"/>
      <c r="H25" s="147"/>
      <c r="I25" s="147"/>
      <c r="K25" s="147">
        <v>2036</v>
      </c>
      <c r="L25" s="139">
        <v>2777000</v>
      </c>
      <c r="M25" s="139">
        <v>100000</v>
      </c>
      <c r="N25" s="139">
        <v>2877000</v>
      </c>
      <c r="O25" s="147"/>
      <c r="P25" s="147" t="s">
        <v>329</v>
      </c>
      <c r="Q25" s="147"/>
      <c r="R25" s="147"/>
      <c r="S25" s="147"/>
    </row>
    <row r="26" spans="1:19">
      <c r="A26" s="147">
        <v>2037</v>
      </c>
      <c r="B26" s="139">
        <v>2771000</v>
      </c>
      <c r="C26" s="139">
        <v>100000</v>
      </c>
      <c r="D26" s="139">
        <v>2871000</v>
      </c>
      <c r="E26" s="147"/>
      <c r="F26" s="147" t="s">
        <v>329</v>
      </c>
      <c r="G26" s="147"/>
      <c r="H26" s="147"/>
      <c r="I26" s="147"/>
      <c r="K26" s="147">
        <v>2037</v>
      </c>
      <c r="L26" s="139">
        <v>2777000</v>
      </c>
      <c r="M26" s="139">
        <v>100000</v>
      </c>
      <c r="N26" s="139">
        <v>2877000</v>
      </c>
      <c r="O26" s="147"/>
      <c r="P26" s="147" t="s">
        <v>329</v>
      </c>
      <c r="Q26" s="147"/>
      <c r="R26" s="147"/>
      <c r="S26" s="147"/>
    </row>
    <row r="27" spans="1:19">
      <c r="A27" s="147">
        <v>2038</v>
      </c>
      <c r="B27" s="139">
        <v>2771000</v>
      </c>
      <c r="C27" s="139">
        <v>1491000</v>
      </c>
      <c r="D27" s="139">
        <v>4262000</v>
      </c>
      <c r="E27" s="147"/>
      <c r="F27" s="147" t="s">
        <v>329</v>
      </c>
      <c r="G27" s="147"/>
      <c r="H27" s="147"/>
      <c r="I27" s="147"/>
      <c r="K27" s="147">
        <v>2038</v>
      </c>
      <c r="L27" s="139">
        <v>2777000</v>
      </c>
      <c r="M27" s="139">
        <v>1491000</v>
      </c>
      <c r="N27" s="139">
        <v>4268000</v>
      </c>
      <c r="O27" s="147"/>
      <c r="P27" s="147" t="s">
        <v>329</v>
      </c>
      <c r="Q27" s="147"/>
      <c r="R27" s="147"/>
      <c r="S27" s="147"/>
    </row>
    <row r="28" spans="1:19">
      <c r="A28" s="147">
        <v>2039</v>
      </c>
      <c r="B28" s="139">
        <v>2771000</v>
      </c>
      <c r="C28" s="139">
        <v>100000</v>
      </c>
      <c r="D28" s="139">
        <v>2871000</v>
      </c>
      <c r="E28" s="147"/>
      <c r="F28" s="147" t="s">
        <v>329</v>
      </c>
      <c r="G28" s="147"/>
      <c r="H28" s="147"/>
      <c r="I28" s="147"/>
      <c r="K28" s="147">
        <v>2039</v>
      </c>
      <c r="L28" s="139">
        <v>2777000</v>
      </c>
      <c r="M28" s="139">
        <v>100000</v>
      </c>
      <c r="N28" s="139">
        <v>2877000</v>
      </c>
      <c r="O28" s="147"/>
      <c r="P28" s="147" t="s">
        <v>329</v>
      </c>
      <c r="Q28" s="147"/>
      <c r="R28" s="147"/>
      <c r="S28" s="147"/>
    </row>
    <row r="29" spans="1:19">
      <c r="A29" s="147">
        <v>2040</v>
      </c>
      <c r="B29" s="139">
        <v>2771000</v>
      </c>
      <c r="C29" s="139">
        <v>496000</v>
      </c>
      <c r="D29" s="139">
        <v>3267000</v>
      </c>
      <c r="E29" s="147"/>
      <c r="F29" s="147" t="s">
        <v>329</v>
      </c>
      <c r="G29" s="139">
        <v>58191000</v>
      </c>
      <c r="H29" s="139">
        <v>23047000</v>
      </c>
      <c r="I29" s="139">
        <v>81238000</v>
      </c>
      <c r="K29" s="147">
        <v>2040</v>
      </c>
      <c r="L29" s="139">
        <v>2777000</v>
      </c>
      <c r="M29" s="139">
        <v>496000</v>
      </c>
      <c r="N29" s="139">
        <v>3273000</v>
      </c>
      <c r="O29" s="147"/>
      <c r="P29" s="147" t="s">
        <v>329</v>
      </c>
      <c r="Q29" s="139">
        <v>58317000</v>
      </c>
      <c r="R29" s="139">
        <v>23833000</v>
      </c>
      <c r="S29" s="139">
        <v>82150000</v>
      </c>
    </row>
    <row r="30" spans="1:19">
      <c r="A30" s="147">
        <v>2041</v>
      </c>
      <c r="B30" s="139">
        <v>2771000</v>
      </c>
      <c r="C30" s="139">
        <v>100000</v>
      </c>
      <c r="D30" s="139">
        <v>2871000</v>
      </c>
      <c r="E30" s="147"/>
      <c r="F30" s="147" t="s">
        <v>329</v>
      </c>
      <c r="G30" s="147"/>
      <c r="H30" s="147"/>
      <c r="I30" s="147"/>
      <c r="K30" s="147">
        <v>2041</v>
      </c>
      <c r="L30" s="139">
        <v>2777000</v>
      </c>
      <c r="M30" s="139">
        <v>100000</v>
      </c>
      <c r="N30" s="139">
        <v>2877000</v>
      </c>
      <c r="O30" s="147"/>
      <c r="P30" s="147" t="s">
        <v>329</v>
      </c>
      <c r="Q30" s="147"/>
      <c r="R30" s="147"/>
      <c r="S30" s="147"/>
    </row>
    <row r="31" spans="1:19">
      <c r="A31" s="147">
        <v>2042</v>
      </c>
      <c r="B31" s="139">
        <v>2771000</v>
      </c>
      <c r="C31" s="139">
        <v>100000</v>
      </c>
      <c r="D31" s="139">
        <v>2871000</v>
      </c>
      <c r="E31" s="147"/>
      <c r="F31" s="147" t="s">
        <v>329</v>
      </c>
      <c r="G31" s="147"/>
      <c r="H31" s="147"/>
      <c r="I31" s="147"/>
      <c r="K31" s="147">
        <v>2042</v>
      </c>
      <c r="L31" s="139">
        <v>2777000</v>
      </c>
      <c r="M31" s="139">
        <v>100000</v>
      </c>
      <c r="N31" s="139">
        <v>2877000</v>
      </c>
      <c r="O31" s="147"/>
      <c r="P31" s="147" t="s">
        <v>329</v>
      </c>
      <c r="Q31" s="147"/>
      <c r="R31" s="147"/>
      <c r="S31" s="147"/>
    </row>
    <row r="32" spans="1:19">
      <c r="A32" s="147">
        <v>2043</v>
      </c>
      <c r="B32" s="139">
        <v>2771000</v>
      </c>
      <c r="C32" s="139">
        <v>100000</v>
      </c>
      <c r="D32" s="139">
        <v>2871000</v>
      </c>
      <c r="E32" s="147"/>
      <c r="F32" s="147" t="s">
        <v>329</v>
      </c>
      <c r="G32" s="147"/>
      <c r="H32" s="147"/>
      <c r="I32" s="147"/>
      <c r="K32" s="147">
        <v>2043</v>
      </c>
      <c r="L32" s="139">
        <v>2777000</v>
      </c>
      <c r="M32" s="139">
        <v>100000</v>
      </c>
      <c r="N32" s="139">
        <v>2877000</v>
      </c>
      <c r="O32" s="147"/>
      <c r="P32" s="147" t="s">
        <v>329</v>
      </c>
      <c r="Q32" s="147"/>
      <c r="R32" s="147"/>
      <c r="S32" s="147"/>
    </row>
    <row r="33" spans="1:19">
      <c r="A33" s="147">
        <v>2044</v>
      </c>
      <c r="B33" s="139">
        <v>2771000</v>
      </c>
      <c r="C33" s="139">
        <v>23444000</v>
      </c>
      <c r="D33" s="139">
        <v>26215000</v>
      </c>
      <c r="E33" s="147"/>
      <c r="F33" s="147" t="s">
        <v>329</v>
      </c>
      <c r="G33" s="147"/>
      <c r="H33" s="147"/>
      <c r="I33" s="147"/>
      <c r="K33" s="147">
        <v>2044</v>
      </c>
      <c r="L33" s="139">
        <v>2777000</v>
      </c>
      <c r="M33" s="139">
        <v>24865000</v>
      </c>
      <c r="N33" s="139">
        <v>27642000</v>
      </c>
      <c r="O33" s="147"/>
      <c r="P33" s="147" t="s">
        <v>329</v>
      </c>
      <c r="Q33" s="147"/>
      <c r="R33" s="147"/>
      <c r="S33" s="147"/>
    </row>
    <row r="34" spans="1:19">
      <c r="A34" s="147">
        <v>2045</v>
      </c>
      <c r="B34" s="139">
        <v>2771000</v>
      </c>
      <c r="C34" s="139">
        <v>100000</v>
      </c>
      <c r="D34" s="139">
        <v>2871000</v>
      </c>
      <c r="E34" s="147"/>
      <c r="F34" s="147" t="s">
        <v>329</v>
      </c>
      <c r="G34" s="147"/>
      <c r="H34" s="147"/>
      <c r="I34" s="147"/>
      <c r="K34" s="147">
        <v>2045</v>
      </c>
      <c r="L34" s="139">
        <v>2777000</v>
      </c>
      <c r="M34" s="139">
        <v>100000</v>
      </c>
      <c r="N34" s="139">
        <v>2877000</v>
      </c>
      <c r="O34" s="147"/>
      <c r="P34" s="147" t="s">
        <v>329</v>
      </c>
      <c r="Q34" s="147"/>
      <c r="R34" s="147"/>
      <c r="S34" s="147"/>
    </row>
    <row r="35" spans="1:19">
      <c r="A35" s="147">
        <v>2046</v>
      </c>
      <c r="B35" s="139">
        <v>2771000</v>
      </c>
      <c r="C35" s="139">
        <v>100000</v>
      </c>
      <c r="D35" s="139">
        <v>2871000</v>
      </c>
      <c r="E35" s="147"/>
      <c r="F35" s="147" t="s">
        <v>329</v>
      </c>
      <c r="G35" s="147"/>
      <c r="H35" s="147"/>
      <c r="I35" s="147"/>
      <c r="K35" s="147">
        <v>2046</v>
      </c>
      <c r="L35" s="139">
        <v>2777000</v>
      </c>
      <c r="M35" s="139">
        <v>100000</v>
      </c>
      <c r="N35" s="139">
        <v>2877000</v>
      </c>
      <c r="O35" s="147"/>
      <c r="P35" s="147" t="s">
        <v>329</v>
      </c>
      <c r="Q35" s="147"/>
      <c r="R35" s="147"/>
      <c r="S35" s="147"/>
    </row>
    <row r="36" spans="1:19">
      <c r="A36" s="147">
        <v>2047</v>
      </c>
      <c r="B36" s="139">
        <v>2771000</v>
      </c>
      <c r="C36" s="139">
        <v>100000</v>
      </c>
      <c r="D36" s="139">
        <v>2871000</v>
      </c>
      <c r="E36" s="147"/>
      <c r="F36" s="147" t="s">
        <v>329</v>
      </c>
      <c r="G36" s="147"/>
      <c r="H36" s="147"/>
      <c r="I36" s="147"/>
      <c r="K36" s="147">
        <v>2047</v>
      </c>
      <c r="L36" s="139">
        <v>2777000</v>
      </c>
      <c r="M36" s="139">
        <v>100000</v>
      </c>
      <c r="N36" s="139">
        <v>2877000</v>
      </c>
      <c r="O36" s="147"/>
      <c r="P36" s="147" t="s">
        <v>329</v>
      </c>
      <c r="Q36" s="147"/>
      <c r="R36" s="147"/>
      <c r="S36" s="147"/>
    </row>
    <row r="37" spans="1:19">
      <c r="A37" s="147">
        <v>2048</v>
      </c>
      <c r="B37" s="139">
        <v>2771000</v>
      </c>
      <c r="C37" s="139">
        <v>100000</v>
      </c>
      <c r="D37" s="139">
        <v>2871000</v>
      </c>
      <c r="E37" s="147"/>
      <c r="F37" s="147" t="s">
        <v>329</v>
      </c>
      <c r="G37" s="147"/>
      <c r="H37" s="147"/>
      <c r="I37" s="147"/>
      <c r="K37" s="147">
        <v>2048</v>
      </c>
      <c r="L37" s="139">
        <v>2777000</v>
      </c>
      <c r="M37" s="139">
        <v>100000</v>
      </c>
      <c r="N37" s="139">
        <v>2877000</v>
      </c>
      <c r="O37" s="147"/>
      <c r="P37" s="147" t="s">
        <v>329</v>
      </c>
      <c r="Q37" s="147"/>
      <c r="R37" s="147"/>
      <c r="S37" s="147"/>
    </row>
    <row r="38" spans="1:19">
      <c r="A38" s="147">
        <v>2049</v>
      </c>
      <c r="B38" s="139">
        <v>2771000</v>
      </c>
      <c r="C38" s="139">
        <v>100000</v>
      </c>
      <c r="D38" s="139">
        <v>2871000</v>
      </c>
      <c r="E38" s="147"/>
      <c r="F38" s="147" t="s">
        <v>329</v>
      </c>
      <c r="G38" s="147"/>
      <c r="H38" s="147"/>
      <c r="I38" s="147"/>
      <c r="K38" s="147">
        <v>2049</v>
      </c>
      <c r="L38" s="139">
        <v>2777000</v>
      </c>
      <c r="M38" s="139">
        <v>100000</v>
      </c>
      <c r="N38" s="139">
        <v>2877000</v>
      </c>
      <c r="O38" s="147"/>
      <c r="P38" s="147" t="s">
        <v>329</v>
      </c>
      <c r="Q38" s="147"/>
      <c r="R38" s="147"/>
      <c r="S38" s="147"/>
    </row>
    <row r="39" spans="1:19">
      <c r="A39" s="147">
        <v>2050</v>
      </c>
      <c r="B39" s="139">
        <v>2771000</v>
      </c>
      <c r="C39" s="139">
        <v>3687000</v>
      </c>
      <c r="D39" s="139">
        <v>6458000</v>
      </c>
      <c r="E39" s="147"/>
      <c r="F39" s="147" t="s">
        <v>329</v>
      </c>
      <c r="G39" s="147"/>
      <c r="H39" s="147"/>
      <c r="I39" s="147"/>
      <c r="K39" s="147">
        <v>2050</v>
      </c>
      <c r="L39" s="139">
        <v>2777000</v>
      </c>
      <c r="M39" s="139">
        <v>3687000</v>
      </c>
      <c r="N39" s="139">
        <v>6464000</v>
      </c>
      <c r="O39" s="147"/>
      <c r="P39" s="147" t="s">
        <v>329</v>
      </c>
      <c r="Q39" s="147"/>
      <c r="R39" s="147"/>
      <c r="S39" s="147"/>
    </row>
    <row r="40" spans="1:19">
      <c r="A40" s="147">
        <v>2051</v>
      </c>
      <c r="B40" s="139">
        <v>2771000</v>
      </c>
      <c r="C40" s="139">
        <v>100000</v>
      </c>
      <c r="D40" s="139">
        <v>2871000</v>
      </c>
      <c r="E40" s="147"/>
      <c r="F40" s="147" t="s">
        <v>329</v>
      </c>
      <c r="G40" s="147"/>
      <c r="H40" s="147"/>
      <c r="I40" s="147"/>
      <c r="K40" s="147">
        <v>2051</v>
      </c>
      <c r="L40" s="139">
        <v>2777000</v>
      </c>
      <c r="M40" s="139">
        <v>100000</v>
      </c>
      <c r="N40" s="139">
        <v>2877000</v>
      </c>
      <c r="O40" s="147"/>
      <c r="P40" s="147" t="s">
        <v>329</v>
      </c>
      <c r="Q40" s="147"/>
      <c r="R40" s="147"/>
      <c r="S40" s="147"/>
    </row>
    <row r="41" spans="1:19">
      <c r="A41" s="147">
        <v>2052</v>
      </c>
      <c r="B41" s="139">
        <v>2771000</v>
      </c>
      <c r="C41" s="139">
        <v>100000</v>
      </c>
      <c r="D41" s="139">
        <v>2871000</v>
      </c>
      <c r="E41" s="147"/>
      <c r="F41" s="147" t="s">
        <v>329</v>
      </c>
      <c r="G41" s="147"/>
      <c r="H41" s="147"/>
      <c r="I41" s="147"/>
      <c r="K41" s="147">
        <v>2052</v>
      </c>
      <c r="L41" s="139">
        <v>2777000</v>
      </c>
      <c r="M41" s="139">
        <v>100000</v>
      </c>
      <c r="N41" s="139">
        <v>2877000</v>
      </c>
      <c r="O41" s="147"/>
      <c r="P41" s="147" t="s">
        <v>329</v>
      </c>
      <c r="Q41" s="147"/>
      <c r="R41" s="147"/>
      <c r="S41" s="147"/>
    </row>
    <row r="42" spans="1:19">
      <c r="A42" s="147">
        <v>2053</v>
      </c>
      <c r="B42" s="139">
        <v>2771000</v>
      </c>
      <c r="C42" s="139">
        <v>100000</v>
      </c>
      <c r="D42" s="139">
        <v>2871000</v>
      </c>
      <c r="E42" s="147"/>
      <c r="F42" s="147" t="s">
        <v>329</v>
      </c>
      <c r="G42" s="147"/>
      <c r="H42" s="147"/>
      <c r="I42" s="147"/>
      <c r="K42" s="147">
        <v>2053</v>
      </c>
      <c r="L42" s="139">
        <v>2777000</v>
      </c>
      <c r="M42" s="139">
        <v>100000</v>
      </c>
      <c r="N42" s="139">
        <v>2877000</v>
      </c>
      <c r="O42" s="147"/>
      <c r="P42" s="147" t="s">
        <v>329</v>
      </c>
      <c r="Q42" s="147"/>
      <c r="R42" s="147"/>
      <c r="S42" s="147"/>
    </row>
    <row r="43" spans="1:19">
      <c r="A43" s="147">
        <v>2054</v>
      </c>
      <c r="B43" s="139">
        <v>2771000</v>
      </c>
      <c r="C43" s="139">
        <v>100000</v>
      </c>
      <c r="D43" s="139">
        <v>2871000</v>
      </c>
      <c r="E43" s="147"/>
      <c r="F43" s="147" t="s">
        <v>329</v>
      </c>
      <c r="G43" s="147"/>
      <c r="H43" s="147"/>
      <c r="I43" s="147"/>
      <c r="K43" s="147">
        <v>2054</v>
      </c>
      <c r="L43" s="139">
        <v>2777000</v>
      </c>
      <c r="M43" s="139">
        <v>100000</v>
      </c>
      <c r="N43" s="139">
        <v>2877000</v>
      </c>
      <c r="O43" s="147"/>
      <c r="P43" s="147" t="s">
        <v>329</v>
      </c>
      <c r="Q43" s="147"/>
      <c r="R43" s="147"/>
      <c r="S43" s="147"/>
    </row>
    <row r="44" spans="1:19">
      <c r="A44" s="147">
        <v>2055</v>
      </c>
      <c r="B44" s="139">
        <v>2771000</v>
      </c>
      <c r="C44" s="139">
        <v>100000</v>
      </c>
      <c r="D44" s="139">
        <v>2871000</v>
      </c>
      <c r="E44" s="147"/>
      <c r="F44" s="147" t="s">
        <v>329</v>
      </c>
      <c r="G44" s="147"/>
      <c r="H44" s="147"/>
      <c r="I44" s="147"/>
      <c r="K44" s="147">
        <v>2055</v>
      </c>
      <c r="L44" s="139">
        <v>2777000</v>
      </c>
      <c r="M44" s="139">
        <v>100000</v>
      </c>
      <c r="N44" s="139">
        <v>2877000</v>
      </c>
      <c r="O44" s="147"/>
      <c r="P44" s="147" t="s">
        <v>329</v>
      </c>
      <c r="Q44" s="147"/>
      <c r="R44" s="147"/>
      <c r="S44" s="147"/>
    </row>
    <row r="45" spans="1:19">
      <c r="A45" s="147">
        <v>2056</v>
      </c>
      <c r="B45" s="139">
        <v>2771000</v>
      </c>
      <c r="C45" s="139">
        <v>17573000</v>
      </c>
      <c r="D45" s="139">
        <v>20344000</v>
      </c>
      <c r="E45" s="147"/>
      <c r="F45" s="147" t="s">
        <v>329</v>
      </c>
      <c r="G45" s="147"/>
      <c r="H45" s="147"/>
      <c r="I45" s="147"/>
      <c r="K45" s="147">
        <v>2056</v>
      </c>
      <c r="L45" s="139">
        <v>2777000</v>
      </c>
      <c r="M45" s="139">
        <v>18359000</v>
      </c>
      <c r="N45" s="139">
        <v>21136000</v>
      </c>
      <c r="O45" s="147"/>
      <c r="P45" s="147" t="s">
        <v>329</v>
      </c>
      <c r="Q45" s="147"/>
      <c r="R45" s="147"/>
      <c r="S45" s="147"/>
    </row>
    <row r="46" spans="1:19">
      <c r="A46" s="147">
        <v>2057</v>
      </c>
      <c r="B46" s="139">
        <v>2771000</v>
      </c>
      <c r="C46" s="139">
        <v>100000</v>
      </c>
      <c r="D46" s="139">
        <v>2871000</v>
      </c>
      <c r="E46" s="147"/>
      <c r="F46" s="147" t="s">
        <v>329</v>
      </c>
      <c r="G46" s="147"/>
      <c r="H46" s="147"/>
      <c r="I46" s="147"/>
      <c r="K46" s="147">
        <v>2057</v>
      </c>
      <c r="L46" s="139">
        <v>2777000</v>
      </c>
      <c r="M46" s="139">
        <v>100000</v>
      </c>
      <c r="N46" s="139">
        <v>2877000</v>
      </c>
      <c r="O46" s="147"/>
      <c r="P46" s="147" t="s">
        <v>329</v>
      </c>
      <c r="Q46" s="147"/>
      <c r="R46" s="147"/>
      <c r="S46" s="147"/>
    </row>
    <row r="47" spans="1:19">
      <c r="A47" s="147">
        <v>2058</v>
      </c>
      <c r="B47" s="139">
        <v>2771000</v>
      </c>
      <c r="C47" s="139">
        <v>100000</v>
      </c>
      <c r="D47" s="139">
        <v>2871000</v>
      </c>
      <c r="E47" s="147"/>
      <c r="F47" s="147" t="s">
        <v>329</v>
      </c>
      <c r="G47" s="147"/>
      <c r="H47" s="147"/>
      <c r="I47" s="147"/>
      <c r="K47" s="147">
        <v>2058</v>
      </c>
      <c r="L47" s="139">
        <v>2777000</v>
      </c>
      <c r="M47" s="139">
        <v>100000</v>
      </c>
      <c r="N47" s="139">
        <v>2877000</v>
      </c>
      <c r="O47" s="147"/>
      <c r="P47" s="147" t="s">
        <v>329</v>
      </c>
      <c r="Q47" s="147"/>
      <c r="R47" s="147"/>
      <c r="S47" s="147"/>
    </row>
    <row r="48" spans="1:19">
      <c r="A48" s="147">
        <v>2059</v>
      </c>
      <c r="B48" s="139">
        <v>2771000</v>
      </c>
      <c r="C48" s="139">
        <v>100000</v>
      </c>
      <c r="D48" s="139">
        <v>2871000</v>
      </c>
      <c r="E48" s="147"/>
      <c r="F48" s="147" t="s">
        <v>329</v>
      </c>
      <c r="G48" s="147"/>
      <c r="H48" s="147"/>
      <c r="I48" s="147"/>
      <c r="K48" s="147">
        <v>2059</v>
      </c>
      <c r="L48" s="139">
        <v>2777000</v>
      </c>
      <c r="M48" s="139">
        <v>100000</v>
      </c>
      <c r="N48" s="139">
        <v>2877000</v>
      </c>
      <c r="O48" s="147"/>
      <c r="P48" s="147" t="s">
        <v>329</v>
      </c>
      <c r="Q48" s="147"/>
      <c r="R48" s="147"/>
      <c r="S48" s="147"/>
    </row>
    <row r="49" spans="1:19">
      <c r="A49" s="147"/>
      <c r="B49" s="147"/>
      <c r="C49" s="147"/>
      <c r="D49" s="147"/>
      <c r="E49" s="147"/>
      <c r="F49" s="147"/>
      <c r="G49" s="147"/>
      <c r="H49" s="147"/>
      <c r="I49" s="147"/>
      <c r="K49" s="147"/>
      <c r="L49" s="147"/>
      <c r="M49" s="147"/>
      <c r="N49" s="147"/>
      <c r="O49" s="147"/>
      <c r="P49" s="147"/>
      <c r="Q49" s="147"/>
      <c r="R49" s="147"/>
      <c r="S49" s="147"/>
    </row>
    <row r="50" spans="1:19">
      <c r="A50" s="147"/>
      <c r="B50" s="147"/>
      <c r="C50" s="147"/>
      <c r="D50" s="147"/>
      <c r="E50" s="147"/>
      <c r="F50" s="147"/>
      <c r="G50" s="147"/>
      <c r="H50" s="147"/>
      <c r="I50" s="147"/>
      <c r="K50" s="147"/>
      <c r="L50" s="147"/>
      <c r="M50" s="147"/>
      <c r="N50" s="147"/>
      <c r="O50" s="147"/>
      <c r="P50" s="147"/>
      <c r="Q50" s="147"/>
      <c r="R50" s="147"/>
      <c r="S50" s="147"/>
    </row>
    <row r="51" spans="1:19">
      <c r="A51" s="147" t="s">
        <v>322</v>
      </c>
      <c r="B51" s="147" t="b">
        <v>1</v>
      </c>
      <c r="C51" s="147" t="b">
        <v>1</v>
      </c>
      <c r="D51" s="147"/>
      <c r="E51" s="147"/>
      <c r="F51" s="147"/>
      <c r="G51" s="147"/>
      <c r="H51" s="147"/>
      <c r="I51" s="147"/>
      <c r="K51" s="147" t="s">
        <v>322</v>
      </c>
      <c r="L51" s="147" t="b">
        <v>1</v>
      </c>
      <c r="M51" s="147" t="b">
        <v>1</v>
      </c>
      <c r="N51" s="147"/>
      <c r="O51" s="147"/>
      <c r="P51" s="147"/>
      <c r="Q51" s="147"/>
      <c r="R51" s="147"/>
      <c r="S51" s="147"/>
    </row>
    <row r="52" spans="1:19">
      <c r="K52" s="147"/>
      <c r="L52" s="147"/>
      <c r="M52" s="147"/>
      <c r="N52" s="147"/>
      <c r="O52" s="147"/>
      <c r="P52" s="147"/>
      <c r="Q52" s="147"/>
      <c r="R52" s="147"/>
      <c r="S52" s="147"/>
    </row>
  </sheetData>
  <sheetProtection algorithmName="SHA-512" hashValue="SKV2fllily9lfMq0gHvuRvT7ggzUbB8qojaKn1s0pR3uX4enJkj+wetsRXpYelbxPuAqhrxII4hq93R9FzHbag==" saltValue="kVQoiza+pHmg4UyEOcxYKw=="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79998168889431442"/>
  </sheetPr>
  <dimension ref="A1:S51"/>
  <sheetViews>
    <sheetView workbookViewId="0">
      <selection activeCell="A2" sqref="A2"/>
    </sheetView>
  </sheetViews>
  <sheetFormatPr defaultRowHeight="15"/>
  <cols>
    <col min="3" max="3" width="14.28515625" bestFit="1" customWidth="1"/>
    <col min="4" max="4" width="10.42578125" bestFit="1" customWidth="1"/>
    <col min="7" max="7" width="11.42578125" bestFit="1" customWidth="1"/>
    <col min="8" max="8" width="10.42578125" bestFit="1" customWidth="1"/>
    <col min="9" max="9" width="11.42578125" bestFit="1" customWidth="1"/>
    <col min="13" max="13" width="14.28515625" bestFit="1" customWidth="1"/>
    <col min="14" max="14" width="10.42578125" bestFit="1" customWidth="1"/>
    <col min="17" max="17" width="11.42578125" bestFit="1" customWidth="1"/>
    <col min="18" max="18" width="10.42578125" bestFit="1" customWidth="1"/>
    <col min="19" max="19" width="11.42578125" bestFit="1" customWidth="1"/>
  </cols>
  <sheetData>
    <row r="1" spans="1:16" s="147" customFormat="1">
      <c r="A1" s="147" t="s">
        <v>355</v>
      </c>
    </row>
    <row r="2" spans="1:16" s="147" customFormat="1">
      <c r="A2" s="206" t="s">
        <v>569</v>
      </c>
    </row>
    <row r="3" spans="1:16" s="147" customFormat="1">
      <c r="A3" s="147" t="s">
        <v>326</v>
      </c>
      <c r="K3" s="147" t="s">
        <v>327</v>
      </c>
    </row>
    <row r="4" spans="1:16" s="147" customFormat="1"/>
    <row r="5" spans="1:16">
      <c r="A5" t="s">
        <v>321</v>
      </c>
      <c r="K5" t="s">
        <v>321</v>
      </c>
    </row>
    <row r="6" spans="1:16">
      <c r="F6" t="s">
        <v>322</v>
      </c>
      <c r="P6" t="s">
        <v>322</v>
      </c>
    </row>
    <row r="8" spans="1:16">
      <c r="A8" t="s">
        <v>323</v>
      </c>
      <c r="B8" t="s">
        <v>324</v>
      </c>
      <c r="C8" t="s">
        <v>325</v>
      </c>
      <c r="D8" t="s">
        <v>0</v>
      </c>
      <c r="K8" t="s">
        <v>323</v>
      </c>
      <c r="L8" t="s">
        <v>324</v>
      </c>
      <c r="M8" t="s">
        <v>325</v>
      </c>
      <c r="N8" t="s">
        <v>0</v>
      </c>
    </row>
    <row r="9" spans="1:16">
      <c r="A9">
        <v>2020</v>
      </c>
      <c r="B9" s="139">
        <v>606000</v>
      </c>
      <c r="C9" t="s">
        <v>328</v>
      </c>
      <c r="D9" s="139">
        <v>606000</v>
      </c>
      <c r="F9" t="s">
        <v>329</v>
      </c>
      <c r="K9">
        <v>2020</v>
      </c>
      <c r="L9" s="139">
        <v>572000</v>
      </c>
      <c r="M9" t="s">
        <v>328</v>
      </c>
      <c r="N9" s="139">
        <v>572000</v>
      </c>
      <c r="P9" t="s">
        <v>329</v>
      </c>
    </row>
    <row r="10" spans="1:16">
      <c r="A10">
        <v>2021</v>
      </c>
      <c r="B10" s="139">
        <v>606000</v>
      </c>
      <c r="C10" s="139">
        <v>100000</v>
      </c>
      <c r="D10" s="139">
        <v>706000</v>
      </c>
      <c r="F10" t="s">
        <v>329</v>
      </c>
      <c r="K10">
        <v>2021</v>
      </c>
      <c r="L10" s="139">
        <v>572000</v>
      </c>
      <c r="M10" s="139">
        <v>100000</v>
      </c>
      <c r="N10" s="139">
        <v>672000</v>
      </c>
      <c r="P10" t="s">
        <v>329</v>
      </c>
    </row>
    <row r="11" spans="1:16">
      <c r="A11">
        <v>2022</v>
      </c>
      <c r="B11" s="139">
        <v>606000</v>
      </c>
      <c r="C11" s="139">
        <v>100000</v>
      </c>
      <c r="D11" s="139">
        <v>706000</v>
      </c>
      <c r="F11" t="s">
        <v>329</v>
      </c>
      <c r="K11">
        <v>2022</v>
      </c>
      <c r="L11" s="139">
        <v>572000</v>
      </c>
      <c r="M11" s="139">
        <v>100000</v>
      </c>
      <c r="N11" s="139">
        <v>672000</v>
      </c>
      <c r="P11" t="s">
        <v>329</v>
      </c>
    </row>
    <row r="12" spans="1:16">
      <c r="A12">
        <v>2023</v>
      </c>
      <c r="B12" s="139">
        <v>606000</v>
      </c>
      <c r="C12" s="139">
        <v>100000</v>
      </c>
      <c r="D12" s="139">
        <v>706000</v>
      </c>
      <c r="F12" t="s">
        <v>329</v>
      </c>
      <c r="K12">
        <v>2023</v>
      </c>
      <c r="L12" s="139">
        <v>572000</v>
      </c>
      <c r="M12" s="139">
        <v>100000</v>
      </c>
      <c r="N12" s="139">
        <v>672000</v>
      </c>
      <c r="P12" t="s">
        <v>329</v>
      </c>
    </row>
    <row r="13" spans="1:16">
      <c r="A13">
        <v>2024</v>
      </c>
      <c r="B13" s="139">
        <v>606000</v>
      </c>
      <c r="C13" s="139">
        <v>100000</v>
      </c>
      <c r="D13" s="139">
        <v>706000</v>
      </c>
      <c r="F13" t="s">
        <v>329</v>
      </c>
      <c r="K13">
        <v>2024</v>
      </c>
      <c r="L13" s="139">
        <v>572000</v>
      </c>
      <c r="M13" s="139">
        <v>100000</v>
      </c>
      <c r="N13" s="139">
        <v>672000</v>
      </c>
      <c r="P13" t="s">
        <v>329</v>
      </c>
    </row>
    <row r="14" spans="1:16">
      <c r="A14">
        <v>2025</v>
      </c>
      <c r="B14" s="139">
        <v>606000</v>
      </c>
      <c r="C14" s="139">
        <v>100000</v>
      </c>
      <c r="D14" s="139">
        <v>706000</v>
      </c>
      <c r="F14" t="s">
        <v>329</v>
      </c>
      <c r="K14">
        <v>2025</v>
      </c>
      <c r="L14" s="139">
        <v>572000</v>
      </c>
      <c r="M14" s="139">
        <v>100000</v>
      </c>
      <c r="N14" s="139">
        <v>672000</v>
      </c>
      <c r="P14" t="s">
        <v>329</v>
      </c>
    </row>
    <row r="15" spans="1:16">
      <c r="A15">
        <v>2026</v>
      </c>
      <c r="B15" s="139">
        <v>606000</v>
      </c>
      <c r="C15" s="139">
        <v>322000</v>
      </c>
      <c r="D15" s="139">
        <v>928000</v>
      </c>
      <c r="F15" t="s">
        <v>329</v>
      </c>
      <c r="K15">
        <v>2026</v>
      </c>
      <c r="L15" s="139">
        <v>572000</v>
      </c>
      <c r="M15" s="139">
        <v>432000</v>
      </c>
      <c r="N15" s="139">
        <v>1004000</v>
      </c>
      <c r="P15" t="s">
        <v>329</v>
      </c>
    </row>
    <row r="16" spans="1:16">
      <c r="A16">
        <v>2027</v>
      </c>
      <c r="B16" s="139">
        <v>606000</v>
      </c>
      <c r="C16" s="139">
        <v>100000</v>
      </c>
      <c r="D16" s="139">
        <v>706000</v>
      </c>
      <c r="F16" t="s">
        <v>329</v>
      </c>
      <c r="K16">
        <v>2027</v>
      </c>
      <c r="L16" s="139">
        <v>572000</v>
      </c>
      <c r="M16" s="139">
        <v>100000</v>
      </c>
      <c r="N16" s="139">
        <v>672000</v>
      </c>
      <c r="P16" t="s">
        <v>329</v>
      </c>
    </row>
    <row r="17" spans="1:19">
      <c r="A17">
        <v>2028</v>
      </c>
      <c r="B17" s="139">
        <v>606000</v>
      </c>
      <c r="C17" s="139">
        <v>100000</v>
      </c>
      <c r="D17" s="139">
        <v>706000</v>
      </c>
      <c r="F17" t="s">
        <v>329</v>
      </c>
      <c r="K17">
        <v>2028</v>
      </c>
      <c r="L17" s="139">
        <v>572000</v>
      </c>
      <c r="M17" s="139">
        <v>100000</v>
      </c>
      <c r="N17" s="139">
        <v>672000</v>
      </c>
      <c r="P17" t="s">
        <v>329</v>
      </c>
    </row>
    <row r="18" spans="1:19">
      <c r="A18">
        <v>2029</v>
      </c>
      <c r="B18" s="139">
        <v>606000</v>
      </c>
      <c r="C18" s="139">
        <v>100000</v>
      </c>
      <c r="D18" s="139">
        <v>706000</v>
      </c>
      <c r="F18" t="s">
        <v>329</v>
      </c>
      <c r="K18">
        <v>2029</v>
      </c>
      <c r="L18" s="139">
        <v>572000</v>
      </c>
      <c r="M18" s="139">
        <v>100000</v>
      </c>
      <c r="N18" s="139">
        <v>672000</v>
      </c>
      <c r="P18" t="s">
        <v>329</v>
      </c>
    </row>
    <row r="19" spans="1:19">
      <c r="A19">
        <v>2030</v>
      </c>
      <c r="B19" s="139">
        <v>606000</v>
      </c>
      <c r="C19" s="139">
        <v>154000</v>
      </c>
      <c r="D19" s="139">
        <v>760000</v>
      </c>
      <c r="F19" t="s">
        <v>329</v>
      </c>
      <c r="K19">
        <v>2030</v>
      </c>
      <c r="L19" s="139">
        <v>572000</v>
      </c>
      <c r="M19" s="139">
        <v>154000</v>
      </c>
      <c r="N19" s="139">
        <v>726000</v>
      </c>
      <c r="P19" t="s">
        <v>329</v>
      </c>
    </row>
    <row r="20" spans="1:19">
      <c r="A20">
        <v>2031</v>
      </c>
      <c r="B20" s="139">
        <v>606000</v>
      </c>
      <c r="C20" s="139">
        <v>100000</v>
      </c>
      <c r="D20" s="139">
        <v>706000</v>
      </c>
      <c r="F20" t="s">
        <v>329</v>
      </c>
      <c r="K20">
        <v>2031</v>
      </c>
      <c r="L20" s="139">
        <v>572000</v>
      </c>
      <c r="M20" s="139">
        <v>100000</v>
      </c>
      <c r="N20" s="139">
        <v>672000</v>
      </c>
      <c r="P20" t="s">
        <v>329</v>
      </c>
    </row>
    <row r="21" spans="1:19">
      <c r="A21">
        <v>2032</v>
      </c>
      <c r="B21" s="139">
        <v>606000</v>
      </c>
      <c r="C21" s="139">
        <v>3103000</v>
      </c>
      <c r="D21" s="139">
        <v>3709000</v>
      </c>
      <c r="F21" t="s">
        <v>329</v>
      </c>
      <c r="K21">
        <v>2032</v>
      </c>
      <c r="L21" s="139">
        <v>572000</v>
      </c>
      <c r="M21" s="139">
        <v>4615000</v>
      </c>
      <c r="N21" s="139">
        <v>5187000</v>
      </c>
      <c r="P21" t="s">
        <v>329</v>
      </c>
    </row>
    <row r="22" spans="1:19">
      <c r="A22">
        <v>2033</v>
      </c>
      <c r="B22" s="139">
        <v>606000</v>
      </c>
      <c r="C22" s="139">
        <v>100000</v>
      </c>
      <c r="D22" s="139">
        <v>706000</v>
      </c>
      <c r="F22" t="s">
        <v>329</v>
      </c>
      <c r="K22">
        <v>2033</v>
      </c>
      <c r="L22" s="139">
        <v>572000</v>
      </c>
      <c r="M22" s="139">
        <v>100000</v>
      </c>
      <c r="N22" s="139">
        <v>672000</v>
      </c>
      <c r="P22" t="s">
        <v>329</v>
      </c>
    </row>
    <row r="23" spans="1:19">
      <c r="A23">
        <v>2034</v>
      </c>
      <c r="B23" s="139">
        <v>606000</v>
      </c>
      <c r="C23" s="139">
        <v>100000</v>
      </c>
      <c r="D23" s="139">
        <v>706000</v>
      </c>
      <c r="F23" t="s">
        <v>329</v>
      </c>
      <c r="K23">
        <v>2034</v>
      </c>
      <c r="L23" s="139">
        <v>572000</v>
      </c>
      <c r="M23" s="139">
        <v>100000</v>
      </c>
      <c r="N23" s="139">
        <v>672000</v>
      </c>
      <c r="P23" t="s">
        <v>329</v>
      </c>
    </row>
    <row r="24" spans="1:19">
      <c r="A24">
        <v>2035</v>
      </c>
      <c r="B24" s="139">
        <v>606000</v>
      </c>
      <c r="C24" s="139">
        <v>100000</v>
      </c>
      <c r="D24" s="139">
        <v>706000</v>
      </c>
      <c r="F24" t="s">
        <v>329</v>
      </c>
      <c r="K24">
        <v>2035</v>
      </c>
      <c r="L24" s="139">
        <v>572000</v>
      </c>
      <c r="M24" s="139">
        <v>100000</v>
      </c>
      <c r="N24" s="139">
        <v>672000</v>
      </c>
      <c r="P24" t="s">
        <v>329</v>
      </c>
    </row>
    <row r="25" spans="1:19">
      <c r="A25">
        <v>2036</v>
      </c>
      <c r="B25" s="139">
        <v>606000</v>
      </c>
      <c r="C25" s="139">
        <v>100000</v>
      </c>
      <c r="D25" s="139">
        <v>706000</v>
      </c>
      <c r="F25" t="s">
        <v>329</v>
      </c>
      <c r="K25">
        <v>2036</v>
      </c>
      <c r="L25" s="139">
        <v>572000</v>
      </c>
      <c r="M25" s="139">
        <v>100000</v>
      </c>
      <c r="N25" s="139">
        <v>672000</v>
      </c>
      <c r="P25" t="s">
        <v>329</v>
      </c>
    </row>
    <row r="26" spans="1:19">
      <c r="A26">
        <v>2037</v>
      </c>
      <c r="B26" s="139">
        <v>606000</v>
      </c>
      <c r="C26" s="139">
        <v>100000</v>
      </c>
      <c r="D26" s="139">
        <v>706000</v>
      </c>
      <c r="F26" t="s">
        <v>329</v>
      </c>
      <c r="K26">
        <v>2037</v>
      </c>
      <c r="L26" s="139">
        <v>572000</v>
      </c>
      <c r="M26" s="139">
        <v>100000</v>
      </c>
      <c r="N26" s="139">
        <v>672000</v>
      </c>
      <c r="P26" t="s">
        <v>329</v>
      </c>
    </row>
    <row r="27" spans="1:19">
      <c r="A27">
        <v>2038</v>
      </c>
      <c r="B27" s="139">
        <v>606000</v>
      </c>
      <c r="C27" s="139">
        <v>322000</v>
      </c>
      <c r="D27" s="139">
        <v>928000</v>
      </c>
      <c r="F27" t="s">
        <v>329</v>
      </c>
      <c r="K27">
        <v>2038</v>
      </c>
      <c r="L27" s="139">
        <v>572000</v>
      </c>
      <c r="M27" s="139">
        <v>432000</v>
      </c>
      <c r="N27" s="139">
        <v>1004000</v>
      </c>
      <c r="P27" t="s">
        <v>329</v>
      </c>
    </row>
    <row r="28" spans="1:19">
      <c r="A28">
        <v>2039</v>
      </c>
      <c r="B28" s="139">
        <v>606000</v>
      </c>
      <c r="C28" s="139">
        <v>100000</v>
      </c>
      <c r="D28" s="139">
        <v>706000</v>
      </c>
      <c r="F28" t="s">
        <v>329</v>
      </c>
      <c r="K28">
        <v>2039</v>
      </c>
      <c r="L28" s="139">
        <v>572000</v>
      </c>
      <c r="M28" s="139">
        <v>100000</v>
      </c>
      <c r="N28" s="139">
        <v>672000</v>
      </c>
      <c r="P28" t="s">
        <v>329</v>
      </c>
    </row>
    <row r="29" spans="1:19">
      <c r="A29">
        <v>2040</v>
      </c>
      <c r="B29" s="139">
        <v>606000</v>
      </c>
      <c r="C29" s="139">
        <v>154000</v>
      </c>
      <c r="D29" s="139">
        <v>760000</v>
      </c>
      <c r="F29" t="s">
        <v>329</v>
      </c>
      <c r="G29" s="139">
        <v>12726000</v>
      </c>
      <c r="H29" s="139">
        <v>5555000</v>
      </c>
      <c r="I29" s="139">
        <v>18281000</v>
      </c>
      <c r="K29">
        <v>2040</v>
      </c>
      <c r="L29" s="139">
        <v>572000</v>
      </c>
      <c r="M29" s="139">
        <v>154000</v>
      </c>
      <c r="N29" s="139">
        <v>726000</v>
      </c>
      <c r="P29" t="s">
        <v>329</v>
      </c>
      <c r="Q29" s="139">
        <v>12012000</v>
      </c>
      <c r="R29" s="139">
        <v>7287000</v>
      </c>
      <c r="S29" s="139">
        <v>19299000</v>
      </c>
    </row>
    <row r="30" spans="1:19">
      <c r="A30">
        <v>2041</v>
      </c>
      <c r="B30" s="139">
        <v>606000</v>
      </c>
      <c r="C30" s="139">
        <v>100000</v>
      </c>
      <c r="D30" s="139">
        <v>706000</v>
      </c>
      <c r="F30" t="s">
        <v>329</v>
      </c>
      <c r="K30">
        <v>2041</v>
      </c>
      <c r="L30" s="139">
        <v>572000</v>
      </c>
      <c r="M30" s="139">
        <v>100000</v>
      </c>
      <c r="N30" s="139">
        <v>672000</v>
      </c>
      <c r="P30" t="s">
        <v>329</v>
      </c>
    </row>
    <row r="31" spans="1:19">
      <c r="A31">
        <v>2042</v>
      </c>
      <c r="B31" s="139">
        <v>606000</v>
      </c>
      <c r="C31" s="139">
        <v>100000</v>
      </c>
      <c r="D31" s="139">
        <v>706000</v>
      </c>
      <c r="F31" t="s">
        <v>329</v>
      </c>
      <c r="K31">
        <v>2042</v>
      </c>
      <c r="L31" s="139">
        <v>572000</v>
      </c>
      <c r="M31" s="139">
        <v>100000</v>
      </c>
      <c r="N31" s="139">
        <v>672000</v>
      </c>
      <c r="P31" t="s">
        <v>329</v>
      </c>
    </row>
    <row r="32" spans="1:19">
      <c r="A32">
        <v>2043</v>
      </c>
      <c r="B32" s="139">
        <v>606000</v>
      </c>
      <c r="C32" s="139">
        <v>100000</v>
      </c>
      <c r="D32" s="139">
        <v>706000</v>
      </c>
      <c r="F32" t="s">
        <v>329</v>
      </c>
      <c r="K32">
        <v>2043</v>
      </c>
      <c r="L32" s="139">
        <v>572000</v>
      </c>
      <c r="M32" s="139">
        <v>100000</v>
      </c>
      <c r="N32" s="139">
        <v>672000</v>
      </c>
      <c r="P32" t="s">
        <v>329</v>
      </c>
    </row>
    <row r="33" spans="1:16">
      <c r="A33">
        <v>2044</v>
      </c>
      <c r="B33" s="139">
        <v>606000</v>
      </c>
      <c r="C33" s="139">
        <v>3694000</v>
      </c>
      <c r="D33" s="139">
        <v>4300000</v>
      </c>
      <c r="F33" t="s">
        <v>329</v>
      </c>
      <c r="K33">
        <v>2044</v>
      </c>
      <c r="L33" s="139">
        <v>572000</v>
      </c>
      <c r="M33" s="139">
        <v>6389000</v>
      </c>
      <c r="N33" s="139">
        <v>6961000</v>
      </c>
      <c r="P33" t="s">
        <v>329</v>
      </c>
    </row>
    <row r="34" spans="1:16">
      <c r="A34">
        <v>2045</v>
      </c>
      <c r="B34" s="139">
        <v>606000</v>
      </c>
      <c r="C34" s="139">
        <v>100000</v>
      </c>
      <c r="D34" s="139">
        <v>706000</v>
      </c>
      <c r="F34" t="s">
        <v>329</v>
      </c>
      <c r="K34">
        <v>2045</v>
      </c>
      <c r="L34" s="139">
        <v>572000</v>
      </c>
      <c r="M34" s="139">
        <v>100000</v>
      </c>
      <c r="N34" s="139">
        <v>672000</v>
      </c>
      <c r="P34" t="s">
        <v>329</v>
      </c>
    </row>
    <row r="35" spans="1:16">
      <c r="A35">
        <v>2046</v>
      </c>
      <c r="B35" s="139">
        <v>606000</v>
      </c>
      <c r="C35" s="139">
        <v>100000</v>
      </c>
      <c r="D35" s="139">
        <v>706000</v>
      </c>
      <c r="F35" t="s">
        <v>329</v>
      </c>
      <c r="K35">
        <v>2046</v>
      </c>
      <c r="L35" s="139">
        <v>572000</v>
      </c>
      <c r="M35" s="139">
        <v>100000</v>
      </c>
      <c r="N35" s="139">
        <v>672000</v>
      </c>
      <c r="P35" t="s">
        <v>329</v>
      </c>
    </row>
    <row r="36" spans="1:16">
      <c r="A36">
        <v>2047</v>
      </c>
      <c r="B36" s="139">
        <v>606000</v>
      </c>
      <c r="C36" s="139">
        <v>100000</v>
      </c>
      <c r="D36" s="139">
        <v>706000</v>
      </c>
      <c r="F36" t="s">
        <v>329</v>
      </c>
      <c r="K36">
        <v>2047</v>
      </c>
      <c r="L36" s="139">
        <v>572000</v>
      </c>
      <c r="M36" s="139">
        <v>100000</v>
      </c>
      <c r="N36" s="139">
        <v>672000</v>
      </c>
      <c r="P36" t="s">
        <v>329</v>
      </c>
    </row>
    <row r="37" spans="1:16">
      <c r="A37">
        <v>2048</v>
      </c>
      <c r="B37" s="139">
        <v>606000</v>
      </c>
      <c r="C37" s="139">
        <v>100000</v>
      </c>
      <c r="D37" s="139">
        <v>706000</v>
      </c>
      <c r="F37" t="s">
        <v>329</v>
      </c>
      <c r="K37">
        <v>2048</v>
      </c>
      <c r="L37" s="139">
        <v>572000</v>
      </c>
      <c r="M37" s="139">
        <v>100000</v>
      </c>
      <c r="N37" s="139">
        <v>672000</v>
      </c>
      <c r="P37" t="s">
        <v>329</v>
      </c>
    </row>
    <row r="38" spans="1:16">
      <c r="A38">
        <v>2049</v>
      </c>
      <c r="B38" s="139">
        <v>606000</v>
      </c>
      <c r="C38" s="139">
        <v>100000</v>
      </c>
      <c r="D38" s="139">
        <v>706000</v>
      </c>
      <c r="F38" t="s">
        <v>329</v>
      </c>
      <c r="K38">
        <v>2049</v>
      </c>
      <c r="L38" s="139">
        <v>572000</v>
      </c>
      <c r="M38" s="139">
        <v>100000</v>
      </c>
      <c r="N38" s="139">
        <v>672000</v>
      </c>
      <c r="P38" t="s">
        <v>329</v>
      </c>
    </row>
    <row r="39" spans="1:16">
      <c r="A39">
        <v>2050</v>
      </c>
      <c r="B39" s="139">
        <v>606000</v>
      </c>
      <c r="C39" s="139">
        <v>673000</v>
      </c>
      <c r="D39" s="139">
        <v>1279000</v>
      </c>
      <c r="F39" t="s">
        <v>329</v>
      </c>
      <c r="K39">
        <v>2050</v>
      </c>
      <c r="L39" s="139">
        <v>572000</v>
      </c>
      <c r="M39" s="139">
        <v>787000</v>
      </c>
      <c r="N39" s="139">
        <v>1359000</v>
      </c>
      <c r="P39" t="s">
        <v>329</v>
      </c>
    </row>
    <row r="40" spans="1:16">
      <c r="A40">
        <v>2051</v>
      </c>
      <c r="B40" s="139">
        <v>606000</v>
      </c>
      <c r="C40" s="139">
        <v>100000</v>
      </c>
      <c r="D40" s="139">
        <v>706000</v>
      </c>
      <c r="F40" t="s">
        <v>329</v>
      </c>
      <c r="K40">
        <v>2051</v>
      </c>
      <c r="L40" s="139">
        <v>572000</v>
      </c>
      <c r="M40" s="139">
        <v>100000</v>
      </c>
      <c r="N40" s="139">
        <v>672000</v>
      </c>
      <c r="P40" t="s">
        <v>329</v>
      </c>
    </row>
    <row r="41" spans="1:16">
      <c r="A41">
        <v>2052</v>
      </c>
      <c r="B41" s="139">
        <v>606000</v>
      </c>
      <c r="C41" s="139">
        <v>100000</v>
      </c>
      <c r="D41" s="139">
        <v>706000</v>
      </c>
      <c r="F41" t="s">
        <v>329</v>
      </c>
      <c r="K41">
        <v>2052</v>
      </c>
      <c r="L41" s="139">
        <v>572000</v>
      </c>
      <c r="M41" s="139">
        <v>100000</v>
      </c>
      <c r="N41" s="139">
        <v>672000</v>
      </c>
      <c r="P41" t="s">
        <v>329</v>
      </c>
    </row>
    <row r="42" spans="1:16">
      <c r="A42">
        <v>2053</v>
      </c>
      <c r="B42" s="139">
        <v>606000</v>
      </c>
      <c r="C42" s="139">
        <v>100000</v>
      </c>
      <c r="D42" s="139">
        <v>706000</v>
      </c>
      <c r="F42" t="s">
        <v>329</v>
      </c>
      <c r="K42">
        <v>2053</v>
      </c>
      <c r="L42" s="139">
        <v>572000</v>
      </c>
      <c r="M42" s="139">
        <v>100000</v>
      </c>
      <c r="N42" s="139">
        <v>672000</v>
      </c>
      <c r="P42" t="s">
        <v>329</v>
      </c>
    </row>
    <row r="43" spans="1:16">
      <c r="A43">
        <v>2054</v>
      </c>
      <c r="B43" s="139">
        <v>606000</v>
      </c>
      <c r="C43" s="139">
        <v>100000</v>
      </c>
      <c r="D43" s="139">
        <v>706000</v>
      </c>
      <c r="F43" t="s">
        <v>329</v>
      </c>
      <c r="K43">
        <v>2054</v>
      </c>
      <c r="L43" s="139">
        <v>572000</v>
      </c>
      <c r="M43" s="139">
        <v>100000</v>
      </c>
      <c r="N43" s="139">
        <v>672000</v>
      </c>
      <c r="P43" t="s">
        <v>329</v>
      </c>
    </row>
    <row r="44" spans="1:16">
      <c r="A44">
        <v>2055</v>
      </c>
      <c r="B44" s="139">
        <v>606000</v>
      </c>
      <c r="C44" s="139">
        <v>100000</v>
      </c>
      <c r="D44" s="139">
        <v>706000</v>
      </c>
      <c r="F44" t="s">
        <v>329</v>
      </c>
      <c r="K44">
        <v>2055</v>
      </c>
      <c r="L44" s="139">
        <v>572000</v>
      </c>
      <c r="M44" s="139">
        <v>100000</v>
      </c>
      <c r="N44" s="139">
        <v>672000</v>
      </c>
      <c r="P44" t="s">
        <v>329</v>
      </c>
    </row>
    <row r="45" spans="1:16">
      <c r="A45">
        <v>2056</v>
      </c>
      <c r="B45" s="139">
        <v>606000</v>
      </c>
      <c r="C45" s="139">
        <v>3103000</v>
      </c>
      <c r="D45" s="139">
        <v>3709000</v>
      </c>
      <c r="F45" t="s">
        <v>329</v>
      </c>
      <c r="K45">
        <v>2056</v>
      </c>
      <c r="L45" s="139">
        <v>572000</v>
      </c>
      <c r="M45" s="139">
        <v>4615000</v>
      </c>
      <c r="N45" s="139">
        <v>5187000</v>
      </c>
      <c r="P45" t="s">
        <v>329</v>
      </c>
    </row>
    <row r="46" spans="1:16">
      <c r="A46">
        <v>2057</v>
      </c>
      <c r="B46" s="139">
        <v>606000</v>
      </c>
      <c r="C46" s="139">
        <v>100000</v>
      </c>
      <c r="D46" s="139">
        <v>706000</v>
      </c>
      <c r="F46" t="s">
        <v>329</v>
      </c>
      <c r="K46">
        <v>2057</v>
      </c>
      <c r="L46" s="139">
        <v>572000</v>
      </c>
      <c r="M46" s="139">
        <v>100000</v>
      </c>
      <c r="N46" s="139">
        <v>672000</v>
      </c>
      <c r="P46" t="s">
        <v>329</v>
      </c>
    </row>
    <row r="47" spans="1:16">
      <c r="A47">
        <v>2058</v>
      </c>
      <c r="B47" s="139">
        <v>606000</v>
      </c>
      <c r="C47" s="139">
        <v>100000</v>
      </c>
      <c r="D47" s="139">
        <v>706000</v>
      </c>
      <c r="F47" t="s">
        <v>329</v>
      </c>
      <c r="K47">
        <v>2058</v>
      </c>
      <c r="L47" s="139">
        <v>572000</v>
      </c>
      <c r="M47" s="139">
        <v>100000</v>
      </c>
      <c r="N47" s="139">
        <v>672000</v>
      </c>
      <c r="P47" t="s">
        <v>329</v>
      </c>
    </row>
    <row r="48" spans="1:16">
      <c r="A48">
        <v>2059</v>
      </c>
      <c r="B48" s="139">
        <v>606000</v>
      </c>
      <c r="C48" s="139">
        <v>100000</v>
      </c>
      <c r="D48" s="139">
        <v>706000</v>
      </c>
      <c r="F48" t="s">
        <v>329</v>
      </c>
      <c r="K48">
        <v>2059</v>
      </c>
      <c r="L48" s="139">
        <v>572000</v>
      </c>
      <c r="M48" s="139">
        <v>100000</v>
      </c>
      <c r="N48" s="139">
        <v>672000</v>
      </c>
      <c r="P48" t="s">
        <v>329</v>
      </c>
    </row>
    <row r="51" spans="1:13">
      <c r="A51" t="s">
        <v>322</v>
      </c>
      <c r="B51" t="b">
        <v>1</v>
      </c>
      <c r="C51" t="b">
        <v>1</v>
      </c>
      <c r="K51" t="s">
        <v>322</v>
      </c>
      <c r="L51" t="b">
        <v>1</v>
      </c>
      <c r="M51" t="b">
        <v>1</v>
      </c>
    </row>
  </sheetData>
  <sheetProtection algorithmName="SHA-512" hashValue="sPa+sGnkEy5tY9rGTiy7NXq08E7TsLD8yRnBZFAM58xRM+6f3k472l3LeSdRX2irnLnVRnBCBXkhlZhjOhetBg==" saltValue="mxHy3G94ibuXtqRiZoIf+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4" tint="0.59999389629810485"/>
  </sheetPr>
  <dimension ref="A1:F141"/>
  <sheetViews>
    <sheetView zoomScale="115" zoomScaleNormal="115" workbookViewId="0">
      <selection activeCell="C35" sqref="C35:C44"/>
    </sheetView>
  </sheetViews>
  <sheetFormatPr defaultRowHeight="11.25"/>
  <cols>
    <col min="1" max="1" width="63.7109375" style="587" customWidth="1"/>
    <col min="2" max="2" width="18.28515625" style="587" customWidth="1"/>
    <col min="3" max="3" width="92.5703125" style="630" customWidth="1"/>
    <col min="4" max="4" width="9.140625" style="586"/>
    <col min="5" max="16384" width="9.140625" style="587"/>
  </cols>
  <sheetData>
    <row r="1" spans="1:3">
      <c r="A1" s="585" t="s">
        <v>9</v>
      </c>
      <c r="B1" s="585" t="s">
        <v>7</v>
      </c>
      <c r="C1" s="623" t="s">
        <v>8</v>
      </c>
    </row>
    <row r="2" spans="1:3">
      <c r="A2" s="720" t="s">
        <v>12</v>
      </c>
      <c r="B2" s="721"/>
      <c r="C2" s="722"/>
    </row>
    <row r="3" spans="1:3">
      <c r="A3" s="588" t="s">
        <v>3</v>
      </c>
      <c r="B3" s="589">
        <v>7.0000000000000007E-2</v>
      </c>
      <c r="C3" s="624" t="s">
        <v>597</v>
      </c>
    </row>
    <row r="4" spans="1:3">
      <c r="A4" s="588" t="s">
        <v>3</v>
      </c>
      <c r="B4" s="589">
        <v>0.03</v>
      </c>
      <c r="C4" s="624" t="s">
        <v>508</v>
      </c>
    </row>
    <row r="5" spans="1:3">
      <c r="A5" s="590" t="s">
        <v>227</v>
      </c>
      <c r="B5" s="591">
        <v>2020</v>
      </c>
      <c r="C5" s="624" t="s">
        <v>597</v>
      </c>
    </row>
    <row r="6" spans="1:3">
      <c r="A6" s="590" t="s">
        <v>228</v>
      </c>
      <c r="B6" s="591">
        <v>2019</v>
      </c>
      <c r="C6" s="624" t="s">
        <v>597</v>
      </c>
    </row>
    <row r="7" spans="1:3">
      <c r="A7" s="588" t="s">
        <v>567</v>
      </c>
      <c r="B7" s="592">
        <v>2027</v>
      </c>
      <c r="C7" s="624"/>
    </row>
    <row r="8" spans="1:3">
      <c r="A8" s="588" t="s">
        <v>1093</v>
      </c>
      <c r="B8" s="637">
        <f>7/12</f>
        <v>0.58333333333333337</v>
      </c>
      <c r="C8" s="624" t="s">
        <v>1025</v>
      </c>
    </row>
    <row r="9" spans="1:3">
      <c r="A9" s="588" t="s">
        <v>568</v>
      </c>
      <c r="B9" s="592">
        <v>2024</v>
      </c>
      <c r="C9" s="624"/>
    </row>
    <row r="10" spans="1:3">
      <c r="A10" s="588" t="s">
        <v>1093</v>
      </c>
      <c r="B10" s="637">
        <f>4/12</f>
        <v>0.33333333333333331</v>
      </c>
      <c r="C10" s="624" t="s">
        <v>1026</v>
      </c>
    </row>
    <row r="11" spans="1:3">
      <c r="A11" s="593" t="s">
        <v>61</v>
      </c>
      <c r="B11" s="593" t="s">
        <v>62</v>
      </c>
      <c r="C11" s="625" t="s">
        <v>63</v>
      </c>
    </row>
    <row r="12" spans="1:3">
      <c r="A12" s="593" t="s">
        <v>68</v>
      </c>
      <c r="B12" s="593">
        <v>1.67</v>
      </c>
      <c r="C12" s="624" t="s">
        <v>597</v>
      </c>
    </row>
    <row r="13" spans="1:3">
      <c r="A13" s="593" t="s">
        <v>481</v>
      </c>
      <c r="B13" s="593">
        <v>280</v>
      </c>
      <c r="C13" s="626"/>
    </row>
    <row r="14" spans="1:3">
      <c r="A14" s="593" t="s">
        <v>461</v>
      </c>
      <c r="B14" s="594">
        <v>0.5</v>
      </c>
      <c r="C14" s="626"/>
    </row>
    <row r="15" spans="1:3" ht="67.5">
      <c r="A15" s="595" t="s">
        <v>407</v>
      </c>
      <c r="B15" s="595">
        <v>5</v>
      </c>
      <c r="C15" s="597" t="s">
        <v>1065</v>
      </c>
    </row>
    <row r="16" spans="1:3">
      <c r="A16" s="595" t="s">
        <v>421</v>
      </c>
      <c r="B16" s="596">
        <f>1/50</f>
        <v>0.02</v>
      </c>
      <c r="C16" s="597"/>
    </row>
    <row r="17" spans="1:3" ht="26.25" customHeight="1">
      <c r="A17" s="597" t="s">
        <v>512</v>
      </c>
      <c r="B17" s="672">
        <f>1/500</f>
        <v>2E-3</v>
      </c>
      <c r="C17" s="597" t="s">
        <v>1042</v>
      </c>
    </row>
    <row r="18" spans="1:3">
      <c r="A18" s="597" t="s">
        <v>472</v>
      </c>
      <c r="B18" s="641">
        <v>1</v>
      </c>
      <c r="C18" s="597" t="s">
        <v>1086</v>
      </c>
    </row>
    <row r="19" spans="1:3" ht="22.5">
      <c r="A19" s="597" t="s">
        <v>1052</v>
      </c>
      <c r="B19" s="676">
        <v>0.2</v>
      </c>
      <c r="C19" s="597" t="s">
        <v>1053</v>
      </c>
    </row>
    <row r="20" spans="1:3">
      <c r="A20" s="593" t="s">
        <v>537</v>
      </c>
      <c r="B20" s="593">
        <v>179.1</v>
      </c>
      <c r="C20" s="595" t="s">
        <v>539</v>
      </c>
    </row>
    <row r="21" spans="1:3">
      <c r="A21" s="593" t="s">
        <v>538</v>
      </c>
      <c r="B21" s="593">
        <v>93.7</v>
      </c>
      <c r="C21" s="595" t="s">
        <v>539</v>
      </c>
    </row>
    <row r="22" spans="1:3">
      <c r="A22" s="598" t="s">
        <v>679</v>
      </c>
      <c r="B22" s="599">
        <v>50000</v>
      </c>
      <c r="C22" s="627" t="s">
        <v>1063</v>
      </c>
    </row>
    <row r="23" spans="1:3" s="586" customFormat="1">
      <c r="A23" s="598" t="s">
        <v>254</v>
      </c>
      <c r="B23" s="600">
        <f>AVERAGE(B24:B33)</f>
        <v>13030</v>
      </c>
      <c r="C23" s="627" t="s">
        <v>1064</v>
      </c>
    </row>
    <row r="24" spans="1:3" s="586" customFormat="1">
      <c r="A24" s="601" t="s">
        <v>257</v>
      </c>
      <c r="B24" s="600">
        <v>36000</v>
      </c>
      <c r="C24" s="728" t="s">
        <v>258</v>
      </c>
    </row>
    <row r="25" spans="1:3" s="586" customFormat="1">
      <c r="A25" s="601" t="s">
        <v>256</v>
      </c>
      <c r="B25" s="600">
        <v>15000</v>
      </c>
      <c r="C25" s="729"/>
    </row>
    <row r="26" spans="1:3" s="586" customFormat="1">
      <c r="A26" s="601" t="s">
        <v>246</v>
      </c>
      <c r="B26" s="602">
        <v>17000</v>
      </c>
      <c r="C26" s="729"/>
    </row>
    <row r="27" spans="1:3" s="586" customFormat="1">
      <c r="A27" s="601" t="s">
        <v>247</v>
      </c>
      <c r="B27" s="602">
        <v>9100</v>
      </c>
      <c r="C27" s="729"/>
    </row>
    <row r="28" spans="1:3" s="586" customFormat="1">
      <c r="A28" s="601" t="s">
        <v>248</v>
      </c>
      <c r="B28" s="602">
        <v>7500</v>
      </c>
      <c r="C28" s="729"/>
    </row>
    <row r="29" spans="1:3" s="586" customFormat="1">
      <c r="A29" s="601" t="s">
        <v>249</v>
      </c>
      <c r="B29" s="602">
        <v>13000</v>
      </c>
      <c r="C29" s="729"/>
    </row>
    <row r="30" spans="1:3" s="586" customFormat="1">
      <c r="A30" s="601" t="s">
        <v>250</v>
      </c>
      <c r="B30" s="602">
        <v>7500</v>
      </c>
      <c r="C30" s="729"/>
    </row>
    <row r="31" spans="1:3" s="586" customFormat="1">
      <c r="A31" s="601" t="s">
        <v>251</v>
      </c>
      <c r="B31" s="602">
        <v>12000</v>
      </c>
      <c r="C31" s="729"/>
    </row>
    <row r="32" spans="1:3" s="586" customFormat="1">
      <c r="A32" s="601" t="s">
        <v>255</v>
      </c>
      <c r="B32" s="602">
        <v>4500</v>
      </c>
      <c r="C32" s="729"/>
    </row>
    <row r="33" spans="1:5" s="586" customFormat="1">
      <c r="A33" s="601" t="s">
        <v>253</v>
      </c>
      <c r="B33" s="602">
        <v>8700</v>
      </c>
      <c r="C33" s="730"/>
    </row>
    <row r="34" spans="1:5" s="586" customFormat="1">
      <c r="A34" s="598" t="s">
        <v>763</v>
      </c>
      <c r="B34" s="600">
        <f>AVERAGE(B35:B44)</f>
        <v>22770</v>
      </c>
      <c r="C34" s="627" t="s">
        <v>1064</v>
      </c>
    </row>
    <row r="35" spans="1:5" s="586" customFormat="1">
      <c r="A35" s="601" t="s">
        <v>244</v>
      </c>
      <c r="B35" s="603">
        <f>ROUND(AVERAGE(30000,57500,59500,62000,59000,62000,71000,85000,96000,93500),-2)</f>
        <v>67600</v>
      </c>
      <c r="C35" s="728" t="s">
        <v>258</v>
      </c>
    </row>
    <row r="36" spans="1:5" s="586" customFormat="1">
      <c r="A36" s="601" t="s">
        <v>245</v>
      </c>
      <c r="B36" s="603">
        <f>ROUND(AVERAGE(23500,30000,30000),-2)</f>
        <v>27800</v>
      </c>
      <c r="C36" s="729"/>
    </row>
    <row r="37" spans="1:5" s="586" customFormat="1">
      <c r="A37" s="601" t="s">
        <v>246</v>
      </c>
      <c r="B37" s="603">
        <f>ROUND(AVERAGE(37000,37500,35000,36000,42000,45500,40500,35500,31500,29000,24000,23500,24000,23500),-2)</f>
        <v>33200</v>
      </c>
      <c r="C37" s="729"/>
    </row>
    <row r="38" spans="1:5" s="586" customFormat="1">
      <c r="A38" s="601" t="s">
        <v>247</v>
      </c>
      <c r="B38" s="603">
        <f>ROUND(AVERAGE(11000,12000,10500,13500,15500,13000,23000,17000,21500,23000,31500,37000),-2)</f>
        <v>19000</v>
      </c>
      <c r="C38" s="729"/>
    </row>
    <row r="39" spans="1:5" s="586" customFormat="1">
      <c r="A39" s="601" t="s">
        <v>248</v>
      </c>
      <c r="B39" s="603">
        <f>ROUND(AVERAGE(13000,12000,10500,13000,10500,9500,9500,9300,11000),-2)</f>
        <v>10900</v>
      </c>
      <c r="C39" s="729"/>
    </row>
    <row r="40" spans="1:5" s="586" customFormat="1">
      <c r="A40" s="601" t="s">
        <v>249</v>
      </c>
      <c r="B40" s="603">
        <f>ROUND(AVERAGE(9500,8900,7800,8100,8900,11000,12500,12000,13500,11000,11500),-2)</f>
        <v>10400</v>
      </c>
      <c r="C40" s="729"/>
    </row>
    <row r="41" spans="1:5" s="586" customFormat="1">
      <c r="A41" s="601" t="s">
        <v>250</v>
      </c>
      <c r="B41" s="603">
        <f>ROUND(AVERAGE(12000,10500,9500,10000,9000,9200,10000),-2)</f>
        <v>10000</v>
      </c>
      <c r="C41" s="729"/>
    </row>
    <row r="42" spans="1:5" s="586" customFormat="1">
      <c r="A42" s="601" t="s">
        <v>251</v>
      </c>
      <c r="B42" s="603">
        <f>ROUND(AVERAGE(19000,18500,18500,20500,20000,17500,14000,15500,14000,14500,12000,12000),-2)</f>
        <v>16300</v>
      </c>
      <c r="C42" s="729"/>
    </row>
    <row r="43" spans="1:5" s="586" customFormat="1">
      <c r="A43" s="601" t="s">
        <v>252</v>
      </c>
      <c r="B43" s="603">
        <f>ROUND(AVERAGE(13500,19000,9700,8400,12500,13500,17500,26500,14500,16000,23500,24500,23500,17000,21000,15500,19000),-2)</f>
        <v>17400</v>
      </c>
      <c r="C43" s="729"/>
    </row>
    <row r="44" spans="1:5" s="586" customFormat="1">
      <c r="A44" s="601" t="s">
        <v>253</v>
      </c>
      <c r="B44" s="603">
        <f>ROUND(AVERAGE(14000,18000,15000,13500),-2)</f>
        <v>15100</v>
      </c>
      <c r="C44" s="730"/>
    </row>
    <row r="45" spans="1:5" s="586" customFormat="1">
      <c r="A45" s="598" t="s">
        <v>806</v>
      </c>
      <c r="B45" s="604">
        <f>(B34/B23)^(1/(2019-2002))-1</f>
        <v>3.3379682469616645E-2</v>
      </c>
      <c r="C45" s="627"/>
    </row>
    <row r="46" spans="1:5">
      <c r="A46" s="593" t="s">
        <v>266</v>
      </c>
      <c r="B46" s="605">
        <v>0.08</v>
      </c>
      <c r="C46" s="595" t="s">
        <v>267</v>
      </c>
      <c r="E46" s="586"/>
    </row>
    <row r="47" spans="1:5">
      <c r="A47" s="593" t="s">
        <v>301</v>
      </c>
      <c r="B47" s="602">
        <f>AVERAGE(B48:B56)</f>
        <v>9088.8888888888887</v>
      </c>
      <c r="C47" s="627" t="s">
        <v>1064</v>
      </c>
      <c r="E47" s="586"/>
    </row>
    <row r="48" spans="1:5">
      <c r="A48" s="601" t="s">
        <v>293</v>
      </c>
      <c r="B48" s="600">
        <v>6900</v>
      </c>
      <c r="C48" s="728" t="s">
        <v>258</v>
      </c>
      <c r="E48" s="586"/>
    </row>
    <row r="49" spans="1:5">
      <c r="A49" s="601" t="s">
        <v>294</v>
      </c>
      <c r="B49" s="600">
        <v>6900</v>
      </c>
      <c r="C49" s="729"/>
      <c r="E49" s="586"/>
    </row>
    <row r="50" spans="1:5">
      <c r="A50" s="601" t="s">
        <v>295</v>
      </c>
      <c r="B50" s="600">
        <v>14000</v>
      </c>
      <c r="C50" s="729"/>
      <c r="E50" s="586"/>
    </row>
    <row r="51" spans="1:5">
      <c r="A51" s="601" t="s">
        <v>296</v>
      </c>
      <c r="B51" s="600">
        <v>7300</v>
      </c>
      <c r="C51" s="729"/>
      <c r="E51" s="586"/>
    </row>
    <row r="52" spans="1:5">
      <c r="A52" s="601" t="s">
        <v>297</v>
      </c>
      <c r="B52" s="600">
        <v>2600</v>
      </c>
      <c r="C52" s="729"/>
      <c r="E52" s="586"/>
    </row>
    <row r="53" spans="1:5">
      <c r="A53" s="601" t="s">
        <v>297</v>
      </c>
      <c r="B53" s="600">
        <v>2700</v>
      </c>
      <c r="C53" s="729"/>
      <c r="E53" s="586"/>
    </row>
    <row r="54" spans="1:5">
      <c r="A54" s="601" t="s">
        <v>298</v>
      </c>
      <c r="B54" s="600">
        <v>3400</v>
      </c>
      <c r="C54" s="729"/>
      <c r="E54" s="586"/>
    </row>
    <row r="55" spans="1:5">
      <c r="A55" s="601" t="s">
        <v>299</v>
      </c>
      <c r="B55" s="602">
        <v>19000</v>
      </c>
      <c r="C55" s="729"/>
      <c r="E55" s="586"/>
    </row>
    <row r="56" spans="1:5">
      <c r="A56" s="601" t="s">
        <v>300</v>
      </c>
      <c r="B56" s="602">
        <v>19000</v>
      </c>
      <c r="C56" s="730"/>
      <c r="E56" s="586"/>
    </row>
    <row r="57" spans="1:5">
      <c r="A57" s="593" t="s">
        <v>778</v>
      </c>
      <c r="B57" s="602">
        <f>AVERAGE(B58:B66)</f>
        <v>11411.111111111111</v>
      </c>
      <c r="C57" s="627" t="s">
        <v>1064</v>
      </c>
      <c r="E57" s="586"/>
    </row>
    <row r="58" spans="1:5">
      <c r="A58" s="601" t="s">
        <v>771</v>
      </c>
      <c r="B58" s="602">
        <f>ROUND(AVERAGE(9500,8800,8000),-2)</f>
        <v>8800</v>
      </c>
      <c r="C58" s="728" t="s">
        <v>258</v>
      </c>
      <c r="E58" s="586"/>
    </row>
    <row r="59" spans="1:5">
      <c r="A59" s="601" t="s">
        <v>772</v>
      </c>
      <c r="B59" s="602">
        <f>ROUND(AVERAGE(10500,8800,8700,10000,11500),-2)</f>
        <v>9900</v>
      </c>
      <c r="C59" s="729"/>
      <c r="E59" s="586"/>
    </row>
    <row r="60" spans="1:5">
      <c r="A60" s="601" t="s">
        <v>773</v>
      </c>
      <c r="B60" s="602">
        <f>ROUND(AVERAGE(13500,12500,16500),-2)</f>
        <v>14200</v>
      </c>
      <c r="C60" s="729"/>
      <c r="E60" s="586"/>
    </row>
    <row r="61" spans="1:5">
      <c r="A61" s="601" t="s">
        <v>774</v>
      </c>
      <c r="B61" s="602">
        <f>ROUND(AVERAGE(19500,14500,12000,12500),-2)</f>
        <v>14600</v>
      </c>
      <c r="C61" s="729"/>
      <c r="E61" s="586"/>
    </row>
    <row r="62" spans="1:5">
      <c r="A62" s="601" t="s">
        <v>775</v>
      </c>
      <c r="B62" s="602">
        <f>ROUND(AVERAGE(5800,5300,9800),-2)</f>
        <v>7000</v>
      </c>
      <c r="C62" s="729"/>
      <c r="E62" s="586"/>
    </row>
    <row r="63" spans="1:5">
      <c r="A63" s="601" t="s">
        <v>776</v>
      </c>
      <c r="B63" s="602">
        <f>ROUND(AVERAGE(4200,5200,5400,6600,6200,7400),-2)</f>
        <v>5800</v>
      </c>
      <c r="C63" s="729"/>
      <c r="E63" s="586"/>
    </row>
    <row r="64" spans="1:5">
      <c r="A64" s="601" t="s">
        <v>777</v>
      </c>
      <c r="B64" s="602">
        <f>ROUND(AVERAGE(10500,8700,11000,5500,4600,3800,3200,5500,4600),-2)</f>
        <v>6400</v>
      </c>
      <c r="C64" s="729"/>
      <c r="E64" s="586"/>
    </row>
    <row r="65" spans="1:5">
      <c r="A65" s="601" t="s">
        <v>299</v>
      </c>
      <c r="B65" s="602">
        <f>AVERAGE(17500)</f>
        <v>17500</v>
      </c>
      <c r="C65" s="729"/>
      <c r="E65" s="586"/>
    </row>
    <row r="66" spans="1:5">
      <c r="A66" s="601" t="s">
        <v>300</v>
      </c>
      <c r="B66" s="602">
        <v>18500</v>
      </c>
      <c r="C66" s="730"/>
      <c r="E66" s="586"/>
    </row>
    <row r="67" spans="1:5">
      <c r="A67" s="598" t="s">
        <v>779</v>
      </c>
      <c r="B67" s="606">
        <f>(B57/B47)^(1/(2019-2002))-1</f>
        <v>1.3474376412227596E-2</v>
      </c>
      <c r="C67" s="627" t="s">
        <v>225</v>
      </c>
      <c r="E67" s="586"/>
    </row>
    <row r="68" spans="1:5">
      <c r="A68" s="607" t="s">
        <v>941</v>
      </c>
      <c r="B68" s="602">
        <f>AVERAGE(B69:B72)</f>
        <v>7675</v>
      </c>
      <c r="C68" s="728" t="s">
        <v>940</v>
      </c>
      <c r="E68" s="586"/>
    </row>
    <row r="69" spans="1:5">
      <c r="A69" s="607" t="s">
        <v>942</v>
      </c>
      <c r="B69" s="602">
        <v>6100</v>
      </c>
      <c r="C69" s="729"/>
      <c r="D69" s="587"/>
      <c r="E69" s="586"/>
    </row>
    <row r="70" spans="1:5">
      <c r="A70" s="607" t="s">
        <v>943</v>
      </c>
      <c r="B70" s="602">
        <v>2100</v>
      </c>
      <c r="C70" s="729"/>
      <c r="D70" s="587"/>
      <c r="E70" s="586"/>
    </row>
    <row r="71" spans="1:5">
      <c r="A71" s="607" t="s">
        <v>918</v>
      </c>
      <c r="B71" s="602">
        <v>1200</v>
      </c>
      <c r="C71" s="729"/>
      <c r="D71" s="587"/>
      <c r="E71" s="586"/>
    </row>
    <row r="72" spans="1:5">
      <c r="A72" s="607" t="s">
        <v>944</v>
      </c>
      <c r="B72" s="602">
        <v>21300</v>
      </c>
      <c r="C72" s="730"/>
      <c r="D72" s="587"/>
      <c r="E72" s="586"/>
    </row>
    <row r="73" spans="1:5">
      <c r="A73" s="607" t="s">
        <v>942</v>
      </c>
      <c r="B73" s="593">
        <f>B69*0.07</f>
        <v>427.00000000000006</v>
      </c>
      <c r="C73" s="728" t="s">
        <v>940</v>
      </c>
      <c r="E73" s="586"/>
    </row>
    <row r="74" spans="1:5">
      <c r="A74" s="607" t="s">
        <v>943</v>
      </c>
      <c r="B74" s="593">
        <f>B70*0.07</f>
        <v>147</v>
      </c>
      <c r="C74" s="729"/>
      <c r="E74" s="586"/>
    </row>
    <row r="75" spans="1:5">
      <c r="A75" s="607" t="s">
        <v>918</v>
      </c>
      <c r="B75" s="593">
        <f>B71*0.02</f>
        <v>24</v>
      </c>
      <c r="C75" s="729"/>
      <c r="E75" s="586"/>
    </row>
    <row r="76" spans="1:5">
      <c r="A76" s="607" t="s">
        <v>944</v>
      </c>
      <c r="B76" s="593">
        <f>B72*0.11</f>
        <v>2343</v>
      </c>
      <c r="C76" s="729"/>
      <c r="E76" s="586"/>
    </row>
    <row r="77" spans="1:5">
      <c r="A77" s="607" t="s">
        <v>945</v>
      </c>
      <c r="B77" s="604">
        <f>SUM(B73:B76)/SUM(B69:B72)</f>
        <v>9.5798045602605866E-2</v>
      </c>
      <c r="C77" s="730"/>
      <c r="D77" s="587"/>
      <c r="E77" s="586"/>
    </row>
    <row r="78" spans="1:5">
      <c r="A78" s="720" t="s">
        <v>72</v>
      </c>
      <c r="B78" s="721"/>
      <c r="C78" s="722"/>
      <c r="D78" s="587"/>
      <c r="E78" s="586"/>
    </row>
    <row r="79" spans="1:5">
      <c r="A79" s="593" t="s">
        <v>1066</v>
      </c>
      <c r="B79" s="608">
        <v>17.899999999999999</v>
      </c>
      <c r="C79" s="726" t="s">
        <v>597</v>
      </c>
      <c r="D79" s="587"/>
    </row>
    <row r="80" spans="1:5">
      <c r="A80" s="593" t="s">
        <v>1067</v>
      </c>
      <c r="B80" s="608">
        <v>30.8</v>
      </c>
      <c r="C80" s="727"/>
      <c r="D80" s="587"/>
    </row>
    <row r="81" spans="1:3" s="586" customFormat="1" ht="33.75">
      <c r="A81" s="595" t="s">
        <v>682</v>
      </c>
      <c r="B81" s="677">
        <f>15.62+10.21+5.62+2.68+1.42+6.31</f>
        <v>41.860000000000007</v>
      </c>
      <c r="C81" s="597" t="s">
        <v>681</v>
      </c>
    </row>
    <row r="82" spans="1:3">
      <c r="A82" s="593" t="s">
        <v>680</v>
      </c>
      <c r="B82" s="609">
        <v>0.43</v>
      </c>
      <c r="C82" s="624" t="s">
        <v>597</v>
      </c>
    </row>
    <row r="83" spans="1:3" ht="22.5">
      <c r="A83" s="624" t="s">
        <v>755</v>
      </c>
      <c r="B83" s="596">
        <v>0.02</v>
      </c>
      <c r="C83" s="678" t="s">
        <v>756</v>
      </c>
    </row>
    <row r="84" spans="1:3">
      <c r="A84" s="720" t="s">
        <v>11</v>
      </c>
      <c r="B84" s="721"/>
      <c r="C84" s="722"/>
    </row>
    <row r="85" spans="1:3">
      <c r="A85" s="598" t="s">
        <v>683</v>
      </c>
      <c r="B85" s="599">
        <v>3700</v>
      </c>
      <c r="C85" s="723" t="s">
        <v>597</v>
      </c>
    </row>
    <row r="86" spans="1:3">
      <c r="A86" s="593" t="s">
        <v>684</v>
      </c>
      <c r="B86" s="611">
        <v>72500</v>
      </c>
      <c r="C86" s="724"/>
    </row>
    <row r="87" spans="1:3">
      <c r="A87" s="593" t="s">
        <v>685</v>
      </c>
      <c r="B87" s="611">
        <v>142000</v>
      </c>
      <c r="C87" s="724"/>
    </row>
    <row r="88" spans="1:3">
      <c r="A88" s="593" t="s">
        <v>686</v>
      </c>
      <c r="B88" s="611">
        <v>521300</v>
      </c>
      <c r="C88" s="724"/>
    </row>
    <row r="89" spans="1:3">
      <c r="A89" s="593" t="s">
        <v>687</v>
      </c>
      <c r="B89" s="611">
        <v>10900000</v>
      </c>
      <c r="C89" s="724"/>
    </row>
    <row r="90" spans="1:3">
      <c r="A90" s="593" t="s">
        <v>688</v>
      </c>
      <c r="B90" s="611">
        <v>197600</v>
      </c>
      <c r="C90" s="724"/>
    </row>
    <row r="91" spans="1:3">
      <c r="A91" s="593" t="s">
        <v>689</v>
      </c>
      <c r="B91" s="611">
        <v>150200</v>
      </c>
      <c r="C91" s="724"/>
    </row>
    <row r="92" spans="1:3">
      <c r="A92" s="593" t="s">
        <v>690</v>
      </c>
      <c r="B92" s="611">
        <v>284100</v>
      </c>
      <c r="C92" s="724"/>
    </row>
    <row r="93" spans="1:3">
      <c r="A93" s="593" t="s">
        <v>691</v>
      </c>
      <c r="B93" s="611">
        <v>12071000</v>
      </c>
      <c r="C93" s="724"/>
    </row>
    <row r="94" spans="1:3">
      <c r="A94" s="593" t="s">
        <v>692</v>
      </c>
      <c r="B94" s="612">
        <v>4500</v>
      </c>
      <c r="C94" s="725"/>
    </row>
    <row r="95" spans="1:3">
      <c r="A95" s="720" t="s">
        <v>73</v>
      </c>
      <c r="B95" s="721"/>
      <c r="C95" s="722"/>
    </row>
    <row r="96" spans="1:3">
      <c r="A96" s="610" t="s">
        <v>332</v>
      </c>
      <c r="B96" s="610">
        <v>1.1014999999999999</v>
      </c>
      <c r="C96" s="628" t="s">
        <v>597</v>
      </c>
    </row>
    <row r="97" spans="1:6">
      <c r="A97" s="610" t="s">
        <v>697</v>
      </c>
      <c r="B97" s="610">
        <v>9.1554999999999997E-2</v>
      </c>
      <c r="C97" s="723" t="s">
        <v>698</v>
      </c>
    </row>
    <row r="98" spans="1:6">
      <c r="A98" s="610" t="s">
        <v>699</v>
      </c>
      <c r="B98" s="610">
        <v>0</v>
      </c>
      <c r="C98" s="724"/>
    </row>
    <row r="99" spans="1:6">
      <c r="A99" s="610" t="s">
        <v>700</v>
      </c>
      <c r="B99" s="610">
        <v>0</v>
      </c>
      <c r="C99" s="724"/>
    </row>
    <row r="100" spans="1:6">
      <c r="A100" s="610" t="s">
        <v>701</v>
      </c>
      <c r="B100" s="610">
        <v>41.065240000000003</v>
      </c>
      <c r="C100" s="724"/>
    </row>
    <row r="101" spans="1:6">
      <c r="A101" s="610" t="s">
        <v>702</v>
      </c>
      <c r="B101" s="610">
        <v>0.27539999999999998</v>
      </c>
      <c r="C101" s="724"/>
    </row>
    <row r="102" spans="1:6">
      <c r="A102" s="610" t="s">
        <v>703</v>
      </c>
      <c r="B102" s="613">
        <v>6.9937200000000005E-5</v>
      </c>
      <c r="C102" s="724"/>
    </row>
    <row r="103" spans="1:6">
      <c r="A103" s="610" t="s">
        <v>704</v>
      </c>
      <c r="B103" s="610">
        <v>1.0920000000000001</v>
      </c>
      <c r="C103" s="724"/>
    </row>
    <row r="104" spans="1:6">
      <c r="A104" s="610" t="s">
        <v>705</v>
      </c>
      <c r="B104" s="614">
        <v>107.41070000000001</v>
      </c>
      <c r="C104" s="725"/>
    </row>
    <row r="105" spans="1:6" s="615" customFormat="1">
      <c r="A105" s="720" t="s">
        <v>696</v>
      </c>
      <c r="B105" s="721"/>
      <c r="C105" s="722"/>
    </row>
    <row r="106" spans="1:6" s="615" customFormat="1">
      <c r="A106" s="615" t="s">
        <v>977</v>
      </c>
      <c r="C106" s="629"/>
    </row>
    <row r="107" spans="1:6" s="615" customFormat="1">
      <c r="A107" s="616" t="s">
        <v>693</v>
      </c>
      <c r="B107" s="617"/>
      <c r="C107" s="617"/>
      <c r="D107" s="617"/>
      <c r="E107" s="617"/>
      <c r="F107" s="617"/>
    </row>
    <row r="108" spans="1:6" s="615" customFormat="1">
      <c r="A108" s="618" t="s">
        <v>694</v>
      </c>
      <c r="B108" s="619" t="s">
        <v>978</v>
      </c>
      <c r="C108" s="619" t="s">
        <v>979</v>
      </c>
      <c r="D108" s="619" t="s">
        <v>980</v>
      </c>
      <c r="E108" s="619" t="s">
        <v>981</v>
      </c>
    </row>
    <row r="109" spans="1:6" s="615" customFormat="1">
      <c r="A109" s="620">
        <v>2020</v>
      </c>
      <c r="B109" s="621">
        <v>15700</v>
      </c>
      <c r="C109" s="621">
        <v>40400</v>
      </c>
      <c r="D109" s="621">
        <v>729300</v>
      </c>
      <c r="E109" s="622">
        <v>50</v>
      </c>
    </row>
    <row r="110" spans="1:6" s="615" customFormat="1">
      <c r="A110" s="620">
        <v>2021</v>
      </c>
      <c r="B110" s="621">
        <v>15900</v>
      </c>
      <c r="C110" s="621">
        <v>41300</v>
      </c>
      <c r="D110" s="621">
        <v>742300</v>
      </c>
      <c r="E110" s="622">
        <v>52</v>
      </c>
    </row>
    <row r="111" spans="1:6" s="615" customFormat="1">
      <c r="A111" s="620">
        <v>2022</v>
      </c>
      <c r="B111" s="621">
        <v>16100</v>
      </c>
      <c r="C111" s="621">
        <v>42100</v>
      </c>
      <c r="D111" s="621">
        <v>755500</v>
      </c>
      <c r="E111" s="622">
        <v>53</v>
      </c>
    </row>
    <row r="112" spans="1:6" s="615" customFormat="1">
      <c r="A112" s="620">
        <v>2023</v>
      </c>
      <c r="B112" s="621">
        <v>16400</v>
      </c>
      <c r="C112" s="621">
        <v>43000</v>
      </c>
      <c r="D112" s="621">
        <v>769000</v>
      </c>
      <c r="E112" s="622">
        <v>54</v>
      </c>
    </row>
    <row r="113" spans="1:5" s="615" customFormat="1">
      <c r="A113" s="620">
        <v>2024</v>
      </c>
      <c r="B113" s="621">
        <v>16600</v>
      </c>
      <c r="C113" s="621">
        <v>43900</v>
      </c>
      <c r="D113" s="621">
        <v>782700</v>
      </c>
      <c r="E113" s="622">
        <v>55</v>
      </c>
    </row>
    <row r="114" spans="1:5" s="615" customFormat="1">
      <c r="A114" s="620">
        <v>2025</v>
      </c>
      <c r="B114" s="621">
        <v>16800</v>
      </c>
      <c r="C114" s="621">
        <v>44900</v>
      </c>
      <c r="D114" s="621">
        <v>796600</v>
      </c>
      <c r="E114" s="622">
        <v>56</v>
      </c>
    </row>
    <row r="115" spans="1:5" s="615" customFormat="1">
      <c r="A115" s="620">
        <v>2026</v>
      </c>
      <c r="B115" s="621">
        <v>17000</v>
      </c>
      <c r="C115" s="621">
        <v>45500</v>
      </c>
      <c r="D115" s="621">
        <v>807500</v>
      </c>
      <c r="E115" s="622">
        <v>57</v>
      </c>
    </row>
    <row r="116" spans="1:5" s="615" customFormat="1">
      <c r="A116" s="620">
        <v>2027</v>
      </c>
      <c r="B116" s="621">
        <v>17300</v>
      </c>
      <c r="C116" s="621">
        <v>46200</v>
      </c>
      <c r="D116" s="621">
        <v>818600</v>
      </c>
      <c r="E116" s="622">
        <v>58</v>
      </c>
    </row>
    <row r="117" spans="1:5" s="615" customFormat="1">
      <c r="A117" s="620">
        <v>2028</v>
      </c>
      <c r="B117" s="621">
        <v>17500</v>
      </c>
      <c r="C117" s="621">
        <v>46900</v>
      </c>
      <c r="D117" s="621">
        <v>829800</v>
      </c>
      <c r="E117" s="622">
        <v>59</v>
      </c>
    </row>
    <row r="118" spans="1:5" s="615" customFormat="1">
      <c r="A118" s="620">
        <v>2029</v>
      </c>
      <c r="B118" s="621">
        <v>17700</v>
      </c>
      <c r="C118" s="621">
        <v>47600</v>
      </c>
      <c r="D118" s="621">
        <v>841200</v>
      </c>
      <c r="E118" s="622">
        <v>60</v>
      </c>
    </row>
    <row r="119" spans="1:5" s="615" customFormat="1">
      <c r="A119" s="620">
        <v>2030</v>
      </c>
      <c r="B119" s="621">
        <v>18000</v>
      </c>
      <c r="C119" s="621">
        <v>48200</v>
      </c>
      <c r="D119" s="621">
        <v>852700</v>
      </c>
      <c r="E119" s="622">
        <v>61</v>
      </c>
    </row>
    <row r="120" spans="1:5" s="615" customFormat="1">
      <c r="A120" s="620">
        <v>2031</v>
      </c>
      <c r="B120" s="621">
        <v>18000</v>
      </c>
      <c r="C120" s="621">
        <v>48200</v>
      </c>
      <c r="D120" s="621">
        <v>852700</v>
      </c>
      <c r="E120" s="622">
        <v>62</v>
      </c>
    </row>
    <row r="121" spans="1:5" s="615" customFormat="1">
      <c r="A121" s="620">
        <v>2032</v>
      </c>
      <c r="B121" s="621">
        <v>18000</v>
      </c>
      <c r="C121" s="621">
        <v>48200</v>
      </c>
      <c r="D121" s="621">
        <v>852700</v>
      </c>
      <c r="E121" s="622">
        <v>63</v>
      </c>
    </row>
    <row r="122" spans="1:5" s="615" customFormat="1">
      <c r="A122" s="620">
        <v>2033</v>
      </c>
      <c r="B122" s="621">
        <v>18000</v>
      </c>
      <c r="C122" s="621">
        <v>48200</v>
      </c>
      <c r="D122" s="621">
        <v>852700</v>
      </c>
      <c r="E122" s="622">
        <v>64</v>
      </c>
    </row>
    <row r="123" spans="1:5" s="615" customFormat="1">
      <c r="A123" s="620">
        <v>2034</v>
      </c>
      <c r="B123" s="621">
        <v>18000</v>
      </c>
      <c r="C123" s="621">
        <v>48200</v>
      </c>
      <c r="D123" s="621">
        <v>852700</v>
      </c>
      <c r="E123" s="622">
        <v>66</v>
      </c>
    </row>
    <row r="124" spans="1:5" s="615" customFormat="1">
      <c r="A124" s="620">
        <v>2035</v>
      </c>
      <c r="B124" s="621">
        <v>18000</v>
      </c>
      <c r="C124" s="621">
        <v>48200</v>
      </c>
      <c r="D124" s="621">
        <v>852700</v>
      </c>
      <c r="E124" s="622">
        <v>67</v>
      </c>
    </row>
    <row r="125" spans="1:5" s="615" customFormat="1">
      <c r="A125" s="620">
        <v>2036</v>
      </c>
      <c r="B125" s="621">
        <v>18000</v>
      </c>
      <c r="C125" s="621">
        <v>48200</v>
      </c>
      <c r="D125" s="621">
        <v>852700</v>
      </c>
      <c r="E125" s="622">
        <v>68</v>
      </c>
    </row>
    <row r="126" spans="1:5" s="615" customFormat="1">
      <c r="A126" s="620">
        <v>2037</v>
      </c>
      <c r="B126" s="621">
        <v>18000</v>
      </c>
      <c r="C126" s="621">
        <v>48200</v>
      </c>
      <c r="D126" s="621">
        <v>852700</v>
      </c>
      <c r="E126" s="622">
        <v>69</v>
      </c>
    </row>
    <row r="127" spans="1:5" s="615" customFormat="1">
      <c r="A127" s="620">
        <v>2038</v>
      </c>
      <c r="B127" s="621">
        <v>18000</v>
      </c>
      <c r="C127" s="621">
        <v>48200</v>
      </c>
      <c r="D127" s="621">
        <v>852700</v>
      </c>
      <c r="E127" s="622">
        <v>70</v>
      </c>
    </row>
    <row r="128" spans="1:5" s="615" customFormat="1">
      <c r="A128" s="620">
        <v>2039</v>
      </c>
      <c r="B128" s="621">
        <v>18000</v>
      </c>
      <c r="C128" s="621">
        <v>48200</v>
      </c>
      <c r="D128" s="621">
        <v>852700</v>
      </c>
      <c r="E128" s="622">
        <v>71</v>
      </c>
    </row>
    <row r="129" spans="1:5" s="615" customFormat="1">
      <c r="A129" s="620">
        <v>2040</v>
      </c>
      <c r="B129" s="621">
        <v>18000</v>
      </c>
      <c r="C129" s="621">
        <v>48200</v>
      </c>
      <c r="D129" s="621">
        <v>852700</v>
      </c>
      <c r="E129" s="622">
        <v>72</v>
      </c>
    </row>
    <row r="130" spans="1:5" s="615" customFormat="1">
      <c r="A130" s="620">
        <v>2041</v>
      </c>
      <c r="B130" s="621">
        <v>18000</v>
      </c>
      <c r="C130" s="621">
        <v>48200</v>
      </c>
      <c r="D130" s="621">
        <v>852700</v>
      </c>
      <c r="E130" s="622">
        <v>73</v>
      </c>
    </row>
    <row r="131" spans="1:5" s="615" customFormat="1">
      <c r="A131" s="620">
        <v>2042</v>
      </c>
      <c r="B131" s="621">
        <v>18000</v>
      </c>
      <c r="C131" s="621">
        <v>48200</v>
      </c>
      <c r="D131" s="621">
        <v>852700</v>
      </c>
      <c r="E131" s="622">
        <v>75</v>
      </c>
    </row>
    <row r="132" spans="1:5" s="615" customFormat="1">
      <c r="A132" s="620">
        <v>2043</v>
      </c>
      <c r="B132" s="621">
        <v>18000</v>
      </c>
      <c r="C132" s="621">
        <v>48200</v>
      </c>
      <c r="D132" s="621">
        <v>852700</v>
      </c>
      <c r="E132" s="622">
        <v>76</v>
      </c>
    </row>
    <row r="133" spans="1:5" s="615" customFormat="1">
      <c r="A133" s="620">
        <v>2044</v>
      </c>
      <c r="B133" s="621">
        <v>18000</v>
      </c>
      <c r="C133" s="621">
        <v>48200</v>
      </c>
      <c r="D133" s="621">
        <v>852700</v>
      </c>
      <c r="E133" s="622">
        <v>77</v>
      </c>
    </row>
    <row r="134" spans="1:5" s="615" customFormat="1">
      <c r="A134" s="620">
        <v>2045</v>
      </c>
      <c r="B134" s="621">
        <v>18000</v>
      </c>
      <c r="C134" s="621">
        <v>48200</v>
      </c>
      <c r="D134" s="621">
        <v>852700</v>
      </c>
      <c r="E134" s="622">
        <v>78</v>
      </c>
    </row>
    <row r="135" spans="1:5" s="615" customFormat="1">
      <c r="A135" s="620">
        <v>2046</v>
      </c>
      <c r="B135" s="621">
        <v>18000</v>
      </c>
      <c r="C135" s="621">
        <v>48200</v>
      </c>
      <c r="D135" s="621">
        <v>852700</v>
      </c>
      <c r="E135" s="622">
        <v>79</v>
      </c>
    </row>
    <row r="136" spans="1:5" s="615" customFormat="1">
      <c r="A136" s="620">
        <v>2047</v>
      </c>
      <c r="B136" s="621">
        <v>18000</v>
      </c>
      <c r="C136" s="621">
        <v>48200</v>
      </c>
      <c r="D136" s="621">
        <v>852700</v>
      </c>
      <c r="E136" s="622">
        <v>80</v>
      </c>
    </row>
    <row r="137" spans="1:5" s="615" customFormat="1">
      <c r="A137" s="620">
        <v>2048</v>
      </c>
      <c r="B137" s="621">
        <v>18000</v>
      </c>
      <c r="C137" s="621">
        <v>48200</v>
      </c>
      <c r="D137" s="621">
        <v>852700</v>
      </c>
      <c r="E137" s="622">
        <v>81</v>
      </c>
    </row>
    <row r="138" spans="1:5" s="615" customFormat="1">
      <c r="A138" s="620">
        <v>2049</v>
      </c>
      <c r="B138" s="621">
        <v>18000</v>
      </c>
      <c r="C138" s="621">
        <v>48200</v>
      </c>
      <c r="D138" s="621">
        <v>852700</v>
      </c>
      <c r="E138" s="622">
        <v>83</v>
      </c>
    </row>
    <row r="139" spans="1:5" s="615" customFormat="1">
      <c r="A139" s="620">
        <v>2050</v>
      </c>
      <c r="B139" s="621">
        <v>18000</v>
      </c>
      <c r="C139" s="621">
        <v>48200</v>
      </c>
      <c r="D139" s="621">
        <v>852700</v>
      </c>
      <c r="E139" s="622">
        <v>84</v>
      </c>
    </row>
    <row r="140" spans="1:5" s="615" customFormat="1">
      <c r="A140" s="615" t="s">
        <v>695</v>
      </c>
      <c r="C140" s="629"/>
    </row>
    <row r="141" spans="1:5">
      <c r="A141" s="615"/>
      <c r="B141" s="615"/>
      <c r="C141" s="629"/>
    </row>
  </sheetData>
  <sheetProtection algorithmName="SHA-512" hashValue="5bQdRsXzUzaR3Y3DHYtpOrotmwaML+Yug8iLgXClmF4pUUlPXf81QsLnsAPGEdbRllEtMABIHyIcAqjSaDoKkg==" saltValue="rMc0bm1PCHzDIjwC5kkuxQ==" spinCount="100000" sheet="1" objects="1" scenarios="1"/>
  <mergeCells count="14">
    <mergeCell ref="A2:C2"/>
    <mergeCell ref="A95:C95"/>
    <mergeCell ref="A105:C105"/>
    <mergeCell ref="A84:C84"/>
    <mergeCell ref="A78:C78"/>
    <mergeCell ref="C85:C94"/>
    <mergeCell ref="C79:C80"/>
    <mergeCell ref="C73:C77"/>
    <mergeCell ref="C68:C72"/>
    <mergeCell ref="C58:C66"/>
    <mergeCell ref="C48:C56"/>
    <mergeCell ref="C35:C44"/>
    <mergeCell ref="C24:C33"/>
    <mergeCell ref="C97:C104"/>
  </mergeCells>
  <phoneticPr fontId="177" type="noConversion"/>
  <hyperlinks>
    <hyperlink ref="C11" r:id="rId1" xr:uid="{D34202D9-996B-4E35-ADE2-4CB711BEB15F}"/>
  </hyperlinks>
  <pageMargins left="0.7" right="0.7" top="0.75" bottom="0.75" header="0.3" footer="0.3"/>
  <pageSetup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79998168889431442"/>
  </sheetPr>
  <dimension ref="A1:S51"/>
  <sheetViews>
    <sheetView workbookViewId="0">
      <selection activeCell="A2" sqref="A2"/>
    </sheetView>
  </sheetViews>
  <sheetFormatPr defaultRowHeight="15"/>
  <cols>
    <col min="3" max="3" width="14.28515625" bestFit="1" customWidth="1"/>
    <col min="4" max="4" width="10.42578125" bestFit="1" customWidth="1"/>
    <col min="7" max="8" width="10.42578125" bestFit="1" customWidth="1"/>
    <col min="9" max="9" width="11.42578125" bestFit="1" customWidth="1"/>
    <col min="13" max="13" width="14.28515625" bestFit="1" customWidth="1"/>
    <col min="14" max="14" width="10.42578125" bestFit="1" customWidth="1"/>
    <col min="17" max="18" width="10.42578125" bestFit="1" customWidth="1"/>
    <col min="19" max="19" width="11.42578125" bestFit="1" customWidth="1"/>
  </cols>
  <sheetData>
    <row r="1" spans="1:16" s="147" customFormat="1">
      <c r="A1" s="147" t="s">
        <v>365</v>
      </c>
    </row>
    <row r="2" spans="1:16" s="147" customFormat="1">
      <c r="A2" s="206" t="s">
        <v>569</v>
      </c>
    </row>
    <row r="3" spans="1:16" s="147" customFormat="1">
      <c r="A3" s="147" t="s">
        <v>326</v>
      </c>
      <c r="K3" s="147" t="s">
        <v>327</v>
      </c>
    </row>
    <row r="4" spans="1:16" s="147" customFormat="1"/>
    <row r="5" spans="1:16" s="147" customFormat="1">
      <c r="A5" s="147" t="s">
        <v>321</v>
      </c>
      <c r="K5" s="147" t="s">
        <v>321</v>
      </c>
    </row>
    <row r="6" spans="1:16">
      <c r="F6" t="s">
        <v>322</v>
      </c>
      <c r="P6" t="s">
        <v>322</v>
      </c>
    </row>
    <row r="8" spans="1:16">
      <c r="A8" t="s">
        <v>323</v>
      </c>
      <c r="B8" t="s">
        <v>324</v>
      </c>
      <c r="C8" t="s">
        <v>325</v>
      </c>
      <c r="D8" t="s">
        <v>0</v>
      </c>
      <c r="K8" t="s">
        <v>323</v>
      </c>
      <c r="L8" t="s">
        <v>324</v>
      </c>
      <c r="M8" t="s">
        <v>325</v>
      </c>
      <c r="N8" t="s">
        <v>0</v>
      </c>
    </row>
    <row r="9" spans="1:16">
      <c r="A9">
        <v>2020</v>
      </c>
      <c r="B9" s="139">
        <v>336000</v>
      </c>
      <c r="C9" t="s">
        <v>328</v>
      </c>
      <c r="D9" s="139">
        <v>336000</v>
      </c>
      <c r="F9" t="s">
        <v>329</v>
      </c>
      <c r="K9">
        <v>2020</v>
      </c>
      <c r="L9" s="139">
        <v>311000</v>
      </c>
      <c r="M9" t="s">
        <v>328</v>
      </c>
      <c r="N9" s="139">
        <v>311000</v>
      </c>
      <c r="P9" t="s">
        <v>329</v>
      </c>
    </row>
    <row r="10" spans="1:16">
      <c r="A10">
        <v>2021</v>
      </c>
      <c r="B10" s="139">
        <v>336000</v>
      </c>
      <c r="C10" s="139">
        <v>100000</v>
      </c>
      <c r="D10" s="139">
        <v>436000</v>
      </c>
      <c r="F10" t="s">
        <v>329</v>
      </c>
      <c r="K10">
        <v>2021</v>
      </c>
      <c r="L10" s="139">
        <v>311000</v>
      </c>
      <c r="M10" s="139">
        <v>100000</v>
      </c>
      <c r="N10" s="139">
        <v>411000</v>
      </c>
      <c r="P10" t="s">
        <v>329</v>
      </c>
    </row>
    <row r="11" spans="1:16">
      <c r="A11">
        <v>2022</v>
      </c>
      <c r="B11" s="139">
        <v>336000</v>
      </c>
      <c r="C11" s="139">
        <v>100000</v>
      </c>
      <c r="D11" s="139">
        <v>436000</v>
      </c>
      <c r="F11" t="s">
        <v>329</v>
      </c>
      <c r="K11">
        <v>2022</v>
      </c>
      <c r="L11" s="139">
        <v>311000</v>
      </c>
      <c r="M11" s="139">
        <v>100000</v>
      </c>
      <c r="N11" s="139">
        <v>411000</v>
      </c>
      <c r="P11" t="s">
        <v>329</v>
      </c>
    </row>
    <row r="12" spans="1:16">
      <c r="A12">
        <v>2023</v>
      </c>
      <c r="B12" s="139">
        <v>336000</v>
      </c>
      <c r="C12" s="139">
        <v>100000</v>
      </c>
      <c r="D12" s="139">
        <v>436000</v>
      </c>
      <c r="F12" t="s">
        <v>329</v>
      </c>
      <c r="K12">
        <v>2023</v>
      </c>
      <c r="L12" s="139">
        <v>311000</v>
      </c>
      <c r="M12" s="139">
        <v>100000</v>
      </c>
      <c r="N12" s="139">
        <v>411000</v>
      </c>
      <c r="P12" t="s">
        <v>329</v>
      </c>
    </row>
    <row r="13" spans="1:16">
      <c r="A13">
        <v>2024</v>
      </c>
      <c r="B13" s="139">
        <v>336000</v>
      </c>
      <c r="C13" s="139">
        <v>100000</v>
      </c>
      <c r="D13" s="139">
        <v>436000</v>
      </c>
      <c r="F13" t="s">
        <v>329</v>
      </c>
      <c r="K13">
        <v>2024</v>
      </c>
      <c r="L13" s="139">
        <v>311000</v>
      </c>
      <c r="M13" s="139">
        <v>100000</v>
      </c>
      <c r="N13" s="139">
        <v>411000</v>
      </c>
      <c r="P13" t="s">
        <v>329</v>
      </c>
    </row>
    <row r="14" spans="1:16">
      <c r="A14">
        <v>2025</v>
      </c>
      <c r="B14" s="139">
        <v>336000</v>
      </c>
      <c r="C14" s="139">
        <v>100000</v>
      </c>
      <c r="D14" s="139">
        <v>436000</v>
      </c>
      <c r="F14" t="s">
        <v>329</v>
      </c>
      <c r="K14">
        <v>2025</v>
      </c>
      <c r="L14" s="139">
        <v>311000</v>
      </c>
      <c r="M14" s="139">
        <v>100000</v>
      </c>
      <c r="N14" s="139">
        <v>411000</v>
      </c>
      <c r="P14" t="s">
        <v>329</v>
      </c>
    </row>
    <row r="15" spans="1:16">
      <c r="A15">
        <v>2026</v>
      </c>
      <c r="B15" s="139">
        <v>336000</v>
      </c>
      <c r="C15" s="139">
        <v>205000</v>
      </c>
      <c r="D15" s="139">
        <v>541000</v>
      </c>
      <c r="F15" t="s">
        <v>329</v>
      </c>
      <c r="K15">
        <v>2026</v>
      </c>
      <c r="L15" s="139">
        <v>311000</v>
      </c>
      <c r="M15" s="139">
        <v>205000</v>
      </c>
      <c r="N15" s="139">
        <v>516000</v>
      </c>
      <c r="P15" t="s">
        <v>329</v>
      </c>
    </row>
    <row r="16" spans="1:16">
      <c r="A16">
        <v>2027</v>
      </c>
      <c r="B16" s="139">
        <v>336000</v>
      </c>
      <c r="C16" s="139">
        <v>100000</v>
      </c>
      <c r="D16" s="139">
        <v>436000</v>
      </c>
      <c r="F16" t="s">
        <v>329</v>
      </c>
      <c r="K16">
        <v>2027</v>
      </c>
      <c r="L16" s="139">
        <v>311000</v>
      </c>
      <c r="M16" s="139">
        <v>100000</v>
      </c>
      <c r="N16" s="139">
        <v>411000</v>
      </c>
      <c r="P16" t="s">
        <v>329</v>
      </c>
    </row>
    <row r="17" spans="1:19">
      <c r="A17">
        <v>2028</v>
      </c>
      <c r="B17" s="139">
        <v>336000</v>
      </c>
      <c r="C17" s="139">
        <v>100000</v>
      </c>
      <c r="D17" s="139">
        <v>436000</v>
      </c>
      <c r="F17" t="s">
        <v>329</v>
      </c>
      <c r="K17">
        <v>2028</v>
      </c>
      <c r="L17" s="139">
        <v>311000</v>
      </c>
      <c r="M17" s="139">
        <v>100000</v>
      </c>
      <c r="N17" s="139">
        <v>411000</v>
      </c>
      <c r="P17" t="s">
        <v>329</v>
      </c>
    </row>
    <row r="18" spans="1:19">
      <c r="A18">
        <v>2029</v>
      </c>
      <c r="B18" s="139">
        <v>336000</v>
      </c>
      <c r="C18" s="139">
        <v>100000</v>
      </c>
      <c r="D18" s="139">
        <v>436000</v>
      </c>
      <c r="F18" t="s">
        <v>329</v>
      </c>
      <c r="K18">
        <v>2029</v>
      </c>
      <c r="L18" s="139">
        <v>311000</v>
      </c>
      <c r="M18" s="139">
        <v>100000</v>
      </c>
      <c r="N18" s="139">
        <v>411000</v>
      </c>
      <c r="P18" t="s">
        <v>329</v>
      </c>
    </row>
    <row r="19" spans="1:19">
      <c r="A19">
        <v>2030</v>
      </c>
      <c r="B19" s="139">
        <v>336000</v>
      </c>
      <c r="C19" s="139">
        <v>100000</v>
      </c>
      <c r="D19" s="139">
        <v>436000</v>
      </c>
      <c r="F19" t="s">
        <v>329</v>
      </c>
      <c r="K19">
        <v>2030</v>
      </c>
      <c r="L19" s="139">
        <v>311000</v>
      </c>
      <c r="M19" s="139">
        <v>169000</v>
      </c>
      <c r="N19" s="139">
        <v>480000</v>
      </c>
      <c r="P19" t="s">
        <v>329</v>
      </c>
    </row>
    <row r="20" spans="1:19">
      <c r="A20">
        <v>2031</v>
      </c>
      <c r="B20" s="139">
        <v>336000</v>
      </c>
      <c r="C20" s="139">
        <v>100000</v>
      </c>
      <c r="D20" s="139">
        <v>436000</v>
      </c>
      <c r="F20" t="s">
        <v>329</v>
      </c>
      <c r="K20">
        <v>2031</v>
      </c>
      <c r="L20" s="139">
        <v>311000</v>
      </c>
      <c r="M20" s="139">
        <v>100000</v>
      </c>
      <c r="N20" s="139">
        <v>411000</v>
      </c>
      <c r="P20" t="s">
        <v>329</v>
      </c>
    </row>
    <row r="21" spans="1:19">
      <c r="A21">
        <v>2032</v>
      </c>
      <c r="B21" s="139">
        <v>336000</v>
      </c>
      <c r="C21" s="139">
        <v>1280000</v>
      </c>
      <c r="D21" s="139">
        <v>1616000</v>
      </c>
      <c r="F21" t="s">
        <v>329</v>
      </c>
      <c r="K21">
        <v>2032</v>
      </c>
      <c r="L21" s="139">
        <v>311000</v>
      </c>
      <c r="M21" s="139">
        <v>1711000</v>
      </c>
      <c r="N21" s="139">
        <v>2022000</v>
      </c>
      <c r="P21" t="s">
        <v>329</v>
      </c>
    </row>
    <row r="22" spans="1:19">
      <c r="A22">
        <v>2033</v>
      </c>
      <c r="B22" s="139">
        <v>336000</v>
      </c>
      <c r="C22" s="139">
        <v>100000</v>
      </c>
      <c r="D22" s="139">
        <v>436000</v>
      </c>
      <c r="F22" t="s">
        <v>329</v>
      </c>
      <c r="K22">
        <v>2033</v>
      </c>
      <c r="L22" s="139">
        <v>311000</v>
      </c>
      <c r="M22" s="139">
        <v>100000</v>
      </c>
      <c r="N22" s="139">
        <v>411000</v>
      </c>
      <c r="P22" t="s">
        <v>329</v>
      </c>
    </row>
    <row r="23" spans="1:19">
      <c r="A23">
        <v>2034</v>
      </c>
      <c r="B23" s="139">
        <v>336000</v>
      </c>
      <c r="C23" s="139">
        <v>100000</v>
      </c>
      <c r="D23" s="139">
        <v>436000</v>
      </c>
      <c r="F23" t="s">
        <v>329</v>
      </c>
      <c r="K23">
        <v>2034</v>
      </c>
      <c r="L23" s="139">
        <v>311000</v>
      </c>
      <c r="M23" s="139">
        <v>100000</v>
      </c>
      <c r="N23" s="139">
        <v>411000</v>
      </c>
      <c r="P23" t="s">
        <v>329</v>
      </c>
    </row>
    <row r="24" spans="1:19">
      <c r="A24">
        <v>2035</v>
      </c>
      <c r="B24" s="139">
        <v>336000</v>
      </c>
      <c r="C24" s="139">
        <v>100000</v>
      </c>
      <c r="D24" s="139">
        <v>436000</v>
      </c>
      <c r="F24" t="s">
        <v>329</v>
      </c>
      <c r="K24">
        <v>2035</v>
      </c>
      <c r="L24" s="139">
        <v>311000</v>
      </c>
      <c r="M24" s="139">
        <v>100000</v>
      </c>
      <c r="N24" s="139">
        <v>411000</v>
      </c>
      <c r="P24" t="s">
        <v>329</v>
      </c>
    </row>
    <row r="25" spans="1:19">
      <c r="A25">
        <v>2036</v>
      </c>
      <c r="B25" s="139">
        <v>336000</v>
      </c>
      <c r="C25" s="139">
        <v>100000</v>
      </c>
      <c r="D25" s="139">
        <v>436000</v>
      </c>
      <c r="F25" t="s">
        <v>329</v>
      </c>
      <c r="K25">
        <v>2036</v>
      </c>
      <c r="L25" s="139">
        <v>311000</v>
      </c>
      <c r="M25" s="139">
        <v>100000</v>
      </c>
      <c r="N25" s="139">
        <v>411000</v>
      </c>
      <c r="P25" t="s">
        <v>329</v>
      </c>
    </row>
    <row r="26" spans="1:19">
      <c r="A26">
        <v>2037</v>
      </c>
      <c r="B26" s="139">
        <v>336000</v>
      </c>
      <c r="C26" s="139">
        <v>100000</v>
      </c>
      <c r="D26" s="139">
        <v>436000</v>
      </c>
      <c r="F26" t="s">
        <v>329</v>
      </c>
      <c r="K26">
        <v>2037</v>
      </c>
      <c r="L26" s="139">
        <v>311000</v>
      </c>
      <c r="M26" s="139">
        <v>100000</v>
      </c>
      <c r="N26" s="139">
        <v>411000</v>
      </c>
      <c r="P26" t="s">
        <v>329</v>
      </c>
    </row>
    <row r="27" spans="1:19">
      <c r="A27">
        <v>2038</v>
      </c>
      <c r="B27" s="139">
        <v>336000</v>
      </c>
      <c r="C27" s="139">
        <v>205000</v>
      </c>
      <c r="D27" s="139">
        <v>541000</v>
      </c>
      <c r="F27" t="s">
        <v>329</v>
      </c>
      <c r="K27">
        <v>2038</v>
      </c>
      <c r="L27" s="139">
        <v>311000</v>
      </c>
      <c r="M27" s="139">
        <v>205000</v>
      </c>
      <c r="N27" s="139">
        <v>516000</v>
      </c>
      <c r="P27" t="s">
        <v>329</v>
      </c>
    </row>
    <row r="28" spans="1:19">
      <c r="A28">
        <v>2039</v>
      </c>
      <c r="B28" s="139">
        <v>336000</v>
      </c>
      <c r="C28" s="139">
        <v>100000</v>
      </c>
      <c r="D28" s="139">
        <v>436000</v>
      </c>
      <c r="F28" t="s">
        <v>329</v>
      </c>
      <c r="K28">
        <v>2039</v>
      </c>
      <c r="L28" s="139">
        <v>311000</v>
      </c>
      <c r="M28" s="139">
        <v>100000</v>
      </c>
      <c r="N28" s="139">
        <v>411000</v>
      </c>
      <c r="P28" t="s">
        <v>329</v>
      </c>
    </row>
    <row r="29" spans="1:19">
      <c r="A29">
        <v>2040</v>
      </c>
      <c r="B29" s="139">
        <v>336000</v>
      </c>
      <c r="C29" s="139">
        <v>100000</v>
      </c>
      <c r="D29" s="139">
        <v>436000</v>
      </c>
      <c r="F29" t="s">
        <v>329</v>
      </c>
      <c r="G29" s="139">
        <v>7056000</v>
      </c>
      <c r="H29" s="139">
        <v>3390000</v>
      </c>
      <c r="I29" s="139">
        <v>10446000</v>
      </c>
      <c r="K29">
        <v>2040</v>
      </c>
      <c r="L29" s="139">
        <v>311000</v>
      </c>
      <c r="M29" s="139">
        <v>169000</v>
      </c>
      <c r="N29" s="139">
        <v>480000</v>
      </c>
      <c r="P29" t="s">
        <v>329</v>
      </c>
      <c r="Q29" s="139">
        <v>6531000</v>
      </c>
      <c r="R29" s="139">
        <v>3959000</v>
      </c>
      <c r="S29" s="139">
        <v>10490000</v>
      </c>
    </row>
    <row r="30" spans="1:19">
      <c r="A30">
        <v>2041</v>
      </c>
      <c r="B30" s="139">
        <v>336000</v>
      </c>
      <c r="C30" s="139">
        <v>100000</v>
      </c>
      <c r="D30" s="139">
        <v>436000</v>
      </c>
      <c r="F30" t="s">
        <v>329</v>
      </c>
      <c r="K30">
        <v>2041</v>
      </c>
      <c r="L30" s="139">
        <v>311000</v>
      </c>
      <c r="M30" s="139">
        <v>100000</v>
      </c>
      <c r="N30" s="139">
        <v>411000</v>
      </c>
      <c r="P30" t="s">
        <v>329</v>
      </c>
    </row>
    <row r="31" spans="1:19">
      <c r="A31">
        <v>2042</v>
      </c>
      <c r="B31" s="139">
        <v>336000</v>
      </c>
      <c r="C31" s="139">
        <v>100000</v>
      </c>
      <c r="D31" s="139">
        <v>436000</v>
      </c>
      <c r="F31" t="s">
        <v>329</v>
      </c>
      <c r="K31">
        <v>2042</v>
      </c>
      <c r="L31" s="139">
        <v>311000</v>
      </c>
      <c r="M31" s="139">
        <v>100000</v>
      </c>
      <c r="N31" s="139">
        <v>411000</v>
      </c>
      <c r="P31" t="s">
        <v>329</v>
      </c>
    </row>
    <row r="32" spans="1:19">
      <c r="A32">
        <v>2043</v>
      </c>
      <c r="B32" s="139">
        <v>336000</v>
      </c>
      <c r="C32" s="139">
        <v>100000</v>
      </c>
      <c r="D32" s="139">
        <v>436000</v>
      </c>
      <c r="F32" t="s">
        <v>329</v>
      </c>
      <c r="K32">
        <v>2043</v>
      </c>
      <c r="L32" s="139">
        <v>311000</v>
      </c>
      <c r="M32" s="139">
        <v>100000</v>
      </c>
      <c r="N32" s="139">
        <v>411000</v>
      </c>
      <c r="P32" t="s">
        <v>329</v>
      </c>
    </row>
    <row r="33" spans="1:16">
      <c r="A33">
        <v>2044</v>
      </c>
      <c r="B33" s="139">
        <v>336000</v>
      </c>
      <c r="C33" s="139">
        <v>1424000</v>
      </c>
      <c r="D33" s="139">
        <v>1760000</v>
      </c>
      <c r="F33" t="s">
        <v>329</v>
      </c>
      <c r="K33">
        <v>2044</v>
      </c>
      <c r="L33" s="139">
        <v>311000</v>
      </c>
      <c r="M33" s="139">
        <v>2213000</v>
      </c>
      <c r="N33" s="139">
        <v>2524000</v>
      </c>
      <c r="P33" t="s">
        <v>329</v>
      </c>
    </row>
    <row r="34" spans="1:16">
      <c r="A34">
        <v>2045</v>
      </c>
      <c r="B34" s="139">
        <v>336000</v>
      </c>
      <c r="C34" s="139">
        <v>100000</v>
      </c>
      <c r="D34" s="139">
        <v>436000</v>
      </c>
      <c r="F34" t="s">
        <v>329</v>
      </c>
      <c r="K34">
        <v>2045</v>
      </c>
      <c r="L34" s="139">
        <v>311000</v>
      </c>
      <c r="M34" s="139">
        <v>100000</v>
      </c>
      <c r="N34" s="139">
        <v>411000</v>
      </c>
      <c r="P34" t="s">
        <v>329</v>
      </c>
    </row>
    <row r="35" spans="1:16">
      <c r="A35">
        <v>2046</v>
      </c>
      <c r="B35" s="139">
        <v>336000</v>
      </c>
      <c r="C35" s="139">
        <v>100000</v>
      </c>
      <c r="D35" s="139">
        <v>436000</v>
      </c>
      <c r="F35" t="s">
        <v>329</v>
      </c>
      <c r="K35">
        <v>2046</v>
      </c>
      <c r="L35" s="139">
        <v>311000</v>
      </c>
      <c r="M35" s="139">
        <v>100000</v>
      </c>
      <c r="N35" s="139">
        <v>411000</v>
      </c>
      <c r="P35" t="s">
        <v>329</v>
      </c>
    </row>
    <row r="36" spans="1:16">
      <c r="A36">
        <v>2047</v>
      </c>
      <c r="B36" s="139">
        <v>336000</v>
      </c>
      <c r="C36" s="139">
        <v>100000</v>
      </c>
      <c r="D36" s="139">
        <v>436000</v>
      </c>
      <c r="F36" t="s">
        <v>329</v>
      </c>
      <c r="K36">
        <v>2047</v>
      </c>
      <c r="L36" s="139">
        <v>311000</v>
      </c>
      <c r="M36" s="139">
        <v>100000</v>
      </c>
      <c r="N36" s="139">
        <v>411000</v>
      </c>
      <c r="P36" t="s">
        <v>329</v>
      </c>
    </row>
    <row r="37" spans="1:16">
      <c r="A37">
        <v>2048</v>
      </c>
      <c r="B37" s="139">
        <v>336000</v>
      </c>
      <c r="C37" s="139">
        <v>100000</v>
      </c>
      <c r="D37" s="139">
        <v>436000</v>
      </c>
      <c r="F37" t="s">
        <v>329</v>
      </c>
      <c r="K37">
        <v>2048</v>
      </c>
      <c r="L37" s="139">
        <v>311000</v>
      </c>
      <c r="M37" s="139">
        <v>100000</v>
      </c>
      <c r="N37" s="139">
        <v>411000</v>
      </c>
      <c r="P37" t="s">
        <v>329</v>
      </c>
    </row>
    <row r="38" spans="1:16">
      <c r="A38">
        <v>2049</v>
      </c>
      <c r="B38" s="139">
        <v>336000</v>
      </c>
      <c r="C38" s="139">
        <v>100000</v>
      </c>
      <c r="D38" s="139">
        <v>436000</v>
      </c>
      <c r="F38" t="s">
        <v>329</v>
      </c>
      <c r="K38">
        <v>2049</v>
      </c>
      <c r="L38" s="139">
        <v>311000</v>
      </c>
      <c r="M38" s="139">
        <v>100000</v>
      </c>
      <c r="N38" s="139">
        <v>411000</v>
      </c>
      <c r="P38" t="s">
        <v>329</v>
      </c>
    </row>
    <row r="39" spans="1:16">
      <c r="A39">
        <v>2050</v>
      </c>
      <c r="B39" s="139">
        <v>336000</v>
      </c>
      <c r="C39" s="139">
        <v>337000</v>
      </c>
      <c r="D39" s="139">
        <v>673000</v>
      </c>
      <c r="F39" t="s">
        <v>329</v>
      </c>
      <c r="K39">
        <v>2050</v>
      </c>
      <c r="L39" s="139">
        <v>311000</v>
      </c>
      <c r="M39" s="139">
        <v>429000</v>
      </c>
      <c r="N39" s="139">
        <v>740000</v>
      </c>
      <c r="P39" t="s">
        <v>329</v>
      </c>
    </row>
    <row r="40" spans="1:16">
      <c r="A40">
        <v>2051</v>
      </c>
      <c r="B40" s="139">
        <v>336000</v>
      </c>
      <c r="C40" s="139">
        <v>100000</v>
      </c>
      <c r="D40" s="139">
        <v>436000</v>
      </c>
      <c r="F40" t="s">
        <v>329</v>
      </c>
      <c r="K40">
        <v>2051</v>
      </c>
      <c r="L40" s="139">
        <v>311000</v>
      </c>
      <c r="M40" s="139">
        <v>100000</v>
      </c>
      <c r="N40" s="139">
        <v>411000</v>
      </c>
      <c r="P40" t="s">
        <v>329</v>
      </c>
    </row>
    <row r="41" spans="1:16">
      <c r="A41">
        <v>2052</v>
      </c>
      <c r="B41" s="139">
        <v>336000</v>
      </c>
      <c r="C41" s="139">
        <v>100000</v>
      </c>
      <c r="D41" s="139">
        <v>436000</v>
      </c>
      <c r="F41" t="s">
        <v>329</v>
      </c>
      <c r="K41">
        <v>2052</v>
      </c>
      <c r="L41" s="139">
        <v>311000</v>
      </c>
      <c r="M41" s="139">
        <v>100000</v>
      </c>
      <c r="N41" s="139">
        <v>411000</v>
      </c>
      <c r="P41" t="s">
        <v>329</v>
      </c>
    </row>
    <row r="42" spans="1:16">
      <c r="A42">
        <v>2053</v>
      </c>
      <c r="B42" s="139">
        <v>336000</v>
      </c>
      <c r="C42" s="139">
        <v>100000</v>
      </c>
      <c r="D42" s="139">
        <v>436000</v>
      </c>
      <c r="F42" t="s">
        <v>329</v>
      </c>
      <c r="K42">
        <v>2053</v>
      </c>
      <c r="L42" s="139">
        <v>311000</v>
      </c>
      <c r="M42" s="139">
        <v>100000</v>
      </c>
      <c r="N42" s="139">
        <v>411000</v>
      </c>
      <c r="P42" t="s">
        <v>329</v>
      </c>
    </row>
    <row r="43" spans="1:16">
      <c r="A43">
        <v>2054</v>
      </c>
      <c r="B43" s="139">
        <v>336000</v>
      </c>
      <c r="C43" s="139">
        <v>100000</v>
      </c>
      <c r="D43" s="139">
        <v>436000</v>
      </c>
      <c r="F43" t="s">
        <v>329</v>
      </c>
      <c r="K43">
        <v>2054</v>
      </c>
      <c r="L43" s="139">
        <v>311000</v>
      </c>
      <c r="M43" s="139">
        <v>100000</v>
      </c>
      <c r="N43" s="139">
        <v>411000</v>
      </c>
      <c r="P43" t="s">
        <v>329</v>
      </c>
    </row>
    <row r="44" spans="1:16">
      <c r="A44">
        <v>2055</v>
      </c>
      <c r="B44" s="139">
        <v>336000</v>
      </c>
      <c r="C44" s="139">
        <v>100000</v>
      </c>
      <c r="D44" s="139">
        <v>436000</v>
      </c>
      <c r="F44" t="s">
        <v>329</v>
      </c>
      <c r="K44">
        <v>2055</v>
      </c>
      <c r="L44" s="139">
        <v>311000</v>
      </c>
      <c r="M44" s="139">
        <v>100000</v>
      </c>
      <c r="N44" s="139">
        <v>411000</v>
      </c>
      <c r="P44" t="s">
        <v>329</v>
      </c>
    </row>
    <row r="45" spans="1:16">
      <c r="A45">
        <v>2056</v>
      </c>
      <c r="B45" s="139">
        <v>336000</v>
      </c>
      <c r="C45" s="139">
        <v>1280000</v>
      </c>
      <c r="D45" s="139">
        <v>1616000</v>
      </c>
      <c r="F45" t="s">
        <v>329</v>
      </c>
      <c r="K45">
        <v>2056</v>
      </c>
      <c r="L45" s="139">
        <v>311000</v>
      </c>
      <c r="M45" s="139">
        <v>1711000</v>
      </c>
      <c r="N45" s="139">
        <v>2022000</v>
      </c>
      <c r="P45" t="s">
        <v>329</v>
      </c>
    </row>
    <row r="46" spans="1:16">
      <c r="A46">
        <v>2057</v>
      </c>
      <c r="B46" s="139">
        <v>336000</v>
      </c>
      <c r="C46" s="139">
        <v>100000</v>
      </c>
      <c r="D46" s="139">
        <v>436000</v>
      </c>
      <c r="F46" t="s">
        <v>329</v>
      </c>
      <c r="K46">
        <v>2057</v>
      </c>
      <c r="L46" s="139">
        <v>311000</v>
      </c>
      <c r="M46" s="139">
        <v>100000</v>
      </c>
      <c r="N46" s="139">
        <v>411000</v>
      </c>
      <c r="P46" t="s">
        <v>329</v>
      </c>
    </row>
    <row r="47" spans="1:16">
      <c r="A47">
        <v>2058</v>
      </c>
      <c r="B47" s="139">
        <v>336000</v>
      </c>
      <c r="C47" s="139">
        <v>100000</v>
      </c>
      <c r="D47" s="139">
        <v>436000</v>
      </c>
      <c r="F47" t="s">
        <v>329</v>
      </c>
      <c r="K47">
        <v>2058</v>
      </c>
      <c r="L47" s="139">
        <v>311000</v>
      </c>
      <c r="M47" s="139">
        <v>100000</v>
      </c>
      <c r="N47" s="139">
        <v>411000</v>
      </c>
      <c r="P47" t="s">
        <v>329</v>
      </c>
    </row>
    <row r="48" spans="1:16">
      <c r="A48">
        <v>2059</v>
      </c>
      <c r="B48" s="139">
        <v>336000</v>
      </c>
      <c r="C48" s="139">
        <v>100000</v>
      </c>
      <c r="D48" s="139">
        <v>436000</v>
      </c>
      <c r="F48" t="s">
        <v>329</v>
      </c>
      <c r="K48">
        <v>2059</v>
      </c>
      <c r="L48" s="139">
        <v>311000</v>
      </c>
      <c r="M48" s="139">
        <v>100000</v>
      </c>
      <c r="N48" s="139">
        <v>411000</v>
      </c>
      <c r="P48" t="s">
        <v>329</v>
      </c>
    </row>
    <row r="51" spans="1:13">
      <c r="A51" t="s">
        <v>322</v>
      </c>
      <c r="B51" t="b">
        <v>1</v>
      </c>
      <c r="C51" t="b">
        <v>1</v>
      </c>
      <c r="K51" t="s">
        <v>322</v>
      </c>
      <c r="L51" t="b">
        <v>1</v>
      </c>
      <c r="M51" t="b">
        <v>1</v>
      </c>
    </row>
  </sheetData>
  <sheetProtection algorithmName="SHA-512" hashValue="DlvyU2mTwF0LtTUaT46SDwY7n2Reg/oak7st4PTnKNE8hY8Ud/5JNca4pTAY8+wFUu9+88ku4pUEtGGRcdM1BA==" saltValue="smlRJh5SyrHqX8yfXcFaKA=="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DA126-8B9C-4AAA-A321-03F5E4BB22D3}">
  <sheetPr>
    <tabColor theme="0"/>
  </sheetPr>
  <dimension ref="A1:P35"/>
  <sheetViews>
    <sheetView workbookViewId="0">
      <selection activeCell="P7" sqref="P7"/>
    </sheetView>
  </sheetViews>
  <sheetFormatPr defaultColWidth="8.7109375" defaultRowHeight="15"/>
  <cols>
    <col min="1" max="15" width="8.7109375" style="206"/>
    <col min="16" max="16" width="20" style="206" bestFit="1" customWidth="1"/>
    <col min="17" max="16384" width="8.7109375" style="206"/>
  </cols>
  <sheetData>
    <row r="1" spans="1:16" s="148" customFormat="1">
      <c r="A1" s="127" t="s">
        <v>791</v>
      </c>
    </row>
    <row r="3" spans="1:16">
      <c r="B3" s="206" t="s">
        <v>792</v>
      </c>
    </row>
    <row r="4" spans="1:16">
      <c r="B4" s="403" t="s">
        <v>793</v>
      </c>
    </row>
    <row r="5" spans="1:16">
      <c r="B5" s="404"/>
    </row>
    <row r="6" spans="1:16" ht="45">
      <c r="O6" s="22" t="s">
        <v>794</v>
      </c>
      <c r="P6" s="389" t="s">
        <v>795</v>
      </c>
    </row>
    <row r="7" spans="1:16">
      <c r="O7" s="209">
        <v>2022</v>
      </c>
      <c r="P7" s="359">
        <v>0.02</v>
      </c>
    </row>
    <row r="8" spans="1:16">
      <c r="O8" s="209">
        <f>O7+1</f>
        <v>2023</v>
      </c>
      <c r="P8" s="11">
        <f>P7+(O8-O7)*(($P$35-$P$7)/($O$35-$O$7))</f>
        <v>2.8571428571428574E-2</v>
      </c>
    </row>
    <row r="9" spans="1:16">
      <c r="O9" s="209">
        <f t="shared" ref="O9:O35" si="0">O8+1</f>
        <v>2024</v>
      </c>
      <c r="P9" s="11">
        <f t="shared" ref="P9:P34" si="1">P8+(O9-O8)*(($P$35-$P$7)/($O$35-$O$7))</f>
        <v>3.7142857142857144E-2</v>
      </c>
    </row>
    <row r="10" spans="1:16">
      <c r="O10" s="209">
        <f t="shared" si="0"/>
        <v>2025</v>
      </c>
      <c r="P10" s="11">
        <f t="shared" si="1"/>
        <v>4.5714285714285714E-2</v>
      </c>
    </row>
    <row r="11" spans="1:16">
      <c r="O11" s="209">
        <f t="shared" si="0"/>
        <v>2026</v>
      </c>
      <c r="P11" s="11">
        <f t="shared" si="1"/>
        <v>5.4285714285714284E-2</v>
      </c>
    </row>
    <row r="12" spans="1:16">
      <c r="O12" s="209">
        <f t="shared" si="0"/>
        <v>2027</v>
      </c>
      <c r="P12" s="11">
        <f t="shared" si="1"/>
        <v>6.2857142857142861E-2</v>
      </c>
    </row>
    <row r="13" spans="1:16">
      <c r="O13" s="209">
        <f t="shared" si="0"/>
        <v>2028</v>
      </c>
      <c r="P13" s="11">
        <f t="shared" si="1"/>
        <v>7.1428571428571438E-2</v>
      </c>
    </row>
    <row r="14" spans="1:16">
      <c r="O14" s="209">
        <f t="shared" si="0"/>
        <v>2029</v>
      </c>
      <c r="P14" s="11">
        <f t="shared" si="1"/>
        <v>8.0000000000000016E-2</v>
      </c>
    </row>
    <row r="15" spans="1:16">
      <c r="O15" s="209">
        <f t="shared" si="0"/>
        <v>2030</v>
      </c>
      <c r="P15" s="11">
        <f t="shared" si="1"/>
        <v>8.8571428571428593E-2</v>
      </c>
    </row>
    <row r="16" spans="1:16">
      <c r="O16" s="209">
        <f t="shared" si="0"/>
        <v>2031</v>
      </c>
      <c r="P16" s="11">
        <f t="shared" si="1"/>
        <v>9.714285714285717E-2</v>
      </c>
    </row>
    <row r="17" spans="15:16">
      <c r="O17" s="209">
        <f t="shared" si="0"/>
        <v>2032</v>
      </c>
      <c r="P17" s="11">
        <f t="shared" si="1"/>
        <v>0.10571428571428575</v>
      </c>
    </row>
    <row r="18" spans="15:16">
      <c r="O18" s="209">
        <f t="shared" si="0"/>
        <v>2033</v>
      </c>
      <c r="P18" s="11">
        <f t="shared" si="1"/>
        <v>0.11428571428571432</v>
      </c>
    </row>
    <row r="19" spans="15:16">
      <c r="O19" s="209">
        <f t="shared" si="0"/>
        <v>2034</v>
      </c>
      <c r="P19" s="11">
        <f t="shared" si="1"/>
        <v>0.1228571428571429</v>
      </c>
    </row>
    <row r="20" spans="15:16">
      <c r="O20" s="209">
        <f t="shared" si="0"/>
        <v>2035</v>
      </c>
      <c r="P20" s="11">
        <f t="shared" si="1"/>
        <v>0.13142857142857148</v>
      </c>
    </row>
    <row r="21" spans="15:16">
      <c r="O21" s="209">
        <f t="shared" si="0"/>
        <v>2036</v>
      </c>
      <c r="P21" s="11">
        <f t="shared" si="1"/>
        <v>0.14000000000000004</v>
      </c>
    </row>
    <row r="22" spans="15:16">
      <c r="O22" s="209">
        <f t="shared" si="0"/>
        <v>2037</v>
      </c>
      <c r="P22" s="11">
        <f t="shared" si="1"/>
        <v>0.1485714285714286</v>
      </c>
    </row>
    <row r="23" spans="15:16">
      <c r="O23" s="209">
        <f t="shared" si="0"/>
        <v>2038</v>
      </c>
      <c r="P23" s="11">
        <f t="shared" si="1"/>
        <v>0.15714285714285717</v>
      </c>
    </row>
    <row r="24" spans="15:16">
      <c r="O24" s="209">
        <f t="shared" si="0"/>
        <v>2039</v>
      </c>
      <c r="P24" s="11">
        <f t="shared" si="1"/>
        <v>0.16571428571428573</v>
      </c>
    </row>
    <row r="25" spans="15:16">
      <c r="O25" s="209">
        <f t="shared" si="0"/>
        <v>2040</v>
      </c>
      <c r="P25" s="11">
        <f t="shared" si="1"/>
        <v>0.17428571428571429</v>
      </c>
    </row>
    <row r="26" spans="15:16">
      <c r="O26" s="209">
        <f t="shared" si="0"/>
        <v>2041</v>
      </c>
      <c r="P26" s="11">
        <f t="shared" si="1"/>
        <v>0.18285714285714286</v>
      </c>
    </row>
    <row r="27" spans="15:16">
      <c r="O27" s="209">
        <f t="shared" si="0"/>
        <v>2042</v>
      </c>
      <c r="P27" s="11">
        <f t="shared" si="1"/>
        <v>0.19142857142857142</v>
      </c>
    </row>
    <row r="28" spans="15:16">
      <c r="O28" s="209">
        <f t="shared" si="0"/>
        <v>2043</v>
      </c>
      <c r="P28" s="11">
        <f t="shared" si="1"/>
        <v>0.19999999999999998</v>
      </c>
    </row>
    <row r="29" spans="15:16">
      <c r="O29" s="209">
        <f t="shared" si="0"/>
        <v>2044</v>
      </c>
      <c r="P29" s="11">
        <f t="shared" si="1"/>
        <v>0.20857142857142855</v>
      </c>
    </row>
    <row r="30" spans="15:16">
      <c r="O30" s="209">
        <f t="shared" si="0"/>
        <v>2045</v>
      </c>
      <c r="P30" s="11">
        <f t="shared" si="1"/>
        <v>0.21714285714285711</v>
      </c>
    </row>
    <row r="31" spans="15:16">
      <c r="O31" s="209">
        <f t="shared" si="0"/>
        <v>2046</v>
      </c>
      <c r="P31" s="11">
        <f t="shared" si="1"/>
        <v>0.22571428571428567</v>
      </c>
    </row>
    <row r="32" spans="15:16">
      <c r="O32" s="209">
        <f t="shared" si="0"/>
        <v>2047</v>
      </c>
      <c r="P32" s="11">
        <f t="shared" si="1"/>
        <v>0.23428571428571424</v>
      </c>
    </row>
    <row r="33" spans="15:16">
      <c r="O33" s="209">
        <f t="shared" si="0"/>
        <v>2048</v>
      </c>
      <c r="P33" s="11">
        <f t="shared" si="1"/>
        <v>0.2428571428571428</v>
      </c>
    </row>
    <row r="34" spans="15:16">
      <c r="O34" s="209">
        <f t="shared" si="0"/>
        <v>2049</v>
      </c>
      <c r="P34" s="11">
        <f t="shared" si="1"/>
        <v>0.25142857142857139</v>
      </c>
    </row>
    <row r="35" spans="15:16">
      <c r="O35" s="209">
        <f t="shared" si="0"/>
        <v>2050</v>
      </c>
      <c r="P35" s="359">
        <v>0.26</v>
      </c>
    </row>
  </sheetData>
  <sheetProtection algorithmName="SHA-512" hashValue="VRuKeYHgqSueNR3tHH0qS9Cxui/0NlXEIunDphujIHEolQGLcCeX2lrNyHDZcI7AZL9FZQ4J1hHRpvtt3ZIF+w==" saltValue="7R5xKuodxauGqra/v1Imhw==" spinCount="100000" sheet="1" objects="1" scenarios="1"/>
  <hyperlinks>
    <hyperlink ref="B4" r:id="rId1" xr:uid="{5E0DB168-4FB3-482E-9D9D-EC213E71861C}"/>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DC3EF-2638-4F98-968D-A41B7B9922D5}">
  <dimension ref="A1:G17"/>
  <sheetViews>
    <sheetView workbookViewId="0">
      <selection activeCell="C17" sqref="C17"/>
    </sheetView>
  </sheetViews>
  <sheetFormatPr defaultRowHeight="15"/>
  <cols>
    <col min="1" max="1" width="20.85546875" customWidth="1"/>
    <col min="2" max="2" width="16.28515625" bestFit="1" customWidth="1"/>
    <col min="3" max="3" width="21.140625" bestFit="1" customWidth="1"/>
    <col min="4" max="4" width="19.28515625" bestFit="1" customWidth="1"/>
    <col min="6" max="6" width="14" bestFit="1" customWidth="1"/>
    <col min="7" max="7" width="12.140625" bestFit="1" customWidth="1"/>
  </cols>
  <sheetData>
    <row r="1" spans="1:7">
      <c r="A1" t="s">
        <v>540</v>
      </c>
    </row>
    <row r="4" spans="1:7">
      <c r="B4" s="806" t="s">
        <v>546</v>
      </c>
      <c r="C4" s="806"/>
      <c r="D4" s="806"/>
    </row>
    <row r="5" spans="1:7">
      <c r="A5" s="292" t="s">
        <v>545</v>
      </c>
      <c r="B5" s="292" t="s">
        <v>0</v>
      </c>
      <c r="C5" s="209" t="s">
        <v>565</v>
      </c>
      <c r="D5" s="209" t="s">
        <v>566</v>
      </c>
      <c r="F5" s="292" t="s">
        <v>590</v>
      </c>
    </row>
    <row r="6" spans="1:7">
      <c r="A6" s="209" t="s">
        <v>229</v>
      </c>
      <c r="B6" s="164">
        <f>'I-87_CostTables'!P39</f>
        <v>550417731.3395673</v>
      </c>
      <c r="C6" s="12">
        <f>'I-87_CostTables'!P23</f>
        <v>982771.70513960521</v>
      </c>
      <c r="D6" s="12">
        <f>B6-C6</f>
        <v>549434959.63442767</v>
      </c>
      <c r="F6" s="164">
        <f>MROUND(B6,1000)</f>
        <v>550418000</v>
      </c>
      <c r="G6" s="164">
        <f>MROUND(C6,1000)</f>
        <v>983000</v>
      </c>
    </row>
    <row r="7" spans="1:7">
      <c r="A7" s="209" t="s">
        <v>291</v>
      </c>
      <c r="B7" s="164">
        <f>'I-87_CostTables'!G120</f>
        <v>19091760.09137084</v>
      </c>
      <c r="C7" s="12">
        <f>'I-87_CostTables'!G104</f>
        <v>0</v>
      </c>
      <c r="D7" s="12">
        <f>B7-C7</f>
        <v>19091760.09137084</v>
      </c>
      <c r="F7" s="164">
        <f>MROUND(B7,1000)</f>
        <v>19092000</v>
      </c>
    </row>
    <row r="8" spans="1:7">
      <c r="A8" s="209" t="s">
        <v>547</v>
      </c>
      <c r="B8" s="164">
        <f>Costs_Resilience!F21</f>
        <v>3299179.5040545887</v>
      </c>
      <c r="C8" s="12">
        <v>0</v>
      </c>
      <c r="D8" s="12">
        <f>Costs_Resilience!F21</f>
        <v>3299179.5040545887</v>
      </c>
      <c r="F8" s="164">
        <f>MROUND(B8,1000)</f>
        <v>3299000</v>
      </c>
    </row>
    <row r="9" spans="1:7">
      <c r="A9" s="34" t="s">
        <v>0</v>
      </c>
      <c r="B9" s="164">
        <f>SUM(B6:B8)</f>
        <v>572808670.93499267</v>
      </c>
      <c r="C9" s="164">
        <f>SUM(C6:C8)</f>
        <v>982771.70513960521</v>
      </c>
      <c r="D9" s="164">
        <f>SUM(D6:D8)</f>
        <v>571825899.22985303</v>
      </c>
      <c r="F9" s="164">
        <f>SUM(F6:F8)</f>
        <v>572809000</v>
      </c>
    </row>
    <row r="11" spans="1:7">
      <c r="A11" t="s">
        <v>582</v>
      </c>
      <c r="C11" t="s">
        <v>546</v>
      </c>
      <c r="D11" t="s">
        <v>589</v>
      </c>
    </row>
    <row r="12" spans="1:7">
      <c r="A12" t="s">
        <v>571</v>
      </c>
      <c r="C12" s="299">
        <f>'I-87_CostTables'!P60+Costs_Resilience!L21</f>
        <v>123822394.4410328</v>
      </c>
      <c r="D12" s="299">
        <f>MROUND(C12,1000)</f>
        <v>123822000</v>
      </c>
    </row>
    <row r="13" spans="1:7">
      <c r="A13" t="s">
        <v>572</v>
      </c>
      <c r="C13" s="299">
        <f>'I-87_CostTables'!P80-'I-87_CostTables'!P60</f>
        <v>60208516.553401515</v>
      </c>
      <c r="D13" s="299">
        <f>MROUND(C13,1000)</f>
        <v>60209000</v>
      </c>
      <c r="G13" s="208"/>
    </row>
    <row r="14" spans="1:7">
      <c r="A14" t="s">
        <v>573</v>
      </c>
      <c r="C14" s="208">
        <f>'I-87_CostTables'!P100+Costs_Resilience!L32</f>
        <v>387794988.23541892</v>
      </c>
      <c r="D14" s="299">
        <f>MROUND(C14,1000)</f>
        <v>387795000</v>
      </c>
    </row>
    <row r="15" spans="1:7">
      <c r="C15" s="208">
        <f>SUM(C12:C14)</f>
        <v>571825899.22985315</v>
      </c>
      <c r="D15" s="208">
        <f>SUM(D12:D14)</f>
        <v>571826000</v>
      </c>
    </row>
    <row r="17" spans="3:4">
      <c r="C17" s="208">
        <f>C15-D9</f>
        <v>0</v>
      </c>
      <c r="D17" s="63">
        <f>D14/D12</f>
        <v>3.1318747880021323</v>
      </c>
    </row>
  </sheetData>
  <sheetProtection algorithmName="SHA-512" hashValue="Vq2wJB2+ZxMp26AkrMGCWQW3alc4aUVuqcVQotbQkJ0ahDB/OPhhdp5BsdwykMYAD1ppbBY3vLxa5fpaaW10jQ==" saltValue="XyHKdablRi2ncNEgq5qjlQ==" spinCount="100000" sheet="1" objects="1" scenarios="1"/>
  <mergeCells count="1">
    <mergeCell ref="B4:D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P99"/>
  <sheetViews>
    <sheetView topLeftCell="A70" zoomScale="85" zoomScaleNormal="85" workbookViewId="0">
      <selection activeCell="A99" sqref="A99"/>
    </sheetView>
  </sheetViews>
  <sheetFormatPr defaultColWidth="8.7109375" defaultRowHeight="15"/>
  <cols>
    <col min="1" max="1" width="8.140625" style="222" customWidth="1"/>
    <col min="2" max="5" width="10.42578125" style="222" customWidth="1"/>
    <col min="6" max="6" width="11.42578125" style="222" customWidth="1"/>
    <col min="7" max="10" width="10.42578125" style="222" customWidth="1"/>
    <col min="11" max="12" width="10.85546875" style="222" customWidth="1"/>
    <col min="13" max="15" width="10.42578125" style="222" customWidth="1"/>
    <col min="16" max="16" width="11.42578125" style="222" customWidth="1"/>
    <col min="17" max="17" width="17.5703125" style="222" customWidth="1"/>
    <col min="18" max="16384" width="8.7109375" style="222"/>
  </cols>
  <sheetData>
    <row r="1" spans="1:16" s="257" customFormat="1" ht="20.100000000000001" customHeight="1">
      <c r="A1" s="821" t="s">
        <v>541</v>
      </c>
      <c r="B1" s="821"/>
      <c r="C1" s="821"/>
      <c r="D1" s="821"/>
      <c r="E1" s="821"/>
      <c r="F1" s="821"/>
      <c r="G1" s="821"/>
      <c r="H1" s="821"/>
      <c r="I1" s="821"/>
      <c r="J1" s="821"/>
      <c r="K1" s="821"/>
      <c r="L1" s="348"/>
      <c r="M1" s="348"/>
      <c r="N1" s="348"/>
      <c r="O1" s="348"/>
      <c r="P1" s="348"/>
    </row>
    <row r="2" spans="1:16" s="257" customFormat="1" ht="14.1" customHeight="1">
      <c r="A2" s="827" t="s">
        <v>509</v>
      </c>
      <c r="B2" s="827"/>
      <c r="C2" s="827"/>
      <c r="D2" s="827"/>
      <c r="E2" s="827"/>
      <c r="F2" s="827"/>
      <c r="G2" s="827"/>
      <c r="H2" s="827"/>
      <c r="I2" s="827"/>
      <c r="J2" s="827"/>
      <c r="K2" s="827"/>
      <c r="L2" s="348"/>
      <c r="M2" s="348"/>
      <c r="N2" s="348"/>
      <c r="O2" s="348"/>
      <c r="P2" s="348"/>
    </row>
    <row r="3" spans="1:16" s="258" customFormat="1" ht="50.25" customHeight="1">
      <c r="A3" s="822" t="s">
        <v>45</v>
      </c>
      <c r="B3" s="822" t="s">
        <v>231</v>
      </c>
      <c r="C3" s="822" t="s">
        <v>232</v>
      </c>
      <c r="D3" s="825" t="s">
        <v>46</v>
      </c>
      <c r="E3" s="825"/>
      <c r="F3" s="825"/>
      <c r="G3" s="825"/>
      <c r="H3" s="825"/>
      <c r="I3" s="825"/>
      <c r="J3" s="825"/>
      <c r="K3" s="825"/>
      <c r="L3" s="825"/>
      <c r="M3" s="825"/>
      <c r="N3" s="825"/>
      <c r="O3" s="825"/>
      <c r="P3" s="825"/>
    </row>
    <row r="4" spans="1:16" s="258" customFormat="1" ht="33.950000000000003" customHeight="1">
      <c r="A4" s="822"/>
      <c r="B4" s="822"/>
      <c r="C4" s="822"/>
      <c r="D4" s="823" t="s">
        <v>0</v>
      </c>
      <c r="E4" s="823" t="s">
        <v>233</v>
      </c>
      <c r="F4" s="823" t="s">
        <v>234</v>
      </c>
      <c r="G4" s="823" t="s">
        <v>47</v>
      </c>
      <c r="H4" s="823"/>
      <c r="I4" s="823"/>
      <c r="J4" s="824" t="s">
        <v>235</v>
      </c>
      <c r="K4" s="826" t="s">
        <v>48</v>
      </c>
      <c r="L4" s="826" t="s">
        <v>236</v>
      </c>
      <c r="M4" s="826" t="s">
        <v>49</v>
      </c>
      <c r="N4" s="826" t="s">
        <v>50</v>
      </c>
      <c r="O4" s="826"/>
      <c r="P4" s="826"/>
    </row>
    <row r="5" spans="1:16" ht="36" customHeight="1">
      <c r="A5" s="822"/>
      <c r="B5" s="822"/>
      <c r="C5" s="822"/>
      <c r="D5" s="823"/>
      <c r="E5" s="823"/>
      <c r="F5" s="823"/>
      <c r="G5" s="351" t="s">
        <v>0</v>
      </c>
      <c r="H5" s="350" t="s">
        <v>51</v>
      </c>
      <c r="I5" s="349" t="s">
        <v>52</v>
      </c>
      <c r="J5" s="824"/>
      <c r="K5" s="826"/>
      <c r="L5" s="826"/>
      <c r="M5" s="826"/>
      <c r="N5" s="352" t="s">
        <v>0</v>
      </c>
      <c r="O5" s="352" t="s">
        <v>53</v>
      </c>
      <c r="P5" s="352" t="s">
        <v>237</v>
      </c>
    </row>
    <row r="6" spans="1:16" ht="15" customHeight="1">
      <c r="A6" s="357" t="s">
        <v>598</v>
      </c>
      <c r="B6" s="353">
        <v>98.2</v>
      </c>
      <c r="C6" s="354">
        <v>7.7100000000000002E-2</v>
      </c>
      <c r="D6" s="354">
        <v>6.5299999999999997E-2</v>
      </c>
      <c r="E6" s="354">
        <v>6.1400000000000003E-2</v>
      </c>
      <c r="F6" s="354">
        <v>6.6199999999999995E-2</v>
      </c>
      <c r="G6" s="354">
        <v>7.4099999999999999E-2</v>
      </c>
      <c r="H6" s="354">
        <v>7.4099999999999999E-2</v>
      </c>
      <c r="I6" s="354">
        <v>7.4099999999999999E-2</v>
      </c>
      <c r="J6" s="355">
        <v>4.6300000000000001E-2</v>
      </c>
      <c r="K6" s="356">
        <v>7.7100000000000002E-2</v>
      </c>
      <c r="L6" s="356">
        <v>4.4200000000000003E-2</v>
      </c>
      <c r="M6" s="356">
        <v>6.2700000000000006E-2</v>
      </c>
      <c r="N6" s="356">
        <v>0.13780000000000001</v>
      </c>
      <c r="O6" s="356">
        <v>0.14299999999999999</v>
      </c>
      <c r="P6" s="356">
        <v>0.13569999999999999</v>
      </c>
    </row>
    <row r="7" spans="1:16" ht="15" customHeight="1">
      <c r="A7" s="357" t="s">
        <v>599</v>
      </c>
      <c r="B7" s="353">
        <v>116.2</v>
      </c>
      <c r="C7" s="354">
        <v>0.08</v>
      </c>
      <c r="D7" s="354">
        <v>7.2400000000000006E-2</v>
      </c>
      <c r="E7" s="354">
        <v>7.5600000000000001E-2</v>
      </c>
      <c r="F7" s="354">
        <v>6.9699999999999998E-2</v>
      </c>
      <c r="G7" s="354">
        <v>7.6700000000000004E-2</v>
      </c>
      <c r="H7" s="354">
        <v>7.6700000000000004E-2</v>
      </c>
      <c r="I7" s="354">
        <v>7.6700000000000004E-2</v>
      </c>
      <c r="J7" s="355">
        <v>4.19E-2</v>
      </c>
      <c r="K7" s="356">
        <v>0.08</v>
      </c>
      <c r="L7" s="356">
        <v>4.3900000000000002E-2</v>
      </c>
      <c r="M7" s="356">
        <v>6.4100000000000004E-2</v>
      </c>
      <c r="N7" s="356">
        <v>0.1487</v>
      </c>
      <c r="O7" s="356">
        <v>0.15160000000000001</v>
      </c>
      <c r="P7" s="356">
        <v>0.1421</v>
      </c>
    </row>
    <row r="8" spans="1:16" ht="15" customHeight="1">
      <c r="A8" s="357" t="s">
        <v>600</v>
      </c>
      <c r="B8" s="353">
        <v>147.69999999999999</v>
      </c>
      <c r="C8" s="354">
        <v>8.5999999999999993E-2</v>
      </c>
      <c r="D8" s="354">
        <v>8.2299999999999998E-2</v>
      </c>
      <c r="E8" s="354">
        <v>9.2499999999999999E-2</v>
      </c>
      <c r="F8" s="354">
        <v>6.3299999999999995E-2</v>
      </c>
      <c r="G8" s="354">
        <v>8.3900000000000002E-2</v>
      </c>
      <c r="H8" s="354">
        <v>8.3900000000000002E-2</v>
      </c>
      <c r="I8" s="354">
        <v>8.3900000000000002E-2</v>
      </c>
      <c r="J8" s="355">
        <v>4.1099999999999998E-2</v>
      </c>
      <c r="K8" s="356">
        <v>8.5999999999999993E-2</v>
      </c>
      <c r="L8" s="356">
        <v>4.7100000000000003E-2</v>
      </c>
      <c r="M8" s="356">
        <v>5.5300000000000002E-2</v>
      </c>
      <c r="N8" s="356">
        <v>0.1555</v>
      </c>
      <c r="O8" s="356">
        <v>0.15570000000000001</v>
      </c>
      <c r="P8" s="356">
        <v>0.15329999999999999</v>
      </c>
    </row>
    <row r="9" spans="1:16" ht="15" customHeight="1">
      <c r="A9" s="357" t="s">
        <v>601</v>
      </c>
      <c r="B9" s="353">
        <v>184.6</v>
      </c>
      <c r="C9" s="354">
        <v>9.1499999999999998E-2</v>
      </c>
      <c r="D9" s="354">
        <v>9.1200000000000003E-2</v>
      </c>
      <c r="E9" s="354">
        <v>9.9299999999999999E-2</v>
      </c>
      <c r="F9" s="354">
        <v>6.25E-2</v>
      </c>
      <c r="G9" s="354">
        <v>9.2899999999999996E-2</v>
      </c>
      <c r="H9" s="354">
        <v>9.2899999999999996E-2</v>
      </c>
      <c r="I9" s="354">
        <v>9.2899999999999996E-2</v>
      </c>
      <c r="J9" s="355">
        <v>4.3799999999999999E-2</v>
      </c>
      <c r="K9" s="356">
        <v>9.1499999999999998E-2</v>
      </c>
      <c r="L9" s="356">
        <v>5.16E-2</v>
      </c>
      <c r="M9" s="356">
        <v>5.4199999999999998E-2</v>
      </c>
      <c r="N9" s="356">
        <v>0.1525</v>
      </c>
      <c r="O9" s="356">
        <v>0.1525</v>
      </c>
      <c r="P9" s="356">
        <v>0.15620000000000001</v>
      </c>
    </row>
    <row r="10" spans="1:16" ht="15" customHeight="1">
      <c r="A10" s="357" t="s">
        <v>602</v>
      </c>
      <c r="B10" s="353">
        <v>213.8</v>
      </c>
      <c r="C10" s="354">
        <v>9.4799999999999995E-2</v>
      </c>
      <c r="D10" s="354">
        <v>8.3699999999999997E-2</v>
      </c>
      <c r="E10" s="354">
        <v>8.6900000000000005E-2</v>
      </c>
      <c r="F10" s="354">
        <v>6.7599999999999993E-2</v>
      </c>
      <c r="G10" s="354">
        <v>9.98E-2</v>
      </c>
      <c r="H10" s="354">
        <v>9.98E-2</v>
      </c>
      <c r="I10" s="354">
        <v>9.98E-2</v>
      </c>
      <c r="J10" s="355">
        <v>4.6100000000000002E-2</v>
      </c>
      <c r="K10" s="356">
        <v>9.4799999999999995E-2</v>
      </c>
      <c r="L10" s="356">
        <v>5.6800000000000003E-2</v>
      </c>
      <c r="M10" s="356">
        <v>5.7799999999999997E-2</v>
      </c>
      <c r="N10" s="356">
        <v>0.14810000000000001</v>
      </c>
      <c r="O10" s="356">
        <v>0.14799999999999999</v>
      </c>
      <c r="P10" s="356">
        <v>0.1633</v>
      </c>
    </row>
    <row r="11" spans="1:16" ht="15" customHeight="1">
      <c r="A11" s="357" t="s">
        <v>603</v>
      </c>
      <c r="B11" s="353">
        <v>226.4</v>
      </c>
      <c r="C11" s="354">
        <v>9.7100000000000006E-2</v>
      </c>
      <c r="D11" s="354">
        <v>7.8899999999999998E-2</v>
      </c>
      <c r="E11" s="354">
        <v>7.9000000000000001E-2</v>
      </c>
      <c r="F11" s="354">
        <v>7.7799999999999994E-2</v>
      </c>
      <c r="G11" s="354">
        <v>0.105</v>
      </c>
      <c r="H11" s="354">
        <v>0.105</v>
      </c>
      <c r="I11" s="354">
        <v>0.1047</v>
      </c>
      <c r="J11" s="355">
        <v>4.6600000000000003E-2</v>
      </c>
      <c r="K11" s="356">
        <v>9.7100000000000006E-2</v>
      </c>
      <c r="L11" s="356">
        <v>5.9900000000000002E-2</v>
      </c>
      <c r="M11" s="356">
        <v>6.1400000000000003E-2</v>
      </c>
      <c r="N11" s="356">
        <v>0.1381</v>
      </c>
      <c r="O11" s="356">
        <v>0.13800000000000001</v>
      </c>
      <c r="P11" s="356">
        <v>0.16900000000000001</v>
      </c>
    </row>
    <row r="12" spans="1:16" ht="15" customHeight="1">
      <c r="A12" s="357" t="s">
        <v>604</v>
      </c>
      <c r="B12" s="353">
        <v>228</v>
      </c>
      <c r="C12" s="354">
        <v>0.1045</v>
      </c>
      <c r="D12" s="354">
        <v>7.9299999999999995E-2</v>
      </c>
      <c r="E12" s="354">
        <v>7.5399999999999995E-2</v>
      </c>
      <c r="F12" s="354">
        <v>9.5799999999999996E-2</v>
      </c>
      <c r="G12" s="354">
        <v>0.1106</v>
      </c>
      <c r="H12" s="354">
        <v>0.1106</v>
      </c>
      <c r="I12" s="354">
        <v>0.1104</v>
      </c>
      <c r="J12" s="355">
        <v>5.1400000000000001E-2</v>
      </c>
      <c r="K12" s="356">
        <v>0.1045</v>
      </c>
      <c r="L12" s="356">
        <v>6.2300000000000001E-2</v>
      </c>
      <c r="M12" s="356">
        <v>6.6699999999999995E-2</v>
      </c>
      <c r="N12" s="356">
        <v>0.14019999999999999</v>
      </c>
      <c r="O12" s="356">
        <v>0.13980000000000001</v>
      </c>
      <c r="P12" s="356">
        <v>0.15959999999999999</v>
      </c>
    </row>
    <row r="13" spans="1:16" ht="15" customHeight="1">
      <c r="A13" s="357" t="s">
        <v>605</v>
      </c>
      <c r="B13" s="353">
        <v>238.9</v>
      </c>
      <c r="C13" s="354">
        <v>0.1159</v>
      </c>
      <c r="D13" s="354">
        <v>8.9700000000000002E-2</v>
      </c>
      <c r="E13" s="354">
        <v>8.1299999999999997E-2</v>
      </c>
      <c r="F13" s="354">
        <v>9.5500000000000002E-2</v>
      </c>
      <c r="G13" s="354">
        <v>0.11890000000000001</v>
      </c>
      <c r="H13" s="354">
        <v>0.11890000000000001</v>
      </c>
      <c r="I13" s="354">
        <v>0.1188</v>
      </c>
      <c r="J13" s="355">
        <v>0.1246</v>
      </c>
      <c r="K13" s="356">
        <v>0.1159</v>
      </c>
      <c r="L13" s="356">
        <v>6.6100000000000006E-2</v>
      </c>
      <c r="M13" s="356">
        <v>6.88E-2</v>
      </c>
      <c r="N13" s="356">
        <v>0.15609999999999999</v>
      </c>
      <c r="O13" s="356">
        <v>0.15570000000000001</v>
      </c>
      <c r="P13" s="356">
        <v>0.15809999999999999</v>
      </c>
    </row>
    <row r="14" spans="1:16" ht="15" customHeight="1">
      <c r="A14" s="357" t="s">
        <v>606</v>
      </c>
      <c r="B14" s="353">
        <v>261.89999999999998</v>
      </c>
      <c r="C14" s="354">
        <v>0.12690000000000001</v>
      </c>
      <c r="D14" s="354">
        <v>9.3200000000000005E-2</v>
      </c>
      <c r="E14" s="354">
        <v>7.6300000000000007E-2</v>
      </c>
      <c r="F14" s="354">
        <v>0.10340000000000001</v>
      </c>
      <c r="G14" s="354">
        <v>0.12989999999999999</v>
      </c>
      <c r="H14" s="354">
        <v>0.12989999999999999</v>
      </c>
      <c r="I14" s="354">
        <v>0.1298</v>
      </c>
      <c r="J14" s="355">
        <v>7.0000000000000007E-2</v>
      </c>
      <c r="K14" s="356">
        <v>0.12690000000000001</v>
      </c>
      <c r="L14" s="356">
        <v>7.1400000000000005E-2</v>
      </c>
      <c r="M14" s="356">
        <v>7.5700000000000003E-2</v>
      </c>
      <c r="N14" s="356">
        <v>0.1736</v>
      </c>
      <c r="O14" s="356">
        <v>0.17080000000000001</v>
      </c>
      <c r="P14" s="356">
        <v>0.184</v>
      </c>
    </row>
    <row r="15" spans="1:16" ht="15" customHeight="1">
      <c r="A15" s="357" t="s">
        <v>607</v>
      </c>
      <c r="B15" s="353">
        <v>276.5</v>
      </c>
      <c r="C15" s="354">
        <v>0.13120000000000001</v>
      </c>
      <c r="D15" s="354">
        <v>8.9599999999999999E-2</v>
      </c>
      <c r="E15" s="354">
        <v>7.5899999999999995E-2</v>
      </c>
      <c r="F15" s="354">
        <v>9.8799999999999999E-2</v>
      </c>
      <c r="G15" s="354">
        <v>0.1333</v>
      </c>
      <c r="H15" s="354">
        <v>0.1333</v>
      </c>
      <c r="I15" s="354">
        <v>0.13320000000000001</v>
      </c>
      <c r="J15" s="355">
        <v>7.3700000000000002E-2</v>
      </c>
      <c r="K15" s="356">
        <v>0.13120000000000001</v>
      </c>
      <c r="L15" s="356">
        <v>6.9400000000000003E-2</v>
      </c>
      <c r="M15" s="356">
        <v>7.3700000000000002E-2</v>
      </c>
      <c r="N15" s="356">
        <v>0.18229999999999999</v>
      </c>
      <c r="O15" s="356">
        <v>0.18</v>
      </c>
      <c r="P15" s="356">
        <v>0.18770000000000001</v>
      </c>
    </row>
    <row r="16" spans="1:16" ht="15" customHeight="1">
      <c r="A16" s="357" t="s">
        <v>608</v>
      </c>
      <c r="B16" s="353">
        <v>278.67500000000001</v>
      </c>
      <c r="C16" s="354">
        <v>0.12939999999999999</v>
      </c>
      <c r="D16" s="354">
        <v>9.4200000000000006E-2</v>
      </c>
      <c r="E16" s="354">
        <v>7.6700000000000004E-2</v>
      </c>
      <c r="F16" s="354">
        <v>0.1056</v>
      </c>
      <c r="G16" s="354">
        <v>0.13159999999999999</v>
      </c>
      <c r="H16" s="354">
        <v>0.13170000000000001</v>
      </c>
      <c r="I16" s="354">
        <v>0.13120000000000001</v>
      </c>
      <c r="J16" s="355">
        <v>6.9900000000000004E-2</v>
      </c>
      <c r="K16" s="356">
        <v>0.12939999999999999</v>
      </c>
      <c r="L16" s="356">
        <v>7.3099999999999998E-2</v>
      </c>
      <c r="M16" s="356">
        <v>7.8799999999999995E-2</v>
      </c>
      <c r="N16" s="356">
        <v>0.1804</v>
      </c>
      <c r="O16" s="356">
        <v>0.17929999999999999</v>
      </c>
      <c r="P16" s="356">
        <v>0.18210000000000001</v>
      </c>
    </row>
    <row r="17" spans="1:16" ht="15" customHeight="1">
      <c r="A17" s="357" t="s">
        <v>609</v>
      </c>
      <c r="B17" s="353">
        <v>327.05</v>
      </c>
      <c r="C17" s="354">
        <v>0.1363</v>
      </c>
      <c r="D17" s="354">
        <v>9.4700000000000006E-2</v>
      </c>
      <c r="E17" s="354">
        <v>8.1299999999999997E-2</v>
      </c>
      <c r="F17" s="354">
        <v>0.11509999999999999</v>
      </c>
      <c r="G17" s="354">
        <v>0.13900000000000001</v>
      </c>
      <c r="H17" s="354">
        <v>0.1391</v>
      </c>
      <c r="I17" s="354">
        <v>0.13850000000000001</v>
      </c>
      <c r="J17" s="355">
        <v>8.3599999999999994E-2</v>
      </c>
      <c r="K17" s="356">
        <v>0.1363</v>
      </c>
      <c r="L17" s="356">
        <v>7.2099999999999997E-2</v>
      </c>
      <c r="M17" s="356">
        <v>8.0500000000000002E-2</v>
      </c>
      <c r="N17" s="356">
        <v>0.19239999999999999</v>
      </c>
      <c r="O17" s="356">
        <v>0.193</v>
      </c>
      <c r="P17" s="356">
        <v>0.1898</v>
      </c>
    </row>
    <row r="18" spans="1:16" ht="15" customHeight="1">
      <c r="A18" s="357" t="s">
        <v>610</v>
      </c>
      <c r="B18" s="353">
        <v>357.1</v>
      </c>
      <c r="C18" s="354">
        <v>0.14180000000000001</v>
      </c>
      <c r="D18" s="354">
        <v>9.4399999999999998E-2</v>
      </c>
      <c r="E18" s="354">
        <v>8.4500000000000006E-2</v>
      </c>
      <c r="F18" s="354">
        <v>0.12590000000000001</v>
      </c>
      <c r="G18" s="354">
        <v>0.14460000000000001</v>
      </c>
      <c r="H18" s="354">
        <v>0.14460000000000001</v>
      </c>
      <c r="I18" s="354">
        <v>0.14410000000000001</v>
      </c>
      <c r="J18" s="355">
        <v>8.3900000000000002E-2</v>
      </c>
      <c r="K18" s="356">
        <v>0.14180000000000001</v>
      </c>
      <c r="L18" s="356">
        <v>7.7600000000000002E-2</v>
      </c>
      <c r="M18" s="356">
        <v>8.77E-2</v>
      </c>
      <c r="N18" s="356">
        <v>0.2019</v>
      </c>
      <c r="O18" s="356">
        <v>0.20180000000000001</v>
      </c>
      <c r="P18" s="356">
        <v>0.20250000000000001</v>
      </c>
    </row>
    <row r="19" spans="1:16" ht="15" customHeight="1">
      <c r="A19" s="357" t="s">
        <v>611</v>
      </c>
      <c r="B19" s="353">
        <v>382.05</v>
      </c>
      <c r="C19" s="354">
        <v>0.1444</v>
      </c>
      <c r="D19" s="354">
        <v>0.10150000000000001</v>
      </c>
      <c r="E19" s="354">
        <v>9.3299999999999994E-2</v>
      </c>
      <c r="F19" s="354">
        <v>0.1268</v>
      </c>
      <c r="G19" s="354">
        <v>0.1467</v>
      </c>
      <c r="H19" s="354">
        <v>0.14680000000000001</v>
      </c>
      <c r="I19" s="354">
        <v>0.14630000000000001</v>
      </c>
      <c r="J19" s="355">
        <v>8.7900000000000006E-2</v>
      </c>
      <c r="K19" s="356">
        <v>0.1444</v>
      </c>
      <c r="L19" s="356">
        <v>8.2100000000000006E-2</v>
      </c>
      <c r="M19" s="356">
        <v>9.2200000000000004E-2</v>
      </c>
      <c r="N19" s="356">
        <v>0.20449999999999999</v>
      </c>
      <c r="O19" s="356">
        <v>0.20419999999999999</v>
      </c>
      <c r="P19" s="356">
        <v>0.2089</v>
      </c>
    </row>
    <row r="20" spans="1:16" ht="15" customHeight="1">
      <c r="A20" s="357" t="s">
        <v>612</v>
      </c>
      <c r="B20" s="353">
        <v>387.15</v>
      </c>
      <c r="C20" s="354">
        <v>0.14610000000000001</v>
      </c>
      <c r="D20" s="354">
        <v>0.1047</v>
      </c>
      <c r="E20" s="354">
        <v>9.4899999999999998E-2</v>
      </c>
      <c r="F20" s="354">
        <v>0.1366</v>
      </c>
      <c r="G20" s="354">
        <v>0.14860000000000001</v>
      </c>
      <c r="H20" s="354">
        <v>0.14860000000000001</v>
      </c>
      <c r="I20" s="354">
        <v>0.1484</v>
      </c>
      <c r="J20" s="355">
        <v>8.4199999999999997E-2</v>
      </c>
      <c r="K20" s="356">
        <v>0.14610000000000001</v>
      </c>
      <c r="L20" s="356">
        <v>8.5000000000000006E-2</v>
      </c>
      <c r="M20" s="356">
        <v>9.8699999999999996E-2</v>
      </c>
      <c r="N20" s="356">
        <v>0.2026</v>
      </c>
      <c r="O20" s="356">
        <v>0.20230000000000001</v>
      </c>
      <c r="P20" s="356">
        <v>0.20730000000000001</v>
      </c>
    </row>
    <row r="21" spans="1:16" ht="15" customHeight="1">
      <c r="A21" s="357" t="s">
        <v>613</v>
      </c>
      <c r="B21" s="353">
        <v>406.32499999999999</v>
      </c>
      <c r="C21" s="354">
        <v>0.1472</v>
      </c>
      <c r="D21" s="354">
        <v>0.1081</v>
      </c>
      <c r="E21" s="354">
        <v>9.8000000000000004E-2</v>
      </c>
      <c r="F21" s="354">
        <v>0.13059999999999999</v>
      </c>
      <c r="G21" s="354">
        <v>0.14849999999999999</v>
      </c>
      <c r="H21" s="354">
        <v>0.14849999999999999</v>
      </c>
      <c r="I21" s="354">
        <v>0.1484</v>
      </c>
      <c r="J21" s="355">
        <v>8.5800000000000001E-2</v>
      </c>
      <c r="K21" s="356">
        <v>0.1472</v>
      </c>
      <c r="L21" s="356">
        <v>8.7300000000000003E-2</v>
      </c>
      <c r="M21" s="356">
        <v>9.5399999999999999E-2</v>
      </c>
      <c r="N21" s="356">
        <v>0.20830000000000001</v>
      </c>
      <c r="O21" s="356">
        <v>0.20860000000000001</v>
      </c>
      <c r="P21" s="356">
        <v>0.20330000000000001</v>
      </c>
    </row>
    <row r="22" spans="1:16" ht="15" customHeight="1">
      <c r="A22" s="357" t="s">
        <v>614</v>
      </c>
      <c r="B22" s="353">
        <v>438.25</v>
      </c>
      <c r="C22" s="354">
        <v>0.151</v>
      </c>
      <c r="D22" s="354">
        <v>0.113</v>
      </c>
      <c r="E22" s="354">
        <v>0.10390000000000001</v>
      </c>
      <c r="F22" s="354">
        <v>0.13020000000000001</v>
      </c>
      <c r="G22" s="354">
        <v>0.15029999999999999</v>
      </c>
      <c r="H22" s="354">
        <v>0.15029999999999999</v>
      </c>
      <c r="I22" s="354">
        <v>0.1502</v>
      </c>
      <c r="J22" s="355">
        <v>8.7099999999999997E-2</v>
      </c>
      <c r="K22" s="356">
        <v>0.151</v>
      </c>
      <c r="L22" s="356">
        <v>8.8300000000000003E-2</v>
      </c>
      <c r="M22" s="356">
        <v>9.5100000000000004E-2</v>
      </c>
      <c r="N22" s="356">
        <v>0.21929999999999999</v>
      </c>
      <c r="O22" s="356">
        <v>0.2198</v>
      </c>
      <c r="P22" s="356">
        <v>0.2107</v>
      </c>
    </row>
    <row r="23" spans="1:16" ht="15" customHeight="1">
      <c r="A23" s="357" t="s">
        <v>615</v>
      </c>
      <c r="B23" s="353">
        <v>463.375</v>
      </c>
      <c r="C23" s="354">
        <v>0.15659999999999999</v>
      </c>
      <c r="D23" s="354">
        <v>0.1186</v>
      </c>
      <c r="E23" s="354">
        <v>0.10929999999999999</v>
      </c>
      <c r="F23" s="354">
        <v>0.1353</v>
      </c>
      <c r="G23" s="354">
        <v>0.1545</v>
      </c>
      <c r="H23" s="354">
        <v>0.1545</v>
      </c>
      <c r="I23" s="354">
        <v>0.15440000000000001</v>
      </c>
      <c r="J23" s="355">
        <v>9.5000000000000001E-2</v>
      </c>
      <c r="K23" s="356">
        <v>0.15659999999999999</v>
      </c>
      <c r="L23" s="356">
        <v>9.0399999999999994E-2</v>
      </c>
      <c r="M23" s="356">
        <v>9.8400000000000001E-2</v>
      </c>
      <c r="N23" s="356">
        <v>0.23150000000000001</v>
      </c>
      <c r="O23" s="356">
        <v>0.23219999999999999</v>
      </c>
      <c r="P23" s="356">
        <v>0.22120000000000001</v>
      </c>
    </row>
    <row r="24" spans="1:16" ht="15" customHeight="1">
      <c r="A24" s="357" t="s">
        <v>616</v>
      </c>
      <c r="B24" s="353">
        <v>473.47500000000002</v>
      </c>
      <c r="C24" s="354">
        <v>0.1613</v>
      </c>
      <c r="D24" s="354">
        <v>0.12559999999999999</v>
      </c>
      <c r="E24" s="354">
        <v>0.1144</v>
      </c>
      <c r="F24" s="354">
        <v>0.14410000000000001</v>
      </c>
      <c r="G24" s="354">
        <v>0.15909999999999999</v>
      </c>
      <c r="H24" s="354">
        <v>0.15909999999999999</v>
      </c>
      <c r="I24" s="354">
        <v>0.159</v>
      </c>
      <c r="J24" s="355">
        <v>0.1053</v>
      </c>
      <c r="K24" s="356">
        <v>0.1613</v>
      </c>
      <c r="L24" s="356">
        <v>9.6699999999999994E-2</v>
      </c>
      <c r="M24" s="356">
        <v>0.1069</v>
      </c>
      <c r="N24" s="356">
        <v>0.23880000000000001</v>
      </c>
      <c r="O24" s="356">
        <v>0.2397</v>
      </c>
      <c r="P24" s="356">
        <v>0.22800000000000001</v>
      </c>
    </row>
    <row r="25" spans="1:16" ht="15" customHeight="1">
      <c r="A25" s="357" t="s">
        <v>617</v>
      </c>
      <c r="B25" s="353">
        <v>504.6</v>
      </c>
      <c r="C25" s="354">
        <v>0.1638</v>
      </c>
      <c r="D25" s="354">
        <v>0.1308</v>
      </c>
      <c r="E25" s="354">
        <v>0.12230000000000001</v>
      </c>
      <c r="F25" s="354">
        <v>0.14199999999999999</v>
      </c>
      <c r="G25" s="354">
        <v>0.1613</v>
      </c>
      <c r="H25" s="354">
        <v>0.1613</v>
      </c>
      <c r="I25" s="354">
        <v>0.16120000000000001</v>
      </c>
      <c r="J25" s="355">
        <v>0.11260000000000001</v>
      </c>
      <c r="K25" s="356">
        <v>0.1638</v>
      </c>
      <c r="L25" s="356">
        <v>0.10150000000000001</v>
      </c>
      <c r="M25" s="356">
        <v>0.1106</v>
      </c>
      <c r="N25" s="356">
        <v>0.24299999999999999</v>
      </c>
      <c r="O25" s="356">
        <v>0.24399999999999999</v>
      </c>
      <c r="P25" s="356">
        <v>0.23169999999999999</v>
      </c>
    </row>
    <row r="26" spans="1:16" ht="15" customHeight="1">
      <c r="A26" s="357" t="s">
        <v>618</v>
      </c>
      <c r="B26" s="353">
        <v>534.32500000000005</v>
      </c>
      <c r="C26" s="354">
        <v>0.1661</v>
      </c>
      <c r="D26" s="354">
        <v>0.1328</v>
      </c>
      <c r="E26" s="354">
        <v>0.121</v>
      </c>
      <c r="F26" s="354">
        <v>0.14860000000000001</v>
      </c>
      <c r="G26" s="354">
        <v>0.1643</v>
      </c>
      <c r="H26" s="354">
        <v>0.16439999999999999</v>
      </c>
      <c r="I26" s="354">
        <v>0.16420000000000001</v>
      </c>
      <c r="J26" s="355">
        <v>0.1132</v>
      </c>
      <c r="K26" s="356">
        <v>0.1661</v>
      </c>
      <c r="L26" s="356">
        <v>0.1007</v>
      </c>
      <c r="M26" s="356">
        <v>0.1143</v>
      </c>
      <c r="N26" s="356">
        <v>0.2447</v>
      </c>
      <c r="O26" s="356">
        <v>0.24590000000000001</v>
      </c>
      <c r="P26" s="356">
        <v>0.23480000000000001</v>
      </c>
    </row>
    <row r="27" spans="1:16" ht="15" customHeight="1">
      <c r="A27" s="357" t="s">
        <v>619</v>
      </c>
      <c r="B27" s="353">
        <v>546.57500000000005</v>
      </c>
      <c r="C27" s="354">
        <v>0.16830000000000001</v>
      </c>
      <c r="D27" s="354">
        <v>0.1358</v>
      </c>
      <c r="E27" s="354">
        <v>0.12330000000000001</v>
      </c>
      <c r="F27" s="354">
        <v>0.15160000000000001</v>
      </c>
      <c r="G27" s="354">
        <v>0.1666</v>
      </c>
      <c r="H27" s="354">
        <v>0.1666</v>
      </c>
      <c r="I27" s="354">
        <v>0.16650000000000001</v>
      </c>
      <c r="J27" s="355">
        <v>0.1111</v>
      </c>
      <c r="K27" s="356">
        <v>0.16830000000000001</v>
      </c>
      <c r="L27" s="356">
        <v>0.1057</v>
      </c>
      <c r="M27" s="356">
        <v>0.1205</v>
      </c>
      <c r="N27" s="356">
        <v>0.24610000000000001</v>
      </c>
      <c r="O27" s="356">
        <v>0.24729999999999999</v>
      </c>
      <c r="P27" s="356">
        <v>0.2366</v>
      </c>
    </row>
    <row r="28" spans="1:16" ht="15" customHeight="1">
      <c r="A28" s="357" t="s">
        <v>620</v>
      </c>
      <c r="B28" s="353">
        <v>585.67499999999995</v>
      </c>
      <c r="C28" s="354">
        <v>0.17</v>
      </c>
      <c r="D28" s="354">
        <v>0.13589999999999999</v>
      </c>
      <c r="E28" s="354">
        <v>0.1234</v>
      </c>
      <c r="F28" s="354">
        <v>0.15049999999999999</v>
      </c>
      <c r="G28" s="354">
        <v>0.16819999999999999</v>
      </c>
      <c r="H28" s="354">
        <v>0.16819999999999999</v>
      </c>
      <c r="I28" s="354">
        <v>0.1681</v>
      </c>
      <c r="J28" s="355">
        <v>0.1115</v>
      </c>
      <c r="K28" s="356">
        <v>0.17</v>
      </c>
      <c r="L28" s="356">
        <v>0.10780000000000001</v>
      </c>
      <c r="M28" s="356">
        <v>0.12239999999999999</v>
      </c>
      <c r="N28" s="356">
        <v>0.24809999999999999</v>
      </c>
      <c r="O28" s="356">
        <v>0.24940000000000001</v>
      </c>
      <c r="P28" s="356">
        <v>0.2387</v>
      </c>
    </row>
    <row r="29" spans="1:16" ht="15" customHeight="1">
      <c r="A29" s="357" t="s">
        <v>621</v>
      </c>
      <c r="B29" s="353">
        <v>618.20000000000005</v>
      </c>
      <c r="C29" s="354">
        <v>0.17199999999999999</v>
      </c>
      <c r="D29" s="354">
        <v>0.14180000000000001</v>
      </c>
      <c r="E29" s="354">
        <v>0.129</v>
      </c>
      <c r="F29" s="354">
        <v>0.15620000000000001</v>
      </c>
      <c r="G29" s="354">
        <v>0.17019999999999999</v>
      </c>
      <c r="H29" s="354">
        <v>0.17019999999999999</v>
      </c>
      <c r="I29" s="354">
        <v>0.1701</v>
      </c>
      <c r="J29" s="355">
        <v>0.11550000000000001</v>
      </c>
      <c r="K29" s="356">
        <v>0.17199999999999999</v>
      </c>
      <c r="L29" s="356">
        <v>0.1113</v>
      </c>
      <c r="M29" s="356">
        <v>0.13020000000000001</v>
      </c>
      <c r="N29" s="356">
        <v>0.25209999999999999</v>
      </c>
      <c r="O29" s="356">
        <v>0.25359999999999999</v>
      </c>
      <c r="P29" s="356">
        <v>0.24099999999999999</v>
      </c>
    </row>
    <row r="30" spans="1:16" ht="15" customHeight="1">
      <c r="A30" s="357" t="s">
        <v>622</v>
      </c>
      <c r="B30" s="353">
        <v>661.7</v>
      </c>
      <c r="C30" s="354">
        <v>0.17419999999999999</v>
      </c>
      <c r="D30" s="354">
        <v>0.14410000000000001</v>
      </c>
      <c r="E30" s="354">
        <v>0.13070000000000001</v>
      </c>
      <c r="F30" s="354">
        <v>0.158</v>
      </c>
      <c r="G30" s="354">
        <v>0.1726</v>
      </c>
      <c r="H30" s="354">
        <v>0.1726</v>
      </c>
      <c r="I30" s="354">
        <v>0.17249999999999999</v>
      </c>
      <c r="J30" s="355">
        <v>0.11749999999999999</v>
      </c>
      <c r="K30" s="356">
        <v>0.17419999999999999</v>
      </c>
      <c r="L30" s="356">
        <v>0.1149</v>
      </c>
      <c r="M30" s="356">
        <v>0.1366</v>
      </c>
      <c r="N30" s="356">
        <v>0.2525</v>
      </c>
      <c r="O30" s="356">
        <v>0.25380000000000003</v>
      </c>
      <c r="P30" s="356">
        <v>0.24460000000000001</v>
      </c>
    </row>
    <row r="31" spans="1:16" ht="15" customHeight="1">
      <c r="A31" s="357" t="s">
        <v>623</v>
      </c>
      <c r="B31" s="353">
        <v>709.32500000000005</v>
      </c>
      <c r="C31" s="354">
        <v>0.1772</v>
      </c>
      <c r="D31" s="354">
        <v>0.14610000000000001</v>
      </c>
      <c r="E31" s="354">
        <v>0.1303</v>
      </c>
      <c r="F31" s="354">
        <v>0.16059999999999999</v>
      </c>
      <c r="G31" s="354">
        <v>0.1749</v>
      </c>
      <c r="H31" s="354">
        <v>0.17499999999999999</v>
      </c>
      <c r="I31" s="354">
        <v>0.17480000000000001</v>
      </c>
      <c r="J31" s="355">
        <v>0.1207</v>
      </c>
      <c r="K31" s="356">
        <v>0.1772</v>
      </c>
      <c r="L31" s="356">
        <v>0.12139999999999999</v>
      </c>
      <c r="M31" s="356">
        <v>0.14230000000000001</v>
      </c>
      <c r="N31" s="356">
        <v>0.25309999999999999</v>
      </c>
      <c r="O31" s="356">
        <v>0.2545</v>
      </c>
      <c r="P31" s="356">
        <v>0.24679999999999999</v>
      </c>
    </row>
    <row r="32" spans="1:16" ht="15" customHeight="1">
      <c r="A32" s="357" t="s">
        <v>624</v>
      </c>
      <c r="B32" s="353">
        <v>780.47500000000002</v>
      </c>
      <c r="C32" s="354">
        <v>0.18099999999999999</v>
      </c>
      <c r="D32" s="354">
        <v>0.15010000000000001</v>
      </c>
      <c r="E32" s="354">
        <v>0.13650000000000001</v>
      </c>
      <c r="F32" s="354">
        <v>0.16239999999999999</v>
      </c>
      <c r="G32" s="354">
        <v>0.17810000000000001</v>
      </c>
      <c r="H32" s="354">
        <v>0.17810000000000001</v>
      </c>
      <c r="I32" s="354">
        <v>0.17799999999999999</v>
      </c>
      <c r="J32" s="355">
        <v>0.1174</v>
      </c>
      <c r="K32" s="356">
        <v>0.18099999999999999</v>
      </c>
      <c r="L32" s="356">
        <v>0.1255</v>
      </c>
      <c r="M32" s="356">
        <v>0.1464</v>
      </c>
      <c r="N32" s="356">
        <v>0.25519999999999998</v>
      </c>
      <c r="O32" s="356">
        <v>0.25659999999999999</v>
      </c>
      <c r="P32" s="356">
        <v>0.2482</v>
      </c>
    </row>
    <row r="33" spans="1:16" ht="15" customHeight="1">
      <c r="A33" s="357" t="s">
        <v>625</v>
      </c>
      <c r="B33" s="353">
        <v>836.52499999999998</v>
      </c>
      <c r="C33" s="354">
        <v>0.1865</v>
      </c>
      <c r="D33" s="354">
        <v>0.15340000000000001</v>
      </c>
      <c r="E33" s="354">
        <v>0.1409</v>
      </c>
      <c r="F33" s="354">
        <v>0.1656</v>
      </c>
      <c r="G33" s="354">
        <v>0.18290000000000001</v>
      </c>
      <c r="H33" s="354">
        <v>0.18290000000000001</v>
      </c>
      <c r="I33" s="354">
        <v>0.18279999999999999</v>
      </c>
      <c r="J33" s="355">
        <v>0.11890000000000001</v>
      </c>
      <c r="K33" s="356">
        <v>0.1865</v>
      </c>
      <c r="L33" s="356">
        <v>0.12870000000000001</v>
      </c>
      <c r="M33" s="356">
        <v>0.1484</v>
      </c>
      <c r="N33" s="356">
        <v>0.25900000000000001</v>
      </c>
      <c r="O33" s="356">
        <v>0.26</v>
      </c>
      <c r="P33" s="356">
        <v>0.252</v>
      </c>
    </row>
    <row r="34" spans="1:16" ht="15" customHeight="1">
      <c r="A34" s="357" t="s">
        <v>626</v>
      </c>
      <c r="B34" s="353">
        <v>897.57500000000005</v>
      </c>
      <c r="C34" s="354">
        <v>0.193</v>
      </c>
      <c r="D34" s="354">
        <v>0.159</v>
      </c>
      <c r="E34" s="354">
        <v>0.14760000000000001</v>
      </c>
      <c r="F34" s="354">
        <v>0.17030000000000001</v>
      </c>
      <c r="G34" s="354">
        <v>0.18859999999999999</v>
      </c>
      <c r="H34" s="354">
        <v>0.18859999999999999</v>
      </c>
      <c r="I34" s="354">
        <v>0.1885</v>
      </c>
      <c r="J34" s="355">
        <v>0.1231</v>
      </c>
      <c r="K34" s="356">
        <v>0.193</v>
      </c>
      <c r="L34" s="356">
        <v>0.13339999999999999</v>
      </c>
      <c r="M34" s="356">
        <v>0.15160000000000001</v>
      </c>
      <c r="N34" s="356">
        <v>0.26469999999999999</v>
      </c>
      <c r="O34" s="356">
        <v>0.26550000000000001</v>
      </c>
      <c r="P34" s="356">
        <v>0.25769999999999998</v>
      </c>
    </row>
    <row r="35" spans="1:16" ht="15" customHeight="1">
      <c r="A35" s="357" t="s">
        <v>627</v>
      </c>
      <c r="B35" s="353">
        <v>980.27499999999998</v>
      </c>
      <c r="C35" s="354">
        <v>0.20180000000000001</v>
      </c>
      <c r="D35" s="354">
        <v>0.1691</v>
      </c>
      <c r="E35" s="354">
        <v>0.156</v>
      </c>
      <c r="F35" s="354">
        <v>0.18160000000000001</v>
      </c>
      <c r="G35" s="354">
        <v>0.1966</v>
      </c>
      <c r="H35" s="354">
        <v>0.1966</v>
      </c>
      <c r="I35" s="354">
        <v>0.19650000000000001</v>
      </c>
      <c r="J35" s="355">
        <v>0.1305</v>
      </c>
      <c r="K35" s="356">
        <v>0.20180000000000001</v>
      </c>
      <c r="L35" s="356">
        <v>0.14269999999999999</v>
      </c>
      <c r="M35" s="356">
        <v>0.16320000000000001</v>
      </c>
      <c r="N35" s="356">
        <v>0.27479999999999999</v>
      </c>
      <c r="O35" s="356">
        <v>0.27550000000000002</v>
      </c>
      <c r="P35" s="356">
        <v>0.26769999999999999</v>
      </c>
    </row>
    <row r="36" spans="1:16" ht="15" customHeight="1">
      <c r="A36" s="357" t="s">
        <v>628</v>
      </c>
      <c r="B36" s="353">
        <v>1046.675</v>
      </c>
      <c r="C36" s="354">
        <v>0.21260000000000001</v>
      </c>
      <c r="D36" s="354">
        <v>0.17849999999999999</v>
      </c>
      <c r="E36" s="354">
        <v>0.16400000000000001</v>
      </c>
      <c r="F36" s="354">
        <v>0.19070000000000001</v>
      </c>
      <c r="G36" s="354">
        <v>0.2059</v>
      </c>
      <c r="H36" s="354">
        <v>0.2059</v>
      </c>
      <c r="I36" s="354">
        <v>0.20580000000000001</v>
      </c>
      <c r="J36" s="355">
        <v>0.13930000000000001</v>
      </c>
      <c r="K36" s="356">
        <v>0.21260000000000001</v>
      </c>
      <c r="L36" s="356">
        <v>0.1545</v>
      </c>
      <c r="M36" s="356">
        <v>0.17330000000000001</v>
      </c>
      <c r="N36" s="356">
        <v>0.28899999999999998</v>
      </c>
      <c r="O36" s="356">
        <v>0.28970000000000001</v>
      </c>
      <c r="P36" s="356">
        <v>0.28260000000000002</v>
      </c>
    </row>
    <row r="37" spans="1:16" ht="15" customHeight="1">
      <c r="A37" s="357" t="s">
        <v>629</v>
      </c>
      <c r="B37" s="353">
        <v>1116.55</v>
      </c>
      <c r="C37" s="354">
        <v>0.22339999999999999</v>
      </c>
      <c r="D37" s="354">
        <v>0.19089999999999999</v>
      </c>
      <c r="E37" s="354">
        <v>0.17419999999999999</v>
      </c>
      <c r="F37" s="354">
        <v>0.20250000000000001</v>
      </c>
      <c r="G37" s="354">
        <v>0.21510000000000001</v>
      </c>
      <c r="H37" s="354">
        <v>0.21510000000000001</v>
      </c>
      <c r="I37" s="354">
        <v>0.215</v>
      </c>
      <c r="J37" s="355">
        <v>0.14910000000000001</v>
      </c>
      <c r="K37" s="356">
        <v>0.22339999999999999</v>
      </c>
      <c r="L37" s="356">
        <v>0.1701</v>
      </c>
      <c r="M37" s="356">
        <v>0.18970000000000001</v>
      </c>
      <c r="N37" s="356">
        <v>0.30690000000000001</v>
      </c>
      <c r="O37" s="356">
        <v>0.30790000000000001</v>
      </c>
      <c r="P37" s="356">
        <v>0.30020000000000002</v>
      </c>
    </row>
    <row r="38" spans="1:16" ht="15" customHeight="1">
      <c r="A38" s="357" t="s">
        <v>630</v>
      </c>
      <c r="B38" s="353">
        <v>1216.25</v>
      </c>
      <c r="C38" s="354">
        <v>0.23400000000000001</v>
      </c>
      <c r="D38" s="354">
        <v>0.20330000000000001</v>
      </c>
      <c r="E38" s="354">
        <v>0.1908</v>
      </c>
      <c r="F38" s="354">
        <v>0.21049999999999999</v>
      </c>
      <c r="G38" s="354">
        <v>0.2233</v>
      </c>
      <c r="H38" s="354">
        <v>0.2233</v>
      </c>
      <c r="I38" s="354">
        <v>0.22320000000000001</v>
      </c>
      <c r="J38" s="355">
        <v>0.15609999999999999</v>
      </c>
      <c r="K38" s="356">
        <v>0.23400000000000001</v>
      </c>
      <c r="L38" s="356">
        <v>0.1832</v>
      </c>
      <c r="M38" s="356">
        <v>0.2021</v>
      </c>
      <c r="N38" s="356">
        <v>0.33019999999999999</v>
      </c>
      <c r="O38" s="356">
        <v>0.33329999999999999</v>
      </c>
      <c r="P38" s="356">
        <v>0.31469999999999998</v>
      </c>
    </row>
    <row r="39" spans="1:16" ht="15" customHeight="1">
      <c r="A39" s="357" t="s">
        <v>631</v>
      </c>
      <c r="B39" s="353">
        <v>1352.7249999999999</v>
      </c>
      <c r="C39" s="354">
        <v>0.2442</v>
      </c>
      <c r="D39" s="354">
        <v>0.21260000000000001</v>
      </c>
      <c r="E39" s="354">
        <v>0.20419999999999999</v>
      </c>
      <c r="F39" s="354">
        <v>0.21659999999999999</v>
      </c>
      <c r="G39" s="354">
        <v>0.23169999999999999</v>
      </c>
      <c r="H39" s="354">
        <v>0.23169999999999999</v>
      </c>
      <c r="I39" s="354">
        <v>0.2316</v>
      </c>
      <c r="J39" s="355">
        <v>0.15939999999999999</v>
      </c>
      <c r="K39" s="356">
        <v>0.2442</v>
      </c>
      <c r="L39" s="356">
        <v>0.1938</v>
      </c>
      <c r="M39" s="356">
        <v>0.21379999999999999</v>
      </c>
      <c r="N39" s="356">
        <v>0.35149999999999998</v>
      </c>
      <c r="O39" s="356">
        <v>0.3569</v>
      </c>
      <c r="P39" s="356">
        <v>0.32800000000000001</v>
      </c>
    </row>
    <row r="40" spans="1:16" ht="15" customHeight="1">
      <c r="A40" s="357" t="s">
        <v>632</v>
      </c>
      <c r="B40" s="353">
        <v>1482.85</v>
      </c>
      <c r="C40" s="354">
        <v>0.2616</v>
      </c>
      <c r="D40" s="354">
        <v>0.23039999999999999</v>
      </c>
      <c r="E40" s="354">
        <v>0.21809999999999999</v>
      </c>
      <c r="F40" s="354">
        <v>0.23599999999999999</v>
      </c>
      <c r="G40" s="354">
        <v>0.25040000000000001</v>
      </c>
      <c r="H40" s="354">
        <v>0.25040000000000001</v>
      </c>
      <c r="I40" s="354">
        <v>0.25030000000000002</v>
      </c>
      <c r="J40" s="355">
        <v>0.1744</v>
      </c>
      <c r="K40" s="356">
        <v>0.2616</v>
      </c>
      <c r="L40" s="356">
        <v>0.20569999999999999</v>
      </c>
      <c r="M40" s="356">
        <v>0.2261</v>
      </c>
      <c r="N40" s="356">
        <v>0.3725</v>
      </c>
      <c r="O40" s="356">
        <v>0.37709999999999999</v>
      </c>
      <c r="P40" s="356">
        <v>0.3533</v>
      </c>
    </row>
    <row r="41" spans="1:16" ht="15" customHeight="1">
      <c r="A41" s="357" t="s">
        <v>633</v>
      </c>
      <c r="B41" s="353">
        <v>1606.925</v>
      </c>
      <c r="C41" s="354">
        <v>0.28860000000000002</v>
      </c>
      <c r="D41" s="354">
        <v>0.25280000000000002</v>
      </c>
      <c r="E41" s="354">
        <v>0.23760000000000001</v>
      </c>
      <c r="F41" s="354">
        <v>0.2586</v>
      </c>
      <c r="G41" s="354">
        <v>0.2762</v>
      </c>
      <c r="H41" s="354">
        <v>0.2762</v>
      </c>
      <c r="I41" s="354">
        <v>0.27610000000000001</v>
      </c>
      <c r="J41" s="355">
        <v>0.19339999999999999</v>
      </c>
      <c r="K41" s="356">
        <v>0.28860000000000002</v>
      </c>
      <c r="L41" s="356">
        <v>0.22109999999999999</v>
      </c>
      <c r="M41" s="356">
        <v>0.24099999999999999</v>
      </c>
      <c r="N41" s="356">
        <v>0.40489999999999998</v>
      </c>
      <c r="O41" s="356">
        <v>0.4083</v>
      </c>
      <c r="P41" s="356">
        <v>0.39240000000000003</v>
      </c>
    </row>
    <row r="42" spans="1:16" ht="15" customHeight="1">
      <c r="A42" s="357" t="s">
        <v>634</v>
      </c>
      <c r="B42" s="353">
        <v>1786.1</v>
      </c>
      <c r="C42" s="354">
        <v>0.30869999999999997</v>
      </c>
      <c r="D42" s="354">
        <v>0.27089999999999997</v>
      </c>
      <c r="E42" s="354">
        <v>0.2525</v>
      </c>
      <c r="F42" s="354">
        <v>0.27729999999999999</v>
      </c>
      <c r="G42" s="354">
        <v>0.29420000000000002</v>
      </c>
      <c r="H42" s="354">
        <v>0.29420000000000002</v>
      </c>
      <c r="I42" s="354">
        <v>0.29409999999999997</v>
      </c>
      <c r="J42" s="355">
        <v>0.20860000000000001</v>
      </c>
      <c r="K42" s="356">
        <v>0.30869999999999997</v>
      </c>
      <c r="L42" s="356">
        <v>0.23949999999999999</v>
      </c>
      <c r="M42" s="356">
        <v>0.26240000000000002</v>
      </c>
      <c r="N42" s="356">
        <v>0.43020000000000003</v>
      </c>
      <c r="O42" s="356">
        <v>0.43419999999999997</v>
      </c>
      <c r="P42" s="356">
        <v>0.41620000000000001</v>
      </c>
    </row>
    <row r="43" spans="1:16" ht="15" customHeight="1">
      <c r="A43" s="357" t="s">
        <v>54</v>
      </c>
      <c r="B43" s="353">
        <v>471.65</v>
      </c>
      <c r="C43" s="354">
        <v>0.318</v>
      </c>
      <c r="D43" s="354">
        <v>0.27760000000000001</v>
      </c>
      <c r="E43" s="354">
        <v>0.25740000000000002</v>
      </c>
      <c r="F43" s="354">
        <v>0.28439999999999999</v>
      </c>
      <c r="G43" s="354">
        <v>0.3034</v>
      </c>
      <c r="H43" s="354">
        <v>0.3034</v>
      </c>
      <c r="I43" s="354">
        <v>0.30330000000000001</v>
      </c>
      <c r="J43" s="355">
        <v>0.21629999999999999</v>
      </c>
      <c r="K43" s="356">
        <v>0.318</v>
      </c>
      <c r="L43" s="356">
        <v>0.2467</v>
      </c>
      <c r="M43" s="356">
        <v>0.2681</v>
      </c>
      <c r="N43" s="356">
        <v>0.44419999999999998</v>
      </c>
      <c r="O43" s="356">
        <v>0.44969999999999999</v>
      </c>
      <c r="P43" s="356">
        <v>0.4274</v>
      </c>
    </row>
    <row r="44" spans="1:16" ht="15" customHeight="1">
      <c r="A44" s="357" t="s">
        <v>635</v>
      </c>
      <c r="B44" s="353">
        <v>2024.325</v>
      </c>
      <c r="C44" s="354">
        <v>0.33100000000000002</v>
      </c>
      <c r="D44" s="354">
        <v>0.29060000000000002</v>
      </c>
      <c r="E44" s="354">
        <v>0.27250000000000002</v>
      </c>
      <c r="F44" s="354">
        <v>0.29680000000000001</v>
      </c>
      <c r="G44" s="354">
        <v>0.31630000000000003</v>
      </c>
      <c r="H44" s="354">
        <v>0.31640000000000001</v>
      </c>
      <c r="I44" s="354">
        <v>0.31619999999999998</v>
      </c>
      <c r="J44" s="355">
        <v>0.22370000000000001</v>
      </c>
      <c r="K44" s="356">
        <v>0.33100000000000002</v>
      </c>
      <c r="L44" s="356">
        <v>0.25819999999999999</v>
      </c>
      <c r="M44" s="356">
        <v>0.28179999999999999</v>
      </c>
      <c r="N44" s="356">
        <v>0.4632</v>
      </c>
      <c r="O44" s="356">
        <v>0.46960000000000002</v>
      </c>
      <c r="P44" s="356">
        <v>0.44090000000000001</v>
      </c>
    </row>
    <row r="45" spans="1:16" ht="15" customHeight="1">
      <c r="A45" s="357" t="s">
        <v>636</v>
      </c>
      <c r="B45" s="353">
        <v>2273.4499999999998</v>
      </c>
      <c r="C45" s="354">
        <v>0.3533</v>
      </c>
      <c r="D45" s="354">
        <v>0.30880000000000002</v>
      </c>
      <c r="E45" s="354">
        <v>0.29110000000000003</v>
      </c>
      <c r="F45" s="354">
        <v>0.31440000000000001</v>
      </c>
      <c r="G45" s="354">
        <v>0.33750000000000002</v>
      </c>
      <c r="H45" s="354">
        <v>0.33760000000000001</v>
      </c>
      <c r="I45" s="354">
        <v>0.33739999999999998</v>
      </c>
      <c r="J45" s="355">
        <v>0.2379</v>
      </c>
      <c r="K45" s="356">
        <v>0.3533</v>
      </c>
      <c r="L45" s="356">
        <v>0.27460000000000001</v>
      </c>
      <c r="M45" s="356">
        <v>0.29759999999999998</v>
      </c>
      <c r="N45" s="356">
        <v>0.49180000000000001</v>
      </c>
      <c r="O45" s="356">
        <v>0.50070000000000003</v>
      </c>
      <c r="P45" s="356">
        <v>0.46339999999999998</v>
      </c>
    </row>
    <row r="46" spans="1:16" ht="15" customHeight="1">
      <c r="A46" s="357" t="s">
        <v>637</v>
      </c>
      <c r="B46" s="353">
        <v>2565.5749999999998</v>
      </c>
      <c r="C46" s="354">
        <v>0.38179999999999997</v>
      </c>
      <c r="D46" s="354">
        <v>0.33560000000000001</v>
      </c>
      <c r="E46" s="354">
        <v>0.31490000000000001</v>
      </c>
      <c r="F46" s="354">
        <v>0.34239999999999998</v>
      </c>
      <c r="G46" s="354">
        <v>0.36549999999999999</v>
      </c>
      <c r="H46" s="354">
        <v>0.36559999999999998</v>
      </c>
      <c r="I46" s="354">
        <v>0.3654</v>
      </c>
      <c r="J46" s="355">
        <v>0.25969999999999999</v>
      </c>
      <c r="K46" s="356">
        <v>0.38179999999999997</v>
      </c>
      <c r="L46" s="356">
        <v>0.29220000000000002</v>
      </c>
      <c r="M46" s="356">
        <v>0.32090000000000002</v>
      </c>
      <c r="N46" s="356">
        <v>0.52569999999999995</v>
      </c>
      <c r="O46" s="356">
        <v>0.53500000000000003</v>
      </c>
      <c r="P46" s="356">
        <v>0.49440000000000001</v>
      </c>
    </row>
    <row r="47" spans="1:16" ht="15" customHeight="1">
      <c r="A47" s="357" t="s">
        <v>638</v>
      </c>
      <c r="B47" s="353">
        <v>2791.9</v>
      </c>
      <c r="C47" s="354">
        <v>0.41510000000000002</v>
      </c>
      <c r="D47" s="354">
        <v>0.37109999999999999</v>
      </c>
      <c r="E47" s="354">
        <v>0.34849999999999998</v>
      </c>
      <c r="F47" s="354">
        <v>0.37830000000000003</v>
      </c>
      <c r="G47" s="354">
        <v>0.4042</v>
      </c>
      <c r="H47" s="354">
        <v>0.40429999999999999</v>
      </c>
      <c r="I47" s="354">
        <v>0.40410000000000001</v>
      </c>
      <c r="J47" s="355">
        <v>0.28889999999999999</v>
      </c>
      <c r="K47" s="356">
        <v>0.41510000000000002</v>
      </c>
      <c r="L47" s="356">
        <v>0.31719999999999998</v>
      </c>
      <c r="M47" s="356">
        <v>0.34429999999999999</v>
      </c>
      <c r="N47" s="356">
        <v>0.56520000000000004</v>
      </c>
      <c r="O47" s="356">
        <v>0.57210000000000005</v>
      </c>
      <c r="P47" s="356">
        <v>0.53920000000000001</v>
      </c>
    </row>
    <row r="48" spans="1:16" ht="15" customHeight="1">
      <c r="A48" s="357" t="s">
        <v>639</v>
      </c>
      <c r="B48" s="353">
        <v>3133.2249999999999</v>
      </c>
      <c r="C48" s="354">
        <v>0.45590000000000003</v>
      </c>
      <c r="D48" s="354">
        <v>0.41220000000000001</v>
      </c>
      <c r="E48" s="354">
        <v>0.38650000000000001</v>
      </c>
      <c r="F48" s="354">
        <v>0.42059999999999997</v>
      </c>
      <c r="G48" s="354">
        <v>0.44359999999999999</v>
      </c>
      <c r="H48" s="354">
        <v>0.44359999999999999</v>
      </c>
      <c r="I48" s="354">
        <v>0.44340000000000002</v>
      </c>
      <c r="J48" s="355">
        <v>0.32300000000000001</v>
      </c>
      <c r="K48" s="356">
        <v>0.45590000000000003</v>
      </c>
      <c r="L48" s="356">
        <v>0.34599999999999997</v>
      </c>
      <c r="M48" s="356">
        <v>0.37530000000000002</v>
      </c>
      <c r="N48" s="356">
        <v>0.61550000000000005</v>
      </c>
      <c r="O48" s="356">
        <v>0.62229999999999996</v>
      </c>
      <c r="P48" s="356">
        <v>0.58709999999999996</v>
      </c>
    </row>
    <row r="49" spans="1:16" ht="15" customHeight="1">
      <c r="A49" s="357" t="s">
        <v>640</v>
      </c>
      <c r="B49" s="353">
        <v>3313.35</v>
      </c>
      <c r="C49" s="354">
        <v>0.48759999999999998</v>
      </c>
      <c r="D49" s="354">
        <v>0.44390000000000002</v>
      </c>
      <c r="E49" s="354">
        <v>0.42099999999999999</v>
      </c>
      <c r="F49" s="354">
        <v>0.45200000000000001</v>
      </c>
      <c r="G49" s="354">
        <v>0.47110000000000002</v>
      </c>
      <c r="H49" s="354">
        <v>0.47110000000000002</v>
      </c>
      <c r="I49" s="354">
        <v>0.47089999999999999</v>
      </c>
      <c r="J49" s="355">
        <v>0.35199999999999998</v>
      </c>
      <c r="K49" s="356">
        <v>0.48759999999999998</v>
      </c>
      <c r="L49" s="356">
        <v>0.36370000000000002</v>
      </c>
      <c r="M49" s="356">
        <v>0.39419999999999999</v>
      </c>
      <c r="N49" s="356">
        <v>0.66369999999999996</v>
      </c>
      <c r="O49" s="356">
        <v>0.67030000000000001</v>
      </c>
      <c r="P49" s="356">
        <v>0.62919999999999998</v>
      </c>
    </row>
    <row r="50" spans="1:16" ht="15" customHeight="1">
      <c r="A50" s="357" t="s">
        <v>641</v>
      </c>
      <c r="B50" s="353">
        <v>3536</v>
      </c>
      <c r="C50" s="354">
        <v>0.50890000000000002</v>
      </c>
      <c r="D50" s="354">
        <v>0.4657</v>
      </c>
      <c r="E50" s="354">
        <v>0.44169999999999998</v>
      </c>
      <c r="F50" s="354">
        <v>0.47470000000000001</v>
      </c>
      <c r="G50" s="354">
        <v>0.49259999999999998</v>
      </c>
      <c r="H50" s="354">
        <v>0.49259999999999998</v>
      </c>
      <c r="I50" s="354">
        <v>0.4924</v>
      </c>
      <c r="J50" s="355">
        <v>0.37019999999999997</v>
      </c>
      <c r="K50" s="356">
        <v>0.50890000000000002</v>
      </c>
      <c r="L50" s="356">
        <v>0.37569999999999998</v>
      </c>
      <c r="M50" s="356">
        <v>0.40539999999999998</v>
      </c>
      <c r="N50" s="356">
        <v>0.70279999999999998</v>
      </c>
      <c r="O50" s="356">
        <v>0.71060000000000001</v>
      </c>
      <c r="P50" s="356">
        <v>0.65100000000000002</v>
      </c>
    </row>
    <row r="51" spans="1:16" ht="15" customHeight="1">
      <c r="A51" s="357" t="s">
        <v>642</v>
      </c>
      <c r="B51" s="353">
        <v>3949.1750000000002</v>
      </c>
      <c r="C51" s="354">
        <v>0.52710000000000001</v>
      </c>
      <c r="D51" s="354">
        <v>0.48799999999999999</v>
      </c>
      <c r="E51" s="354">
        <v>0.46460000000000001</v>
      </c>
      <c r="F51" s="354">
        <v>0.49709999999999999</v>
      </c>
      <c r="G51" s="354">
        <v>0.51149999999999995</v>
      </c>
      <c r="H51" s="354">
        <v>0.51149999999999995</v>
      </c>
      <c r="I51" s="354">
        <v>0.51129999999999998</v>
      </c>
      <c r="J51" s="355">
        <v>0.38950000000000001</v>
      </c>
      <c r="K51" s="356">
        <v>0.52710000000000001</v>
      </c>
      <c r="L51" s="356">
        <v>0.38579999999999998</v>
      </c>
      <c r="M51" s="356">
        <v>0.42820000000000003</v>
      </c>
      <c r="N51" s="356">
        <v>0.73140000000000005</v>
      </c>
      <c r="O51" s="356">
        <v>0.74150000000000005</v>
      </c>
      <c r="P51" s="356">
        <v>0.66890000000000005</v>
      </c>
    </row>
    <row r="52" spans="1:16" ht="15" customHeight="1">
      <c r="A52" s="357" t="s">
        <v>643</v>
      </c>
      <c r="B52" s="353">
        <v>4265.125</v>
      </c>
      <c r="C52" s="354">
        <v>0.54469999999999996</v>
      </c>
      <c r="D52" s="354">
        <v>0.50590000000000002</v>
      </c>
      <c r="E52" s="354">
        <v>0.48270000000000002</v>
      </c>
      <c r="F52" s="354">
        <v>0.51500000000000001</v>
      </c>
      <c r="G52" s="354">
        <v>0.52939999999999998</v>
      </c>
      <c r="H52" s="354">
        <v>0.52939999999999998</v>
      </c>
      <c r="I52" s="354">
        <v>0.52910000000000001</v>
      </c>
      <c r="J52" s="355">
        <v>0.40600000000000003</v>
      </c>
      <c r="K52" s="356">
        <v>0.54469999999999996</v>
      </c>
      <c r="L52" s="356">
        <v>0.40229999999999999</v>
      </c>
      <c r="M52" s="356">
        <v>0.44650000000000001</v>
      </c>
      <c r="N52" s="356">
        <v>0.73819999999999997</v>
      </c>
      <c r="O52" s="356">
        <v>0.74739999999999995</v>
      </c>
      <c r="P52" s="356">
        <v>0.68379999999999996</v>
      </c>
    </row>
    <row r="53" spans="1:16" ht="15" customHeight="1">
      <c r="A53" s="357" t="s">
        <v>644</v>
      </c>
      <c r="B53" s="353">
        <v>4526.25</v>
      </c>
      <c r="C53" s="354">
        <v>0.55689999999999995</v>
      </c>
      <c r="D53" s="354">
        <v>0.51649999999999996</v>
      </c>
      <c r="E53" s="354">
        <v>0.49349999999999999</v>
      </c>
      <c r="F53" s="354">
        <v>0.52580000000000005</v>
      </c>
      <c r="G53" s="354">
        <v>0.54320000000000002</v>
      </c>
      <c r="H53" s="354">
        <v>0.54320000000000002</v>
      </c>
      <c r="I53" s="354">
        <v>0.54290000000000005</v>
      </c>
      <c r="J53" s="355">
        <v>0.42059999999999997</v>
      </c>
      <c r="K53" s="356">
        <v>0.55689999999999995</v>
      </c>
      <c r="L53" s="356">
        <v>0.40720000000000001</v>
      </c>
      <c r="M53" s="356">
        <v>0.44640000000000002</v>
      </c>
      <c r="N53" s="356">
        <v>0.73299999999999998</v>
      </c>
      <c r="O53" s="356">
        <v>0.7389</v>
      </c>
      <c r="P53" s="356">
        <v>0.69210000000000005</v>
      </c>
    </row>
    <row r="54" spans="1:16" ht="15" customHeight="1">
      <c r="A54" s="357" t="s">
        <v>645</v>
      </c>
      <c r="B54" s="353">
        <v>4767.6499999999996</v>
      </c>
      <c r="C54" s="354">
        <v>0.56940000000000002</v>
      </c>
      <c r="D54" s="354">
        <v>0.53139999999999998</v>
      </c>
      <c r="E54" s="354">
        <v>0.50080000000000002</v>
      </c>
      <c r="F54" s="354">
        <v>0.5444</v>
      </c>
      <c r="G54" s="354">
        <v>0.55710000000000004</v>
      </c>
      <c r="H54" s="354">
        <v>0.55720000000000003</v>
      </c>
      <c r="I54" s="354">
        <v>0.55689999999999995</v>
      </c>
      <c r="J54" s="355">
        <v>0.44209999999999999</v>
      </c>
      <c r="K54" s="356">
        <v>0.56940000000000002</v>
      </c>
      <c r="L54" s="356">
        <v>0.4088</v>
      </c>
      <c r="M54" s="356">
        <v>0.45600000000000002</v>
      </c>
      <c r="N54" s="356">
        <v>0.7258</v>
      </c>
      <c r="O54" s="356">
        <v>0.72950000000000004</v>
      </c>
      <c r="P54" s="356">
        <v>0.7016</v>
      </c>
    </row>
    <row r="55" spans="1:16" ht="15" customHeight="1">
      <c r="A55" s="357" t="s">
        <v>646</v>
      </c>
      <c r="B55" s="353">
        <v>5138.55</v>
      </c>
      <c r="C55" s="354">
        <v>0.58779999999999999</v>
      </c>
      <c r="D55" s="354">
        <v>0.54969999999999997</v>
      </c>
      <c r="E55" s="354">
        <v>0.51339999999999997</v>
      </c>
      <c r="F55" s="354">
        <v>0.56459999999999999</v>
      </c>
      <c r="G55" s="354">
        <v>0.57830000000000004</v>
      </c>
      <c r="H55" s="354">
        <v>0.57840000000000003</v>
      </c>
      <c r="I55" s="354">
        <v>0.57789999999999997</v>
      </c>
      <c r="J55" s="355">
        <v>0.45900000000000002</v>
      </c>
      <c r="K55" s="356">
        <v>0.58779999999999999</v>
      </c>
      <c r="L55" s="356">
        <v>0.42170000000000002</v>
      </c>
      <c r="M55" s="356">
        <v>0.47370000000000001</v>
      </c>
      <c r="N55" s="356">
        <v>0.72719999999999996</v>
      </c>
      <c r="O55" s="356">
        <v>0.72819999999999996</v>
      </c>
      <c r="P55" s="356">
        <v>0.72160000000000002</v>
      </c>
    </row>
    <row r="56" spans="1:16" ht="15" customHeight="1">
      <c r="A56" s="357" t="s">
        <v>647</v>
      </c>
      <c r="B56" s="353">
        <v>5554.6750000000002</v>
      </c>
      <c r="C56" s="354">
        <v>0.61160000000000003</v>
      </c>
      <c r="D56" s="354">
        <v>0.57140000000000002</v>
      </c>
      <c r="E56" s="354">
        <v>0.53320000000000001</v>
      </c>
      <c r="F56" s="354">
        <v>0.58660000000000001</v>
      </c>
      <c r="G56" s="354">
        <v>0.60399999999999998</v>
      </c>
      <c r="H56" s="354">
        <v>0.60409999999999997</v>
      </c>
      <c r="I56" s="354">
        <v>0.60309999999999997</v>
      </c>
      <c r="J56" s="355">
        <v>0.47820000000000001</v>
      </c>
      <c r="K56" s="356">
        <v>0.61160000000000003</v>
      </c>
      <c r="L56" s="356">
        <v>0.43240000000000001</v>
      </c>
      <c r="M56" s="356">
        <v>0.48180000000000001</v>
      </c>
      <c r="N56" s="356">
        <v>0.74370000000000003</v>
      </c>
      <c r="O56" s="356">
        <v>0.74339999999999995</v>
      </c>
      <c r="P56" s="356">
        <v>0.74550000000000005</v>
      </c>
    </row>
    <row r="57" spans="1:16" ht="15" customHeight="1">
      <c r="A57" s="357" t="s">
        <v>648</v>
      </c>
      <c r="B57" s="353">
        <v>5898.75</v>
      </c>
      <c r="C57" s="354">
        <v>0.63400000000000001</v>
      </c>
      <c r="D57" s="354">
        <v>0.58799999999999997</v>
      </c>
      <c r="E57" s="354">
        <v>0.55149999999999999</v>
      </c>
      <c r="F57" s="354">
        <v>0.60040000000000004</v>
      </c>
      <c r="G57" s="354">
        <v>0.62860000000000005</v>
      </c>
      <c r="H57" s="354">
        <v>0.62880000000000003</v>
      </c>
      <c r="I57" s="354">
        <v>0.62729999999999997</v>
      </c>
      <c r="J57" s="355">
        <v>0.50139999999999996</v>
      </c>
      <c r="K57" s="356">
        <v>0.63400000000000001</v>
      </c>
      <c r="L57" s="356">
        <v>0.44419999999999998</v>
      </c>
      <c r="M57" s="356">
        <v>0.4834</v>
      </c>
      <c r="N57" s="356">
        <v>0.75700000000000001</v>
      </c>
      <c r="O57" s="356">
        <v>0.75570000000000004</v>
      </c>
      <c r="P57" s="356">
        <v>0.76459999999999995</v>
      </c>
    </row>
    <row r="58" spans="1:16" ht="15" customHeight="1">
      <c r="A58" s="357" t="s">
        <v>649</v>
      </c>
      <c r="B58" s="353">
        <v>6093.1750000000002</v>
      </c>
      <c r="C58" s="354">
        <v>0.65659999999999996</v>
      </c>
      <c r="D58" s="354">
        <v>0.61429999999999996</v>
      </c>
      <c r="E58" s="354">
        <v>0.57879999999999998</v>
      </c>
      <c r="F58" s="354">
        <v>0.62429999999999997</v>
      </c>
      <c r="G58" s="354">
        <v>0.65359999999999996</v>
      </c>
      <c r="H58" s="354">
        <v>0.65380000000000005</v>
      </c>
      <c r="I58" s="354">
        <v>0.65200000000000002</v>
      </c>
      <c r="J58" s="355">
        <v>0.52239999999999998</v>
      </c>
      <c r="K58" s="356">
        <v>0.65659999999999996</v>
      </c>
      <c r="L58" s="356">
        <v>0.47089999999999999</v>
      </c>
      <c r="M58" s="356">
        <v>0.50839999999999996</v>
      </c>
      <c r="N58" s="356">
        <v>0.77490000000000003</v>
      </c>
      <c r="O58" s="356">
        <v>0.7732</v>
      </c>
      <c r="P58" s="356">
        <v>0.78420000000000001</v>
      </c>
    </row>
    <row r="59" spans="1:16" ht="15" customHeight="1">
      <c r="A59" s="357" t="s">
        <v>650</v>
      </c>
      <c r="B59" s="353">
        <v>6416.25</v>
      </c>
      <c r="C59" s="354">
        <v>0.67300000000000004</v>
      </c>
      <c r="D59" s="354">
        <v>0.63929999999999998</v>
      </c>
      <c r="E59" s="354">
        <v>0.58799999999999997</v>
      </c>
      <c r="F59" s="354">
        <v>0.65500000000000003</v>
      </c>
      <c r="G59" s="354">
        <v>0.67069999999999996</v>
      </c>
      <c r="H59" s="354">
        <v>0.67100000000000004</v>
      </c>
      <c r="I59" s="354">
        <v>0.66890000000000005</v>
      </c>
      <c r="J59" s="355">
        <v>0.53779999999999994</v>
      </c>
      <c r="K59" s="356">
        <v>0.67300000000000004</v>
      </c>
      <c r="L59" s="356">
        <v>0.48759999999999998</v>
      </c>
      <c r="M59" s="356">
        <v>0.55320000000000003</v>
      </c>
      <c r="N59" s="356">
        <v>0.78680000000000005</v>
      </c>
      <c r="O59" s="356">
        <v>0.78590000000000004</v>
      </c>
      <c r="P59" s="356">
        <v>0.79069999999999996</v>
      </c>
    </row>
    <row r="60" spans="1:16" ht="15" customHeight="1">
      <c r="A60" s="357" t="s">
        <v>651</v>
      </c>
      <c r="B60" s="353">
        <v>6775.3249999999998</v>
      </c>
      <c r="C60" s="354">
        <v>0.68879999999999997</v>
      </c>
      <c r="D60" s="354">
        <v>0.65820000000000001</v>
      </c>
      <c r="E60" s="354">
        <v>0.59389999999999998</v>
      </c>
      <c r="F60" s="354">
        <v>0.67730000000000001</v>
      </c>
      <c r="G60" s="354">
        <v>0.68789999999999996</v>
      </c>
      <c r="H60" s="354">
        <v>0.68840000000000001</v>
      </c>
      <c r="I60" s="354">
        <v>0.68559999999999999</v>
      </c>
      <c r="J60" s="355">
        <v>0.55459999999999998</v>
      </c>
      <c r="K60" s="356">
        <v>0.68879999999999997</v>
      </c>
      <c r="L60" s="356">
        <v>0.51300000000000001</v>
      </c>
      <c r="M60" s="356">
        <v>0.59599999999999997</v>
      </c>
      <c r="N60" s="356">
        <v>0.80569999999999997</v>
      </c>
      <c r="O60" s="356">
        <v>0.80630000000000002</v>
      </c>
      <c r="P60" s="356">
        <v>0.80349999999999999</v>
      </c>
    </row>
    <row r="61" spans="1:16" ht="15" customHeight="1">
      <c r="A61" s="357" t="s">
        <v>652</v>
      </c>
      <c r="B61" s="353">
        <v>7176.85</v>
      </c>
      <c r="C61" s="354">
        <v>0.70379999999999998</v>
      </c>
      <c r="D61" s="354">
        <v>0.66979999999999995</v>
      </c>
      <c r="E61" s="354">
        <v>0.59950000000000003</v>
      </c>
      <c r="F61" s="354">
        <v>0.68910000000000005</v>
      </c>
      <c r="G61" s="354">
        <v>0.70230000000000004</v>
      </c>
      <c r="H61" s="354">
        <v>0.70289999999999997</v>
      </c>
      <c r="I61" s="354">
        <v>0.69920000000000004</v>
      </c>
      <c r="J61" s="355">
        <v>0.56889999999999996</v>
      </c>
      <c r="K61" s="356">
        <v>0.70379999999999998</v>
      </c>
      <c r="L61" s="356">
        <v>0.53610000000000002</v>
      </c>
      <c r="M61" s="356">
        <v>0.60240000000000005</v>
      </c>
      <c r="N61" s="356">
        <v>0.82499999999999996</v>
      </c>
      <c r="O61" s="356">
        <v>0.82699999999999996</v>
      </c>
      <c r="P61" s="356">
        <v>0.81740000000000002</v>
      </c>
    </row>
    <row r="62" spans="1:16" ht="15" customHeight="1">
      <c r="A62" s="357" t="s">
        <v>653</v>
      </c>
      <c r="B62" s="353">
        <v>7560.4250000000002</v>
      </c>
      <c r="C62" s="354">
        <v>0.71879999999999999</v>
      </c>
      <c r="D62" s="354">
        <v>0.68969999999999998</v>
      </c>
      <c r="E62" s="354">
        <v>0.61109999999999998</v>
      </c>
      <c r="F62" s="354">
        <v>0.7097</v>
      </c>
      <c r="G62" s="354">
        <v>0.71740000000000004</v>
      </c>
      <c r="H62" s="354">
        <v>0.71809999999999996</v>
      </c>
      <c r="I62" s="354">
        <v>0.71430000000000005</v>
      </c>
      <c r="J62" s="355">
        <v>0.58840000000000003</v>
      </c>
      <c r="K62" s="356">
        <v>0.71879999999999999</v>
      </c>
      <c r="L62" s="356">
        <v>0.55310000000000004</v>
      </c>
      <c r="M62" s="356">
        <v>0.64290000000000003</v>
      </c>
      <c r="N62" s="356">
        <v>0.84599999999999997</v>
      </c>
      <c r="O62" s="356">
        <v>0.84789999999999999</v>
      </c>
      <c r="P62" s="356">
        <v>0.84040000000000004</v>
      </c>
    </row>
    <row r="63" spans="1:16" ht="15" customHeight="1">
      <c r="A63" s="357" t="s">
        <v>654</v>
      </c>
      <c r="B63" s="353">
        <v>7951.3249999999998</v>
      </c>
      <c r="C63" s="354">
        <v>0.73229999999999995</v>
      </c>
      <c r="D63" s="354">
        <v>0.70420000000000005</v>
      </c>
      <c r="E63" s="354">
        <v>0.62429999999999997</v>
      </c>
      <c r="F63" s="354">
        <v>0.72319999999999995</v>
      </c>
      <c r="G63" s="354">
        <v>0.73199999999999998</v>
      </c>
      <c r="H63" s="354">
        <v>0.73260000000000003</v>
      </c>
      <c r="I63" s="354">
        <v>0.7288</v>
      </c>
      <c r="J63" s="355">
        <v>0.60560000000000003</v>
      </c>
      <c r="K63" s="356">
        <v>0.73229999999999995</v>
      </c>
      <c r="L63" s="356">
        <v>0.57940000000000003</v>
      </c>
      <c r="M63" s="356">
        <v>0.66220000000000001</v>
      </c>
      <c r="N63" s="356">
        <v>0.85670000000000002</v>
      </c>
      <c r="O63" s="356">
        <v>0.86029999999999995</v>
      </c>
      <c r="P63" s="356">
        <v>0.84719999999999995</v>
      </c>
    </row>
    <row r="64" spans="1:16" ht="15" customHeight="1">
      <c r="A64" s="357" t="s">
        <v>655</v>
      </c>
      <c r="B64" s="353">
        <v>8451.0249999999996</v>
      </c>
      <c r="C64" s="354">
        <v>0.74529999999999996</v>
      </c>
      <c r="D64" s="354">
        <v>0.71899999999999997</v>
      </c>
      <c r="E64" s="354">
        <v>0.63400000000000001</v>
      </c>
      <c r="F64" s="354">
        <v>0.73919999999999997</v>
      </c>
      <c r="G64" s="354">
        <v>0.74680000000000002</v>
      </c>
      <c r="H64" s="354">
        <v>0.74739999999999995</v>
      </c>
      <c r="I64" s="354">
        <v>0.74350000000000005</v>
      </c>
      <c r="J64" s="355">
        <v>0.61729999999999996</v>
      </c>
      <c r="K64" s="356">
        <v>0.74529999999999996</v>
      </c>
      <c r="L64" s="356">
        <v>0.59370000000000001</v>
      </c>
      <c r="M64" s="356">
        <v>0.67710000000000004</v>
      </c>
      <c r="N64" s="356">
        <v>0.85499999999999998</v>
      </c>
      <c r="O64" s="356">
        <v>0.85719999999999996</v>
      </c>
      <c r="P64" s="356">
        <v>0.84919999999999995</v>
      </c>
    </row>
    <row r="65" spans="1:16" ht="15" customHeight="1">
      <c r="A65" s="357" t="s">
        <v>656</v>
      </c>
      <c r="B65" s="353">
        <v>8930.7999999999993</v>
      </c>
      <c r="C65" s="354">
        <v>0.75460000000000005</v>
      </c>
      <c r="D65" s="354">
        <v>0.72499999999999998</v>
      </c>
      <c r="E65" s="354">
        <v>0.64600000000000002</v>
      </c>
      <c r="F65" s="354">
        <v>0.74260000000000004</v>
      </c>
      <c r="G65" s="354">
        <v>0.75380000000000003</v>
      </c>
      <c r="H65" s="354">
        <v>0.75429999999999997</v>
      </c>
      <c r="I65" s="354">
        <v>0.75149999999999995</v>
      </c>
      <c r="J65" s="355">
        <v>0.62509999999999999</v>
      </c>
      <c r="K65" s="356">
        <v>0.75460000000000005</v>
      </c>
      <c r="L65" s="356">
        <v>0.60599999999999998</v>
      </c>
      <c r="M65" s="356">
        <v>0.66290000000000004</v>
      </c>
      <c r="N65" s="356">
        <v>0.85570000000000002</v>
      </c>
      <c r="O65" s="356">
        <v>0.85719999999999996</v>
      </c>
      <c r="P65" s="356">
        <v>0.85050000000000003</v>
      </c>
    </row>
    <row r="66" spans="1:16" ht="15" customHeight="1">
      <c r="A66" s="357" t="s">
        <v>657</v>
      </c>
      <c r="B66" s="353">
        <v>9479.35</v>
      </c>
      <c r="C66" s="354">
        <v>0.76429999999999998</v>
      </c>
      <c r="D66" s="354">
        <v>0.7339</v>
      </c>
      <c r="E66" s="354">
        <v>0.65890000000000004</v>
      </c>
      <c r="F66" s="354">
        <v>0.75039999999999996</v>
      </c>
      <c r="G66" s="354">
        <v>0.76280000000000003</v>
      </c>
      <c r="H66" s="354">
        <v>0.76319999999999999</v>
      </c>
      <c r="I66" s="354">
        <v>0.76080000000000003</v>
      </c>
      <c r="J66" s="355">
        <v>0.64029999999999998</v>
      </c>
      <c r="K66" s="356">
        <v>0.76429999999999998</v>
      </c>
      <c r="L66" s="356">
        <v>0.62450000000000006</v>
      </c>
      <c r="M66" s="356">
        <v>0.68179999999999996</v>
      </c>
      <c r="N66" s="356">
        <v>0.86429999999999996</v>
      </c>
      <c r="O66" s="356">
        <v>0.86750000000000005</v>
      </c>
      <c r="P66" s="356">
        <v>0.85619999999999996</v>
      </c>
    </row>
    <row r="67" spans="1:16" ht="15" customHeight="1">
      <c r="A67" s="357" t="s">
        <v>658</v>
      </c>
      <c r="B67" s="353">
        <v>10117.450000000001</v>
      </c>
      <c r="C67" s="354">
        <v>0.78</v>
      </c>
      <c r="D67" s="354">
        <v>0.75249999999999995</v>
      </c>
      <c r="E67" s="354">
        <v>0.68210000000000004</v>
      </c>
      <c r="F67" s="354">
        <v>0.7681</v>
      </c>
      <c r="G67" s="354">
        <v>0.78069999999999995</v>
      </c>
      <c r="H67" s="354">
        <v>0.78120000000000001</v>
      </c>
      <c r="I67" s="354">
        <v>0.77839999999999998</v>
      </c>
      <c r="J67" s="355">
        <v>0.66459999999999997</v>
      </c>
      <c r="K67" s="356">
        <v>0.78</v>
      </c>
      <c r="L67" s="356">
        <v>0.65680000000000005</v>
      </c>
      <c r="M67" s="356">
        <v>0.7077</v>
      </c>
      <c r="N67" s="356">
        <v>0.87649999999999995</v>
      </c>
      <c r="O67" s="356">
        <v>0.87819999999999998</v>
      </c>
      <c r="P67" s="356">
        <v>0.87280000000000002</v>
      </c>
    </row>
    <row r="68" spans="1:16" ht="15" customHeight="1">
      <c r="A68" s="357" t="s">
        <v>659</v>
      </c>
      <c r="B68" s="353">
        <v>10526.5</v>
      </c>
      <c r="C68" s="354">
        <v>0.7984</v>
      </c>
      <c r="D68" s="354">
        <v>0.7722</v>
      </c>
      <c r="E68" s="354">
        <v>0.70540000000000003</v>
      </c>
      <c r="F68" s="354">
        <v>0.78669999999999995</v>
      </c>
      <c r="G68" s="354">
        <v>0.79810000000000003</v>
      </c>
      <c r="H68" s="354">
        <v>0.79849999999999999</v>
      </c>
      <c r="I68" s="354">
        <v>0.79600000000000004</v>
      </c>
      <c r="J68" s="355">
        <v>0.68589999999999995</v>
      </c>
      <c r="K68" s="356">
        <v>0.7984</v>
      </c>
      <c r="L68" s="356">
        <v>0.6714</v>
      </c>
      <c r="M68" s="356">
        <v>0.73019999999999996</v>
      </c>
      <c r="N68" s="356">
        <v>0.88070000000000004</v>
      </c>
      <c r="O68" s="356">
        <v>0.88</v>
      </c>
      <c r="P68" s="356">
        <v>0.8821</v>
      </c>
    </row>
    <row r="69" spans="1:16" ht="15" customHeight="1">
      <c r="A69" s="357" t="s">
        <v>660</v>
      </c>
      <c r="B69" s="353">
        <v>10833.65</v>
      </c>
      <c r="C69" s="354">
        <v>0.81120000000000003</v>
      </c>
      <c r="D69" s="354">
        <v>0.78410000000000002</v>
      </c>
      <c r="E69" s="354">
        <v>0.72840000000000005</v>
      </c>
      <c r="F69" s="354">
        <v>0.79690000000000005</v>
      </c>
      <c r="G69" s="354">
        <v>0.80730000000000002</v>
      </c>
      <c r="H69" s="354">
        <v>0.80779999999999996</v>
      </c>
      <c r="I69" s="354">
        <v>0.8054</v>
      </c>
      <c r="J69" s="355">
        <v>0.6996</v>
      </c>
      <c r="K69" s="356">
        <v>0.81120000000000003</v>
      </c>
      <c r="L69" s="356">
        <v>0.70920000000000005</v>
      </c>
      <c r="M69" s="356">
        <v>0.75619999999999998</v>
      </c>
      <c r="N69" s="356">
        <v>0.87619999999999998</v>
      </c>
      <c r="O69" s="356">
        <v>0.87390000000000001</v>
      </c>
      <c r="P69" s="356">
        <v>0.88139999999999996</v>
      </c>
    </row>
    <row r="70" spans="1:16" ht="15" customHeight="1">
      <c r="A70" s="357" t="s">
        <v>661</v>
      </c>
      <c r="B70" s="353">
        <v>11283.8</v>
      </c>
      <c r="C70" s="354">
        <v>0.82599999999999996</v>
      </c>
      <c r="D70" s="354">
        <v>0.80640000000000001</v>
      </c>
      <c r="E70" s="354">
        <v>0.77549999999999997</v>
      </c>
      <c r="F70" s="354">
        <v>0.81389999999999996</v>
      </c>
      <c r="G70" s="354">
        <v>0.82320000000000004</v>
      </c>
      <c r="H70" s="354">
        <v>0.82369999999999999</v>
      </c>
      <c r="I70" s="354">
        <v>0.82130000000000003</v>
      </c>
      <c r="J70" s="355">
        <v>0.71950000000000003</v>
      </c>
      <c r="K70" s="356">
        <v>0.82599999999999996</v>
      </c>
      <c r="L70" s="356">
        <v>0.74760000000000004</v>
      </c>
      <c r="M70" s="356">
        <v>0.78849999999999998</v>
      </c>
      <c r="N70" s="356">
        <v>0.8831</v>
      </c>
      <c r="O70" s="356">
        <v>0.88219999999999998</v>
      </c>
      <c r="P70" s="356">
        <v>0.88539999999999996</v>
      </c>
    </row>
    <row r="71" spans="1:16" ht="15" customHeight="1">
      <c r="A71" s="357" t="s">
        <v>662</v>
      </c>
      <c r="B71" s="353">
        <v>12025.45</v>
      </c>
      <c r="C71" s="354">
        <v>0.8458</v>
      </c>
      <c r="D71" s="354">
        <v>0.82740000000000002</v>
      </c>
      <c r="E71" s="354">
        <v>0.80469999999999997</v>
      </c>
      <c r="F71" s="354">
        <v>0.83320000000000005</v>
      </c>
      <c r="G71" s="354">
        <v>0.84150000000000003</v>
      </c>
      <c r="H71" s="354">
        <v>0.84189999999999998</v>
      </c>
      <c r="I71" s="354">
        <v>0.83989999999999998</v>
      </c>
      <c r="J71" s="355">
        <v>0.74629999999999996</v>
      </c>
      <c r="K71" s="356">
        <v>0.8458</v>
      </c>
      <c r="L71" s="356">
        <v>0.78369999999999995</v>
      </c>
      <c r="M71" s="356">
        <v>0.81459999999999999</v>
      </c>
      <c r="N71" s="356">
        <v>0.89500000000000002</v>
      </c>
      <c r="O71" s="356">
        <v>0.89429999999999998</v>
      </c>
      <c r="P71" s="356">
        <v>0.89710000000000001</v>
      </c>
    </row>
    <row r="72" spans="1:16" ht="15" customHeight="1">
      <c r="A72" s="357" t="s">
        <v>663</v>
      </c>
      <c r="B72" s="353">
        <v>12834.15</v>
      </c>
      <c r="C72" s="354">
        <v>0.87160000000000004</v>
      </c>
      <c r="D72" s="354">
        <v>0.85580000000000001</v>
      </c>
      <c r="E72" s="354">
        <v>0.84309999999999996</v>
      </c>
      <c r="F72" s="354">
        <v>0.85909999999999997</v>
      </c>
      <c r="G72" s="354">
        <v>0.86519999999999997</v>
      </c>
      <c r="H72" s="354">
        <v>0.86539999999999995</v>
      </c>
      <c r="I72" s="354">
        <v>0.86399999999999999</v>
      </c>
      <c r="J72" s="355">
        <v>0.79</v>
      </c>
      <c r="K72" s="356">
        <v>0.87160000000000004</v>
      </c>
      <c r="L72" s="356">
        <v>0.82030000000000003</v>
      </c>
      <c r="M72" s="356">
        <v>0.84370000000000001</v>
      </c>
      <c r="N72" s="356">
        <v>0.91169999999999995</v>
      </c>
      <c r="O72" s="356">
        <v>0.91080000000000005</v>
      </c>
      <c r="P72" s="356">
        <v>0.91469999999999996</v>
      </c>
    </row>
    <row r="73" spans="1:16" ht="15" customHeight="1">
      <c r="A73" s="357" t="s">
        <v>664</v>
      </c>
      <c r="B73" s="353">
        <v>13638.375</v>
      </c>
      <c r="C73" s="354">
        <v>0.89949999999999997</v>
      </c>
      <c r="D73" s="354">
        <v>0.88539999999999996</v>
      </c>
      <c r="E73" s="354">
        <v>0.87919999999999998</v>
      </c>
      <c r="F73" s="354">
        <v>0.88700000000000001</v>
      </c>
      <c r="G73" s="354">
        <v>0.89149999999999996</v>
      </c>
      <c r="H73" s="354">
        <v>0.89159999999999995</v>
      </c>
      <c r="I73" s="354">
        <v>0.89059999999999995</v>
      </c>
      <c r="J73" s="355">
        <v>0.8306</v>
      </c>
      <c r="K73" s="356">
        <v>0.89949999999999997</v>
      </c>
      <c r="L73" s="356">
        <v>0.85040000000000004</v>
      </c>
      <c r="M73" s="356">
        <v>0.87109999999999999</v>
      </c>
      <c r="N73" s="356">
        <v>0.92659999999999998</v>
      </c>
      <c r="O73" s="356">
        <v>0.9264</v>
      </c>
      <c r="P73" s="356">
        <v>0.9274</v>
      </c>
    </row>
    <row r="74" spans="1:16" ht="15" customHeight="1">
      <c r="A74" s="357" t="s">
        <v>665</v>
      </c>
      <c r="B74" s="353">
        <v>14290.8</v>
      </c>
      <c r="C74" s="354">
        <v>0.92400000000000004</v>
      </c>
      <c r="D74" s="354">
        <v>0.90990000000000004</v>
      </c>
      <c r="E74" s="354">
        <v>0.90810000000000002</v>
      </c>
      <c r="F74" s="354">
        <v>0.9103</v>
      </c>
      <c r="G74" s="354">
        <v>0.91090000000000004</v>
      </c>
      <c r="H74" s="354">
        <v>0.91090000000000004</v>
      </c>
      <c r="I74" s="354">
        <v>0.91049999999999998</v>
      </c>
      <c r="J74" s="355">
        <v>0.87549999999999994</v>
      </c>
      <c r="K74" s="356">
        <v>0.92400000000000004</v>
      </c>
      <c r="L74" s="356">
        <v>0.88119999999999998</v>
      </c>
      <c r="M74" s="356">
        <v>0.90329999999999999</v>
      </c>
      <c r="N74" s="356">
        <v>0.93959999999999999</v>
      </c>
      <c r="O74" s="356">
        <v>0.94010000000000005</v>
      </c>
      <c r="P74" s="356">
        <v>0.93810000000000004</v>
      </c>
    </row>
    <row r="75" spans="1:16" ht="15" customHeight="1">
      <c r="A75" s="357" t="s">
        <v>666</v>
      </c>
      <c r="B75" s="353">
        <v>14743.325000000001</v>
      </c>
      <c r="C75" s="354">
        <v>0.94310000000000005</v>
      </c>
      <c r="D75" s="354">
        <v>0.94140000000000001</v>
      </c>
      <c r="E75" s="354">
        <v>0.94310000000000005</v>
      </c>
      <c r="F75" s="354">
        <v>0.94089999999999996</v>
      </c>
      <c r="G75" s="354">
        <v>0.94279999999999997</v>
      </c>
      <c r="H75" s="354">
        <v>0.94279999999999997</v>
      </c>
      <c r="I75" s="354">
        <v>0.94259999999999999</v>
      </c>
      <c r="J75" s="355">
        <v>0.91879999999999995</v>
      </c>
      <c r="K75" s="356">
        <v>0.94310000000000005</v>
      </c>
      <c r="L75" s="356">
        <v>0.90969999999999995</v>
      </c>
      <c r="M75" s="356">
        <v>0.92549999999999999</v>
      </c>
      <c r="N75" s="356">
        <v>0.95689999999999997</v>
      </c>
      <c r="O75" s="356">
        <v>0.95709999999999995</v>
      </c>
      <c r="P75" s="356">
        <v>0.95599999999999996</v>
      </c>
    </row>
    <row r="76" spans="1:16" ht="15" customHeight="1">
      <c r="A76" s="357" t="s">
        <v>667</v>
      </c>
      <c r="B76" s="353">
        <v>14431.8</v>
      </c>
      <c r="C76" s="354">
        <v>0.95399999999999996</v>
      </c>
      <c r="D76" s="354">
        <v>0.94130000000000003</v>
      </c>
      <c r="E76" s="354">
        <v>0.94120000000000004</v>
      </c>
      <c r="F76" s="354">
        <v>0.94140000000000001</v>
      </c>
      <c r="G76" s="354">
        <v>0.94199999999999995</v>
      </c>
      <c r="H76" s="354">
        <v>0.94199999999999995</v>
      </c>
      <c r="I76" s="354">
        <v>0.94210000000000005</v>
      </c>
      <c r="J76" s="355">
        <v>0.93230000000000002</v>
      </c>
      <c r="K76" s="356">
        <v>0.95399999999999996</v>
      </c>
      <c r="L76" s="356">
        <v>0.9284</v>
      </c>
      <c r="M76" s="356">
        <v>0.93430000000000002</v>
      </c>
      <c r="N76" s="356">
        <v>0.96430000000000005</v>
      </c>
      <c r="O76" s="356">
        <v>0.96550000000000002</v>
      </c>
      <c r="P76" s="356">
        <v>0.96079999999999999</v>
      </c>
    </row>
    <row r="77" spans="1:16" ht="15" customHeight="1">
      <c r="A77" s="357" t="s">
        <v>668</v>
      </c>
      <c r="B77" s="353">
        <v>14838.85</v>
      </c>
      <c r="C77" s="354">
        <v>0.96220000000000006</v>
      </c>
      <c r="D77" s="354">
        <v>0.95809999999999995</v>
      </c>
      <c r="E77" s="354">
        <v>0.95830000000000004</v>
      </c>
      <c r="F77" s="354">
        <v>0.95809999999999995</v>
      </c>
      <c r="G77" s="354">
        <v>0.95830000000000004</v>
      </c>
      <c r="H77" s="354">
        <v>0.95830000000000004</v>
      </c>
      <c r="I77" s="354">
        <v>0.95809999999999995</v>
      </c>
      <c r="J77" s="355">
        <v>0.94730000000000003</v>
      </c>
      <c r="K77" s="356">
        <v>0.96220000000000006</v>
      </c>
      <c r="L77" s="356">
        <v>0.95509999999999995</v>
      </c>
      <c r="M77" s="356">
        <v>0.96330000000000005</v>
      </c>
      <c r="N77" s="356">
        <v>0.9698</v>
      </c>
      <c r="O77" s="356">
        <v>0.96970000000000001</v>
      </c>
      <c r="P77" s="356">
        <v>0.97030000000000005</v>
      </c>
    </row>
    <row r="78" spans="1:16" ht="15" customHeight="1">
      <c r="A78" s="357" t="s">
        <v>669</v>
      </c>
      <c r="B78" s="353">
        <v>15403.674999999999</v>
      </c>
      <c r="C78" s="354">
        <v>0.98140000000000005</v>
      </c>
      <c r="D78" s="354">
        <v>0.98050000000000004</v>
      </c>
      <c r="E78" s="354">
        <v>0.98640000000000005</v>
      </c>
      <c r="F78" s="354">
        <v>0.97909999999999997</v>
      </c>
      <c r="G78" s="354">
        <v>0.97909999999999997</v>
      </c>
      <c r="H78" s="354">
        <v>0.97909999999999997</v>
      </c>
      <c r="I78" s="354">
        <v>0.97889999999999999</v>
      </c>
      <c r="J78" s="355">
        <v>0.97399999999999998</v>
      </c>
      <c r="K78" s="356">
        <v>0.98140000000000005</v>
      </c>
      <c r="L78" s="356">
        <v>0.98880000000000001</v>
      </c>
      <c r="M78" s="356">
        <v>0.9869</v>
      </c>
      <c r="N78" s="356">
        <v>0.98950000000000005</v>
      </c>
      <c r="O78" s="356">
        <v>0.98870000000000002</v>
      </c>
      <c r="P78" s="356">
        <v>0.99170000000000003</v>
      </c>
    </row>
    <row r="79" spans="1:16" ht="15" customHeight="1">
      <c r="A79" s="357" t="s">
        <v>670</v>
      </c>
      <c r="B79" s="353">
        <v>16056.45</v>
      </c>
      <c r="C79" s="354">
        <v>1</v>
      </c>
      <c r="D79" s="354">
        <v>1</v>
      </c>
      <c r="E79" s="354">
        <v>1</v>
      </c>
      <c r="F79" s="354">
        <v>1</v>
      </c>
      <c r="G79" s="354">
        <v>1</v>
      </c>
      <c r="H79" s="354">
        <v>1</v>
      </c>
      <c r="I79" s="354">
        <v>1</v>
      </c>
      <c r="J79" s="355">
        <v>1</v>
      </c>
      <c r="K79" s="356">
        <v>1</v>
      </c>
      <c r="L79" s="356">
        <v>1</v>
      </c>
      <c r="M79" s="356">
        <v>1</v>
      </c>
      <c r="N79" s="356">
        <v>1</v>
      </c>
      <c r="O79" s="356">
        <v>1</v>
      </c>
      <c r="P79" s="356">
        <v>1</v>
      </c>
    </row>
    <row r="80" spans="1:16" ht="15" customHeight="1">
      <c r="A80" s="357" t="s">
        <v>671</v>
      </c>
      <c r="B80" s="353">
        <v>16603.775000000001</v>
      </c>
      <c r="C80" s="354">
        <v>1.0184</v>
      </c>
      <c r="D80" s="354">
        <v>1.0142</v>
      </c>
      <c r="E80" s="354">
        <v>1.0069999999999999</v>
      </c>
      <c r="F80" s="354">
        <v>1.0159</v>
      </c>
      <c r="G80" s="354">
        <v>1.0147999999999999</v>
      </c>
      <c r="H80" s="354">
        <v>1.0147999999999999</v>
      </c>
      <c r="I80" s="354">
        <v>1.0147999999999999</v>
      </c>
      <c r="J80" s="355">
        <v>1.0264</v>
      </c>
      <c r="K80" s="356">
        <v>1.0184</v>
      </c>
      <c r="L80" s="356">
        <v>1.0082</v>
      </c>
      <c r="M80" s="356">
        <v>1.0125999999999999</v>
      </c>
      <c r="N80" s="356">
        <v>1.004</v>
      </c>
      <c r="O80" s="356">
        <v>1.0031000000000001</v>
      </c>
      <c r="P80" s="356">
        <v>1.0065</v>
      </c>
    </row>
    <row r="81" spans="1:16" ht="15" customHeight="1">
      <c r="A81" s="357" t="s">
        <v>672</v>
      </c>
      <c r="B81" s="353">
        <v>17335.575000000001</v>
      </c>
      <c r="C81" s="354">
        <v>1.038</v>
      </c>
      <c r="D81" s="354">
        <v>1.0302</v>
      </c>
      <c r="E81" s="354">
        <v>1.0234000000000001</v>
      </c>
      <c r="F81" s="354">
        <v>1.0316000000000001</v>
      </c>
      <c r="G81" s="354">
        <v>1.0301</v>
      </c>
      <c r="H81" s="354">
        <v>1.0301</v>
      </c>
      <c r="I81" s="354">
        <v>1.0302</v>
      </c>
      <c r="J81" s="355">
        <v>1.0509999999999999</v>
      </c>
      <c r="K81" s="356">
        <v>1.038</v>
      </c>
      <c r="L81" s="356">
        <v>1.0426</v>
      </c>
      <c r="M81" s="356">
        <v>1.0329999999999999</v>
      </c>
      <c r="N81" s="356">
        <v>1.018</v>
      </c>
      <c r="O81" s="356">
        <v>1.0162</v>
      </c>
      <c r="P81" s="356">
        <v>1.0235000000000001</v>
      </c>
    </row>
    <row r="82" spans="1:16" ht="15" customHeight="1">
      <c r="A82" s="357" t="s">
        <v>673</v>
      </c>
      <c r="B82" s="353">
        <v>18099.55</v>
      </c>
      <c r="C82" s="354">
        <v>1.05</v>
      </c>
      <c r="D82" s="354">
        <v>1.0355000000000001</v>
      </c>
      <c r="E82" s="354">
        <v>1.0285</v>
      </c>
      <c r="F82" s="354">
        <v>1.0368999999999999</v>
      </c>
      <c r="G82" s="354">
        <v>1.0344</v>
      </c>
      <c r="H82" s="354">
        <v>1.0344</v>
      </c>
      <c r="I82" s="354">
        <v>1.0346</v>
      </c>
      <c r="J82" s="355">
        <v>1.0609</v>
      </c>
      <c r="K82" s="356">
        <v>1.05</v>
      </c>
      <c r="L82" s="356">
        <v>1.0579000000000001</v>
      </c>
      <c r="M82" s="356">
        <v>1.0499000000000001</v>
      </c>
      <c r="N82" s="356">
        <v>1.0225</v>
      </c>
      <c r="O82" s="356">
        <v>1.0196000000000001</v>
      </c>
      <c r="P82" s="356">
        <v>1.0303</v>
      </c>
    </row>
    <row r="83" spans="1:16" ht="15" customHeight="1">
      <c r="A83" s="357" t="s">
        <v>674</v>
      </c>
      <c r="B83" s="353">
        <v>18554.775000000001</v>
      </c>
      <c r="C83" s="354">
        <v>1.0592999999999999</v>
      </c>
      <c r="D83" s="354">
        <v>1.0424</v>
      </c>
      <c r="E83" s="354">
        <v>1.0327999999999999</v>
      </c>
      <c r="F83" s="354">
        <v>1.0441</v>
      </c>
      <c r="G83" s="354">
        <v>1.0416000000000001</v>
      </c>
      <c r="H83" s="354">
        <v>1.0416000000000001</v>
      </c>
      <c r="I83" s="354">
        <v>1.0417000000000001</v>
      </c>
      <c r="J83" s="355">
        <v>1.0650999999999999</v>
      </c>
      <c r="K83" s="356">
        <v>1.0592999999999999</v>
      </c>
      <c r="L83" s="356">
        <v>1.0720000000000001</v>
      </c>
      <c r="M83" s="356">
        <v>1.0595000000000001</v>
      </c>
      <c r="N83" s="356">
        <v>1.0209999999999999</v>
      </c>
      <c r="O83" s="356">
        <v>1.018</v>
      </c>
      <c r="P83" s="356">
        <v>1.0297000000000001</v>
      </c>
    </row>
    <row r="84" spans="1:16" ht="15" customHeight="1">
      <c r="A84" s="357" t="s">
        <v>675</v>
      </c>
      <c r="B84" s="353">
        <v>19287.650000000001</v>
      </c>
      <c r="C84" s="354">
        <v>1.0781000000000001</v>
      </c>
      <c r="D84" s="354">
        <v>1.0597000000000001</v>
      </c>
      <c r="E84" s="354">
        <v>1.0470999999999999</v>
      </c>
      <c r="F84" s="354">
        <v>1.0620000000000001</v>
      </c>
      <c r="G84" s="354">
        <v>1.0591999999999999</v>
      </c>
      <c r="H84" s="354">
        <v>1.0591999999999999</v>
      </c>
      <c r="I84" s="354">
        <v>1.0592999999999999</v>
      </c>
      <c r="J84" s="355">
        <v>1.0858000000000001</v>
      </c>
      <c r="K84" s="356">
        <v>1.0781000000000001</v>
      </c>
      <c r="L84" s="356">
        <v>1.1005</v>
      </c>
      <c r="M84" s="356">
        <v>1.0810999999999999</v>
      </c>
      <c r="N84" s="356">
        <v>1.0290999999999999</v>
      </c>
      <c r="O84" s="356">
        <v>1.0246999999999999</v>
      </c>
      <c r="P84" s="356">
        <v>1.0448</v>
      </c>
    </row>
    <row r="85" spans="1:16" ht="15" customHeight="1">
      <c r="A85" s="357" t="s">
        <v>676</v>
      </c>
      <c r="B85" s="353">
        <v>20335.525000000001</v>
      </c>
      <c r="C85" s="354">
        <v>1.1032</v>
      </c>
      <c r="D85" s="354">
        <v>1.0839000000000001</v>
      </c>
      <c r="E85" s="354">
        <v>1.0762</v>
      </c>
      <c r="F85" s="354">
        <v>1.0852999999999999</v>
      </c>
      <c r="G85" s="354">
        <v>1.0810999999999999</v>
      </c>
      <c r="H85" s="354">
        <v>1.0810999999999999</v>
      </c>
      <c r="I85" s="354">
        <v>1.0812999999999999</v>
      </c>
      <c r="J85" s="355">
        <v>1.1208</v>
      </c>
      <c r="K85" s="356">
        <v>1.1032</v>
      </c>
      <c r="L85" s="356">
        <v>1.1428</v>
      </c>
      <c r="M85" s="356">
        <v>1.1171</v>
      </c>
      <c r="N85" s="356">
        <v>1.0429999999999999</v>
      </c>
      <c r="O85" s="356">
        <v>1.0373000000000001</v>
      </c>
      <c r="P85" s="356">
        <v>1.0677000000000001</v>
      </c>
    </row>
    <row r="86" spans="1:16" ht="15" customHeight="1">
      <c r="A86" s="357" t="s">
        <v>677</v>
      </c>
      <c r="B86" s="353">
        <v>21215.7</v>
      </c>
      <c r="C86" s="354">
        <v>1.1246</v>
      </c>
      <c r="D86" s="354">
        <v>1.1029</v>
      </c>
      <c r="E86" s="354">
        <v>1.0968</v>
      </c>
      <c r="F86" s="354">
        <v>1.1040000000000001</v>
      </c>
      <c r="G86" s="354">
        <v>1.0988</v>
      </c>
      <c r="H86" s="354">
        <v>1.0988</v>
      </c>
      <c r="I86" s="354">
        <v>1.0991</v>
      </c>
      <c r="J86" s="355">
        <v>1.1495</v>
      </c>
      <c r="K86" s="356">
        <v>1.1246</v>
      </c>
      <c r="L86" s="356">
        <v>1.1649</v>
      </c>
      <c r="M86" s="356">
        <v>1.1393</v>
      </c>
      <c r="N86" s="356">
        <v>1.0629</v>
      </c>
      <c r="O86" s="356">
        <v>1.0573999999999999</v>
      </c>
      <c r="P86" s="356">
        <v>1.0884</v>
      </c>
    </row>
    <row r="87" spans="1:16" ht="15" customHeight="1">
      <c r="A87" s="357" t="s">
        <v>55</v>
      </c>
      <c r="B87" s="353">
        <v>22210.9</v>
      </c>
      <c r="C87" s="354">
        <v>1.1468</v>
      </c>
      <c r="D87" s="354">
        <v>1.127</v>
      </c>
      <c r="E87" s="354">
        <v>1.1182000000000001</v>
      </c>
      <c r="F87" s="354">
        <v>1.1285000000000001</v>
      </c>
      <c r="G87" s="354">
        <v>1.1233</v>
      </c>
      <c r="H87" s="354">
        <v>1.1233</v>
      </c>
      <c r="I87" s="354">
        <v>1.1235999999999999</v>
      </c>
      <c r="J87" s="355">
        <v>1.1794</v>
      </c>
      <c r="K87" s="356">
        <v>1.1468</v>
      </c>
      <c r="L87" s="356">
        <v>1.1879</v>
      </c>
      <c r="M87" s="356">
        <v>1.1615</v>
      </c>
      <c r="N87" s="356">
        <v>1.0846</v>
      </c>
      <c r="O87" s="356">
        <v>1.0782</v>
      </c>
      <c r="P87" s="356">
        <v>1.1099000000000001</v>
      </c>
    </row>
    <row r="88" spans="1:16" ht="15" customHeight="1">
      <c r="A88" s="357" t="s">
        <v>56</v>
      </c>
      <c r="B88" s="353">
        <v>23353.1</v>
      </c>
      <c r="C88" s="354">
        <v>1.1697</v>
      </c>
      <c r="D88" s="354">
        <v>1.1516</v>
      </c>
      <c r="E88" s="354">
        <v>1.1402000000000001</v>
      </c>
      <c r="F88" s="354">
        <v>1.1537999999999999</v>
      </c>
      <c r="G88" s="354">
        <v>1.1487000000000001</v>
      </c>
      <c r="H88" s="354">
        <v>1.1487000000000001</v>
      </c>
      <c r="I88" s="354">
        <v>1.1491</v>
      </c>
      <c r="J88" s="355">
        <v>1.2156</v>
      </c>
      <c r="K88" s="356">
        <v>1.1697</v>
      </c>
      <c r="L88" s="356">
        <v>1.2116</v>
      </c>
      <c r="M88" s="356">
        <v>1.1823999999999999</v>
      </c>
      <c r="N88" s="356">
        <v>1.1057999999999999</v>
      </c>
      <c r="O88" s="356">
        <v>1.0998000000000001</v>
      </c>
      <c r="P88" s="356">
        <v>1.1319999999999999</v>
      </c>
    </row>
    <row r="89" spans="1:16" ht="15" customHeight="1">
      <c r="A89" s="357" t="s">
        <v>57</v>
      </c>
      <c r="B89" s="353">
        <v>24542.7</v>
      </c>
      <c r="C89" s="354">
        <v>1.1932</v>
      </c>
      <c r="D89" s="354">
        <v>1.1775</v>
      </c>
      <c r="E89" s="354">
        <v>1.1631</v>
      </c>
      <c r="F89" s="354">
        <v>1.1801999999999999</v>
      </c>
      <c r="G89" s="354">
        <v>1.1748000000000001</v>
      </c>
      <c r="H89" s="354">
        <v>1.1748000000000001</v>
      </c>
      <c r="I89" s="354">
        <v>1.1752</v>
      </c>
      <c r="J89" s="355">
        <v>1.252</v>
      </c>
      <c r="K89" s="356">
        <v>1.1932</v>
      </c>
      <c r="L89" s="356">
        <v>1.236</v>
      </c>
      <c r="M89" s="356">
        <v>1.2060999999999999</v>
      </c>
      <c r="N89" s="356">
        <v>1.1262000000000001</v>
      </c>
      <c r="O89" s="356">
        <v>1.1218999999999999</v>
      </c>
      <c r="P89" s="356">
        <v>1.1548</v>
      </c>
    </row>
    <row r="90" spans="1:16" ht="15" customHeight="1">
      <c r="A90" s="357" t="s">
        <v>238</v>
      </c>
      <c r="B90" s="353">
        <v>25790.7</v>
      </c>
      <c r="C90" s="354">
        <v>1.2171000000000001</v>
      </c>
      <c r="D90" s="354">
        <v>1.2037</v>
      </c>
      <c r="E90" s="354">
        <v>1.1863999999999999</v>
      </c>
      <c r="F90" s="354">
        <v>1.2069000000000001</v>
      </c>
      <c r="G90" s="354">
        <v>1.2014</v>
      </c>
      <c r="H90" s="354">
        <v>1.2014</v>
      </c>
      <c r="I90" s="354">
        <v>1.2017</v>
      </c>
      <c r="J90" s="355">
        <v>1.2892999999999999</v>
      </c>
      <c r="K90" s="356">
        <v>1.2171000000000001</v>
      </c>
      <c r="L90" s="356">
        <v>1.2607999999999999</v>
      </c>
      <c r="M90" s="356">
        <v>1.2302999999999999</v>
      </c>
      <c r="N90" s="356">
        <v>1.1480999999999999</v>
      </c>
      <c r="O90" s="356">
        <v>1.1444000000000001</v>
      </c>
      <c r="P90" s="356">
        <v>1.1779999999999999</v>
      </c>
    </row>
    <row r="91" spans="1:16" ht="15" customHeight="1">
      <c r="A91" s="357" t="s">
        <v>510</v>
      </c>
      <c r="B91" s="353">
        <v>27104.1</v>
      </c>
      <c r="C91" s="354">
        <v>1.2416</v>
      </c>
      <c r="D91" s="354">
        <v>1.2306999999999999</v>
      </c>
      <c r="E91" s="354">
        <v>1.2102999999999999</v>
      </c>
      <c r="F91" s="354">
        <v>1.2343999999999999</v>
      </c>
      <c r="G91" s="354">
        <v>1.2286999999999999</v>
      </c>
      <c r="H91" s="354">
        <v>1.2285999999999999</v>
      </c>
      <c r="I91" s="354">
        <v>1.2289000000000001</v>
      </c>
      <c r="J91" s="355">
        <v>1.3285</v>
      </c>
      <c r="K91" s="356">
        <v>1.2416</v>
      </c>
      <c r="L91" s="356">
        <v>1.2862</v>
      </c>
      <c r="M91" s="356">
        <v>1.2551000000000001</v>
      </c>
      <c r="N91" s="356">
        <v>1.1702999999999999</v>
      </c>
      <c r="O91" s="356">
        <v>1.1674</v>
      </c>
      <c r="P91" s="356">
        <v>1.2017</v>
      </c>
    </row>
    <row r="92" spans="1:16" ht="14.1" customHeight="1">
      <c r="A92" s="357" t="s">
        <v>542</v>
      </c>
      <c r="B92" s="353">
        <v>28472.7</v>
      </c>
      <c r="C92" s="354">
        <v>1.2665</v>
      </c>
      <c r="D92" s="354">
        <v>1.2579</v>
      </c>
      <c r="E92" s="354">
        <v>1.2345999999999999</v>
      </c>
      <c r="F92" s="354">
        <v>1.262</v>
      </c>
      <c r="G92" s="354">
        <v>1.2565999999999999</v>
      </c>
      <c r="H92" s="354">
        <v>1.2565</v>
      </c>
      <c r="I92" s="354">
        <v>1.2567999999999999</v>
      </c>
      <c r="J92" s="355">
        <v>1.3693</v>
      </c>
      <c r="K92" s="356">
        <v>1.2665</v>
      </c>
      <c r="L92" s="356">
        <v>1.3120000000000001</v>
      </c>
      <c r="M92" s="356">
        <v>1.2803</v>
      </c>
      <c r="N92" s="356">
        <v>1.1930000000000001</v>
      </c>
      <c r="O92" s="356">
        <v>1.1909000000000001</v>
      </c>
      <c r="P92" s="356">
        <v>1.2258</v>
      </c>
    </row>
    <row r="93" spans="1:16" ht="15" customHeight="1">
      <c r="A93" s="358" t="s">
        <v>58</v>
      </c>
      <c r="B93" s="260">
        <v>2026</v>
      </c>
      <c r="C93" s="261">
        <f>C92*(1+$A$97)</f>
        <v>1.2919468874624169</v>
      </c>
      <c r="D93" s="358"/>
      <c r="E93" s="358"/>
      <c r="F93" s="358"/>
      <c r="G93" s="358"/>
      <c r="H93" s="358"/>
      <c r="I93" s="358"/>
      <c r="J93" s="358"/>
      <c r="K93" s="358"/>
      <c r="L93" s="358"/>
      <c r="M93" s="358"/>
      <c r="N93" s="358"/>
      <c r="O93" s="358"/>
      <c r="P93" s="358"/>
    </row>
    <row r="94" spans="1:16">
      <c r="B94" s="260">
        <v>2027</v>
      </c>
      <c r="C94" s="261">
        <f>C93*(1+$A$97)</f>
        <v>1.3179050612110754</v>
      </c>
    </row>
    <row r="95" spans="1:16">
      <c r="B95" s="260">
        <v>2028</v>
      </c>
      <c r="C95" s="261">
        <f>C94*(1+$A$97)</f>
        <v>1.3443847941591907</v>
      </c>
    </row>
    <row r="96" spans="1:16">
      <c r="B96" s="260">
        <v>2029</v>
      </c>
      <c r="C96" s="261">
        <f>C95*(1+$A$97)</f>
        <v>1.3713965656263472</v>
      </c>
    </row>
    <row r="97" spans="1:3">
      <c r="A97" s="259">
        <f>(C92/C90)^(1/(2025-2023))-1</f>
        <v>2.0092291719239652E-2</v>
      </c>
      <c r="B97" s="222" t="s">
        <v>544</v>
      </c>
      <c r="C97" s="256"/>
    </row>
    <row r="99" spans="1:3">
      <c r="A99" s="222" t="s">
        <v>678</v>
      </c>
    </row>
  </sheetData>
  <sheetProtection algorithmName="SHA-512" hashValue="yYpJI7ig/6QHN8Qr37lwgWnyJ1yuV5ZCT4cEqrhmZ0lf8W33mfuZp+AQ4OPsQsSH8Vgw6lQlkxSOvupHh/LP/Q==" saltValue="ag0/4dNpMyV8PMZlPxfOTw==" spinCount="100000" sheet="1" objects="1" scenarios="1"/>
  <mergeCells count="15">
    <mergeCell ref="A1:K1"/>
    <mergeCell ref="A3:A5"/>
    <mergeCell ref="B3:B5"/>
    <mergeCell ref="C3:C5"/>
    <mergeCell ref="E4:E5"/>
    <mergeCell ref="F4:F5"/>
    <mergeCell ref="D4:D5"/>
    <mergeCell ref="J4:J5"/>
    <mergeCell ref="G4:I4"/>
    <mergeCell ref="D3:P3"/>
    <mergeCell ref="K4:K5"/>
    <mergeCell ref="L4:L5"/>
    <mergeCell ref="M4:M5"/>
    <mergeCell ref="A2:K2"/>
    <mergeCell ref="N4:P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theme="5" tint="0.59999389629810485"/>
  </sheetPr>
  <dimension ref="A1:AD70"/>
  <sheetViews>
    <sheetView topLeftCell="A40" zoomScale="85" zoomScaleNormal="85" workbookViewId="0">
      <selection activeCell="O36" sqref="O36"/>
    </sheetView>
  </sheetViews>
  <sheetFormatPr defaultColWidth="9.140625" defaultRowHeight="15"/>
  <cols>
    <col min="1" max="1" width="4" style="3" customWidth="1"/>
    <col min="2" max="2" width="5.7109375" style="50" bestFit="1" customWidth="1"/>
    <col min="3" max="3" width="14.85546875" style="7" bestFit="1" customWidth="1"/>
    <col min="4" max="4" width="14.85546875" style="7" customWidth="1"/>
    <col min="5" max="5" width="14.85546875" style="148" customWidth="1"/>
    <col min="6" max="7" width="14.85546875" style="7" customWidth="1"/>
    <col min="8" max="8" width="16.28515625" style="7" customWidth="1"/>
    <col min="9" max="9" width="6.28515625" style="7" customWidth="1"/>
    <col min="10" max="10" width="12.85546875" style="7" customWidth="1"/>
    <col min="11" max="11" width="13.28515625" style="7" customWidth="1"/>
    <col min="12" max="12" width="10.85546875" style="7" bestFit="1" customWidth="1"/>
    <col min="13" max="13" width="10.85546875" style="7" customWidth="1"/>
    <col min="14" max="14" width="13" style="7" bestFit="1" customWidth="1"/>
    <col min="15" max="16" width="14.85546875" style="7" customWidth="1"/>
    <col min="17" max="17" width="6.5703125" style="7" customWidth="1"/>
    <col min="18" max="18" width="5.7109375" style="66" bestFit="1" customWidth="1"/>
    <col min="19" max="19" width="14.85546875" style="7" bestFit="1" customWidth="1"/>
    <col min="20" max="21" width="14.85546875" style="7" customWidth="1"/>
    <col min="22" max="22" width="16.28515625" style="7" customWidth="1"/>
    <col min="23" max="23" width="6.42578125" style="7" customWidth="1"/>
    <col min="24" max="24" width="12.85546875" style="7" customWidth="1"/>
    <col min="25" max="25" width="13.28515625" style="7" customWidth="1"/>
    <col min="26" max="27" width="10.28515625" style="7" customWidth="1"/>
    <col min="28" max="28" width="12" style="7" customWidth="1"/>
    <col min="29" max="30" width="14.85546875" style="7" customWidth="1"/>
    <col min="31" max="16384" width="9.140625" style="7"/>
  </cols>
  <sheetData>
    <row r="1" spans="1:30">
      <c r="A1" s="77"/>
      <c r="B1" s="54" t="s">
        <v>16</v>
      </c>
      <c r="D1" s="187"/>
      <c r="E1" s="7"/>
      <c r="R1" s="99"/>
    </row>
    <row r="2" spans="1:30">
      <c r="A2" s="77"/>
      <c r="B2" s="99"/>
      <c r="D2" s="187"/>
      <c r="R2" s="99"/>
    </row>
    <row r="3" spans="1:30">
      <c r="A3" s="77"/>
      <c r="B3" s="99"/>
      <c r="D3" s="187"/>
      <c r="R3" s="99"/>
    </row>
    <row r="4" spans="1:30">
      <c r="C4" s="54"/>
      <c r="D4" s="187"/>
      <c r="F4" s="54"/>
      <c r="S4" s="54"/>
      <c r="T4" s="54"/>
    </row>
    <row r="5" spans="1:30">
      <c r="B5" s="50" t="s">
        <v>229</v>
      </c>
      <c r="C5" s="54"/>
      <c r="D5" s="54"/>
    </row>
    <row r="6" spans="1:30" customFormat="1" ht="15.75" thickBot="1">
      <c r="A6" s="3"/>
      <c r="B6" s="54" t="s">
        <v>16</v>
      </c>
      <c r="C6" s="54"/>
      <c r="D6" s="54"/>
      <c r="E6" s="54"/>
      <c r="F6" s="54"/>
      <c r="G6" s="7"/>
      <c r="H6" s="7"/>
      <c r="I6" s="7"/>
      <c r="J6" s="48" t="s">
        <v>64</v>
      </c>
      <c r="K6" s="49"/>
      <c r="L6" s="7"/>
      <c r="M6" s="7"/>
      <c r="N6" s="48"/>
      <c r="O6" s="48"/>
      <c r="P6" s="48"/>
      <c r="Q6" s="7"/>
      <c r="R6" s="66"/>
      <c r="S6" s="7"/>
      <c r="T6" s="7"/>
      <c r="U6" s="7"/>
      <c r="V6" s="7"/>
      <c r="W6" s="7"/>
      <c r="X6" s="7"/>
      <c r="Y6" s="7"/>
      <c r="Z6" s="7"/>
      <c r="AA6" s="7"/>
      <c r="AB6" s="7"/>
      <c r="AC6" s="7"/>
      <c r="AD6" s="7"/>
    </row>
    <row r="7" spans="1:30" s="6" customFormat="1" ht="45">
      <c r="A7" s="26"/>
      <c r="B7" s="28" t="s">
        <v>2</v>
      </c>
      <c r="C7" s="35" t="s">
        <v>706</v>
      </c>
      <c r="D7" s="35" t="s">
        <v>707</v>
      </c>
      <c r="E7" s="35" t="s">
        <v>708</v>
      </c>
      <c r="F7" s="35" t="s">
        <v>709</v>
      </c>
      <c r="G7" s="35" t="s">
        <v>25</v>
      </c>
      <c r="H7" s="35" t="s">
        <v>24</v>
      </c>
      <c r="I7" s="7"/>
      <c r="J7" s="35" t="s">
        <v>710</v>
      </c>
      <c r="K7" s="35" t="s">
        <v>711</v>
      </c>
      <c r="L7" s="35" t="s">
        <v>712</v>
      </c>
      <c r="M7" s="38" t="s">
        <v>707</v>
      </c>
      <c r="N7" s="38" t="s">
        <v>713</v>
      </c>
      <c r="O7" s="15" t="s">
        <v>26</v>
      </c>
      <c r="P7" s="14" t="s">
        <v>27</v>
      </c>
    </row>
    <row r="8" spans="1:30" s="2" customFormat="1">
      <c r="A8" s="140"/>
      <c r="B8" s="55">
        <f>'I-87_CostTables'!C23</f>
        <v>2020</v>
      </c>
      <c r="C8" s="20"/>
      <c r="D8" s="25"/>
      <c r="E8" s="25">
        <f>'I-87_CostTables'!N23</f>
        <v>963747</v>
      </c>
      <c r="F8" s="25">
        <f t="shared" ref="F8:F35" si="0">SUM(C8:E8)</f>
        <v>963747</v>
      </c>
      <c r="G8" s="25">
        <f>F8/((1+Inputs!$B$3)^(B8-Inputs!$B$5))</f>
        <v>963747</v>
      </c>
      <c r="H8" s="98">
        <f>F8/((1+Inputs!$B$4)^(B8-Inputs!$B$5))</f>
        <v>963747</v>
      </c>
      <c r="I8" s="7"/>
      <c r="J8" s="20"/>
      <c r="K8" s="20"/>
      <c r="L8" s="20"/>
      <c r="M8" s="25"/>
      <c r="N8" s="25">
        <f t="shared" ref="N8:N34" si="1">SUM(J8:M8)</f>
        <v>0</v>
      </c>
      <c r="O8" s="25">
        <f>N8/((1+Inputs!$B$3)^(B8-Inputs!$B$5))</f>
        <v>0</v>
      </c>
      <c r="P8" s="98">
        <f>N8/((1+Inputs!$B$4)^(B8-Inputs!$B$5))</f>
        <v>0</v>
      </c>
    </row>
    <row r="9" spans="1:30" customFormat="1">
      <c r="A9" s="140"/>
      <c r="B9" s="55">
        <f>B8+1</f>
        <v>2021</v>
      </c>
      <c r="C9" s="20">
        <f>'I-87_CostTables'!N24</f>
        <v>0</v>
      </c>
      <c r="D9" s="20"/>
      <c r="E9" s="25"/>
      <c r="F9" s="25">
        <f t="shared" si="0"/>
        <v>0</v>
      </c>
      <c r="G9" s="25">
        <f>F9/((1+Inputs!$B$3)^(B9-Inputs!$B$5))</f>
        <v>0</v>
      </c>
      <c r="H9" s="98">
        <f>F9/((1+Inputs!$B$4)^(B9-Inputs!$B$5))</f>
        <v>0</v>
      </c>
      <c r="I9" s="7"/>
      <c r="J9" s="20"/>
      <c r="K9" s="20"/>
      <c r="L9" s="20"/>
      <c r="M9" s="25"/>
      <c r="N9" s="25">
        <f t="shared" si="1"/>
        <v>0</v>
      </c>
      <c r="O9" s="25">
        <f>N9/((1+Inputs!$B$3)^(B9-Inputs!$B$5))</f>
        <v>0</v>
      </c>
      <c r="P9" s="98">
        <f>N9/((1+Inputs!$B$4)^(B9-Inputs!$B$5))</f>
        <v>0</v>
      </c>
      <c r="Q9" s="7"/>
      <c r="R9" s="66"/>
      <c r="S9" s="7"/>
      <c r="T9" s="7"/>
      <c r="U9" s="7"/>
      <c r="V9" s="7"/>
      <c r="W9" s="7"/>
      <c r="X9" s="7"/>
      <c r="Y9" s="7"/>
      <c r="Z9" s="7"/>
      <c r="AA9" s="7"/>
      <c r="AB9" s="7"/>
      <c r="AC9" s="7"/>
      <c r="AD9" s="7"/>
    </row>
    <row r="10" spans="1:30" customFormat="1">
      <c r="A10" s="140"/>
      <c r="B10" s="55">
        <f t="shared" ref="B10:B35" si="2">B9+1</f>
        <v>2022</v>
      </c>
      <c r="C10" s="20">
        <f>'I-87_CostTables'!N25</f>
        <v>5000000</v>
      </c>
      <c r="D10" s="25">
        <f>Costs_Resilience!E14</f>
        <v>465296.62659945717</v>
      </c>
      <c r="E10" s="25"/>
      <c r="F10" s="25">
        <f t="shared" si="0"/>
        <v>5465296.6265994571</v>
      </c>
      <c r="G10" s="25">
        <f>F10/((1+Inputs!$B$3)^(B10-Inputs!$B$5))</f>
        <v>4773601.7351729032</v>
      </c>
      <c r="H10" s="98">
        <f>F10/((1+Inputs!$B$4)^(B10-Inputs!$B$5))</f>
        <v>5151566.2424351564</v>
      </c>
      <c r="I10" s="7"/>
      <c r="J10" s="20"/>
      <c r="K10" s="20"/>
      <c r="L10" s="20"/>
      <c r="M10" s="25"/>
      <c r="N10" s="25">
        <f t="shared" si="1"/>
        <v>0</v>
      </c>
      <c r="O10" s="25">
        <f>N10/((1+Inputs!$B$3)^(B10-Inputs!$B$5))</f>
        <v>0</v>
      </c>
      <c r="P10" s="98">
        <f>N10/((1+Inputs!$B$4)^(B10-Inputs!$B$5))</f>
        <v>0</v>
      </c>
      <c r="Q10" s="7"/>
      <c r="R10" s="66"/>
      <c r="S10" s="7"/>
      <c r="T10" s="7"/>
      <c r="U10" s="7"/>
      <c r="V10" s="7"/>
      <c r="W10" s="7"/>
      <c r="X10" s="7"/>
      <c r="Y10" s="7"/>
      <c r="Z10" s="7"/>
      <c r="AA10" s="7"/>
      <c r="AB10" s="7"/>
      <c r="AC10" s="7"/>
      <c r="AD10" s="7"/>
    </row>
    <row r="11" spans="1:30" customFormat="1">
      <c r="A11" s="140"/>
      <c r="B11" s="55">
        <f t="shared" si="2"/>
        <v>2023</v>
      </c>
      <c r="C11" s="20">
        <f>'I-87_CostTables'!N26</f>
        <v>25889090.90909091</v>
      </c>
      <c r="D11" s="20">
        <f>Costs_Resilience!E15</f>
        <v>465296.62659945717</v>
      </c>
      <c r="E11" s="25"/>
      <c r="F11" s="25">
        <f t="shared" si="0"/>
        <v>26354387.535690367</v>
      </c>
      <c r="G11" s="25">
        <f>F11/((1+Inputs!$B$3)^(B11-Inputs!$B$5))</f>
        <v>21513030.592142779</v>
      </c>
      <c r="H11" s="98">
        <f>F11/((1+Inputs!$B$4)^(B11-Inputs!$B$5))</f>
        <v>24117997.940647908</v>
      </c>
      <c r="I11" s="7"/>
      <c r="J11" s="20"/>
      <c r="K11" s="20"/>
      <c r="L11" s="20"/>
      <c r="M11" s="25"/>
      <c r="N11" s="25">
        <f t="shared" si="1"/>
        <v>0</v>
      </c>
      <c r="O11" s="25">
        <f>N11/((1+Inputs!$B$3)^(B11-Inputs!$B$5))</f>
        <v>0</v>
      </c>
      <c r="P11" s="98">
        <f>N11/((1+Inputs!$B$4)^(B11-Inputs!$B$5))</f>
        <v>0</v>
      </c>
      <c r="Q11" s="7"/>
      <c r="R11" s="66"/>
      <c r="S11" s="7"/>
      <c r="T11" s="7"/>
      <c r="U11" s="7"/>
      <c r="V11" s="7"/>
      <c r="W11" s="7"/>
      <c r="X11" s="7"/>
      <c r="Y11" s="7"/>
      <c r="Z11" s="7"/>
      <c r="AA11" s="7"/>
      <c r="AB11" s="7"/>
      <c r="AC11" s="7"/>
      <c r="AD11" s="7"/>
    </row>
    <row r="12" spans="1:30" customFormat="1">
      <c r="A12" s="140"/>
      <c r="B12" s="55">
        <f t="shared" si="2"/>
        <v>2024</v>
      </c>
      <c r="C12" s="20">
        <f>'I-87_CostTables'!N27</f>
        <v>99604179.245649636</v>
      </c>
      <c r="D12" s="20">
        <f>Costs_Resilience!E16</f>
        <v>1291198.1388134938</v>
      </c>
      <c r="E12" s="25"/>
      <c r="F12" s="25">
        <f t="shared" si="0"/>
        <v>100895377.38446313</v>
      </c>
      <c r="G12" s="25">
        <f>F12/((1+Inputs!$B$3)^(B12-Inputs!$B$5))</f>
        <v>76972600.324335083</v>
      </c>
      <c r="H12" s="98">
        <f>F12/((1+Inputs!$B$4)^(B12-Inputs!$B$5))</f>
        <v>89644236.000661016</v>
      </c>
      <c r="I12" s="7"/>
      <c r="J12" s="20"/>
      <c r="K12" s="20"/>
      <c r="L12" s="20"/>
      <c r="M12" s="25"/>
      <c r="N12" s="25">
        <f t="shared" si="1"/>
        <v>0</v>
      </c>
      <c r="O12" s="25">
        <f>N12/((1+Inputs!$B$3)^(B12-Inputs!$B$5))</f>
        <v>0</v>
      </c>
      <c r="P12" s="98">
        <f>N12/((1+Inputs!$B$4)^(B12-Inputs!$B$5))</f>
        <v>0</v>
      </c>
      <c r="Q12" s="7"/>
      <c r="R12" s="66"/>
      <c r="S12" s="7"/>
      <c r="T12" s="7"/>
      <c r="U12" s="7"/>
      <c r="V12" s="7"/>
      <c r="W12" s="7"/>
      <c r="X12" s="7"/>
      <c r="Y12" s="7"/>
      <c r="Z12" s="7"/>
      <c r="AA12" s="7"/>
      <c r="AB12" s="7"/>
      <c r="AC12" s="7"/>
      <c r="AD12" s="7"/>
    </row>
    <row r="13" spans="1:30" customFormat="1">
      <c r="A13" s="140"/>
      <c r="B13" s="55">
        <f t="shared" si="2"/>
        <v>2025</v>
      </c>
      <c r="C13" s="20">
        <f>'I-87_CostTables'!N28</f>
        <v>195768039.408867</v>
      </c>
      <c r="D13" s="20">
        <f>Costs_Resilience!E17</f>
        <v>778208.60798759223</v>
      </c>
      <c r="E13" s="20"/>
      <c r="F13" s="25">
        <f t="shared" si="0"/>
        <v>196546248.01685458</v>
      </c>
      <c r="G13" s="25">
        <f>F13/((1+Inputs!$B$3)^(B13-Inputs!$B$5))</f>
        <v>140134758.46538669</v>
      </c>
      <c r="H13" s="98">
        <f>F13/((1+Inputs!$B$4)^(B13-Inputs!$B$5))</f>
        <v>169542520.07708734</v>
      </c>
      <c r="I13" s="7"/>
      <c r="J13" s="20"/>
      <c r="K13" s="20"/>
      <c r="L13" s="20"/>
      <c r="M13" s="25"/>
      <c r="N13" s="25">
        <f t="shared" si="1"/>
        <v>0</v>
      </c>
      <c r="O13" s="25">
        <f>N13/((1+Inputs!$B$3)^(B13-Inputs!$B$5))</f>
        <v>0</v>
      </c>
      <c r="P13" s="98">
        <f>N13/((1+Inputs!$B$4)^(B13-Inputs!$B$5))</f>
        <v>0</v>
      </c>
      <c r="Q13" s="7"/>
      <c r="R13" s="66"/>
      <c r="S13" s="7"/>
      <c r="T13" s="7"/>
      <c r="U13" s="7"/>
      <c r="V13" s="7"/>
      <c r="W13" s="7"/>
      <c r="X13" s="7"/>
      <c r="Y13" s="7"/>
      <c r="Z13" s="7"/>
      <c r="AA13" s="7"/>
      <c r="AB13" s="7"/>
      <c r="AC13" s="7"/>
      <c r="AD13" s="7"/>
    </row>
    <row r="14" spans="1:30" customFormat="1">
      <c r="A14" s="140"/>
      <c r="B14" s="55">
        <f t="shared" si="2"/>
        <v>2026</v>
      </c>
      <c r="C14" s="20">
        <f>'I-87_CostTables'!N29</f>
        <v>131341753.69458129</v>
      </c>
      <c r="D14" s="18"/>
      <c r="E14" s="20"/>
      <c r="F14" s="25">
        <f t="shared" si="0"/>
        <v>131341753.69458129</v>
      </c>
      <c r="G14" s="25">
        <f>F14/((1+Inputs!$B$3)^(B14-Inputs!$B$5))</f>
        <v>87518556.236807942</v>
      </c>
      <c r="H14" s="98">
        <f>F14/((1+Inputs!$B$4)^(B14-Inputs!$B$5))</f>
        <v>109996650.96443403</v>
      </c>
      <c r="I14" s="7"/>
      <c r="J14" s="20"/>
      <c r="K14" s="20"/>
      <c r="L14" s="20"/>
      <c r="M14" s="25"/>
      <c r="N14" s="25">
        <f>SUM(J14:M14)</f>
        <v>0</v>
      </c>
      <c r="O14" s="25">
        <f>N14/((1+Inputs!$B$3)^(B14-Inputs!$B$5))</f>
        <v>0</v>
      </c>
      <c r="P14" s="98">
        <f>N14/((1+Inputs!$B$4)^(B14-Inputs!$B$5))</f>
        <v>0</v>
      </c>
      <c r="Q14" s="7"/>
      <c r="R14" s="66"/>
      <c r="S14" s="7"/>
      <c r="T14" s="7"/>
      <c r="U14" s="7"/>
      <c r="V14" s="7"/>
      <c r="W14" s="7"/>
      <c r="X14" s="7"/>
      <c r="Y14" s="7"/>
      <c r="Z14" s="7"/>
      <c r="AA14" s="7"/>
      <c r="AB14" s="7"/>
      <c r="AC14" s="7"/>
      <c r="AD14" s="7"/>
    </row>
    <row r="15" spans="1:30" customFormat="1">
      <c r="A15" s="140"/>
      <c r="B15" s="55">
        <f t="shared" si="2"/>
        <v>2027</v>
      </c>
      <c r="C15" s="20">
        <f>'I-87_CostTables'!N30</f>
        <v>29686206.896551725</v>
      </c>
      <c r="D15" s="18"/>
      <c r="E15" s="20"/>
      <c r="F15" s="25">
        <f t="shared" si="0"/>
        <v>29686206.896551725</v>
      </c>
      <c r="G15" s="25">
        <f>F15/((1+Inputs!$B$3)^(B15-Inputs!$B$5))</f>
        <v>18487077.682360154</v>
      </c>
      <c r="H15" s="98">
        <f>F15/((1+Inputs!$B$4)^(B15-Inputs!$B$5))</f>
        <v>24137602.831568733</v>
      </c>
      <c r="I15" s="7"/>
      <c r="J15" s="20">
        <f>'O&amp;MI-87'!W16</f>
        <v>-35000</v>
      </c>
      <c r="K15" s="20">
        <f>ICM_ITS_WindCosts!$D$28*Deflator!$C$86/Deflator!$C$88</f>
        <v>1624734.2282471079</v>
      </c>
      <c r="L15" s="20">
        <f>ICM_ITS_WindCosts!$N$13*Deflator!$C$86/Deflator!$C$88</f>
        <v>1338872.9309823031</v>
      </c>
      <c r="M15" s="25">
        <f>Costs_Resilience!E25</f>
        <v>13610.972790325448</v>
      </c>
      <c r="N15" s="635">
        <f>SUM(J15:M15)*Inputs!$B$8</f>
        <v>1716293.9103448463</v>
      </c>
      <c r="O15" s="25">
        <f>N15/((1+Inputs!$B$3)^(B15-Inputs!$B$5))</f>
        <v>1068821.5896653486</v>
      </c>
      <c r="P15" s="98">
        <f>N15/((1+Inputs!$B$4)^(B15-Inputs!$B$5))</f>
        <v>1395504.0094716856</v>
      </c>
      <c r="Q15" s="7"/>
      <c r="R15" s="66"/>
      <c r="S15" s="7"/>
      <c r="T15" s="7"/>
      <c r="U15" s="7"/>
      <c r="V15" s="7"/>
      <c r="W15" s="7"/>
      <c r="X15" s="7"/>
      <c r="Y15" s="7"/>
      <c r="Z15" s="7"/>
      <c r="AA15" s="7"/>
      <c r="AB15" s="7"/>
      <c r="AC15" s="7"/>
      <c r="AD15" s="7"/>
    </row>
    <row r="16" spans="1:30" customFormat="1">
      <c r="A16" s="140"/>
      <c r="B16" s="55">
        <f t="shared" si="2"/>
        <v>2028</v>
      </c>
      <c r="C16" s="20">
        <f>'I-87_CostTables'!N31</f>
        <v>0</v>
      </c>
      <c r="D16" s="18"/>
      <c r="E16" s="18"/>
      <c r="F16" s="25">
        <f t="shared" si="0"/>
        <v>0</v>
      </c>
      <c r="G16" s="25">
        <f>F16/((1+Inputs!$B$3)^(B16-Inputs!$B$5))</f>
        <v>0</v>
      </c>
      <c r="H16" s="98">
        <f>F16/((1+Inputs!$B$4)^(B16-Inputs!$B$5))</f>
        <v>0</v>
      </c>
      <c r="I16" s="7"/>
      <c r="J16" s="20">
        <f>'O&amp;MI-87'!W17</f>
        <v>-35000</v>
      </c>
      <c r="K16" s="20">
        <f>ICM_ITS_WindCosts!$D$28*Deflator!$C$86/Deflator!$C$88</f>
        <v>1624734.2282471079</v>
      </c>
      <c r="L16" s="20">
        <f>ICM_ITS_WindCosts!$N$13*Deflator!$C$86/Deflator!$C$88</f>
        <v>1338872.9309823031</v>
      </c>
      <c r="M16" s="25">
        <f>Costs_Resilience!E26</f>
        <v>13610.972790325448</v>
      </c>
      <c r="N16" s="25">
        <f>SUM(J16:M16)</f>
        <v>2942218.1320197363</v>
      </c>
      <c r="O16" s="25">
        <f>N16/((1+Inputs!$B$3)^(B16-Inputs!$B$5))</f>
        <v>1712397.7404518267</v>
      </c>
      <c r="P16" s="98">
        <f>N16/((1+Inputs!$B$4)^(B16-Inputs!$B$5))</f>
        <v>2322614.1627822784</v>
      </c>
      <c r="Q16" s="7"/>
      <c r="R16" s="66"/>
      <c r="S16" s="7"/>
      <c r="T16" s="7"/>
      <c r="U16" s="7"/>
      <c r="V16" s="7"/>
      <c r="W16" s="7"/>
      <c r="X16" s="7"/>
      <c r="Y16" s="7"/>
      <c r="Z16" s="7"/>
      <c r="AA16" s="7"/>
      <c r="AB16" s="7"/>
      <c r="AC16" s="7"/>
      <c r="AD16" s="7"/>
    </row>
    <row r="17" spans="1:30" customFormat="1">
      <c r="A17" s="3"/>
      <c r="B17" s="55">
        <f t="shared" si="2"/>
        <v>2029</v>
      </c>
      <c r="C17" s="20">
        <f>'I-87_CostTables'!N32</f>
        <v>0</v>
      </c>
      <c r="D17" s="20"/>
      <c r="E17" s="25"/>
      <c r="F17" s="25">
        <f t="shared" si="0"/>
        <v>0</v>
      </c>
      <c r="G17" s="25">
        <f>F17/((1+Inputs!$B$3)^(B17-Inputs!$B$5))</f>
        <v>0</v>
      </c>
      <c r="H17" s="98">
        <f>F17/((1+Inputs!$B$4)^(B17-Inputs!$B$5))</f>
        <v>0</v>
      </c>
      <c r="I17" s="7"/>
      <c r="J17" s="20">
        <f>'O&amp;MI-87'!W18</f>
        <v>-35000</v>
      </c>
      <c r="K17" s="20">
        <f>ICM_ITS_WindCosts!$D$28*Deflator!$C$86/Deflator!$C$88</f>
        <v>1624734.2282471079</v>
      </c>
      <c r="L17" s="20">
        <f>ICM_ITS_WindCosts!$N$13*Deflator!$C$86/Deflator!$C$88</f>
        <v>1338872.9309823031</v>
      </c>
      <c r="M17" s="25">
        <f>Costs_Resilience!E27</f>
        <v>13610.972790325448</v>
      </c>
      <c r="N17" s="25">
        <f t="shared" si="1"/>
        <v>2942218.1320197363</v>
      </c>
      <c r="O17" s="25">
        <f>N17/((1+Inputs!$B$3)^(B17-Inputs!$B$5))</f>
        <v>1600371.720048436</v>
      </c>
      <c r="P17" s="98">
        <f>N17/((1+Inputs!$B$4)^(B17-Inputs!$B$5))</f>
        <v>2254965.2065847362</v>
      </c>
      <c r="Q17" s="7"/>
      <c r="R17" s="66"/>
      <c r="S17" s="7"/>
      <c r="T17" s="7"/>
      <c r="U17" s="7"/>
      <c r="V17" s="7"/>
      <c r="W17" s="7"/>
      <c r="X17" s="7"/>
      <c r="Y17" s="7"/>
      <c r="Z17" s="7"/>
      <c r="AA17" s="7"/>
      <c r="AB17" s="7"/>
      <c r="AC17" s="7"/>
      <c r="AD17" s="7"/>
    </row>
    <row r="18" spans="1:30" customFormat="1">
      <c r="A18" s="145"/>
      <c r="B18" s="55">
        <f t="shared" si="2"/>
        <v>2030</v>
      </c>
      <c r="C18" s="20">
        <f>'I-87_CostTables'!N33</f>
        <v>0</v>
      </c>
      <c r="D18" s="20"/>
      <c r="E18" s="25"/>
      <c r="F18" s="25">
        <f t="shared" si="0"/>
        <v>0</v>
      </c>
      <c r="G18" s="25">
        <f>F18/((1+Inputs!$B$3)^(B18-Inputs!$B$5))</f>
        <v>0</v>
      </c>
      <c r="H18" s="98">
        <f>F18/((1+Inputs!$B$4)^(B18-Inputs!$B$5))</f>
        <v>0</v>
      </c>
      <c r="I18" s="7"/>
      <c r="J18" s="20">
        <f>'O&amp;MI-87'!W19</f>
        <v>34000</v>
      </c>
      <c r="K18" s="20">
        <f>ICM_ITS_WindCosts!$D$28*Deflator!$C$86/Deflator!$C$88</f>
        <v>1624734.2282471079</v>
      </c>
      <c r="L18" s="20">
        <f>ICM_ITS_WindCosts!$N$13*Deflator!$C$86/Deflator!$C$88</f>
        <v>1338872.9309823031</v>
      </c>
      <c r="M18" s="25">
        <f>Costs_Resilience!E28</f>
        <v>13610.972790325448</v>
      </c>
      <c r="N18" s="25">
        <f t="shared" si="1"/>
        <v>3011218.1320197363</v>
      </c>
      <c r="O18" s="25">
        <f>N18/((1+Inputs!$B$3)^(B18-Inputs!$B$5))</f>
        <v>1530750.6058754602</v>
      </c>
      <c r="P18" s="98">
        <f>N18/((1+Inputs!$B$4)^(B18-Inputs!$B$5))</f>
        <v>2240629.0884625693</v>
      </c>
      <c r="Q18" s="7"/>
      <c r="R18" s="66"/>
      <c r="S18" s="7"/>
      <c r="T18" s="7"/>
      <c r="U18" s="7"/>
      <c r="V18" s="7"/>
      <c r="W18" s="7"/>
      <c r="X18" s="7"/>
      <c r="Y18" s="7"/>
      <c r="Z18" s="7"/>
      <c r="AA18" s="7"/>
      <c r="AB18" s="7"/>
      <c r="AC18" s="7"/>
      <c r="AD18" s="7"/>
    </row>
    <row r="19" spans="1:30" customFormat="1">
      <c r="A19" s="145"/>
      <c r="B19" s="55">
        <f t="shared" si="2"/>
        <v>2031</v>
      </c>
      <c r="C19" s="20">
        <f>'I-87_CostTables'!N34</f>
        <v>0</v>
      </c>
      <c r="D19" s="25"/>
      <c r="E19" s="25"/>
      <c r="F19" s="25">
        <f t="shared" si="0"/>
        <v>0</v>
      </c>
      <c r="G19" s="25">
        <f>F19/((1+Inputs!$B$3)^(B19-Inputs!$B$5))</f>
        <v>0</v>
      </c>
      <c r="H19" s="98">
        <f>F19/((1+Inputs!$B$4)^(B19-Inputs!$B$5))</f>
        <v>0</v>
      </c>
      <c r="I19" s="7"/>
      <c r="J19" s="20">
        <f>'O&amp;MI-87'!W20</f>
        <v>-35000</v>
      </c>
      <c r="K19" s="20">
        <f>ICM_ITS_WindCosts!$D$28*Deflator!$C$86/Deflator!$C$88</f>
        <v>1624734.2282471079</v>
      </c>
      <c r="L19" s="20">
        <f>ICM_ITS_WindCosts!$N$13*Deflator!$C$86/Deflator!$C$88</f>
        <v>1338872.9309823031</v>
      </c>
      <c r="M19" s="25">
        <f>Costs_Resilience!E29</f>
        <v>13610.972790325448</v>
      </c>
      <c r="N19" s="25">
        <f t="shared" si="1"/>
        <v>2942218.1320197363</v>
      </c>
      <c r="O19" s="25">
        <f>N19/((1+Inputs!$B$3)^(B19-Inputs!$B$5))</f>
        <v>1397826.6399235181</v>
      </c>
      <c r="P19" s="98">
        <f>N19/((1+Inputs!$B$4)^(B19-Inputs!$B$5))</f>
        <v>2125520.9789657239</v>
      </c>
      <c r="Q19" s="7"/>
      <c r="R19" s="66"/>
      <c r="S19" s="7"/>
      <c r="T19" s="7"/>
      <c r="U19" s="7"/>
      <c r="V19" s="7"/>
      <c r="W19" s="7"/>
      <c r="X19" s="7"/>
      <c r="Y19" s="7"/>
      <c r="Z19" s="7"/>
      <c r="AA19" s="7"/>
      <c r="AB19" s="7"/>
      <c r="AC19" s="7"/>
      <c r="AD19" s="7"/>
    </row>
    <row r="20" spans="1:30" customFormat="1">
      <c r="A20" s="145"/>
      <c r="B20" s="55">
        <f t="shared" si="2"/>
        <v>2032</v>
      </c>
      <c r="C20" s="20">
        <f>'I-87_CostTables'!N35</f>
        <v>0</v>
      </c>
      <c r="D20" s="25"/>
      <c r="E20" s="25"/>
      <c r="F20" s="25">
        <f t="shared" si="0"/>
        <v>0</v>
      </c>
      <c r="G20" s="25">
        <f>F20/((1+Inputs!$B$3)^(B20-Inputs!$B$5))</f>
        <v>0</v>
      </c>
      <c r="H20" s="98">
        <f>F20/((1+Inputs!$B$4)^(B20-Inputs!$B$5))</f>
        <v>0</v>
      </c>
      <c r="I20" s="7"/>
      <c r="J20" s="20">
        <f>'O&amp;MI-87'!W21</f>
        <v>3848000</v>
      </c>
      <c r="K20" s="20">
        <f>ICM_ITS_WindCosts!$D$28*Deflator!$C$86/Deflator!$C$88</f>
        <v>1624734.2282471079</v>
      </c>
      <c r="L20" s="20">
        <f>ICM_ITS_WindCosts!$N$13*Deflator!$C$86/Deflator!$C$88</f>
        <v>1338872.9309823031</v>
      </c>
      <c r="M20" s="25">
        <f>Costs_Resilience!E30</f>
        <v>13610.972790325448</v>
      </c>
      <c r="N20" s="25">
        <f t="shared" si="1"/>
        <v>6825218.1320197359</v>
      </c>
      <c r="O20" s="25">
        <f>N20/((1+Inputs!$B$3)^(B20-Inputs!$B$5))</f>
        <v>3030478.4750434742</v>
      </c>
      <c r="P20" s="98">
        <f>N20/((1+Inputs!$B$4)^(B20-Inputs!$B$5))</f>
        <v>4787070.6757269111</v>
      </c>
      <c r="Q20" s="7"/>
      <c r="R20" s="66"/>
      <c r="S20" s="7"/>
      <c r="T20" s="7"/>
      <c r="U20" s="7"/>
      <c r="V20" s="7"/>
      <c r="W20" s="7"/>
      <c r="X20" s="7"/>
      <c r="Y20" s="7"/>
      <c r="Z20" s="7"/>
      <c r="AA20" s="7"/>
      <c r="AB20" s="7"/>
      <c r="AC20" s="7"/>
      <c r="AD20" s="7"/>
    </row>
    <row r="21" spans="1:30" customFormat="1">
      <c r="A21" s="145"/>
      <c r="B21" s="55">
        <f t="shared" si="2"/>
        <v>2033</v>
      </c>
      <c r="C21" s="20">
        <f>'I-87_CostTables'!N36</f>
        <v>0</v>
      </c>
      <c r="D21" s="25"/>
      <c r="E21" s="25"/>
      <c r="F21" s="25">
        <f t="shared" si="0"/>
        <v>0</v>
      </c>
      <c r="G21" s="25">
        <f>F21/((1+Inputs!$B$3)^(B21-Inputs!$B$5))</f>
        <v>0</v>
      </c>
      <c r="H21" s="98">
        <f>F21/((1+Inputs!$B$4)^(B21-Inputs!$B$5))</f>
        <v>0</v>
      </c>
      <c r="I21" s="7"/>
      <c r="J21" s="20">
        <f>'O&amp;MI-87'!W22</f>
        <v>-35000</v>
      </c>
      <c r="K21" s="20">
        <f>ICM_ITS_WindCosts!$D$28*Deflator!$C$86/Deflator!$C$88</f>
        <v>1624734.2282471079</v>
      </c>
      <c r="L21" s="20">
        <f>ICM_ITS_WindCosts!$N$13*Deflator!$C$86/Deflator!$C$88</f>
        <v>1338872.9309823031</v>
      </c>
      <c r="M21" s="25">
        <f>Costs_Resilience!E31</f>
        <v>13610.972790325448</v>
      </c>
      <c r="N21" s="25">
        <f t="shared" si="1"/>
        <v>2942218.1320197363</v>
      </c>
      <c r="O21" s="25">
        <f>N21/((1+Inputs!$B$3)^(B21-Inputs!$B$5))</f>
        <v>1220915.9227212144</v>
      </c>
      <c r="P21" s="98">
        <f>N21/((1+Inputs!$B$4)^(B21-Inputs!$B$5))</f>
        <v>2003507.3795510642</v>
      </c>
      <c r="Q21" s="7"/>
      <c r="R21" s="66"/>
      <c r="S21" s="7"/>
      <c r="T21" s="7"/>
      <c r="U21" s="7"/>
      <c r="V21" s="7"/>
      <c r="W21" s="7"/>
      <c r="X21" s="7"/>
      <c r="Y21" s="7"/>
      <c r="Z21" s="7"/>
      <c r="AA21" s="7"/>
      <c r="AB21" s="7"/>
      <c r="AC21" s="7"/>
      <c r="AD21" s="7"/>
    </row>
    <row r="22" spans="1:30" customFormat="1">
      <c r="A22" s="145"/>
      <c r="B22" s="55">
        <f t="shared" si="2"/>
        <v>2034</v>
      </c>
      <c r="C22" s="20">
        <f>'I-87_CostTables'!N37</f>
        <v>0</v>
      </c>
      <c r="D22" s="25"/>
      <c r="E22" s="25"/>
      <c r="F22" s="25">
        <f t="shared" si="0"/>
        <v>0</v>
      </c>
      <c r="G22" s="25">
        <f>F22/((1+Inputs!$B$3)^(B22-Inputs!$B$5))</f>
        <v>0</v>
      </c>
      <c r="H22" s="98">
        <f>F22/((1+Inputs!$B$4)^(B22-Inputs!$B$5))</f>
        <v>0</v>
      </c>
      <c r="I22" s="7"/>
      <c r="J22" s="20">
        <f>'O&amp;MI-87'!W23</f>
        <v>-35000</v>
      </c>
      <c r="K22" s="20">
        <f>ICM_ITS_WindCosts!$D$28*Deflator!$C$86/Deflator!$C$88</f>
        <v>1624734.2282471079</v>
      </c>
      <c r="L22" s="20">
        <f>ICM_ITS_WindCosts!$N$13*Deflator!$C$86/Deflator!$C$88</f>
        <v>1338872.9309823031</v>
      </c>
      <c r="M22" s="25">
        <f>Costs_Resilience!E32</f>
        <v>13610.972790325448</v>
      </c>
      <c r="N22" s="25">
        <f t="shared" si="1"/>
        <v>2942218.1320197363</v>
      </c>
      <c r="O22" s="25">
        <f>N22/((1+Inputs!$B$3)^(B22-Inputs!$B$5))</f>
        <v>1141042.9184310415</v>
      </c>
      <c r="P22" s="98">
        <f>N22/((1+Inputs!$B$4)^(B22-Inputs!$B$5))</f>
        <v>1945152.7956806447</v>
      </c>
      <c r="Q22" s="7"/>
      <c r="R22" s="66"/>
      <c r="S22" s="7"/>
      <c r="T22" s="7"/>
      <c r="U22" s="7"/>
      <c r="V22" s="7"/>
      <c r="W22" s="7"/>
      <c r="X22" s="7"/>
      <c r="Y22" s="7"/>
      <c r="Z22" s="7"/>
      <c r="AA22" s="7"/>
      <c r="AB22" s="7"/>
      <c r="AC22" s="7"/>
      <c r="AD22" s="7"/>
    </row>
    <row r="23" spans="1:30" customFormat="1">
      <c r="A23" s="145"/>
      <c r="B23" s="55">
        <f t="shared" si="2"/>
        <v>2035</v>
      </c>
      <c r="C23" s="20"/>
      <c r="D23" s="25"/>
      <c r="E23" s="25"/>
      <c r="F23" s="25">
        <f t="shared" si="0"/>
        <v>0</v>
      </c>
      <c r="G23" s="25">
        <f>F23/((1+Inputs!$B$3)^(B23-Inputs!$B$5))</f>
        <v>0</v>
      </c>
      <c r="H23" s="98">
        <f>F23/((1+Inputs!$B$4)^(B23-Inputs!$B$5))</f>
        <v>0</v>
      </c>
      <c r="I23" s="7"/>
      <c r="J23" s="20">
        <f>'O&amp;MI-87'!W24</f>
        <v>-35000</v>
      </c>
      <c r="K23" s="20">
        <f>ICM_ITS_WindCosts!$D$28*Deflator!$C$86/Deflator!$C$88</f>
        <v>1624734.2282471079</v>
      </c>
      <c r="L23" s="20">
        <f>ICM_ITS_WindCosts!$N$13*Deflator!$C$86/Deflator!$C$88</f>
        <v>1338872.9309823031</v>
      </c>
      <c r="M23" s="25">
        <f>Costs_Resilience!E33</f>
        <v>13610.972790325448</v>
      </c>
      <c r="N23" s="25">
        <f t="shared" si="1"/>
        <v>2942218.1320197363</v>
      </c>
      <c r="O23" s="25">
        <f>N23/((1+Inputs!$B$3)^(B23-Inputs!$B$5))</f>
        <v>1066395.2508701321</v>
      </c>
      <c r="P23" s="98">
        <f>N23/((1+Inputs!$B$4)^(B23-Inputs!$B$5))</f>
        <v>1888497.859884121</v>
      </c>
      <c r="Q23" s="7"/>
      <c r="R23" s="66"/>
      <c r="S23" s="7"/>
      <c r="T23" s="7"/>
      <c r="U23" s="7"/>
      <c r="V23" s="7"/>
      <c r="W23" s="7"/>
      <c r="X23" s="7"/>
      <c r="Y23" s="7"/>
      <c r="Z23" s="7"/>
      <c r="AA23" s="7"/>
      <c r="AB23" s="7"/>
      <c r="AC23" s="7"/>
      <c r="AD23" s="7"/>
    </row>
    <row r="24" spans="1:30" customFormat="1">
      <c r="A24" s="145"/>
      <c r="B24" s="55">
        <f t="shared" si="2"/>
        <v>2036</v>
      </c>
      <c r="C24" s="20"/>
      <c r="D24" s="25"/>
      <c r="E24" s="25"/>
      <c r="F24" s="25">
        <f t="shared" si="0"/>
        <v>0</v>
      </c>
      <c r="G24" s="25">
        <f>F24/((1+Inputs!$B$3)^(B24-Inputs!$B$5))</f>
        <v>0</v>
      </c>
      <c r="H24" s="98">
        <f>F24/((1+Inputs!$B$4)^(B24-Inputs!$B$5))</f>
        <v>0</v>
      </c>
      <c r="I24" s="7"/>
      <c r="J24" s="20">
        <f>'O&amp;MI-87'!W25</f>
        <v>-35000</v>
      </c>
      <c r="K24" s="20">
        <f>ICM_ITS_WindCosts!$D$28*Deflator!$C$86/Deflator!$C$88</f>
        <v>1624734.2282471079</v>
      </c>
      <c r="L24" s="20">
        <f>ICM_ITS_WindCosts!$N$13*Deflator!$C$86/Deflator!$C$88</f>
        <v>1338872.9309823031</v>
      </c>
      <c r="M24" s="25">
        <f>Costs_Resilience!E34</f>
        <v>13610.972790325448</v>
      </c>
      <c r="N24" s="25">
        <f t="shared" si="1"/>
        <v>2942218.1320197363</v>
      </c>
      <c r="O24" s="25">
        <f>N24/((1+Inputs!$B$3)^(B24-Inputs!$B$5))</f>
        <v>996631.07557956292</v>
      </c>
      <c r="P24" s="98">
        <f>N24/((1+Inputs!$B$4)^(B24-Inputs!$B$5))</f>
        <v>1833493.0678486614</v>
      </c>
      <c r="Q24" s="7"/>
      <c r="R24" s="66"/>
      <c r="S24" s="7"/>
      <c r="T24" s="7"/>
      <c r="U24" s="7"/>
      <c r="V24" s="7"/>
      <c r="W24" s="7"/>
      <c r="X24" s="7"/>
      <c r="Y24" s="7"/>
      <c r="Z24" s="7"/>
      <c r="AA24" s="7"/>
      <c r="AB24" s="7"/>
      <c r="AC24" s="7"/>
      <c r="AD24" s="7"/>
    </row>
    <row r="25" spans="1:30" customFormat="1">
      <c r="A25" s="145"/>
      <c r="B25" s="55">
        <f t="shared" si="2"/>
        <v>2037</v>
      </c>
      <c r="C25" s="20"/>
      <c r="D25" s="25"/>
      <c r="E25" s="25"/>
      <c r="F25" s="25">
        <f t="shared" si="0"/>
        <v>0</v>
      </c>
      <c r="G25" s="25">
        <f>F25/((1+Inputs!$B$3)^(B25-Inputs!$B$5))</f>
        <v>0</v>
      </c>
      <c r="H25" s="98">
        <f>F25/((1+Inputs!$B$4)^(B25-Inputs!$B$5))</f>
        <v>0</v>
      </c>
      <c r="I25" s="7"/>
      <c r="J25" s="20">
        <f>'O&amp;MI-87'!W26</f>
        <v>-35000</v>
      </c>
      <c r="K25" s="20">
        <f>ICM_ITS_WindCosts!$D$28*Deflator!$C$86/Deflator!$C$88</f>
        <v>1624734.2282471079</v>
      </c>
      <c r="L25" s="20">
        <f>ICM_ITS_WindCosts!$N$13*Deflator!$C$86/Deflator!$C$88</f>
        <v>1338872.9309823031</v>
      </c>
      <c r="M25" s="25">
        <f>Costs_Resilience!E35</f>
        <v>13610.972790325448</v>
      </c>
      <c r="N25" s="25">
        <f t="shared" si="1"/>
        <v>2942218.1320197363</v>
      </c>
      <c r="O25" s="25">
        <f>N25/((1+Inputs!$B$3)^(B25-Inputs!$B$5))</f>
        <v>931430.91175660084</v>
      </c>
      <c r="P25" s="98">
        <f>N25/((1+Inputs!$B$4)^(B25-Inputs!$B$5))</f>
        <v>1780090.3571346228</v>
      </c>
      <c r="Q25" s="7"/>
      <c r="R25" s="66"/>
      <c r="S25" s="7"/>
      <c r="T25" s="7"/>
      <c r="U25" s="7"/>
      <c r="V25" s="7"/>
      <c r="W25" s="7"/>
      <c r="X25" s="7"/>
      <c r="Y25" s="7"/>
      <c r="Z25" s="7"/>
      <c r="AA25" s="7"/>
      <c r="AB25" s="7"/>
      <c r="AC25" s="7"/>
      <c r="AD25" s="7"/>
    </row>
    <row r="26" spans="1:30" customFormat="1">
      <c r="A26" s="145"/>
      <c r="B26" s="55">
        <f t="shared" si="2"/>
        <v>2038</v>
      </c>
      <c r="C26" s="25"/>
      <c r="D26" s="25"/>
      <c r="E26" s="25"/>
      <c r="F26" s="25">
        <f t="shared" si="0"/>
        <v>0</v>
      </c>
      <c r="G26" s="25">
        <f>F26/((1+Inputs!$B$3)^(B26-Inputs!$B$5))</f>
        <v>0</v>
      </c>
      <c r="H26" s="98">
        <f>F26/((1+Inputs!$B$4)^(B26-Inputs!$B$5))</f>
        <v>0</v>
      </c>
      <c r="I26" s="7"/>
      <c r="J26" s="20">
        <f>'O&amp;MI-87'!W27</f>
        <v>75000</v>
      </c>
      <c r="K26" s="20">
        <f>ICM_ITS_WindCosts!$D$28*Deflator!$C$86/Deflator!$C$88</f>
        <v>1624734.2282471079</v>
      </c>
      <c r="L26" s="20">
        <f>ICM_ITS_WindCosts!$N$13*Deflator!$C$86/Deflator!$C$88</f>
        <v>1338872.9309823031</v>
      </c>
      <c r="M26" s="25">
        <f>Costs_Resilience!E36</f>
        <v>13610.972790325448</v>
      </c>
      <c r="N26" s="25">
        <f t="shared" si="1"/>
        <v>3052218.1320197363</v>
      </c>
      <c r="O26" s="25">
        <f>N26/((1+Inputs!$B$3)^(B26-Inputs!$B$5))</f>
        <v>903041.21000715229</v>
      </c>
      <c r="P26" s="98">
        <f>N26/((1+Inputs!$B$4)^(B26-Inputs!$B$5))</f>
        <v>1792856.4720170365</v>
      </c>
      <c r="Q26" s="7"/>
      <c r="R26" s="66"/>
      <c r="S26" s="7"/>
      <c r="T26" s="7"/>
      <c r="U26" s="7"/>
      <c r="V26" s="7"/>
      <c r="W26" s="7"/>
      <c r="X26" s="7"/>
      <c r="Y26" s="7"/>
      <c r="Z26" s="7"/>
      <c r="AA26" s="7"/>
      <c r="AB26" s="7"/>
      <c r="AC26" s="7"/>
      <c r="AD26" s="7"/>
    </row>
    <row r="27" spans="1:30" customFormat="1">
      <c r="A27" s="145"/>
      <c r="B27" s="55">
        <f t="shared" si="2"/>
        <v>2039</v>
      </c>
      <c r="C27" s="25"/>
      <c r="D27" s="25"/>
      <c r="E27" s="25"/>
      <c r="F27" s="25">
        <f t="shared" si="0"/>
        <v>0</v>
      </c>
      <c r="G27" s="25">
        <f>F27/((1+Inputs!$B$3)^(B27-Inputs!$B$5))</f>
        <v>0</v>
      </c>
      <c r="H27" s="98">
        <f>F27/((1+Inputs!$B$4)^(B27-Inputs!$B$5))</f>
        <v>0</v>
      </c>
      <c r="I27" s="7"/>
      <c r="J27" s="20">
        <f>'O&amp;MI-87'!W28</f>
        <v>-35000</v>
      </c>
      <c r="K27" s="20">
        <f>ICM_ITS_WindCosts!$D$28*Deflator!$C$86/Deflator!$C$88</f>
        <v>1624734.2282471079</v>
      </c>
      <c r="L27" s="20">
        <f>ICM_ITS_WindCosts!$N$13*Deflator!$C$86/Deflator!$C$88</f>
        <v>1338872.9309823031</v>
      </c>
      <c r="M27" s="25">
        <f>Costs_Resilience!E37</f>
        <v>13610.972790325448</v>
      </c>
      <c r="N27" s="25">
        <f t="shared" si="1"/>
        <v>2942218.1320197363</v>
      </c>
      <c r="O27" s="25">
        <f>N27/((1+Inputs!$B$3)^(B27-Inputs!$B$5))</f>
        <v>813547.83103904338</v>
      </c>
      <c r="P27" s="98">
        <f>N27/((1+Inputs!$B$4)^(B27-Inputs!$B$5))</f>
        <v>1677905.8885235393</v>
      </c>
      <c r="Q27" s="7"/>
      <c r="R27" s="66"/>
      <c r="S27" s="7"/>
      <c r="T27" s="7"/>
      <c r="U27" s="7"/>
      <c r="V27" s="7"/>
      <c r="W27" s="7"/>
      <c r="X27" s="7"/>
      <c r="Y27" s="7"/>
      <c r="Z27" s="7"/>
      <c r="AA27" s="7"/>
      <c r="AB27" s="7"/>
      <c r="AC27" s="7"/>
      <c r="AD27" s="7"/>
    </row>
    <row r="28" spans="1:30" customFormat="1">
      <c r="A28" s="145"/>
      <c r="B28" s="55">
        <f t="shared" si="2"/>
        <v>2040</v>
      </c>
      <c r="C28" s="25"/>
      <c r="D28" s="25"/>
      <c r="E28" s="25"/>
      <c r="F28" s="25">
        <f t="shared" si="0"/>
        <v>0</v>
      </c>
      <c r="G28" s="25">
        <f>F28/((1+Inputs!$B$3)^(B28-Inputs!$B$5))</f>
        <v>0</v>
      </c>
      <c r="H28" s="98">
        <f>F28/((1+Inputs!$B$4)^(B28-Inputs!$B$5))</f>
        <v>0</v>
      </c>
      <c r="I28" s="7"/>
      <c r="J28" s="20">
        <f>'O&amp;MI-87'!W29</f>
        <v>34000</v>
      </c>
      <c r="K28" s="20">
        <f>ICM_ITS_WindCosts!$D$28*Deflator!$C$86/Deflator!$C$88</f>
        <v>1624734.2282471079</v>
      </c>
      <c r="L28" s="20">
        <f>ICM_ITS_WindCosts!$N$13*Deflator!$C$86/Deflator!$C$88</f>
        <v>1338872.9309823031</v>
      </c>
      <c r="M28" s="25">
        <f>Costs_Resilience!E38</f>
        <v>13610.972790325448</v>
      </c>
      <c r="N28" s="25">
        <f t="shared" si="1"/>
        <v>3011218.1320197363</v>
      </c>
      <c r="O28" s="25">
        <f>N28/((1+Inputs!$B$3)^(B28-Inputs!$B$5))</f>
        <v>778155.9869315807</v>
      </c>
      <c r="P28" s="98">
        <f>N28/((1+Inputs!$B$4)^(B28-Inputs!$B$5))</f>
        <v>1667238.4702655943</v>
      </c>
      <c r="Q28" s="7"/>
      <c r="R28" s="66"/>
      <c r="S28" s="7"/>
      <c r="T28" s="7"/>
      <c r="U28" s="7"/>
      <c r="V28" s="7"/>
      <c r="W28" s="7"/>
      <c r="X28" s="7"/>
      <c r="Y28" s="7"/>
      <c r="Z28" s="7"/>
      <c r="AA28" s="7"/>
      <c r="AB28" s="7"/>
      <c r="AC28" s="7"/>
      <c r="AD28" s="7"/>
    </row>
    <row r="29" spans="1:30" customFormat="1">
      <c r="A29" s="145"/>
      <c r="B29" s="55">
        <f t="shared" si="2"/>
        <v>2041</v>
      </c>
      <c r="C29" s="25"/>
      <c r="D29" s="25"/>
      <c r="E29" s="25"/>
      <c r="F29" s="25">
        <f t="shared" si="0"/>
        <v>0</v>
      </c>
      <c r="G29" s="25">
        <f>F29/((1+Inputs!$B$3)^(B29-Inputs!$B$5))</f>
        <v>0</v>
      </c>
      <c r="H29" s="98">
        <f>F29/((1+Inputs!$B$4)^(B29-Inputs!$B$5))</f>
        <v>0</v>
      </c>
      <c r="I29" s="7"/>
      <c r="J29" s="20">
        <f>'O&amp;MI-87'!W30</f>
        <v>-35000</v>
      </c>
      <c r="K29" s="20">
        <f>ICM_ITS_WindCosts!$D$28*Deflator!$C$86/Deflator!$C$88</f>
        <v>1624734.2282471079</v>
      </c>
      <c r="L29" s="20">
        <f>ICM_ITS_WindCosts!$N$13*Deflator!$C$86/Deflator!$C$88</f>
        <v>1338872.9309823031</v>
      </c>
      <c r="M29" s="25">
        <f>Costs_Resilience!E39</f>
        <v>13610.972790325448</v>
      </c>
      <c r="N29" s="25">
        <f t="shared" si="1"/>
        <v>2942218.1320197363</v>
      </c>
      <c r="O29" s="25">
        <f>N29/((1+Inputs!$B$3)^(B29-Inputs!$B$5))</f>
        <v>710584.18293217174</v>
      </c>
      <c r="P29" s="98">
        <f>N29/((1+Inputs!$B$4)^(B29-Inputs!$B$5))</f>
        <v>1581587.2264337256</v>
      </c>
      <c r="Q29" s="7"/>
      <c r="R29" s="66"/>
      <c r="S29" s="7"/>
      <c r="T29" s="7"/>
      <c r="U29" s="7"/>
      <c r="V29" s="7"/>
      <c r="W29" s="7"/>
      <c r="X29" s="7"/>
      <c r="Y29" s="7"/>
      <c r="Z29" s="7"/>
      <c r="AA29" s="7"/>
      <c r="AB29" s="7"/>
      <c r="AC29" s="7"/>
      <c r="AD29" s="7"/>
    </row>
    <row r="30" spans="1:30" customFormat="1">
      <c r="A30" s="145"/>
      <c r="B30" s="55">
        <f t="shared" si="2"/>
        <v>2042</v>
      </c>
      <c r="C30" s="25"/>
      <c r="D30" s="25"/>
      <c r="E30" s="25"/>
      <c r="F30" s="25">
        <f t="shared" si="0"/>
        <v>0</v>
      </c>
      <c r="G30" s="25">
        <f>F30/((1+Inputs!$B$3)^(B30-Inputs!$B$5))</f>
        <v>0</v>
      </c>
      <c r="H30" s="98">
        <f>F30/((1+Inputs!$B$4)^(B30-Inputs!$B$5))</f>
        <v>0</v>
      </c>
      <c r="I30" s="7"/>
      <c r="J30" s="20">
        <f>'O&amp;MI-87'!W31</f>
        <v>-35000</v>
      </c>
      <c r="K30" s="20">
        <f>ICM_ITS_WindCosts!$D$28*Deflator!$C$86/Deflator!$C$88</f>
        <v>1624734.2282471079</v>
      </c>
      <c r="L30" s="20">
        <f>ICM_ITS_WindCosts!$N$13*Deflator!$C$86/Deflator!$C$88</f>
        <v>1338872.9309823031</v>
      </c>
      <c r="M30" s="25">
        <f>Costs_Resilience!E40</f>
        <v>13610.972790325448</v>
      </c>
      <c r="N30" s="25">
        <f t="shared" si="1"/>
        <v>2942218.1320197363</v>
      </c>
      <c r="O30" s="25">
        <f>N30/((1+Inputs!$B$3)^(B30-Inputs!$B$5))</f>
        <v>664097.3672263287</v>
      </c>
      <c r="P30" s="98">
        <f>N30/((1+Inputs!$B$4)^(B30-Inputs!$B$5))</f>
        <v>1535521.5790618693</v>
      </c>
      <c r="Q30" s="7"/>
      <c r="R30" s="66"/>
      <c r="S30" s="7"/>
      <c r="T30" s="7"/>
      <c r="U30" s="7"/>
      <c r="V30" s="7"/>
      <c r="W30" s="7"/>
      <c r="X30" s="7"/>
      <c r="Y30" s="7"/>
      <c r="Z30" s="7"/>
      <c r="AA30" s="7"/>
      <c r="AB30" s="7"/>
      <c r="AC30" s="7"/>
      <c r="AD30" s="7"/>
    </row>
    <row r="31" spans="1:30" ht="15.75" customHeight="1">
      <c r="A31" s="145"/>
      <c r="B31" s="55">
        <f t="shared" si="2"/>
        <v>2043</v>
      </c>
      <c r="C31" s="25"/>
      <c r="D31" s="25"/>
      <c r="E31" s="25"/>
      <c r="F31" s="25">
        <f t="shared" si="0"/>
        <v>0</v>
      </c>
      <c r="G31" s="25">
        <f>F31/((1+Inputs!$B$3)^(B31-Inputs!$B$5))</f>
        <v>0</v>
      </c>
      <c r="H31" s="98">
        <f>F31/((1+Inputs!$B$4)^(B31-Inputs!$B$5))</f>
        <v>0</v>
      </c>
      <c r="J31" s="20">
        <f>'O&amp;MI-87'!W32</f>
        <v>-35000</v>
      </c>
      <c r="K31" s="20">
        <f>ICM_ITS_WindCosts!$D$28*Deflator!$C$86/Deflator!$C$88</f>
        <v>1624734.2282471079</v>
      </c>
      <c r="L31" s="20">
        <f>ICM_ITS_WindCosts!$N$13*Deflator!$C$86/Deflator!$C$88</f>
        <v>1338872.9309823031</v>
      </c>
      <c r="M31" s="25">
        <f>Costs_Resilience!E41</f>
        <v>13610.972790325448</v>
      </c>
      <c r="N31" s="25">
        <f t="shared" si="1"/>
        <v>2942218.1320197363</v>
      </c>
      <c r="O31" s="25">
        <f>N31/((1+Inputs!$B$3)^(B31-Inputs!$B$5))</f>
        <v>620651.74507133523</v>
      </c>
      <c r="P31" s="98">
        <f>N31/((1+Inputs!$B$4)^(B31-Inputs!$B$5))</f>
        <v>1490797.6495746304</v>
      </c>
    </row>
    <row r="32" spans="1:30" ht="15.75" customHeight="1">
      <c r="A32" s="145"/>
      <c r="B32" s="55">
        <f t="shared" si="2"/>
        <v>2044</v>
      </c>
      <c r="C32" s="25"/>
      <c r="D32" s="25"/>
      <c r="E32" s="25"/>
      <c r="F32" s="25">
        <f t="shared" si="0"/>
        <v>0</v>
      </c>
      <c r="G32" s="25">
        <f>F32/((1+Inputs!$B$3)^(B32-Inputs!$B$5))</f>
        <v>0</v>
      </c>
      <c r="H32" s="98">
        <f>F32/((1+Inputs!$B$4)^(B32-Inputs!$B$5))</f>
        <v>0</v>
      </c>
      <c r="J32" s="20">
        <f>'O&amp;MI-87'!W33</f>
        <v>8865000</v>
      </c>
      <c r="K32" s="20">
        <f>ICM_ITS_WindCosts!$D$28*Deflator!$C$86/Deflator!$C$88</f>
        <v>1624734.2282471079</v>
      </c>
      <c r="L32" s="20">
        <f>ICM_ITS_WindCosts!$N$13*Deflator!$C$86/Deflator!$C$88</f>
        <v>1338872.9309823031</v>
      </c>
      <c r="M32" s="25">
        <f>Costs_Resilience!E42</f>
        <v>13610.972790325448</v>
      </c>
      <c r="N32" s="25">
        <f t="shared" si="1"/>
        <v>11842218.132019736</v>
      </c>
      <c r="O32" s="25">
        <f>N32/((1+Inputs!$B$3)^(B32-Inputs!$B$5))</f>
        <v>2334653.2774240398</v>
      </c>
      <c r="P32" s="98">
        <f>N32/((1+Inputs!$B$4)^(B32-Inputs!$B$5))</f>
        <v>5825586.6122319549</v>
      </c>
    </row>
    <row r="33" spans="1:30" ht="15.75" customHeight="1">
      <c r="A33" s="145"/>
      <c r="B33" s="55">
        <f t="shared" si="2"/>
        <v>2045</v>
      </c>
      <c r="C33" s="25"/>
      <c r="D33" s="25"/>
      <c r="E33" s="25"/>
      <c r="F33" s="25">
        <f t="shared" si="0"/>
        <v>0</v>
      </c>
      <c r="G33" s="25">
        <f>F33/((1+Inputs!$B$3)^(B33-Inputs!$B$5))</f>
        <v>0</v>
      </c>
      <c r="H33" s="98">
        <f>F33/((1+Inputs!$B$4)^(B33-Inputs!$B$5))</f>
        <v>0</v>
      </c>
      <c r="J33" s="20">
        <f>'O&amp;MI-87'!W34</f>
        <v>-35000</v>
      </c>
      <c r="K33" s="20">
        <f>ICM_ITS_WindCosts!$D$28*Deflator!$C$86/Deflator!$C$88</f>
        <v>1624734.2282471079</v>
      </c>
      <c r="L33" s="20">
        <f>ICM_ITS_WindCosts!$N$13*Deflator!$C$86/Deflator!$C$88</f>
        <v>1338872.9309823031</v>
      </c>
      <c r="M33" s="25">
        <f>Costs_Resilience!E43</f>
        <v>13610.972790325448</v>
      </c>
      <c r="N33" s="25">
        <f t="shared" si="1"/>
        <v>2942218.1320197363</v>
      </c>
      <c r="O33" s="25">
        <f>N33/((1+Inputs!$B$3)^(B33-Inputs!$B$5))</f>
        <v>542101.27091565647</v>
      </c>
      <c r="P33" s="98">
        <f>N33/((1+Inputs!$B$4)^(B33-Inputs!$B$5))</f>
        <v>1405219.7658352631</v>
      </c>
    </row>
    <row r="34" spans="1:30" ht="15.75" customHeight="1">
      <c r="A34" s="145"/>
      <c r="B34" s="55">
        <f t="shared" si="2"/>
        <v>2046</v>
      </c>
      <c r="C34" s="25"/>
      <c r="D34" s="25"/>
      <c r="E34" s="25"/>
      <c r="F34" s="25">
        <f t="shared" si="0"/>
        <v>0</v>
      </c>
      <c r="G34" s="25">
        <f>F34/((1+Inputs!$B$3)^(B34-Inputs!$B$5))</f>
        <v>0</v>
      </c>
      <c r="H34" s="98">
        <f>F34/((1+Inputs!$B$4)^(B34-Inputs!$B$5))</f>
        <v>0</v>
      </c>
      <c r="J34" s="20">
        <f>'O&amp;MI-87'!W35</f>
        <v>-35000</v>
      </c>
      <c r="K34" s="20">
        <f>ICM_ITS_WindCosts!$D$28*Deflator!$C$86/Deflator!$C$88</f>
        <v>1624734.2282471079</v>
      </c>
      <c r="L34" s="20">
        <f>ICM_ITS_WindCosts!$N$13*Deflator!$C$86/Deflator!$C$88</f>
        <v>1338872.9309823031</v>
      </c>
      <c r="M34" s="25">
        <f>Costs_Resilience!E44</f>
        <v>13610.972790325448</v>
      </c>
      <c r="N34" s="25">
        <f t="shared" si="1"/>
        <v>2942218.1320197363</v>
      </c>
      <c r="O34" s="25">
        <f>N34/((1+Inputs!$B$3)^(B34-Inputs!$B$5))</f>
        <v>506636.70179033326</v>
      </c>
      <c r="P34" s="98">
        <f>N34/((1+Inputs!$B$4)^(B34-Inputs!$B$5))</f>
        <v>1364291.0347915173</v>
      </c>
    </row>
    <row r="35" spans="1:30" ht="15.75" customHeight="1" thickBot="1">
      <c r="A35" s="145"/>
      <c r="B35" s="55">
        <f t="shared" si="2"/>
        <v>2047</v>
      </c>
      <c r="C35" s="25"/>
      <c r="D35" s="25"/>
      <c r="E35" s="25"/>
      <c r="F35" s="25">
        <f t="shared" si="0"/>
        <v>0</v>
      </c>
      <c r="G35" s="25">
        <f>F35/((1+Inputs!$B$3)^(B35-Inputs!$B$5))</f>
        <v>0</v>
      </c>
      <c r="H35" s="98">
        <f>F35/((1+Inputs!$B$4)^(B35-Inputs!$B$5))</f>
        <v>0</v>
      </c>
      <c r="J35" s="20">
        <f>'O&amp;MI-87'!W36</f>
        <v>-35000</v>
      </c>
      <c r="K35" s="20">
        <f>ICM_ITS_WindCosts!$D$28*Deflator!$C$86/Deflator!$C$88</f>
        <v>1624734.2282471079</v>
      </c>
      <c r="L35" s="20">
        <f>ICM_ITS_WindCosts!$N$13*Deflator!$C$86/Deflator!$C$88</f>
        <v>1338872.9309823031</v>
      </c>
      <c r="M35" s="25">
        <f>Costs_Resilience!E45</f>
        <v>13610.972790325448</v>
      </c>
      <c r="N35" s="635">
        <f>SUM(J35:M35)*(1-Inputs!$B$8)</f>
        <v>1225924.22167489</v>
      </c>
      <c r="O35" s="25">
        <f>N35/((1+Inputs!$B$3)^(B35-Inputs!$B$5))</f>
        <v>197288.43527660947</v>
      </c>
      <c r="P35" s="98">
        <f>N35/((1+Inputs!$B$4)^(B35-Inputs!$B$5))</f>
        <v>551897.66779592133</v>
      </c>
    </row>
    <row r="36" spans="1:30" customFormat="1" ht="15.75" thickBot="1">
      <c r="A36" s="7"/>
      <c r="B36" s="51" t="s">
        <v>4</v>
      </c>
      <c r="C36" s="29">
        <f t="shared" ref="C36:H36" si="3">SUM(C8:C35)</f>
        <v>487289270.15474057</v>
      </c>
      <c r="D36" s="29">
        <f t="shared" si="3"/>
        <v>3000000</v>
      </c>
      <c r="E36" s="29">
        <f t="shared" si="3"/>
        <v>963747</v>
      </c>
      <c r="F36" s="29">
        <f t="shared" si="3"/>
        <v>491253017.15474057</v>
      </c>
      <c r="G36" s="29">
        <f t="shared" si="3"/>
        <v>350363372.03620553</v>
      </c>
      <c r="H36" s="29">
        <f t="shared" si="3"/>
        <v>423554321.05683416</v>
      </c>
      <c r="I36" s="7"/>
      <c r="J36" s="84">
        <f>SUM(J8:J34)</f>
        <v>12331000</v>
      </c>
      <c r="K36" s="84">
        <f t="shared" ref="K36:P36" si="4">SUM(K8:K35)</f>
        <v>34119418.79318925</v>
      </c>
      <c r="L36" s="84">
        <f t="shared" si="4"/>
        <v>28116331.550628364</v>
      </c>
      <c r="M36" s="84">
        <f t="shared" si="4"/>
        <v>285830.42859683436</v>
      </c>
      <c r="N36" s="84">
        <f t="shared" si="4"/>
        <v>71875362.640394732</v>
      </c>
      <c r="O36" s="84">
        <f t="shared" si="4"/>
        <v>23767820.858980872</v>
      </c>
      <c r="P36" s="84">
        <f t="shared" si="4"/>
        <v>43469947.94862406</v>
      </c>
      <c r="Q36" s="7"/>
      <c r="R36" s="66"/>
      <c r="S36" s="7"/>
      <c r="T36" s="7"/>
      <c r="U36" s="7"/>
      <c r="V36" s="7"/>
      <c r="W36" s="7"/>
      <c r="X36" s="7"/>
      <c r="Y36" s="7"/>
      <c r="Z36" s="7"/>
      <c r="AA36" s="7"/>
      <c r="AB36" s="7"/>
      <c r="AC36" s="7"/>
      <c r="AD36" s="7"/>
    </row>
    <row r="37" spans="1:30" s="77" customFormat="1" ht="13.9" customHeight="1">
      <c r="A37" s="7"/>
      <c r="B37" s="105"/>
      <c r="C37" s="106"/>
      <c r="D37" s="106"/>
      <c r="E37" s="106"/>
      <c r="F37" s="106"/>
      <c r="G37" s="106"/>
      <c r="H37" s="106"/>
      <c r="I37" s="7"/>
      <c r="J37" s="107"/>
      <c r="K37" s="107"/>
      <c r="L37" s="107"/>
      <c r="M37" s="107"/>
      <c r="N37" s="107"/>
      <c r="O37" s="107"/>
      <c r="P37" s="107"/>
      <c r="Q37" s="7"/>
      <c r="R37" s="104"/>
      <c r="S37" s="7"/>
      <c r="T37" s="7"/>
      <c r="U37" s="7"/>
      <c r="V37" s="7"/>
      <c r="W37" s="7"/>
      <c r="X37" s="7"/>
      <c r="Y37" s="7"/>
      <c r="Z37" s="7"/>
      <c r="AA37" s="7"/>
      <c r="AB37" s="7"/>
      <c r="AC37" s="7"/>
      <c r="AD37" s="7"/>
    </row>
    <row r="38" spans="1:30">
      <c r="A38" s="77"/>
      <c r="B38" s="105"/>
      <c r="C38" s="106"/>
      <c r="D38" s="106"/>
      <c r="E38" s="106"/>
      <c r="F38" s="106"/>
      <c r="G38" s="106"/>
      <c r="H38" s="106"/>
      <c r="J38" s="107"/>
      <c r="K38" s="107"/>
      <c r="L38" s="107"/>
      <c r="M38" s="107"/>
      <c r="N38" s="107"/>
      <c r="O38" s="107"/>
      <c r="P38" s="107"/>
      <c r="R38" s="104"/>
    </row>
    <row r="39" spans="1:30">
      <c r="A39" s="7"/>
    </row>
    <row r="40" spans="1:30">
      <c r="A40" s="77"/>
      <c r="B40" s="54" t="s">
        <v>292</v>
      </c>
      <c r="C40" s="54"/>
      <c r="D40" s="54"/>
      <c r="E40" s="54"/>
      <c r="F40" s="54"/>
      <c r="P40" s="148"/>
      <c r="R40" s="125"/>
      <c r="S40" s="165"/>
      <c r="T40" s="165"/>
      <c r="U40" s="165"/>
      <c r="X40" s="731"/>
      <c r="Y40" s="731"/>
      <c r="Z40" s="731"/>
      <c r="AA40" s="125"/>
      <c r="AB40" s="731"/>
      <c r="AC40" s="731"/>
      <c r="AD40" s="731"/>
    </row>
    <row r="41" spans="1:30" s="30" customFormat="1" ht="15.75" thickBot="1">
      <c r="B41" s="125"/>
      <c r="C41" s="54"/>
      <c r="D41" s="54"/>
      <c r="E41" s="54"/>
      <c r="F41" s="54"/>
      <c r="G41" s="7"/>
      <c r="H41" s="7"/>
      <c r="I41" s="7"/>
      <c r="J41" s="48" t="s">
        <v>64</v>
      </c>
      <c r="K41" s="49"/>
      <c r="L41" s="7"/>
      <c r="M41" s="7"/>
      <c r="N41" s="48"/>
      <c r="O41" s="148"/>
      <c r="P41" s="148"/>
      <c r="R41" s="56"/>
      <c r="W41" s="7"/>
    </row>
    <row r="42" spans="1:30" ht="45">
      <c r="A42" s="77"/>
      <c r="B42" s="28" t="s">
        <v>2</v>
      </c>
      <c r="C42" s="35" t="s">
        <v>711</v>
      </c>
      <c r="D42" s="35" t="s">
        <v>939</v>
      </c>
      <c r="E42" s="35" t="s">
        <v>708</v>
      </c>
      <c r="F42" s="35" t="s">
        <v>709</v>
      </c>
      <c r="G42" s="35" t="s">
        <v>25</v>
      </c>
      <c r="H42" s="35" t="s">
        <v>24</v>
      </c>
      <c r="J42" s="35" t="s">
        <v>711</v>
      </c>
      <c r="K42" s="35" t="s">
        <v>712</v>
      </c>
      <c r="L42" s="38" t="s">
        <v>713</v>
      </c>
      <c r="M42" s="35" t="s">
        <v>25</v>
      </c>
      <c r="N42" s="35" t="s">
        <v>24</v>
      </c>
      <c r="O42" s="148"/>
      <c r="P42" s="148"/>
      <c r="R42" s="125"/>
      <c r="S42" s="27"/>
      <c r="T42" s="27"/>
      <c r="U42" s="17"/>
      <c r="X42" s="27"/>
      <c r="Y42" s="17"/>
      <c r="AB42" s="32"/>
      <c r="AC42" s="32"/>
      <c r="AD42" s="31"/>
    </row>
    <row r="43" spans="1:30">
      <c r="A43" s="140"/>
      <c r="B43" s="55">
        <f>2020</f>
        <v>2020</v>
      </c>
      <c r="C43" s="25">
        <f>'I-87_CostTables'!D104</f>
        <v>0</v>
      </c>
      <c r="D43" s="25"/>
      <c r="E43" s="25"/>
      <c r="F43" s="25">
        <f t="shared" ref="F43:F67" si="5">SUM(C43:E43)</f>
        <v>0</v>
      </c>
      <c r="G43" s="25">
        <f>F43/((1+Inputs!$B$3)^(B43-Inputs!$B$5))</f>
        <v>0</v>
      </c>
      <c r="H43" s="98">
        <f>F43/((1+Inputs!$B$4)^(B43-Inputs!$B$5))</f>
        <v>0</v>
      </c>
      <c r="J43" s="20"/>
      <c r="K43" s="20"/>
      <c r="L43" s="25">
        <f>SUM(J43:K43)</f>
        <v>0</v>
      </c>
      <c r="M43" s="25">
        <f>L43/((1+Inputs!$B$3)^(B43-Inputs!$B$5))</f>
        <v>0</v>
      </c>
      <c r="N43" s="98">
        <f>L43/((1+Inputs!$B$4)^(B43-Inputs!$B$5))</f>
        <v>0</v>
      </c>
      <c r="O43" s="148"/>
      <c r="P43" s="148"/>
      <c r="R43" s="56"/>
      <c r="S43" s="27"/>
      <c r="T43" s="27"/>
      <c r="U43" s="17"/>
    </row>
    <row r="44" spans="1:30">
      <c r="A44" s="140"/>
      <c r="B44" s="55">
        <f>B43+1</f>
        <v>2021</v>
      </c>
      <c r="C44" s="25">
        <f>'I-87_CostTables'!D105</f>
        <v>0</v>
      </c>
      <c r="D44" s="25"/>
      <c r="E44" s="25"/>
      <c r="F44" s="25">
        <f t="shared" si="5"/>
        <v>0</v>
      </c>
      <c r="G44" s="25">
        <f>F44/((1+Inputs!$B$3)^(B44-Inputs!$B$5))</f>
        <v>0</v>
      </c>
      <c r="H44" s="98">
        <f>F44/((1+Inputs!$B$4)^(B44-Inputs!$B$5))</f>
        <v>0</v>
      </c>
      <c r="J44" s="20"/>
      <c r="K44" s="20"/>
      <c r="L44" s="25">
        <f>SUM(J44:K44)</f>
        <v>0</v>
      </c>
      <c r="M44" s="25">
        <f>L44/((1+Inputs!$B$3)^(B44-Inputs!$B$5))</f>
        <v>0</v>
      </c>
      <c r="N44" s="98">
        <f>L44/((1+Inputs!$B$4)^(B44-Inputs!$B$5))</f>
        <v>0</v>
      </c>
      <c r="O44" s="148"/>
      <c r="P44" s="148"/>
      <c r="R44" s="56"/>
      <c r="S44" s="27"/>
      <c r="T44" s="27"/>
      <c r="U44" s="17"/>
    </row>
    <row r="45" spans="1:30">
      <c r="A45" s="140"/>
      <c r="B45" s="55">
        <f t="shared" ref="B45:B67" si="6">B44+1</f>
        <v>2022</v>
      </c>
      <c r="C45" s="25">
        <f>'I-87_CostTables'!D106</f>
        <v>2500000</v>
      </c>
      <c r="D45" s="25"/>
      <c r="E45" s="25"/>
      <c r="F45" s="25">
        <f t="shared" si="5"/>
        <v>2500000</v>
      </c>
      <c r="G45" s="25">
        <f>F45/((1+Inputs!$B$3)^(B45-Inputs!$B$5))</f>
        <v>2183596.820683029</v>
      </c>
      <c r="H45" s="98">
        <f>F45/((1+Inputs!$B$4)^(B45-Inputs!$B$5))</f>
        <v>2356489.7728343862</v>
      </c>
      <c r="J45" s="20"/>
      <c r="K45" s="20"/>
      <c r="L45" s="25">
        <f>SUM(J45:K45)</f>
        <v>0</v>
      </c>
      <c r="M45" s="25">
        <f>L45/((1+Inputs!$B$3)^(B45-Inputs!$B$5))</f>
        <v>0</v>
      </c>
      <c r="N45" s="98">
        <f>L45/((1+Inputs!$B$4)^(B45-Inputs!$B$5))</f>
        <v>0</v>
      </c>
      <c r="O45" s="148"/>
      <c r="P45" s="148"/>
      <c r="R45" s="125"/>
    </row>
    <row r="46" spans="1:30">
      <c r="A46" s="140"/>
      <c r="B46" s="55">
        <f t="shared" si="6"/>
        <v>2023</v>
      </c>
      <c r="C46" s="25">
        <f>'I-87_CostTables'!D107</f>
        <v>7500000</v>
      </c>
      <c r="D46" s="25"/>
      <c r="E46" s="25"/>
      <c r="F46" s="25">
        <f t="shared" si="5"/>
        <v>7500000</v>
      </c>
      <c r="G46" s="25">
        <f>F46/((1+Inputs!$B$3)^(B46-Inputs!$B$5))</f>
        <v>6122234.0766813895</v>
      </c>
      <c r="H46" s="98">
        <f>F46/((1+Inputs!$B$4)^(B46-Inputs!$B$5))</f>
        <v>6863562.4451486971</v>
      </c>
      <c r="J46" s="20"/>
      <c r="K46" s="20"/>
      <c r="L46" s="25">
        <f>SUM(J46:K46)</f>
        <v>0</v>
      </c>
      <c r="M46" s="25">
        <f>L46/((1+Inputs!$B$3)^(B46-Inputs!$B$5))</f>
        <v>0</v>
      </c>
      <c r="N46" s="98">
        <f>L46/((1+Inputs!$B$4)^(B46-Inputs!$B$5))</f>
        <v>0</v>
      </c>
      <c r="O46" s="148"/>
      <c r="P46" s="148"/>
      <c r="R46" s="125"/>
      <c r="S46" s="731"/>
      <c r="T46" s="731"/>
      <c r="U46" s="731"/>
    </row>
    <row r="47" spans="1:30">
      <c r="A47" s="140"/>
      <c r="B47" s="55">
        <f t="shared" si="6"/>
        <v>2024</v>
      </c>
      <c r="C47" s="25">
        <f>'I-87_CostTables'!D108</f>
        <v>5000000</v>
      </c>
      <c r="D47" s="25">
        <f>(SUM(ICM_ITS_WindCosts!L11:M12,ICM_ITS_WindCosts!M18))*Deflator!$C$86/Deflator!$C$88</f>
        <v>2538130.9590493292</v>
      </c>
      <c r="E47" s="25"/>
      <c r="F47" s="25">
        <f t="shared" si="5"/>
        <v>7538130.9590493292</v>
      </c>
      <c r="G47" s="25">
        <f>F47/((1+Inputs!$B$3)^(B47-Inputs!$B$5))</f>
        <v>5750804.0164459525</v>
      </c>
      <c r="H47" s="98">
        <f>F47/((1+Inputs!$B$4)^(B47-Inputs!$B$5))</f>
        <v>6697531.7226075996</v>
      </c>
      <c r="J47" s="20">
        <f>Inputs!$B$22</f>
        <v>50000</v>
      </c>
      <c r="K47" s="20">
        <f>ICM_ITS_WindCosts!$N$18*Deflator!$C$86/Deflator!$C$88</f>
        <v>120557.8987689151</v>
      </c>
      <c r="L47" s="635">
        <f>SUM(J47:K47)*Inputs!$B$10</f>
        <v>56852.632922971694</v>
      </c>
      <c r="M47" s="25">
        <f>L47/((1+Inputs!$B$3)^(B47-Inputs!$B$5))</f>
        <v>43372.601449230606</v>
      </c>
      <c r="N47" s="98">
        <f>L47/((1+Inputs!$B$4)^(B47-Inputs!$B$5))</f>
        <v>50512.827991965431</v>
      </c>
      <c r="O47" s="148"/>
      <c r="P47" s="148"/>
      <c r="R47" s="56"/>
      <c r="S47" s="30"/>
      <c r="T47" s="30"/>
      <c r="U47" s="30"/>
    </row>
    <row r="48" spans="1:30">
      <c r="A48" s="140"/>
      <c r="B48" s="55">
        <f t="shared" si="6"/>
        <v>2025</v>
      </c>
      <c r="C48" s="25">
        <f>'I-87_CostTables'!D109</f>
        <v>0</v>
      </c>
      <c r="D48" s="25"/>
      <c r="E48" s="25"/>
      <c r="F48" s="25">
        <f t="shared" si="5"/>
        <v>0</v>
      </c>
      <c r="G48" s="25">
        <f>F48/((1+Inputs!$B$3)^(B48-Inputs!$B$5))</f>
        <v>0</v>
      </c>
      <c r="H48" s="98">
        <f>F48/((1+Inputs!$B$4)^(B48-Inputs!$B$5))</f>
        <v>0</v>
      </c>
      <c r="J48" s="20">
        <f>Inputs!$B$22</f>
        <v>50000</v>
      </c>
      <c r="K48" s="20">
        <f>ICM_ITS_WindCosts!$N$18*Deflator!$C$86/Deflator!$C$88</f>
        <v>120557.8987689151</v>
      </c>
      <c r="L48" s="25">
        <f t="shared" ref="L48:L66" si="7">SUM(J48:K48)</f>
        <v>170557.8987689151</v>
      </c>
      <c r="M48" s="25">
        <f>L48/((1+Inputs!$B$3)^(B48-Inputs!$B$5))</f>
        <v>121605.42462401104</v>
      </c>
      <c r="N48" s="98">
        <f>L48/((1+Inputs!$B$4)^(B48-Inputs!$B$5))</f>
        <v>147124.74172417118</v>
      </c>
      <c r="O48" s="148"/>
      <c r="R48" s="56"/>
      <c r="S48" s="27"/>
      <c r="T48" s="27"/>
      <c r="U48" s="17"/>
    </row>
    <row r="49" spans="1:30">
      <c r="A49" s="140"/>
      <c r="B49" s="55">
        <f t="shared" si="6"/>
        <v>2026</v>
      </c>
      <c r="C49" s="25">
        <f>'I-87_CostTables'!D110</f>
        <v>0</v>
      </c>
      <c r="D49" s="25"/>
      <c r="E49" s="25"/>
      <c r="F49" s="25">
        <f t="shared" si="5"/>
        <v>0</v>
      </c>
      <c r="G49" s="25">
        <f>F49/((1+Inputs!$B$3)^(B49-Inputs!$B$5))</f>
        <v>0</v>
      </c>
      <c r="H49" s="98">
        <f>F49/((1+Inputs!$B$4)^(B49-Inputs!$B$5))</f>
        <v>0</v>
      </c>
      <c r="J49" s="20">
        <f>Inputs!$B$22</f>
        <v>50000</v>
      </c>
      <c r="K49" s="20">
        <f>ICM_ITS_WindCosts!$N$18*Deflator!$C$86/Deflator!$C$88</f>
        <v>120557.8987689151</v>
      </c>
      <c r="L49" s="25">
        <f t="shared" si="7"/>
        <v>170557.8987689151</v>
      </c>
      <c r="M49" s="25">
        <f>L49/((1+Inputs!$B$3)^(B49-Inputs!$B$5))</f>
        <v>113649.92955515051</v>
      </c>
      <c r="N49" s="98">
        <f>L49/((1+Inputs!$B$4)^(B49-Inputs!$B$5))</f>
        <v>142839.55507201084</v>
      </c>
      <c r="O49" s="148"/>
      <c r="R49" s="56"/>
      <c r="S49" s="32"/>
      <c r="T49" s="32"/>
      <c r="U49" s="32"/>
      <c r="V49" s="32"/>
      <c r="W49" s="32"/>
      <c r="X49" s="32"/>
      <c r="Y49" s="32"/>
      <c r="Z49" s="32"/>
      <c r="AA49" s="32"/>
      <c r="AB49" s="32"/>
      <c r="AC49" s="32"/>
      <c r="AD49" s="32"/>
    </row>
    <row r="50" spans="1:30">
      <c r="A50" s="167"/>
      <c r="B50" s="55">
        <f t="shared" si="6"/>
        <v>2027</v>
      </c>
      <c r="C50" s="25">
        <f>'I-87_CostTables'!D111</f>
        <v>0</v>
      </c>
      <c r="D50" s="25"/>
      <c r="E50" s="25"/>
      <c r="F50" s="25">
        <f t="shared" si="5"/>
        <v>0</v>
      </c>
      <c r="G50" s="25">
        <f>F50/((1+Inputs!$B$3)^(B50-Inputs!$B$5))</f>
        <v>0</v>
      </c>
      <c r="H50" s="98">
        <f>F50/((1+Inputs!$B$4)^(B50-Inputs!$B$5))</f>
        <v>0</v>
      </c>
      <c r="J50" s="20">
        <f>Inputs!$B$22</f>
        <v>50000</v>
      </c>
      <c r="K50" s="20">
        <f>ICM_ITS_WindCosts!$N$18*Deflator!$C$86/Deflator!$C$88</f>
        <v>120557.8987689151</v>
      </c>
      <c r="L50" s="25">
        <f t="shared" si="7"/>
        <v>170557.8987689151</v>
      </c>
      <c r="M50" s="25">
        <f>L50/((1+Inputs!$B$3)^(B50-Inputs!$B$5))</f>
        <v>106214.88743472009</v>
      </c>
      <c r="N50" s="98">
        <f>L50/((1+Inputs!$B$4)^(B50-Inputs!$B$5))</f>
        <v>138679.17968156392</v>
      </c>
      <c r="O50" s="148"/>
      <c r="R50" s="125"/>
    </row>
    <row r="51" spans="1:30">
      <c r="A51" s="167"/>
      <c r="B51" s="55">
        <f t="shared" si="6"/>
        <v>2028</v>
      </c>
      <c r="C51" s="25">
        <f>'I-87_CostTables'!D112</f>
        <v>0</v>
      </c>
      <c r="D51" s="25"/>
      <c r="E51" s="25"/>
      <c r="F51" s="25">
        <f t="shared" si="5"/>
        <v>0</v>
      </c>
      <c r="G51" s="25">
        <f>F51/((1+Inputs!$B$3)^(B51-Inputs!$B$5))</f>
        <v>0</v>
      </c>
      <c r="H51" s="98">
        <f>F51/((1+Inputs!$B$4)^(B51-Inputs!$B$5))</f>
        <v>0</v>
      </c>
      <c r="J51" s="20">
        <f>Inputs!$B$22</f>
        <v>50000</v>
      </c>
      <c r="K51" s="20">
        <f>ICM_ITS_WindCosts!$N$18*Deflator!$C$86/Deflator!$C$88</f>
        <v>120557.8987689151</v>
      </c>
      <c r="L51" s="25">
        <f t="shared" si="7"/>
        <v>170557.8987689151</v>
      </c>
      <c r="M51" s="25">
        <f>L51/((1+Inputs!$B$3)^(B51-Inputs!$B$5))</f>
        <v>99266.249938990746</v>
      </c>
      <c r="N51" s="98">
        <f>L51/((1+Inputs!$B$4)^(B51-Inputs!$B$5))</f>
        <v>134639.98027336303</v>
      </c>
      <c r="O51" s="148"/>
      <c r="R51" s="125"/>
    </row>
    <row r="52" spans="1:30">
      <c r="A52" s="167"/>
      <c r="B52" s="55">
        <f t="shared" si="6"/>
        <v>2029</v>
      </c>
      <c r="C52" s="25">
        <f>'I-87_CostTables'!D113</f>
        <v>0</v>
      </c>
      <c r="D52" s="25"/>
      <c r="E52" s="25"/>
      <c r="F52" s="25">
        <f t="shared" si="5"/>
        <v>0</v>
      </c>
      <c r="G52" s="25">
        <f>F52/((1+Inputs!$B$3)^(B52-Inputs!$B$5))</f>
        <v>0</v>
      </c>
      <c r="H52" s="98">
        <f>F52/((1+Inputs!$B$4)^(B52-Inputs!$B$5))</f>
        <v>0</v>
      </c>
      <c r="J52" s="20">
        <f>Inputs!$B$22</f>
        <v>50000</v>
      </c>
      <c r="K52" s="20">
        <f>ICM_ITS_WindCosts!$N$18*Deflator!$C$86/Deflator!$C$88</f>
        <v>120557.8987689151</v>
      </c>
      <c r="L52" s="25">
        <f t="shared" si="7"/>
        <v>170557.8987689151</v>
      </c>
      <c r="M52" s="25">
        <f>L52/((1+Inputs!$B$3)^(B52-Inputs!$B$5))</f>
        <v>92772.196204664244</v>
      </c>
      <c r="N52" s="98">
        <f>L52/((1+Inputs!$B$4)^(B52-Inputs!$B$5))</f>
        <v>130718.42744986703</v>
      </c>
      <c r="O52" s="148"/>
      <c r="R52" s="125"/>
    </row>
    <row r="53" spans="1:30">
      <c r="A53" s="167"/>
      <c r="B53" s="55">
        <f t="shared" si="6"/>
        <v>2030</v>
      </c>
      <c r="C53" s="25"/>
      <c r="D53" s="25"/>
      <c r="E53" s="25"/>
      <c r="F53" s="25">
        <f t="shared" si="5"/>
        <v>0</v>
      </c>
      <c r="G53" s="25">
        <f>F53/((1+Inputs!$B$3)^(B53-Inputs!$B$5))</f>
        <v>0</v>
      </c>
      <c r="H53" s="98">
        <f>F53/((1+Inputs!$B$4)^(B53-Inputs!$B$5))</f>
        <v>0</v>
      </c>
      <c r="J53" s="20">
        <f>Inputs!$B$22</f>
        <v>50000</v>
      </c>
      <c r="K53" s="20">
        <f>ICM_ITS_WindCosts!$N$18*Deflator!$C$86/Deflator!$C$88</f>
        <v>120557.8987689151</v>
      </c>
      <c r="L53" s="25">
        <f t="shared" si="7"/>
        <v>170557.8987689151</v>
      </c>
      <c r="M53" s="25">
        <f>L53/((1+Inputs!$B$3)^(B53-Inputs!$B$5))</f>
        <v>86702.987107162844</v>
      </c>
      <c r="N53" s="98">
        <f>L53/((1+Inputs!$B$4)^(B53-Inputs!$B$5))</f>
        <v>126911.09461152137</v>
      </c>
      <c r="O53" s="148"/>
      <c r="R53" s="125"/>
    </row>
    <row r="54" spans="1:30">
      <c r="A54" s="167"/>
      <c r="B54" s="55">
        <f t="shared" si="6"/>
        <v>2031</v>
      </c>
      <c r="C54" s="25"/>
      <c r="D54" s="25"/>
      <c r="E54" s="25"/>
      <c r="F54" s="25">
        <f t="shared" si="5"/>
        <v>0</v>
      </c>
      <c r="G54" s="25">
        <f>F54/((1+Inputs!$B$3)^(B54-Inputs!$B$5))</f>
        <v>0</v>
      </c>
      <c r="H54" s="98">
        <f>F54/((1+Inputs!$B$4)^(B54-Inputs!$B$5))</f>
        <v>0</v>
      </c>
      <c r="J54" s="20">
        <f>Inputs!$B$22</f>
        <v>50000</v>
      </c>
      <c r="K54" s="20">
        <f>ICM_ITS_WindCosts!$N$18*Deflator!$C$86/Deflator!$C$88</f>
        <v>120557.8987689151</v>
      </c>
      <c r="L54" s="25">
        <f t="shared" si="7"/>
        <v>170557.8987689151</v>
      </c>
      <c r="M54" s="25">
        <f>L54/((1+Inputs!$B$3)^(B54-Inputs!$B$5))</f>
        <v>81030.829072114793</v>
      </c>
      <c r="N54" s="98">
        <f>L54/((1+Inputs!$B$4)^(B54-Inputs!$B$5))</f>
        <v>123214.65496264212</v>
      </c>
      <c r="O54" s="148"/>
      <c r="R54" s="125"/>
    </row>
    <row r="55" spans="1:30">
      <c r="A55" s="167"/>
      <c r="B55" s="55">
        <f t="shared" si="6"/>
        <v>2032</v>
      </c>
      <c r="C55" s="25"/>
      <c r="D55" s="25"/>
      <c r="E55" s="25"/>
      <c r="F55" s="25">
        <f t="shared" si="5"/>
        <v>0</v>
      </c>
      <c r="G55" s="25">
        <f>F55/((1+Inputs!$B$3)^(B55-Inputs!$B$5))</f>
        <v>0</v>
      </c>
      <c r="H55" s="98">
        <f>F55/((1+Inputs!$B$4)^(B55-Inputs!$B$5))</f>
        <v>0</v>
      </c>
      <c r="J55" s="20">
        <f>Inputs!$B$22</f>
        <v>50000</v>
      </c>
      <c r="K55" s="20">
        <f>ICM_ITS_WindCosts!$N$18*Deflator!$C$86/Deflator!$C$88</f>
        <v>120557.8987689151</v>
      </c>
      <c r="L55" s="25">
        <f t="shared" si="7"/>
        <v>170557.8987689151</v>
      </c>
      <c r="M55" s="25">
        <f>L55/((1+Inputs!$B$3)^(B55-Inputs!$B$5))</f>
        <v>75729.746796368985</v>
      </c>
      <c r="N55" s="98">
        <f>L55/((1+Inputs!$B$4)^(B55-Inputs!$B$5))</f>
        <v>119625.87860450693</v>
      </c>
      <c r="O55" s="148"/>
      <c r="R55" s="125"/>
    </row>
    <row r="56" spans="1:30">
      <c r="A56" s="167"/>
      <c r="B56" s="55">
        <f t="shared" si="6"/>
        <v>2033</v>
      </c>
      <c r="C56" s="25"/>
      <c r="D56" s="25"/>
      <c r="E56" s="25"/>
      <c r="F56" s="25">
        <f t="shared" si="5"/>
        <v>0</v>
      </c>
      <c r="G56" s="25">
        <f>F56/((1+Inputs!$B$3)^(B56-Inputs!$B$5))</f>
        <v>0</v>
      </c>
      <c r="H56" s="98">
        <f>F56/((1+Inputs!$B$4)^(B56-Inputs!$B$5))</f>
        <v>0</v>
      </c>
      <c r="J56" s="20">
        <f>Inputs!$B$22</f>
        <v>50000</v>
      </c>
      <c r="K56" s="20">
        <f>ICM_ITS_WindCosts!$N$18*Deflator!$C$86/Deflator!$C$88</f>
        <v>120557.8987689151</v>
      </c>
      <c r="L56" s="25">
        <f t="shared" si="7"/>
        <v>170557.8987689151</v>
      </c>
      <c r="M56" s="25">
        <f>L56/((1+Inputs!$B$3)^(B56-Inputs!$B$5))</f>
        <v>70775.464295671947</v>
      </c>
      <c r="N56" s="98">
        <f>L56/((1+Inputs!$B$4)^(B56-Inputs!$B$5))</f>
        <v>116141.62971311352</v>
      </c>
      <c r="O56" s="148"/>
      <c r="R56" s="125"/>
    </row>
    <row r="57" spans="1:30">
      <c r="A57" s="167"/>
      <c r="B57" s="55">
        <f t="shared" si="6"/>
        <v>2034</v>
      </c>
      <c r="C57" s="25"/>
      <c r="D57" s="25"/>
      <c r="E57" s="25"/>
      <c r="F57" s="25">
        <f t="shared" si="5"/>
        <v>0</v>
      </c>
      <c r="G57" s="25">
        <f>F57/((1+Inputs!$B$3)^(B57-Inputs!$B$5))</f>
        <v>0</v>
      </c>
      <c r="H57" s="98">
        <f>F57/((1+Inputs!$B$4)^(B57-Inputs!$B$5))</f>
        <v>0</v>
      </c>
      <c r="J57" s="20">
        <f>Inputs!$B$22</f>
        <v>50000</v>
      </c>
      <c r="K57" s="20">
        <f>ICM_ITS_WindCosts!$N$18*Deflator!$C$86/Deflator!$C$88</f>
        <v>120557.8987689151</v>
      </c>
      <c r="L57" s="25">
        <f t="shared" si="7"/>
        <v>170557.8987689151</v>
      </c>
      <c r="M57" s="25">
        <f>L57/((1+Inputs!$B$3)^(B57-Inputs!$B$5))</f>
        <v>66145.293734272855</v>
      </c>
      <c r="N57" s="98">
        <f>L57/((1+Inputs!$B$4)^(B57-Inputs!$B$5))</f>
        <v>112758.86379913933</v>
      </c>
      <c r="O57" s="148"/>
      <c r="R57" s="125"/>
    </row>
    <row r="58" spans="1:30">
      <c r="A58" s="167"/>
      <c r="B58" s="55">
        <f t="shared" si="6"/>
        <v>2035</v>
      </c>
      <c r="C58" s="25"/>
      <c r="D58" s="25"/>
      <c r="E58" s="25"/>
      <c r="F58" s="25">
        <f t="shared" si="5"/>
        <v>0</v>
      </c>
      <c r="G58" s="25">
        <f>F58/((1+Inputs!$B$3)^(B58-Inputs!$B$5))</f>
        <v>0</v>
      </c>
      <c r="H58" s="98">
        <f>F58/((1+Inputs!$B$4)^(B58-Inputs!$B$5))</f>
        <v>0</v>
      </c>
      <c r="J58" s="20">
        <f>Inputs!$B$22</f>
        <v>50000</v>
      </c>
      <c r="K58" s="20">
        <f>ICM_ITS_WindCosts!$N$18*Deflator!$C$86/Deflator!$C$88</f>
        <v>120557.8987689151</v>
      </c>
      <c r="L58" s="25">
        <f t="shared" si="7"/>
        <v>170557.8987689151</v>
      </c>
      <c r="M58" s="25">
        <f>L58/((1+Inputs!$B$3)^(B58-Inputs!$B$5))</f>
        <v>61818.031527357794</v>
      </c>
      <c r="N58" s="98">
        <f>L58/((1+Inputs!$B$4)^(B58-Inputs!$B$5))</f>
        <v>109474.62504770808</v>
      </c>
      <c r="O58" s="148"/>
      <c r="R58" s="125"/>
    </row>
    <row r="59" spans="1:30">
      <c r="A59" s="167"/>
      <c r="B59" s="55">
        <f t="shared" si="6"/>
        <v>2036</v>
      </c>
      <c r="C59" s="25"/>
      <c r="D59" s="25"/>
      <c r="E59" s="25"/>
      <c r="F59" s="25">
        <f t="shared" si="5"/>
        <v>0</v>
      </c>
      <c r="G59" s="25">
        <f>F59/((1+Inputs!$B$3)^(B59-Inputs!$B$5))</f>
        <v>0</v>
      </c>
      <c r="H59" s="98">
        <f>F59/((1+Inputs!$B$4)^(B59-Inputs!$B$5))</f>
        <v>0</v>
      </c>
      <c r="J59" s="20">
        <f>Inputs!$B$22</f>
        <v>50000</v>
      </c>
      <c r="K59" s="20">
        <f>ICM_ITS_WindCosts!$N$18*Deflator!$C$86/Deflator!$C$88</f>
        <v>120557.8987689151</v>
      </c>
      <c r="L59" s="25">
        <f t="shared" si="7"/>
        <v>170557.8987689151</v>
      </c>
      <c r="M59" s="25">
        <f>L59/((1+Inputs!$B$3)^(B59-Inputs!$B$5))</f>
        <v>57773.861240521313</v>
      </c>
      <c r="N59" s="98">
        <f>L59/((1+Inputs!$B$4)^(B59-Inputs!$B$5))</f>
        <v>106286.04373563893</v>
      </c>
      <c r="O59" s="148"/>
      <c r="R59" s="125"/>
    </row>
    <row r="60" spans="1:30">
      <c r="A60" s="167"/>
      <c r="B60" s="55">
        <f t="shared" si="6"/>
        <v>2037</v>
      </c>
      <c r="C60" s="25"/>
      <c r="D60" s="25"/>
      <c r="E60" s="25"/>
      <c r="F60" s="25">
        <f t="shared" si="5"/>
        <v>0</v>
      </c>
      <c r="G60" s="25">
        <f>F60/((1+Inputs!$B$3)^(B60-Inputs!$B$5))</f>
        <v>0</v>
      </c>
      <c r="H60" s="98">
        <f>F60/((1+Inputs!$B$4)^(B60-Inputs!$B$5))</f>
        <v>0</v>
      </c>
      <c r="J60" s="20">
        <f>Inputs!$B$22</f>
        <v>50000</v>
      </c>
      <c r="K60" s="20">
        <f>ICM_ITS_WindCosts!$N$18*Deflator!$C$86/Deflator!$C$88</f>
        <v>120557.8987689151</v>
      </c>
      <c r="L60" s="25">
        <f t="shared" si="7"/>
        <v>170557.8987689151</v>
      </c>
      <c r="M60" s="25">
        <f>L60/((1+Inputs!$B$3)^(B60-Inputs!$B$5))</f>
        <v>53994.262841608703</v>
      </c>
      <c r="N60" s="98">
        <f>L60/((1+Inputs!$B$4)^(B60-Inputs!$B$5))</f>
        <v>103190.3337239213</v>
      </c>
      <c r="O60" s="148"/>
      <c r="R60" s="125"/>
    </row>
    <row r="61" spans="1:30">
      <c r="A61" s="167"/>
      <c r="B61" s="55">
        <f t="shared" si="6"/>
        <v>2038</v>
      </c>
      <c r="C61" s="25"/>
      <c r="D61" s="25"/>
      <c r="E61" s="25"/>
      <c r="F61" s="25">
        <f t="shared" si="5"/>
        <v>0</v>
      </c>
      <c r="G61" s="25">
        <f>F61/((1+Inputs!$B$3)^(B61-Inputs!$B$5))</f>
        <v>0</v>
      </c>
      <c r="H61" s="98">
        <f>F61/((1+Inputs!$B$4)^(B61-Inputs!$B$5))</f>
        <v>0</v>
      </c>
      <c r="J61" s="20">
        <f>Inputs!$B$22</f>
        <v>50000</v>
      </c>
      <c r="K61" s="20">
        <f>ICM_ITS_WindCosts!$N$18*Deflator!$C$86/Deflator!$C$88</f>
        <v>120557.8987689151</v>
      </c>
      <c r="L61" s="25">
        <f t="shared" si="7"/>
        <v>170557.8987689151</v>
      </c>
      <c r="M61" s="25">
        <f>L61/((1+Inputs!$B$3)^(B61-Inputs!$B$5))</f>
        <v>50461.927889353923</v>
      </c>
      <c r="N61" s="98">
        <f>L61/((1+Inputs!$B$4)^(B61-Inputs!$B$5))</f>
        <v>100184.79002322456</v>
      </c>
      <c r="O61" s="148"/>
      <c r="R61" s="125"/>
    </row>
    <row r="62" spans="1:30">
      <c r="A62" s="167"/>
      <c r="B62" s="55">
        <f t="shared" si="6"/>
        <v>2039</v>
      </c>
      <c r="C62" s="25"/>
      <c r="D62" s="25"/>
      <c r="E62" s="25"/>
      <c r="F62" s="25">
        <f t="shared" si="5"/>
        <v>0</v>
      </c>
      <c r="G62" s="25">
        <f>F62/((1+Inputs!$B$3)^(B62-Inputs!$B$5))</f>
        <v>0</v>
      </c>
      <c r="H62" s="98">
        <f>F62/((1+Inputs!$B$4)^(B62-Inputs!$B$5))</f>
        <v>0</v>
      </c>
      <c r="J62" s="20">
        <f>Inputs!$B$22</f>
        <v>50000</v>
      </c>
      <c r="K62" s="20">
        <f>ICM_ITS_WindCosts!$N$18*Deflator!$C$86/Deflator!$C$88</f>
        <v>120557.8987689151</v>
      </c>
      <c r="L62" s="25">
        <f t="shared" si="7"/>
        <v>170557.8987689151</v>
      </c>
      <c r="M62" s="25">
        <f>L62/((1+Inputs!$B$3)^(B62-Inputs!$B$5))</f>
        <v>47160.680270424229</v>
      </c>
      <c r="N62" s="98">
        <f>L62/((1+Inputs!$B$4)^(B62-Inputs!$B$5))</f>
        <v>97266.7864303151</v>
      </c>
      <c r="O62" s="148"/>
      <c r="R62" s="125"/>
    </row>
    <row r="63" spans="1:30">
      <c r="A63" s="167"/>
      <c r="B63" s="55">
        <f t="shared" si="6"/>
        <v>2040</v>
      </c>
      <c r="C63" s="25"/>
      <c r="D63" s="25"/>
      <c r="E63" s="25"/>
      <c r="F63" s="25">
        <f t="shared" si="5"/>
        <v>0</v>
      </c>
      <c r="G63" s="25">
        <f>F63/((1+Inputs!$B$3)^(B63-Inputs!$B$5))</f>
        <v>0</v>
      </c>
      <c r="H63" s="98">
        <f>F63/((1+Inputs!$B$4)^(B63-Inputs!$B$5))</f>
        <v>0</v>
      </c>
      <c r="J63" s="20">
        <f>Inputs!$B$22</f>
        <v>50000</v>
      </c>
      <c r="K63" s="20">
        <f>ICM_ITS_WindCosts!$N$18*Deflator!$C$86/Deflator!$C$88</f>
        <v>120557.8987689151</v>
      </c>
      <c r="L63" s="25">
        <f t="shared" si="7"/>
        <v>170557.8987689151</v>
      </c>
      <c r="M63" s="25">
        <f>L63/((1+Inputs!$B$3)^(B63-Inputs!$B$5))</f>
        <v>44075.402121891806</v>
      </c>
      <c r="N63" s="98">
        <f>L63/((1+Inputs!$B$4)^(B63-Inputs!$B$5))</f>
        <v>94433.773233315631</v>
      </c>
      <c r="O63" s="148"/>
      <c r="R63" s="125"/>
    </row>
    <row r="64" spans="1:30">
      <c r="A64" s="167"/>
      <c r="B64" s="55">
        <f t="shared" si="6"/>
        <v>2041</v>
      </c>
      <c r="C64" s="25"/>
      <c r="D64" s="25"/>
      <c r="E64" s="25"/>
      <c r="F64" s="25">
        <f t="shared" si="5"/>
        <v>0</v>
      </c>
      <c r="G64" s="25">
        <f>F64/((1+Inputs!$B$3)^(B64-Inputs!$B$5))</f>
        <v>0</v>
      </c>
      <c r="H64" s="98">
        <f>F64/((1+Inputs!$B$4)^(B64-Inputs!$B$5))</f>
        <v>0</v>
      </c>
      <c r="J64" s="20">
        <f>Inputs!$B$22</f>
        <v>50000</v>
      </c>
      <c r="K64" s="20">
        <f>ICM_ITS_WindCosts!$N$18*Deflator!$C$86/Deflator!$C$88</f>
        <v>120557.8987689151</v>
      </c>
      <c r="L64" s="25">
        <f t="shared" si="7"/>
        <v>170557.8987689151</v>
      </c>
      <c r="M64" s="25">
        <f>L64/((1+Inputs!$B$3)^(B64-Inputs!$B$5))</f>
        <v>41191.964599898878</v>
      </c>
      <c r="N64" s="98">
        <f>L64/((1+Inputs!$B$4)^(B64-Inputs!$B$5))</f>
        <v>91683.274983801603</v>
      </c>
      <c r="R64" s="125"/>
    </row>
    <row r="65" spans="1:18">
      <c r="A65" s="167"/>
      <c r="B65" s="55">
        <f t="shared" si="6"/>
        <v>2042</v>
      </c>
      <c r="C65" s="25"/>
      <c r="D65" s="25"/>
      <c r="E65" s="25"/>
      <c r="F65" s="25">
        <f t="shared" si="5"/>
        <v>0</v>
      </c>
      <c r="G65" s="25">
        <f>F65/((1+Inputs!$B$3)^(B65-Inputs!$B$5))</f>
        <v>0</v>
      </c>
      <c r="H65" s="98">
        <f>F65/((1+Inputs!$B$4)^(B65-Inputs!$B$5))</f>
        <v>0</v>
      </c>
      <c r="J65" s="20">
        <f>Inputs!$B$22</f>
        <v>50000</v>
      </c>
      <c r="K65" s="20">
        <f>ICM_ITS_WindCosts!$N$18*Deflator!$C$86/Deflator!$C$88</f>
        <v>120557.8987689151</v>
      </c>
      <c r="L65" s="25">
        <f t="shared" si="7"/>
        <v>170557.8987689151</v>
      </c>
      <c r="M65" s="25">
        <f>L65/((1+Inputs!$B$3)^(B65-Inputs!$B$5))</f>
        <v>38497.163177475588</v>
      </c>
      <c r="N65" s="98">
        <f>L65/((1+Inputs!$B$4)^(B65-Inputs!$B$5))</f>
        <v>89012.888333787952</v>
      </c>
      <c r="R65" s="125"/>
    </row>
    <row r="66" spans="1:18">
      <c r="A66" s="167"/>
      <c r="B66" s="55">
        <f t="shared" si="6"/>
        <v>2043</v>
      </c>
      <c r="C66" s="25"/>
      <c r="D66" s="25"/>
      <c r="E66" s="25"/>
      <c r="F66" s="25">
        <f t="shared" si="5"/>
        <v>0</v>
      </c>
      <c r="G66" s="25">
        <f>F66/((1+Inputs!$B$3)^(B66-Inputs!$B$5))</f>
        <v>0</v>
      </c>
      <c r="H66" s="98">
        <f>F66/((1+Inputs!$B$4)^(B66-Inputs!$B$5))</f>
        <v>0</v>
      </c>
      <c r="J66" s="20">
        <f>Inputs!$B$22</f>
        <v>50000</v>
      </c>
      <c r="K66" s="20">
        <f>ICM_ITS_WindCosts!$N$18*Deflator!$C$86/Deflator!$C$88</f>
        <v>120557.8987689151</v>
      </c>
      <c r="L66" s="25">
        <f t="shared" si="7"/>
        <v>170557.8987689151</v>
      </c>
      <c r="M66" s="25">
        <f>L66/((1+Inputs!$B$3)^(B66-Inputs!$B$5))</f>
        <v>35978.657175210828</v>
      </c>
      <c r="N66" s="98">
        <f>L66/((1+Inputs!$B$4)^(B66-Inputs!$B$5))</f>
        <v>86420.279935716462</v>
      </c>
      <c r="R66" s="125"/>
    </row>
    <row r="67" spans="1:18" s="148" customFormat="1" ht="15.75" thickBot="1">
      <c r="A67" s="206"/>
      <c r="B67" s="55">
        <f t="shared" si="6"/>
        <v>2044</v>
      </c>
      <c r="C67" s="25"/>
      <c r="D67" s="25"/>
      <c r="E67" s="25"/>
      <c r="F67" s="25">
        <f t="shared" si="5"/>
        <v>0</v>
      </c>
      <c r="G67" s="25">
        <f>F67/((1+Inputs!$B$3)^(B67-Inputs!$B$5))</f>
        <v>0</v>
      </c>
      <c r="H67" s="98">
        <f>F67/((1+Inputs!$B$4)^(B67-Inputs!$B$5))</f>
        <v>0</v>
      </c>
      <c r="J67" s="20">
        <f>Inputs!$B$22</f>
        <v>50000</v>
      </c>
      <c r="K67" s="20">
        <f>ICM_ITS_WindCosts!$N$18*Deflator!$C$86/Deflator!$C$88</f>
        <v>120557.8987689151</v>
      </c>
      <c r="L67" s="635">
        <f>SUM(J67:K67)*(1-Inputs!$B$10)</f>
        <v>113705.26584594342</v>
      </c>
      <c r="M67" s="25">
        <f>L67/((1+Inputs!$B$3)^(B67-Inputs!$B$5))</f>
        <v>22416.608831907062</v>
      </c>
      <c r="N67" s="98">
        <f>L67/((1+Inputs!$B$4)^(B67-Inputs!$B$5))</f>
        <v>55935.456269072158</v>
      </c>
      <c r="R67" s="410"/>
    </row>
    <row r="68" spans="1:18" ht="15.75" thickBot="1">
      <c r="A68" s="77"/>
      <c r="B68" s="126" t="s">
        <v>4</v>
      </c>
      <c r="C68" s="84">
        <f t="shared" ref="C68:E68" si="8">SUM(C43:C67)</f>
        <v>15000000</v>
      </c>
      <c r="D68" s="84">
        <f t="shared" si="8"/>
        <v>2538130.9590493292</v>
      </c>
      <c r="E68" s="84">
        <f t="shared" si="8"/>
        <v>0</v>
      </c>
      <c r="F68" s="84">
        <f t="shared" ref="F68" si="9">SUM(F43:F67)</f>
        <v>17538130.959049329</v>
      </c>
      <c r="G68" s="84">
        <f t="shared" ref="G68" si="10">SUM(G43:G67)</f>
        <v>14056634.913810372</v>
      </c>
      <c r="H68" s="84">
        <f t="shared" ref="H68" si="11">SUM(H43:H67)</f>
        <v>15917583.940590683</v>
      </c>
      <c r="J68" s="84">
        <f>SUM(J43:J67)</f>
        <v>1050000</v>
      </c>
      <c r="K68" s="84">
        <f>SUM(K43:K67)</f>
        <v>2531715.8741472168</v>
      </c>
      <c r="L68" s="84">
        <f>SUM(L43:L67)</f>
        <v>3411157.9753783001</v>
      </c>
      <c r="M68" s="84">
        <f>SUM(M43:M67)</f>
        <v>1410634.1698880084</v>
      </c>
      <c r="N68" s="84">
        <f>SUM(N43:N67)</f>
        <v>2277055.0856003673</v>
      </c>
      <c r="R68" s="125"/>
    </row>
    <row r="69" spans="1:18">
      <c r="F69" s="148"/>
      <c r="G69" s="148"/>
      <c r="H69" s="148"/>
    </row>
    <row r="70" spans="1:18">
      <c r="F70" s="148"/>
      <c r="G70" s="148"/>
      <c r="H70" s="148"/>
    </row>
  </sheetData>
  <sheetProtection algorithmName="SHA-512" hashValue="UyECOP+FaTYO3fDx1xN44+UkjBniOv7w4amX0picJp5MiZZJk32otnUb8m7vy92YrHq91VXNhOPYzTDT1ZUS9A==" saltValue="DTFDoU9BEuaTzlxLNQ5y7g==" spinCount="100000" sheet="1" objects="1" scenarios="1"/>
  <mergeCells count="3">
    <mergeCell ref="X40:Z40"/>
    <mergeCell ref="AB40:AD40"/>
    <mergeCell ref="S46:U4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tabColor theme="5" tint="0.79998168889431442"/>
  </sheetPr>
  <dimension ref="A1:AA145"/>
  <sheetViews>
    <sheetView topLeftCell="E13" zoomScale="115" zoomScaleNormal="115" workbookViewId="0">
      <selection activeCell="F21" sqref="F21"/>
    </sheetView>
  </sheetViews>
  <sheetFormatPr defaultColWidth="8.85546875" defaultRowHeight="15"/>
  <cols>
    <col min="1" max="1" width="13.7109375" style="77" customWidth="1"/>
    <col min="2" max="2" width="10" style="77" customWidth="1"/>
    <col min="3" max="3" width="11.42578125" style="77" customWidth="1"/>
    <col min="4" max="4" width="14.42578125" style="77" customWidth="1"/>
    <col min="5" max="5" width="16.7109375" style="77" customWidth="1"/>
    <col min="6" max="6" width="16.28515625" style="77" customWidth="1"/>
    <col min="7" max="7" width="28.7109375" style="77" customWidth="1"/>
    <col min="8" max="8" width="17.140625" style="102" customWidth="1"/>
    <col min="9" max="9" width="14.28515625" style="77" customWidth="1"/>
    <col min="10" max="10" width="13.5703125" style="77" customWidth="1"/>
    <col min="11" max="11" width="12.28515625" style="77" customWidth="1"/>
    <col min="12" max="12" width="14.7109375" style="77" customWidth="1"/>
    <col min="13" max="15" width="13" style="77" customWidth="1"/>
    <col min="16" max="16" width="16.5703125" style="77" customWidth="1"/>
    <col min="17" max="17" width="13.42578125" style="77" customWidth="1"/>
    <col min="18" max="18" width="14.85546875" style="77" customWidth="1"/>
    <col min="19" max="19" width="19.42578125" style="114" customWidth="1"/>
    <col min="20" max="20" width="21.85546875" style="128" customWidth="1"/>
    <col min="21" max="21" width="13.85546875" style="77" bestFit="1" customWidth="1"/>
    <col min="22" max="22" width="13.42578125" style="77" customWidth="1"/>
    <col min="23" max="23" width="15" style="77" customWidth="1"/>
    <col min="24" max="24" width="13.42578125" style="77" customWidth="1"/>
    <col min="25" max="26" width="8.85546875" style="77"/>
    <col min="27" max="27" width="11.7109375" style="77" customWidth="1"/>
    <col min="28" max="16384" width="8.85546875" style="77"/>
  </cols>
  <sheetData>
    <row r="1" spans="1:27" ht="15.75" thickBot="1">
      <c r="A1" s="127" t="s">
        <v>229</v>
      </c>
      <c r="B1" s="127"/>
      <c r="C1" s="118"/>
      <c r="D1" s="732" t="s">
        <v>331</v>
      </c>
      <c r="E1" s="732"/>
      <c r="F1" s="732"/>
      <c r="G1" s="115"/>
      <c r="H1" s="115"/>
      <c r="I1" s="115"/>
      <c r="J1" s="137"/>
      <c r="K1" s="138"/>
      <c r="L1" s="137"/>
      <c r="M1" s="137"/>
      <c r="N1" s="733" t="s">
        <v>518</v>
      </c>
      <c r="O1" s="734"/>
      <c r="P1" s="734"/>
      <c r="Q1" s="735"/>
      <c r="R1" s="114"/>
      <c r="S1" s="114" t="s">
        <v>521</v>
      </c>
      <c r="T1" s="134" t="s">
        <v>520</v>
      </c>
    </row>
    <row r="2" spans="1:27" s="119" customFormat="1" ht="36.75" thickBot="1">
      <c r="A2" s="129" t="s">
        <v>270</v>
      </c>
      <c r="B2" s="130" t="s">
        <v>304</v>
      </c>
      <c r="C2" s="131" t="s">
        <v>271</v>
      </c>
      <c r="D2" s="130" t="s">
        <v>305</v>
      </c>
      <c r="E2" s="130" t="s">
        <v>306</v>
      </c>
      <c r="F2" s="130" t="s">
        <v>307</v>
      </c>
      <c r="G2" s="130" t="s">
        <v>272</v>
      </c>
      <c r="H2" s="130" t="s">
        <v>308</v>
      </c>
      <c r="I2" s="130" t="s">
        <v>309</v>
      </c>
      <c r="J2" s="132" t="s">
        <v>274</v>
      </c>
      <c r="K2" s="130" t="s">
        <v>273</v>
      </c>
      <c r="L2" s="132" t="s">
        <v>275</v>
      </c>
      <c r="M2" s="132" t="s">
        <v>310</v>
      </c>
      <c r="N2" s="236" t="s">
        <v>276</v>
      </c>
      <c r="O2" s="236" t="s">
        <v>70</v>
      </c>
      <c r="P2" s="236" t="s">
        <v>71</v>
      </c>
      <c r="Q2" s="236" t="s">
        <v>311</v>
      </c>
      <c r="R2" s="237" t="s">
        <v>277</v>
      </c>
      <c r="S2" s="234" t="s">
        <v>312</v>
      </c>
      <c r="T2" s="235" t="s">
        <v>313</v>
      </c>
      <c r="U2" s="129" t="s">
        <v>519</v>
      </c>
      <c r="W2" s="504"/>
      <c r="X2" s="504"/>
    </row>
    <row r="3" spans="1:27" ht="24.75">
      <c r="A3" s="120" t="s">
        <v>259</v>
      </c>
      <c r="B3" s="120" t="s">
        <v>314</v>
      </c>
      <c r="C3" s="121" t="s">
        <v>515</v>
      </c>
      <c r="D3" s="230">
        <v>0</v>
      </c>
      <c r="E3" s="230">
        <v>1480000</v>
      </c>
      <c r="F3" s="230">
        <v>5920000</v>
      </c>
      <c r="G3" s="122" t="s">
        <v>279</v>
      </c>
      <c r="H3" s="230">
        <f t="shared" ref="H3:H5" si="0">F3+E3</f>
        <v>7400000</v>
      </c>
      <c r="I3" s="284">
        <f t="shared" ref="I3:I5" si="1">SUM(J3:M3)</f>
        <v>7400000</v>
      </c>
      <c r="J3" s="238">
        <v>1700000</v>
      </c>
      <c r="K3" s="238">
        <v>500000</v>
      </c>
      <c r="L3" s="240">
        <v>5200000</v>
      </c>
      <c r="M3" s="240">
        <v>0</v>
      </c>
      <c r="N3" s="133">
        <v>2025</v>
      </c>
      <c r="O3" s="133">
        <v>2025</v>
      </c>
      <c r="P3" s="133">
        <v>2026</v>
      </c>
      <c r="Q3" s="133">
        <v>2027</v>
      </c>
      <c r="R3" s="274" t="s">
        <v>783</v>
      </c>
      <c r="S3" s="275" t="s">
        <v>784</v>
      </c>
      <c r="T3" s="276">
        <v>46296</v>
      </c>
      <c r="U3" s="243">
        <v>321838</v>
      </c>
      <c r="V3" s="136"/>
      <c r="W3" s="196"/>
      <c r="X3" s="505"/>
      <c r="Y3" s="113"/>
      <c r="Z3" s="113"/>
      <c r="AA3" s="113"/>
    </row>
    <row r="4" spans="1:27" ht="36.75">
      <c r="A4" s="117" t="s">
        <v>260</v>
      </c>
      <c r="B4" s="120" t="s">
        <v>314</v>
      </c>
      <c r="C4" s="121" t="s">
        <v>278</v>
      </c>
      <c r="D4" s="116">
        <v>0</v>
      </c>
      <c r="E4" s="116">
        <v>11820000</v>
      </c>
      <c r="F4" s="116">
        <v>47280000</v>
      </c>
      <c r="G4" s="123" t="s">
        <v>280</v>
      </c>
      <c r="H4" s="230">
        <f t="shared" si="0"/>
        <v>59100000</v>
      </c>
      <c r="I4" s="284">
        <f t="shared" si="1"/>
        <v>59100000</v>
      </c>
      <c r="J4" s="238">
        <v>4900000</v>
      </c>
      <c r="K4" s="238">
        <v>500000</v>
      </c>
      <c r="L4" s="240">
        <v>53700000</v>
      </c>
      <c r="M4" s="240">
        <v>0</v>
      </c>
      <c r="N4" s="133">
        <v>2025</v>
      </c>
      <c r="O4" s="133">
        <v>2025</v>
      </c>
      <c r="P4" s="133">
        <v>2029</v>
      </c>
      <c r="Q4" s="133">
        <v>2030</v>
      </c>
      <c r="R4" s="288" t="s">
        <v>783</v>
      </c>
      <c r="S4" s="277" t="s">
        <v>784</v>
      </c>
      <c r="T4" s="278">
        <v>46296</v>
      </c>
      <c r="U4" s="244">
        <v>415845</v>
      </c>
      <c r="V4" s="136"/>
      <c r="W4" s="507">
        <v>6</v>
      </c>
      <c r="X4" s="505" t="s">
        <v>93</v>
      </c>
      <c r="Y4" s="113"/>
      <c r="Z4" s="113"/>
      <c r="AA4" s="113"/>
    </row>
    <row r="5" spans="1:27" s="148" customFormat="1" ht="48.75">
      <c r="A5" s="117" t="s">
        <v>281</v>
      </c>
      <c r="B5" s="120" t="s">
        <v>315</v>
      </c>
      <c r="C5" s="121" t="s">
        <v>281</v>
      </c>
      <c r="D5" s="284">
        <f>I5*0.8</f>
        <v>43141920.891031891</v>
      </c>
      <c r="E5" s="284">
        <f>I5*0.2</f>
        <v>10785480.222757973</v>
      </c>
      <c r="F5" s="284">
        <f>D5</f>
        <v>43141920.891031891</v>
      </c>
      <c r="G5" s="123" t="s">
        <v>554</v>
      </c>
      <c r="H5" s="230">
        <f t="shared" si="0"/>
        <v>53927401.113789864</v>
      </c>
      <c r="I5" s="284">
        <f t="shared" si="1"/>
        <v>53927401.113789864</v>
      </c>
      <c r="J5" s="239">
        <v>0</v>
      </c>
      <c r="K5" s="239">
        <v>0</v>
      </c>
      <c r="L5" s="240">
        <v>45000000</v>
      </c>
      <c r="M5" s="240">
        <f>SUM(ICM_ITS_WindCosts!L3:M10)*Deflator!$C$86/Deflator!$C$88+(SUM(ICM_ITS_WindCosts!M15:M17,ICM_ITS_WindCosts!L11:M12)*Deflator!$C$86/Deflator!$C$88)</f>
        <v>8927401.113789862</v>
      </c>
      <c r="N5" s="133"/>
      <c r="O5" s="133"/>
      <c r="P5" s="133"/>
      <c r="Q5" s="133"/>
      <c r="R5" s="288" t="s">
        <v>783</v>
      </c>
      <c r="S5" s="289" t="s">
        <v>785</v>
      </c>
      <c r="T5" s="290">
        <v>45536</v>
      </c>
      <c r="U5" s="244">
        <v>0</v>
      </c>
      <c r="W5" s="508"/>
      <c r="X5" s="506"/>
      <c r="Y5" s="32"/>
      <c r="Z5" s="32"/>
      <c r="AA5" s="32"/>
    </row>
    <row r="6" spans="1:27" ht="36.6" customHeight="1">
      <c r="A6" s="117" t="s">
        <v>282</v>
      </c>
      <c r="B6" s="120" t="s">
        <v>315</v>
      </c>
      <c r="C6" s="121" t="s">
        <v>281</v>
      </c>
      <c r="D6" s="284">
        <f>17000000+M6</f>
        <v>17800000</v>
      </c>
      <c r="E6" s="284">
        <v>70000000</v>
      </c>
      <c r="F6" s="284">
        <f>D6</f>
        <v>17800000</v>
      </c>
      <c r="G6" s="123" t="s">
        <v>283</v>
      </c>
      <c r="H6" s="230">
        <f>F6+E6</f>
        <v>87800000</v>
      </c>
      <c r="I6" s="284">
        <f>SUM(J6:M6)</f>
        <v>87800000</v>
      </c>
      <c r="J6" s="238">
        <v>1000000</v>
      </c>
      <c r="K6" s="238">
        <v>1000000</v>
      </c>
      <c r="L6" s="240">
        <v>85000000</v>
      </c>
      <c r="M6" s="240">
        <f>Culverts!I16</f>
        <v>800000</v>
      </c>
      <c r="N6" s="133" t="s">
        <v>316</v>
      </c>
      <c r="O6" s="133" t="s">
        <v>316</v>
      </c>
      <c r="P6" s="133" t="s">
        <v>316</v>
      </c>
      <c r="Q6" s="133" t="s">
        <v>281</v>
      </c>
      <c r="R6" s="274" t="s">
        <v>783</v>
      </c>
      <c r="S6" s="277" t="s">
        <v>786</v>
      </c>
      <c r="T6" s="278">
        <v>46023</v>
      </c>
      <c r="U6" s="244">
        <v>0</v>
      </c>
      <c r="V6" s="136"/>
      <c r="W6" s="111">
        <v>23</v>
      </c>
      <c r="X6" s="505" t="s">
        <v>93</v>
      </c>
      <c r="Y6" s="113"/>
      <c r="Z6" s="113"/>
      <c r="AA6" s="113"/>
    </row>
    <row r="7" spans="1:27" ht="48.75">
      <c r="A7" s="117" t="s">
        <v>261</v>
      </c>
      <c r="B7" s="120" t="s">
        <v>314</v>
      </c>
      <c r="C7" s="121" t="s">
        <v>516</v>
      </c>
      <c r="D7" s="116">
        <v>0</v>
      </c>
      <c r="E7" s="116">
        <v>112100000</v>
      </c>
      <c r="F7" s="116">
        <v>0</v>
      </c>
      <c r="G7" s="123" t="s">
        <v>284</v>
      </c>
      <c r="H7" s="230">
        <f t="shared" ref="H7:H11" si="2">F7+E7</f>
        <v>112100000</v>
      </c>
      <c r="I7" s="116">
        <f>SUM(J7:M7)</f>
        <v>112100000</v>
      </c>
      <c r="J7" s="238">
        <v>10900000</v>
      </c>
      <c r="K7" s="238">
        <v>2500000</v>
      </c>
      <c r="L7" s="240">
        <v>98700000</v>
      </c>
      <c r="M7" s="240">
        <v>0</v>
      </c>
      <c r="N7" s="133">
        <v>2029</v>
      </c>
      <c r="O7" s="133">
        <v>2029</v>
      </c>
      <c r="P7" s="133" t="s">
        <v>316</v>
      </c>
      <c r="Q7" s="133" t="s">
        <v>281</v>
      </c>
      <c r="R7" s="274" t="s">
        <v>783</v>
      </c>
      <c r="S7" s="277" t="s">
        <v>787</v>
      </c>
      <c r="T7" s="278">
        <v>46508</v>
      </c>
      <c r="U7" s="244">
        <v>160441</v>
      </c>
      <c r="V7" s="136"/>
      <c r="W7" s="111">
        <v>15</v>
      </c>
      <c r="X7" s="505" t="s">
        <v>93</v>
      </c>
      <c r="Y7" s="113"/>
      <c r="Z7" s="113"/>
      <c r="AA7" s="113"/>
    </row>
    <row r="8" spans="1:27" ht="36.75">
      <c r="A8" s="117" t="s">
        <v>282</v>
      </c>
      <c r="B8" s="120" t="s">
        <v>315</v>
      </c>
      <c r="C8" s="121" t="s">
        <v>281</v>
      </c>
      <c r="D8" s="284">
        <v>17000000</v>
      </c>
      <c r="E8" s="116">
        <v>76000000</v>
      </c>
      <c r="F8" s="284">
        <v>17000000</v>
      </c>
      <c r="G8" s="123" t="s">
        <v>285</v>
      </c>
      <c r="H8" s="230">
        <f t="shared" si="2"/>
        <v>93000000</v>
      </c>
      <c r="I8" s="284">
        <f t="shared" ref="I8:I12" si="3">SUM(J8:M8)</f>
        <v>93000000</v>
      </c>
      <c r="J8" s="238">
        <v>1000000</v>
      </c>
      <c r="K8" s="238">
        <v>1000000</v>
      </c>
      <c r="L8" s="240">
        <v>90000000</v>
      </c>
      <c r="M8" s="240">
        <v>1000000</v>
      </c>
      <c r="N8" s="133" t="s">
        <v>316</v>
      </c>
      <c r="O8" s="133" t="s">
        <v>316</v>
      </c>
      <c r="P8" s="133" t="s">
        <v>316</v>
      </c>
      <c r="Q8" s="133" t="s">
        <v>281</v>
      </c>
      <c r="R8" s="274" t="s">
        <v>783</v>
      </c>
      <c r="S8" s="277" t="s">
        <v>788</v>
      </c>
      <c r="T8" s="278">
        <v>46447</v>
      </c>
      <c r="U8" s="244">
        <v>0</v>
      </c>
      <c r="V8" s="136"/>
      <c r="W8" s="196"/>
      <c r="X8" s="505"/>
      <c r="Y8" s="113"/>
      <c r="Z8" s="113"/>
      <c r="AA8" s="113"/>
    </row>
    <row r="9" spans="1:27" s="206" customFormat="1" ht="36.75">
      <c r="A9" s="283" t="s">
        <v>555</v>
      </c>
      <c r="B9" s="281" t="s">
        <v>556</v>
      </c>
      <c r="C9" s="282" t="s">
        <v>281</v>
      </c>
      <c r="D9" s="286">
        <v>11000000</v>
      </c>
      <c r="E9" s="286">
        <v>19900000</v>
      </c>
      <c r="F9" s="286">
        <v>11000000</v>
      </c>
      <c r="G9" s="285" t="s">
        <v>557</v>
      </c>
      <c r="H9" s="230">
        <f t="shared" si="2"/>
        <v>30900000</v>
      </c>
      <c r="I9" s="284">
        <f t="shared" si="3"/>
        <v>30900000</v>
      </c>
      <c r="J9" s="238">
        <v>600000</v>
      </c>
      <c r="K9" s="238">
        <v>500000</v>
      </c>
      <c r="L9" s="240">
        <v>29800000</v>
      </c>
      <c r="M9" s="240"/>
      <c r="N9" s="287" t="s">
        <v>316</v>
      </c>
      <c r="O9" s="287" t="s">
        <v>316</v>
      </c>
      <c r="P9" s="287" t="s">
        <v>316</v>
      </c>
      <c r="Q9" s="287" t="s">
        <v>281</v>
      </c>
      <c r="R9" s="288" t="s">
        <v>783</v>
      </c>
      <c r="S9" s="289" t="s">
        <v>786</v>
      </c>
      <c r="T9" s="290">
        <v>46023</v>
      </c>
      <c r="U9" s="244">
        <v>0</v>
      </c>
      <c r="V9" s="136"/>
      <c r="W9" s="196"/>
      <c r="X9" s="505"/>
      <c r="Y9" s="210"/>
      <c r="Z9" s="210"/>
      <c r="AA9" s="210"/>
    </row>
    <row r="10" spans="1:27" ht="60.75">
      <c r="A10" s="117" t="s">
        <v>262</v>
      </c>
      <c r="B10" s="120" t="s">
        <v>314</v>
      </c>
      <c r="C10" s="121" t="s">
        <v>517</v>
      </c>
      <c r="D10" s="116">
        <v>5000000</v>
      </c>
      <c r="E10" s="116">
        <v>31900000</v>
      </c>
      <c r="F10" s="116">
        <v>5000000</v>
      </c>
      <c r="G10" s="123" t="s">
        <v>286</v>
      </c>
      <c r="H10" s="230">
        <f t="shared" si="2"/>
        <v>36900000</v>
      </c>
      <c r="I10" s="284">
        <f t="shared" si="3"/>
        <v>36900000</v>
      </c>
      <c r="J10" s="238">
        <v>6000000</v>
      </c>
      <c r="K10" s="238">
        <v>900000</v>
      </c>
      <c r="L10" s="240">
        <v>30000000</v>
      </c>
      <c r="M10" s="240">
        <v>0</v>
      </c>
      <c r="N10" s="133">
        <v>2026</v>
      </c>
      <c r="O10" s="133">
        <v>2026</v>
      </c>
      <c r="P10" s="133">
        <v>2028</v>
      </c>
      <c r="Q10" s="133">
        <v>2030</v>
      </c>
      <c r="R10" s="274" t="s">
        <v>789</v>
      </c>
      <c r="S10" s="289" t="s">
        <v>790</v>
      </c>
      <c r="T10" s="290">
        <v>46539</v>
      </c>
      <c r="U10" s="244">
        <v>65623</v>
      </c>
      <c r="V10" s="136"/>
      <c r="W10" s="196"/>
      <c r="X10" s="505"/>
      <c r="Y10" s="113"/>
      <c r="Z10" s="113"/>
      <c r="AA10" s="113"/>
    </row>
    <row r="11" spans="1:27" ht="48.75">
      <c r="A11" s="117" t="s">
        <v>263</v>
      </c>
      <c r="B11" s="120" t="s">
        <v>314</v>
      </c>
      <c r="C11" s="121" t="s">
        <v>517</v>
      </c>
      <c r="D11" s="116">
        <v>15000000</v>
      </c>
      <c r="E11" s="116">
        <v>8700000</v>
      </c>
      <c r="F11" s="116">
        <v>15000000</v>
      </c>
      <c r="G11" s="123" t="s">
        <v>287</v>
      </c>
      <c r="H11" s="230">
        <f t="shared" si="2"/>
        <v>23700000</v>
      </c>
      <c r="I11" s="284">
        <f t="shared" si="3"/>
        <v>23700000</v>
      </c>
      <c r="J11" s="238">
        <v>3400000</v>
      </c>
      <c r="K11" s="238">
        <v>500000</v>
      </c>
      <c r="L11" s="240">
        <v>19800000</v>
      </c>
      <c r="M11" s="240">
        <v>0</v>
      </c>
      <c r="N11" s="133">
        <v>2026</v>
      </c>
      <c r="O11" s="133">
        <v>2026</v>
      </c>
      <c r="P11" s="133">
        <v>2028</v>
      </c>
      <c r="Q11" s="133">
        <v>2030</v>
      </c>
      <c r="R11" s="274" t="s">
        <v>789</v>
      </c>
      <c r="S11" s="277" t="s">
        <v>790</v>
      </c>
      <c r="T11" s="278">
        <v>46539</v>
      </c>
      <c r="U11" s="245">
        <v>0</v>
      </c>
      <c r="V11" s="136"/>
      <c r="W11" s="196"/>
      <c r="X11" s="505"/>
      <c r="Y11" s="113"/>
      <c r="Z11" s="113"/>
      <c r="AA11" s="113"/>
    </row>
    <row r="12" spans="1:27" s="206" customFormat="1" ht="24.75">
      <c r="A12" s="229" t="s">
        <v>290</v>
      </c>
      <c r="B12" s="229" t="s">
        <v>315</v>
      </c>
      <c r="C12" s="233" t="s">
        <v>281</v>
      </c>
      <c r="D12" s="286">
        <f>I12*0.8</f>
        <v>2400000</v>
      </c>
      <c r="E12" s="231">
        <f>I12-D12</f>
        <v>600000</v>
      </c>
      <c r="F12" s="231">
        <f>D12</f>
        <v>2400000</v>
      </c>
      <c r="G12" s="123" t="s">
        <v>782</v>
      </c>
      <c r="H12" s="230">
        <f>F12+E12</f>
        <v>3000000</v>
      </c>
      <c r="I12" s="284">
        <f t="shared" si="3"/>
        <v>3000000</v>
      </c>
      <c r="J12" s="238"/>
      <c r="K12" s="238"/>
      <c r="L12" s="240"/>
      <c r="M12" s="240">
        <f>MROUND(Costs_Resilience!D21,1000000)</f>
        <v>3000000</v>
      </c>
      <c r="N12" s="273"/>
      <c r="O12" s="273"/>
      <c r="P12" s="273"/>
      <c r="Q12" s="273"/>
      <c r="R12" s="275"/>
      <c r="S12" s="279"/>
      <c r="T12" s="120"/>
      <c r="U12" s="245">
        <v>0</v>
      </c>
      <c r="V12" s="136"/>
      <c r="W12" s="196"/>
      <c r="X12" s="505"/>
      <c r="Y12" s="210"/>
      <c r="Z12" s="210"/>
      <c r="AA12" s="210"/>
    </row>
    <row r="13" spans="1:27">
      <c r="A13" s="7"/>
      <c r="B13" s="7"/>
      <c r="C13" s="7"/>
      <c r="D13" s="232">
        <f>SUM(D3:D12)</f>
        <v>111341920.89103189</v>
      </c>
      <c r="E13" s="232">
        <f>SUM(E3:E12)</f>
        <v>343285480.22275794</v>
      </c>
      <c r="F13" s="232">
        <f>SUM(F3:F12)</f>
        <v>164541920.89103189</v>
      </c>
      <c r="G13" s="17"/>
      <c r="H13" s="232">
        <f t="shared" ref="H13:L13" si="4">SUM(H3:H12)</f>
        <v>507827401.11378986</v>
      </c>
      <c r="I13" s="232">
        <f t="shared" si="4"/>
        <v>507827401.11378986</v>
      </c>
      <c r="J13" s="232">
        <f t="shared" si="4"/>
        <v>29500000</v>
      </c>
      <c r="K13" s="232">
        <f t="shared" si="4"/>
        <v>7400000</v>
      </c>
      <c r="L13" s="232">
        <f t="shared" si="4"/>
        <v>457200000</v>
      </c>
      <c r="M13" s="232">
        <f>SUM(M3:M12)</f>
        <v>13727401.113789862</v>
      </c>
      <c r="S13" s="115"/>
      <c r="T13" s="134"/>
      <c r="U13" s="232">
        <f>SUM(U3:U12)</f>
        <v>963747</v>
      </c>
    </row>
    <row r="14" spans="1:27">
      <c r="A14" s="186" t="s">
        <v>422</v>
      </c>
      <c r="B14" s="7"/>
      <c r="C14" s="7"/>
      <c r="D14" s="135"/>
      <c r="E14" s="135"/>
      <c r="F14" s="17"/>
      <c r="G14" s="7"/>
      <c r="H14" s="218"/>
      <c r="I14" s="7"/>
      <c r="K14" s="7"/>
      <c r="S14" s="115"/>
      <c r="T14" s="134" t="s">
        <v>797</v>
      </c>
    </row>
    <row r="15" spans="1:27" s="416" customFormat="1">
      <c r="A15" s="186"/>
      <c r="B15" s="148"/>
      <c r="C15" s="148"/>
      <c r="D15" s="135"/>
      <c r="E15" s="135"/>
      <c r="F15" s="17"/>
      <c r="G15" s="148"/>
      <c r="H15" s="218"/>
      <c r="I15" s="148"/>
      <c r="K15" s="148"/>
      <c r="S15" s="115"/>
      <c r="T15" s="134"/>
    </row>
    <row r="16" spans="1:27" s="416" customFormat="1">
      <c r="A16" s="186"/>
      <c r="B16" s="148"/>
      <c r="C16" s="227" t="s">
        <v>1102</v>
      </c>
      <c r="D16" s="135">
        <f>ROUND(D13,-5)</f>
        <v>111300000</v>
      </c>
      <c r="E16" s="135">
        <f t="shared" ref="E16:F16" si="5">ROUND(E13,-5)</f>
        <v>343300000</v>
      </c>
      <c r="F16" s="135">
        <f t="shared" si="5"/>
        <v>164500000</v>
      </c>
      <c r="G16" s="148"/>
      <c r="H16" s="135">
        <f t="shared" ref="H16:L16" si="6">ROUND(H13,-5)</f>
        <v>507800000</v>
      </c>
      <c r="I16" s="135">
        <f t="shared" si="6"/>
        <v>507800000</v>
      </c>
      <c r="J16" s="135">
        <f t="shared" si="6"/>
        <v>29500000</v>
      </c>
      <c r="K16" s="135">
        <f t="shared" si="6"/>
        <v>7400000</v>
      </c>
      <c r="L16" s="135">
        <f t="shared" si="6"/>
        <v>457200000</v>
      </c>
      <c r="M16" s="135">
        <f>ROUND(M13,-5)</f>
        <v>13700000</v>
      </c>
      <c r="S16" s="115"/>
      <c r="T16" s="134"/>
    </row>
    <row r="17" spans="1:21">
      <c r="A17" s="7"/>
      <c r="B17" s="7"/>
      <c r="C17" s="7"/>
      <c r="D17" s="135"/>
      <c r="E17" s="135"/>
      <c r="F17" s="17"/>
      <c r="G17" s="7"/>
      <c r="H17" s="224"/>
      <c r="I17" s="7"/>
      <c r="K17" s="7"/>
      <c r="S17" s="115"/>
      <c r="T17" s="134"/>
    </row>
    <row r="18" spans="1:21">
      <c r="D18" s="77" t="s">
        <v>317</v>
      </c>
      <c r="E18" s="124">
        <f>(E13)/($H$13)</f>
        <v>0.67598849425975993</v>
      </c>
      <c r="F18" s="208"/>
      <c r="H18" s="149"/>
      <c r="I18" s="149"/>
      <c r="J18" s="149"/>
      <c r="K18" s="149"/>
      <c r="M18" s="208"/>
    </row>
    <row r="19" spans="1:21">
      <c r="D19" s="77" t="s">
        <v>318</v>
      </c>
      <c r="E19" s="198">
        <f>(F13)/($H$13)</f>
        <v>0.32401150574024001</v>
      </c>
      <c r="H19" s="149"/>
      <c r="I19" s="149"/>
      <c r="J19" s="149"/>
      <c r="K19" s="149"/>
    </row>
    <row r="21" spans="1:21" ht="15.75">
      <c r="C21" s="77" t="s">
        <v>545</v>
      </c>
      <c r="F21" s="416"/>
      <c r="K21" s="206"/>
      <c r="N21" s="247"/>
      <c r="O21" s="206"/>
      <c r="P21" s="148" t="s">
        <v>0</v>
      </c>
      <c r="R21" s="206"/>
    </row>
    <row r="22" spans="1:21">
      <c r="C22" s="77" t="s">
        <v>229</v>
      </c>
      <c r="D22" s="4" t="s">
        <v>259</v>
      </c>
      <c r="E22" s="4" t="s">
        <v>260</v>
      </c>
      <c r="F22" s="18" t="s">
        <v>1041</v>
      </c>
      <c r="G22" s="18" t="s">
        <v>282</v>
      </c>
      <c r="H22" s="4" t="s">
        <v>261</v>
      </c>
      <c r="I22" s="4" t="s">
        <v>282</v>
      </c>
      <c r="J22" s="209" t="str">
        <f>A9</f>
        <v>H171801**</v>
      </c>
      <c r="K22" s="21" t="s">
        <v>262</v>
      </c>
      <c r="L22" s="4" t="s">
        <v>263</v>
      </c>
      <c r="M22" s="209" t="s">
        <v>0</v>
      </c>
      <c r="N22" s="209" t="s">
        <v>319</v>
      </c>
      <c r="O22" s="206"/>
      <c r="P22" s="62" t="s">
        <v>543</v>
      </c>
      <c r="Q22" s="206"/>
      <c r="S22" s="341" t="s">
        <v>586</v>
      </c>
      <c r="T22" s="340" t="s">
        <v>546</v>
      </c>
    </row>
    <row r="23" spans="1:21">
      <c r="C23" s="77">
        <v>2020</v>
      </c>
      <c r="D23" s="246">
        <f>U3</f>
        <v>321838</v>
      </c>
      <c r="E23" s="246">
        <f>U4</f>
        <v>415845</v>
      </c>
      <c r="F23" s="291">
        <f>U5</f>
        <v>0</v>
      </c>
      <c r="G23" s="246">
        <f>U6</f>
        <v>0</v>
      </c>
      <c r="H23" s="246">
        <f>U7</f>
        <v>160441</v>
      </c>
      <c r="I23" s="246">
        <f>U8</f>
        <v>0</v>
      </c>
      <c r="J23" s="246">
        <f>U9</f>
        <v>0</v>
      </c>
      <c r="K23" s="246">
        <f>U10</f>
        <v>65623</v>
      </c>
      <c r="L23" s="246">
        <f>U11</f>
        <v>0</v>
      </c>
      <c r="M23" s="8">
        <f t="shared" ref="M23:M38" si="7">SUM(D23:L23)</f>
        <v>963747</v>
      </c>
      <c r="N23" s="208">
        <f>M23</f>
        <v>963747</v>
      </c>
      <c r="O23" s="206"/>
      <c r="P23" s="218">
        <f>N23*Deflator!C87/Deflator!$C$86</f>
        <v>982771.70513960521</v>
      </c>
      <c r="Q23" s="206"/>
      <c r="S23" s="61" t="s">
        <v>587</v>
      </c>
      <c r="T23" s="218">
        <f>SUM(P25:P27)+G120</f>
        <v>162381962.38272169</v>
      </c>
    </row>
    <row r="24" spans="1:21">
      <c r="C24" s="77">
        <f>C23+1</f>
        <v>2021</v>
      </c>
      <c r="D24" s="8"/>
      <c r="E24" s="8"/>
      <c r="F24" s="148"/>
      <c r="G24" s="8"/>
      <c r="H24" s="8"/>
      <c r="I24" s="8"/>
      <c r="J24" s="208"/>
      <c r="K24" s="8"/>
      <c r="M24" s="208">
        <f t="shared" si="7"/>
        <v>0</v>
      </c>
      <c r="N24" s="208">
        <f t="shared" ref="N24:N38" si="8">M24</f>
        <v>0</v>
      </c>
      <c r="O24" s="206"/>
      <c r="P24" s="218">
        <f>N24*Deflator!C88/Deflator!$C$86</f>
        <v>0</v>
      </c>
      <c r="Q24" s="206"/>
      <c r="S24" s="61" t="s">
        <v>588</v>
      </c>
      <c r="T24" s="218">
        <f>SUM(P28:P30)-T25+Costs_Resilience!F21+P23</f>
        <v>353145841.45877194</v>
      </c>
    </row>
    <row r="25" spans="1:21">
      <c r="C25" s="77">
        <f t="shared" ref="C25:C38" si="9">C24+1</f>
        <v>2022</v>
      </c>
      <c r="F25" s="242">
        <f>30000000/24*4</f>
        <v>5000000</v>
      </c>
      <c r="J25" s="206"/>
      <c r="M25" s="208">
        <f t="shared" si="7"/>
        <v>5000000</v>
      </c>
      <c r="N25" s="208">
        <f t="shared" si="8"/>
        <v>5000000</v>
      </c>
      <c r="O25" s="206"/>
      <c r="P25" s="218">
        <f>N25*Deflator!C89/Deflator!$C$86</f>
        <v>5304997.332384848</v>
      </c>
      <c r="Q25" s="206"/>
      <c r="S25" s="61" t="s">
        <v>592</v>
      </c>
      <c r="T25" s="218">
        <f>YOE_tables!B9*0.1</f>
        <v>57280867.093499273</v>
      </c>
    </row>
    <row r="26" spans="1:21">
      <c r="A26" s="148"/>
      <c r="B26" s="148"/>
      <c r="C26" s="77">
        <f t="shared" si="9"/>
        <v>2023</v>
      </c>
      <c r="D26" s="241">
        <f>($J$3+$K$3)/15*3</f>
        <v>440000</v>
      </c>
      <c r="E26" s="241">
        <f>($J$4+$K$4)/15*3</f>
        <v>1080000</v>
      </c>
      <c r="F26" s="242">
        <f>30000000/24*12</f>
        <v>15000000</v>
      </c>
      <c r="G26" s="241">
        <f>(J6+K6)/11*11</f>
        <v>2000000</v>
      </c>
      <c r="H26" s="241">
        <f>($J$7+$K$7)/20*8</f>
        <v>5360000</v>
      </c>
      <c r="I26" s="241">
        <f>($J$8+$K$8)/22*10</f>
        <v>909090.90909090918</v>
      </c>
      <c r="J26" s="241">
        <f>($J$9+$K$9)/11*11</f>
        <v>1100000</v>
      </c>
      <c r="L26" s="206"/>
      <c r="M26" s="208">
        <f t="shared" si="7"/>
        <v>25889090.90909091</v>
      </c>
      <c r="N26" s="208">
        <f t="shared" si="8"/>
        <v>25889090.90909091</v>
      </c>
      <c r="O26" s="206"/>
      <c r="P26" s="218">
        <f>N26*Deflator!C90/Deflator!$C$86</f>
        <v>28018506.620535787</v>
      </c>
      <c r="Q26" s="206"/>
      <c r="R26" s="206"/>
      <c r="S26" s="61" t="s">
        <v>591</v>
      </c>
      <c r="T26" s="218">
        <f>SUM(T23:T25)</f>
        <v>572808670.93499291</v>
      </c>
      <c r="U26" s="208">
        <f>T27-T26</f>
        <v>0</v>
      </c>
    </row>
    <row r="27" spans="1:21">
      <c r="A27" s="148"/>
      <c r="B27" s="148"/>
      <c r="C27" s="77">
        <f t="shared" si="9"/>
        <v>2024</v>
      </c>
      <c r="D27" s="241">
        <f>($J$3+$K$3)/15*12</f>
        <v>1760000</v>
      </c>
      <c r="E27" s="241">
        <f>($J$4+$K$4)/15*12</f>
        <v>4320000</v>
      </c>
      <c r="F27" s="242">
        <f>30000000/24*8+(SUM(ICM_ITS_WindCosts!L3:M10)*Deflator!$C$86/Deflator!$C$88)</f>
        <v>16389270.154740533</v>
      </c>
      <c r="G27" s="242">
        <f>($L$6+$M$6)/24*12</f>
        <v>42900000</v>
      </c>
      <c r="H27" s="241">
        <f>($J$7+$K$7)/20*12</f>
        <v>8040000</v>
      </c>
      <c r="I27" s="241">
        <f>($J$8+$K$8)/22*12</f>
        <v>1090909.0909090908</v>
      </c>
      <c r="J27" s="242">
        <f>($L$9+$M$9)/25*12</f>
        <v>14304000</v>
      </c>
      <c r="K27" s="241">
        <f>($K$10+$J$10)</f>
        <v>6900000</v>
      </c>
      <c r="L27" s="241">
        <f>($K$11+$J$11)</f>
        <v>3900000</v>
      </c>
      <c r="M27" s="208">
        <f t="shared" si="7"/>
        <v>99604179.245649636</v>
      </c>
      <c r="N27" s="208">
        <f t="shared" si="8"/>
        <v>99604179.245649636</v>
      </c>
      <c r="O27" s="206"/>
      <c r="P27" s="218">
        <f>N27*Deflator!C91/Deflator!$C$86</f>
        <v>109966698.3384302</v>
      </c>
      <c r="Q27" s="206"/>
      <c r="R27" s="206"/>
      <c r="T27" s="218">
        <f>L114</f>
        <v>572808670.93499267</v>
      </c>
      <c r="U27" s="63" t="s">
        <v>593</v>
      </c>
    </row>
    <row r="28" spans="1:21">
      <c r="A28" s="115"/>
      <c r="B28" s="115"/>
      <c r="C28" s="77">
        <f t="shared" si="9"/>
        <v>2025</v>
      </c>
      <c r="D28" s="242">
        <f>$L$3/21*12</f>
        <v>2971428.5714285718</v>
      </c>
      <c r="E28" s="242">
        <f>$L$4/21*12</f>
        <v>30685714.285714287</v>
      </c>
      <c r="F28" s="148"/>
      <c r="G28" s="242">
        <f>($L$6+$M$6)/24*12</f>
        <v>42900000</v>
      </c>
      <c r="H28" s="242">
        <f>$L$7/28*12</f>
        <v>42300000</v>
      </c>
      <c r="I28" s="242">
        <f>($L$8+$M$8)/26*12</f>
        <v>42000000</v>
      </c>
      <c r="J28" s="242">
        <f>($L$9+$M$9)/25*12</f>
        <v>14304000</v>
      </c>
      <c r="K28" s="242">
        <f>$L$10/29*12</f>
        <v>12413793.103448275</v>
      </c>
      <c r="L28" s="242">
        <f>$L$11/29*12</f>
        <v>8193103.4482758623</v>
      </c>
      <c r="M28" s="208">
        <f t="shared" si="7"/>
        <v>195768039.408867</v>
      </c>
      <c r="N28" s="208">
        <f t="shared" si="8"/>
        <v>195768039.408867</v>
      </c>
      <c r="O28" s="206"/>
      <c r="P28" s="218">
        <f>N28*Deflator!C92/Deflator!$C$86</f>
        <v>220469697.59143698</v>
      </c>
      <c r="Q28" s="206"/>
      <c r="R28" s="206"/>
      <c r="S28" s="218"/>
    </row>
    <row r="29" spans="1:21">
      <c r="A29" s="219"/>
      <c r="B29" s="215"/>
      <c r="C29" s="77">
        <f t="shared" si="9"/>
        <v>2026</v>
      </c>
      <c r="D29" s="242">
        <f>$L$3/21*9</f>
        <v>2228571.4285714286</v>
      </c>
      <c r="E29" s="242">
        <f>$L$4/21*9</f>
        <v>23014285.714285716</v>
      </c>
      <c r="F29" s="148"/>
      <c r="G29" s="17"/>
      <c r="H29" s="242">
        <f>$L$7/28*12</f>
        <v>42300000</v>
      </c>
      <c r="I29" s="242">
        <f>($L$8+$M$8)/26*12</f>
        <v>42000000</v>
      </c>
      <c r="J29" s="242">
        <f>($L$9+$M$9)/25*1</f>
        <v>1192000</v>
      </c>
      <c r="K29" s="242">
        <f>$L$10/29*12</f>
        <v>12413793.103448275</v>
      </c>
      <c r="L29" s="242">
        <f>$L$11/29*12</f>
        <v>8193103.4482758623</v>
      </c>
      <c r="M29" s="208">
        <f t="shared" si="7"/>
        <v>131341753.69458129</v>
      </c>
      <c r="N29" s="208">
        <f t="shared" si="8"/>
        <v>131341753.69458129</v>
      </c>
      <c r="O29" s="206"/>
      <c r="P29" s="218">
        <f>N29*Deflator!C93/Deflator!$C$86</f>
        <v>150886154.97027358</v>
      </c>
      <c r="Q29" s="206"/>
      <c r="R29" s="206"/>
    </row>
    <row r="30" spans="1:21">
      <c r="A30" s="219"/>
      <c r="B30" s="215"/>
      <c r="C30" s="77">
        <f t="shared" si="9"/>
        <v>2027</v>
      </c>
      <c r="D30" s="17"/>
      <c r="E30" s="17"/>
      <c r="F30" s="148"/>
      <c r="G30" s="17"/>
      <c r="H30" s="242">
        <f>$L$7/28*4</f>
        <v>14100000</v>
      </c>
      <c r="I30" s="242">
        <f>($L$8+$M$8)/26*2</f>
        <v>7000000</v>
      </c>
      <c r="J30" s="17"/>
      <c r="K30" s="242">
        <f>$L$10/29*5</f>
        <v>5172413.7931034481</v>
      </c>
      <c r="L30" s="242">
        <f>$L$11/29*5</f>
        <v>3413793.1034482759</v>
      </c>
      <c r="M30" s="208">
        <f t="shared" si="7"/>
        <v>29686206.896551725</v>
      </c>
      <c r="N30" s="208">
        <f t="shared" si="8"/>
        <v>29686206.896551725</v>
      </c>
      <c r="O30" s="206"/>
      <c r="P30" s="218">
        <f>N30*Deflator!C94/Deflator!$C$86</f>
        <v>34788904.781366393</v>
      </c>
      <c r="Q30" s="206"/>
      <c r="S30" s="339"/>
      <c r="U30" s="141"/>
    </row>
    <row r="31" spans="1:21">
      <c r="A31" s="219"/>
      <c r="B31" s="219"/>
      <c r="C31" s="77">
        <f t="shared" si="9"/>
        <v>2028</v>
      </c>
      <c r="D31" s="17"/>
      <c r="E31" s="17"/>
      <c r="F31" s="148"/>
      <c r="G31" s="17"/>
      <c r="H31" s="17"/>
      <c r="I31" s="17"/>
      <c r="J31" s="17"/>
      <c r="K31" s="17"/>
      <c r="L31" s="17"/>
      <c r="M31" s="208">
        <f t="shared" si="7"/>
        <v>0</v>
      </c>
      <c r="N31" s="208">
        <f t="shared" si="8"/>
        <v>0</v>
      </c>
      <c r="O31" s="206"/>
      <c r="P31" s="218">
        <f>N31*Deflator!C95/Deflator!$C$86</f>
        <v>0</v>
      </c>
      <c r="Q31" s="206"/>
      <c r="R31" s="206"/>
      <c r="S31" s="338"/>
      <c r="T31" s="208"/>
      <c r="U31" s="224"/>
    </row>
    <row r="32" spans="1:21">
      <c r="A32" s="219"/>
      <c r="B32" s="220"/>
      <c r="C32" s="77">
        <f t="shared" si="9"/>
        <v>2029</v>
      </c>
      <c r="D32" s="17"/>
      <c r="E32" s="17"/>
      <c r="F32" s="148"/>
      <c r="G32" s="17"/>
      <c r="H32" s="17"/>
      <c r="I32" s="17"/>
      <c r="J32" s="17"/>
      <c r="K32" s="17"/>
      <c r="L32" s="148"/>
      <c r="M32" s="208">
        <f t="shared" si="7"/>
        <v>0</v>
      </c>
      <c r="N32" s="208">
        <f t="shared" si="8"/>
        <v>0</v>
      </c>
      <c r="O32" s="206"/>
      <c r="P32" s="218">
        <f>N32*Deflator!C96/Deflator!$C$86</f>
        <v>0</v>
      </c>
      <c r="Q32" s="206"/>
      <c r="R32" s="206"/>
    </row>
    <row r="33" spans="1:24">
      <c r="A33" s="219"/>
      <c r="B33" s="220"/>
      <c r="C33" s="77">
        <f t="shared" si="9"/>
        <v>2030</v>
      </c>
      <c r="D33" s="17"/>
      <c r="E33" s="17"/>
      <c r="F33" s="148"/>
      <c r="G33" s="17"/>
      <c r="H33" s="17"/>
      <c r="I33" s="17"/>
      <c r="J33" s="17"/>
      <c r="K33" s="17"/>
      <c r="L33" s="148"/>
      <c r="M33" s="208">
        <f t="shared" si="7"/>
        <v>0</v>
      </c>
      <c r="N33" s="208">
        <f t="shared" si="8"/>
        <v>0</v>
      </c>
      <c r="O33" s="206"/>
      <c r="P33" s="218">
        <f>N33*Deflator!C97/Deflator!$C$86</f>
        <v>0</v>
      </c>
      <c r="Q33" s="206"/>
      <c r="R33" s="206"/>
    </row>
    <row r="34" spans="1:24">
      <c r="A34" s="219"/>
      <c r="B34" s="148"/>
      <c r="C34" s="77">
        <f t="shared" si="9"/>
        <v>2031</v>
      </c>
      <c r="D34" s="17"/>
      <c r="E34" s="17"/>
      <c r="F34" s="148"/>
      <c r="G34" s="17"/>
      <c r="H34" s="17"/>
      <c r="I34" s="17"/>
      <c r="J34" s="17"/>
      <c r="K34" s="17"/>
      <c r="L34" s="148"/>
      <c r="M34" s="208">
        <f t="shared" si="7"/>
        <v>0</v>
      </c>
      <c r="N34" s="208">
        <f t="shared" si="8"/>
        <v>0</v>
      </c>
      <c r="O34" s="206"/>
      <c r="P34" s="218">
        <f>N34*Deflator!C98/Deflator!$C$86</f>
        <v>0</v>
      </c>
      <c r="Q34" s="206"/>
      <c r="R34" s="206"/>
    </row>
    <row r="35" spans="1:24">
      <c r="A35" s="219"/>
      <c r="B35" s="215"/>
      <c r="C35" s="77">
        <f t="shared" si="9"/>
        <v>2032</v>
      </c>
      <c r="D35" s="17"/>
      <c r="E35" s="17"/>
      <c r="F35" s="148"/>
      <c r="G35" s="17"/>
      <c r="H35" s="17"/>
      <c r="I35" s="17"/>
      <c r="J35" s="17"/>
      <c r="K35" s="17"/>
      <c r="L35" s="148"/>
      <c r="M35" s="208">
        <f t="shared" si="7"/>
        <v>0</v>
      </c>
      <c r="N35" s="208">
        <f t="shared" si="8"/>
        <v>0</v>
      </c>
      <c r="O35" s="206"/>
      <c r="P35" s="218">
        <f>N35*Deflator!C99/Deflator!$C$86</f>
        <v>0</v>
      </c>
      <c r="Q35" s="206"/>
      <c r="R35" s="206"/>
    </row>
    <row r="36" spans="1:24">
      <c r="A36" s="219"/>
      <c r="B36" s="215"/>
      <c r="C36" s="77">
        <f t="shared" si="9"/>
        <v>2033</v>
      </c>
      <c r="D36" s="17"/>
      <c r="E36" s="17"/>
      <c r="F36" s="148"/>
      <c r="G36" s="17"/>
      <c r="H36" s="17"/>
      <c r="I36" s="17"/>
      <c r="J36" s="17"/>
      <c r="K36" s="17"/>
      <c r="L36" s="148"/>
      <c r="M36" s="208">
        <f t="shared" si="7"/>
        <v>0</v>
      </c>
      <c r="N36" s="208">
        <f t="shared" si="8"/>
        <v>0</v>
      </c>
      <c r="O36" s="206"/>
      <c r="P36" s="218">
        <f>N36*Deflator!C100/Deflator!$C$86</f>
        <v>0</v>
      </c>
      <c r="Q36" s="206"/>
      <c r="R36" s="206"/>
    </row>
    <row r="37" spans="1:24">
      <c r="A37" s="148"/>
      <c r="B37" s="148"/>
      <c r="C37" s="77">
        <f t="shared" si="9"/>
        <v>2034</v>
      </c>
      <c r="D37" s="17"/>
      <c r="E37" s="17"/>
      <c r="F37" s="148"/>
      <c r="G37" s="17"/>
      <c r="H37" s="17"/>
      <c r="I37" s="17"/>
      <c r="J37" s="17"/>
      <c r="K37" s="17"/>
      <c r="L37" s="148"/>
      <c r="M37" s="208">
        <f t="shared" si="7"/>
        <v>0</v>
      </c>
      <c r="N37" s="208">
        <f t="shared" si="8"/>
        <v>0</v>
      </c>
      <c r="O37" s="206"/>
      <c r="P37" s="218">
        <f>N37*Deflator!C101/Deflator!$C$86</f>
        <v>0</v>
      </c>
      <c r="Q37" s="206"/>
    </row>
    <row r="38" spans="1:24">
      <c r="C38" s="77">
        <f t="shared" si="9"/>
        <v>2035</v>
      </c>
      <c r="D38" s="17"/>
      <c r="E38" s="17"/>
      <c r="F38" s="148"/>
      <c r="G38" s="17"/>
      <c r="H38" s="17"/>
      <c r="I38" s="17"/>
      <c r="J38" s="17"/>
      <c r="K38" s="17"/>
      <c r="L38" s="148"/>
      <c r="M38" s="208">
        <f t="shared" si="7"/>
        <v>0</v>
      </c>
      <c r="N38" s="208">
        <f t="shared" si="8"/>
        <v>0</v>
      </c>
      <c r="O38" s="206"/>
      <c r="P38" s="218">
        <f>N38*Deflator!C102/Deflator!$C$86</f>
        <v>0</v>
      </c>
      <c r="Q38" s="206"/>
    </row>
    <row r="39" spans="1:24">
      <c r="B39" s="8"/>
      <c r="C39" s="140"/>
      <c r="D39" s="8">
        <f t="shared" ref="D39:L39" si="10">SUM(D24:D38)</f>
        <v>7400000</v>
      </c>
      <c r="E39" s="208">
        <f t="shared" si="10"/>
        <v>59100000</v>
      </c>
      <c r="F39" s="208">
        <f>SUM(F24:F38)</f>
        <v>36389270.154740535</v>
      </c>
      <c r="G39" s="208">
        <f t="shared" si="10"/>
        <v>87800000</v>
      </c>
      <c r="H39" s="208">
        <f t="shared" si="10"/>
        <v>112100000</v>
      </c>
      <c r="I39" s="208">
        <f t="shared" si="10"/>
        <v>93000000</v>
      </c>
      <c r="J39" s="208">
        <f t="shared" si="10"/>
        <v>30900000</v>
      </c>
      <c r="K39" s="208">
        <f t="shared" si="10"/>
        <v>36900000</v>
      </c>
      <c r="L39" s="208">
        <f t="shared" si="10"/>
        <v>23700000</v>
      </c>
      <c r="M39" s="17">
        <f>SUM(M23:M38)</f>
        <v>488253017.15474057</v>
      </c>
      <c r="N39" s="208">
        <f>SUM(N23:N38)</f>
        <v>488253017.15474057</v>
      </c>
      <c r="O39" s="206"/>
      <c r="P39" s="17">
        <f>SUM(P23:P38)</f>
        <v>550417731.3395673</v>
      </c>
      <c r="Q39" s="206"/>
    </row>
    <row r="40" spans="1:24">
      <c r="C40" s="140"/>
      <c r="F40" s="208">
        <f>F39-F120</f>
        <v>18851139.195691206</v>
      </c>
      <c r="M40" s="280"/>
      <c r="N40" s="208"/>
      <c r="O40" s="206"/>
      <c r="P40" s="148"/>
      <c r="Q40" s="206"/>
      <c r="R40" s="206"/>
    </row>
    <row r="41" spans="1:24" s="206" customFormat="1">
      <c r="H41" s="102"/>
      <c r="M41" s="280"/>
      <c r="N41" s="280"/>
      <c r="P41" s="148"/>
      <c r="S41" s="114"/>
      <c r="T41" s="128"/>
      <c r="U41" s="416"/>
      <c r="V41" s="416"/>
      <c r="W41" s="416"/>
      <c r="X41" s="416"/>
    </row>
    <row r="42" spans="1:24" s="206" customFormat="1" ht="15.75">
      <c r="C42" s="206" t="s">
        <v>570</v>
      </c>
      <c r="H42" s="102"/>
      <c r="N42" s="247"/>
      <c r="P42" s="148" t="s">
        <v>0</v>
      </c>
      <c r="S42" s="114"/>
      <c r="T42" s="128"/>
      <c r="U42" s="416"/>
      <c r="V42" s="416"/>
      <c r="W42" s="416"/>
      <c r="X42" s="416"/>
    </row>
    <row r="43" spans="1:24" s="206" customFormat="1">
      <c r="C43" s="206" t="s">
        <v>229</v>
      </c>
      <c r="D43" s="209" t="str">
        <f>D22</f>
        <v>I-6007</v>
      </c>
      <c r="E43" s="209" t="str">
        <f t="shared" ref="E43:L43" si="11">E22</f>
        <v>I-6005</v>
      </c>
      <c r="F43" s="209" t="str">
        <f t="shared" si="11"/>
        <v>Broadband +ICM/ITS</v>
      </c>
      <c r="G43" s="209" t="str">
        <f t="shared" si="11"/>
        <v>H141265</v>
      </c>
      <c r="H43" s="209" t="str">
        <f t="shared" si="11"/>
        <v>U-6149</v>
      </c>
      <c r="I43" s="209" t="str">
        <f t="shared" si="11"/>
        <v>H141265</v>
      </c>
      <c r="J43" s="209" t="str">
        <f t="shared" si="11"/>
        <v>H171801**</v>
      </c>
      <c r="K43" s="209" t="str">
        <f t="shared" si="11"/>
        <v>R-5869A</v>
      </c>
      <c r="L43" s="209" t="str">
        <f t="shared" si="11"/>
        <v>R-5869B</v>
      </c>
      <c r="M43" s="209" t="s">
        <v>0</v>
      </c>
      <c r="N43" s="209" t="s">
        <v>319</v>
      </c>
      <c r="P43" s="62" t="s">
        <v>543</v>
      </c>
      <c r="R43" s="62"/>
      <c r="S43" s="114"/>
      <c r="T43" s="128"/>
      <c r="U43" s="416"/>
      <c r="V43" s="416"/>
      <c r="W43" s="416"/>
      <c r="X43" s="416"/>
    </row>
    <row r="44" spans="1:24" s="206" customFormat="1">
      <c r="C44" s="206">
        <f>C23</f>
        <v>2020</v>
      </c>
      <c r="D44" s="246"/>
      <c r="E44" s="246"/>
      <c r="F44" s="291"/>
      <c r="G44" s="246"/>
      <c r="H44" s="246"/>
      <c r="I44" s="246"/>
      <c r="J44" s="246"/>
      <c r="K44" s="246"/>
      <c r="L44" s="246"/>
      <c r="M44" s="208">
        <f t="shared" ref="M44:M59" si="12">SUM(D44:L44)</f>
        <v>0</v>
      </c>
      <c r="N44" s="208">
        <f>M44</f>
        <v>0</v>
      </c>
      <c r="P44" s="218">
        <f>N44*Deflator!C87/Deflator!$C$86</f>
        <v>0</v>
      </c>
      <c r="S44" s="114"/>
      <c r="T44" s="128"/>
      <c r="U44" s="416"/>
      <c r="V44" s="416"/>
      <c r="W44" s="416"/>
      <c r="X44" s="416"/>
    </row>
    <row r="45" spans="1:24" s="206" customFormat="1">
      <c r="C45" s="206">
        <f>C44+1</f>
        <v>2021</v>
      </c>
      <c r="D45" s="208"/>
      <c r="E45" s="208"/>
      <c r="F45" s="148"/>
      <c r="G45" s="208"/>
      <c r="H45" s="208"/>
      <c r="I45" s="208"/>
      <c r="J45" s="208"/>
      <c r="K45" s="208"/>
      <c r="M45" s="208">
        <f t="shared" si="12"/>
        <v>0</v>
      </c>
      <c r="N45" s="208">
        <f t="shared" ref="N45:N59" si="13">M45</f>
        <v>0</v>
      </c>
      <c r="P45" s="218">
        <f>N45*Deflator!C88/Deflator!$C$86</f>
        <v>0</v>
      </c>
      <c r="S45" s="114"/>
      <c r="T45" s="128"/>
      <c r="U45" s="416"/>
      <c r="V45" s="416"/>
      <c r="W45" s="416"/>
      <c r="X45" s="416"/>
    </row>
    <row r="46" spans="1:24" s="206" customFormat="1">
      <c r="C46" s="206">
        <f t="shared" ref="C46:C59" si="14">C45+1</f>
        <v>2022</v>
      </c>
      <c r="D46" s="148"/>
      <c r="E46" s="148"/>
      <c r="F46" s="17">
        <f>$D$5*J106</f>
        <v>6000000</v>
      </c>
      <c r="G46" s="17">
        <f>$D$6*G128</f>
        <v>0</v>
      </c>
      <c r="H46" s="102"/>
      <c r="I46" s="17">
        <f>($D$8)*I128</f>
        <v>0</v>
      </c>
      <c r="J46" s="17">
        <f>($D$9)*J128</f>
        <v>0</v>
      </c>
      <c r="K46" s="17">
        <f t="shared" ref="K46:K47" si="15">$D$10*K128</f>
        <v>0</v>
      </c>
      <c r="L46" s="17">
        <f t="shared" ref="L46:L47" si="16">$D$11*L128</f>
        <v>0</v>
      </c>
      <c r="M46" s="208">
        <f t="shared" si="12"/>
        <v>6000000</v>
      </c>
      <c r="N46" s="208">
        <f t="shared" si="13"/>
        <v>6000000</v>
      </c>
      <c r="P46" s="218">
        <f>N46*Deflator!C89/Deflator!$C$86</f>
        <v>6365996.7988618175</v>
      </c>
      <c r="S46" s="114"/>
      <c r="T46" s="128"/>
      <c r="U46" s="416"/>
      <c r="V46" s="416"/>
      <c r="W46" s="416"/>
      <c r="X46" s="416"/>
    </row>
    <row r="47" spans="1:24" s="206" customFormat="1">
      <c r="A47" s="148"/>
      <c r="B47" s="148"/>
      <c r="C47" s="206">
        <f t="shared" si="14"/>
        <v>2023</v>
      </c>
      <c r="D47" s="17"/>
      <c r="E47" s="17"/>
      <c r="F47" s="17">
        <f t="shared" ref="F47:F49" si="17">$D$5*J107</f>
        <v>18000000</v>
      </c>
      <c r="G47" s="17">
        <f>$D$6*G129</f>
        <v>405466.97038724378</v>
      </c>
      <c r="H47" s="17"/>
      <c r="I47" s="17">
        <f>($D$8)*I129</f>
        <v>166177.90811339201</v>
      </c>
      <c r="J47" s="17">
        <f>($D$9)*J129</f>
        <v>391585.76051779935</v>
      </c>
      <c r="K47" s="17">
        <f t="shared" si="15"/>
        <v>0</v>
      </c>
      <c r="L47" s="17">
        <f t="shared" si="16"/>
        <v>0</v>
      </c>
      <c r="M47" s="208">
        <f t="shared" si="12"/>
        <v>18963230.639018431</v>
      </c>
      <c r="N47" s="208">
        <f t="shared" si="13"/>
        <v>18963230.639018431</v>
      </c>
      <c r="P47" s="218">
        <f>N47*Deflator!C90/Deflator!$C$86</f>
        <v>20522984.181708459</v>
      </c>
      <c r="S47" s="114"/>
      <c r="T47" s="128"/>
      <c r="U47" s="416"/>
      <c r="V47" s="416"/>
      <c r="W47" s="416"/>
      <c r="X47" s="416"/>
    </row>
    <row r="48" spans="1:24" s="206" customFormat="1">
      <c r="A48" s="148"/>
      <c r="B48" s="148"/>
      <c r="C48" s="206">
        <f t="shared" si="14"/>
        <v>2024</v>
      </c>
      <c r="D48" s="17"/>
      <c r="E48" s="17"/>
      <c r="F48" s="17">
        <f>$D$5*J108</f>
        <v>19141920.891031891</v>
      </c>
      <c r="G48" s="17">
        <f t="shared" ref="G48:G51" si="18">$D$6*G130</f>
        <v>8697266.5148063786</v>
      </c>
      <c r="H48" s="17"/>
      <c r="I48" s="17">
        <f t="shared" ref="I48:I51" si="19">($D$8)*I130</f>
        <v>199413.48973607036</v>
      </c>
      <c r="J48" s="17">
        <f t="shared" ref="J48:J52" si="20">($D$9)*J130</f>
        <v>5092038.8349514557</v>
      </c>
      <c r="K48" s="17">
        <f>$D$10*K130</f>
        <v>934959.34959349583</v>
      </c>
      <c r="L48" s="17">
        <f>$D$11*L130</f>
        <v>2468354.4303797465</v>
      </c>
      <c r="M48" s="208">
        <f t="shared" si="12"/>
        <v>36533953.510499038</v>
      </c>
      <c r="N48" s="208">
        <f t="shared" si="13"/>
        <v>36533953.510499038</v>
      </c>
      <c r="P48" s="218">
        <f>N48*Deflator!C91/Deflator!$C$86</f>
        <v>40334836.100511827</v>
      </c>
      <c r="S48" s="114"/>
      <c r="T48" s="128"/>
      <c r="U48" s="416"/>
      <c r="V48" s="416"/>
      <c r="W48" s="416"/>
      <c r="X48" s="416"/>
    </row>
    <row r="49" spans="1:24" s="206" customFormat="1">
      <c r="A49" s="115"/>
      <c r="B49" s="115"/>
      <c r="C49" s="206">
        <f t="shared" si="14"/>
        <v>2025</v>
      </c>
      <c r="D49" s="17"/>
      <c r="E49" s="17"/>
      <c r="F49" s="17">
        <f t="shared" si="17"/>
        <v>0</v>
      </c>
      <c r="G49" s="17">
        <f t="shared" si="18"/>
        <v>8697266.5148063786</v>
      </c>
      <c r="H49" s="17"/>
      <c r="I49" s="17">
        <f t="shared" si="19"/>
        <v>7677419.3548387093</v>
      </c>
      <c r="J49" s="17">
        <f t="shared" si="20"/>
        <v>5092038.8349514557</v>
      </c>
      <c r="K49" s="17">
        <f>$D$10*K131</f>
        <v>1682085.7863751051</v>
      </c>
      <c r="L49" s="17">
        <f>$D$11*L131</f>
        <v>5185508.5115670012</v>
      </c>
      <c r="M49" s="208">
        <f t="shared" si="12"/>
        <v>28334319.002538651</v>
      </c>
      <c r="N49" s="208">
        <f t="shared" si="13"/>
        <v>28334319.002538651</v>
      </c>
      <c r="P49" s="218">
        <f>N49*Deflator!C92/Deflator!$C$86</f>
        <v>31909492.278779298</v>
      </c>
      <c r="S49" s="114"/>
      <c r="T49" s="128"/>
      <c r="U49" s="416"/>
      <c r="V49" s="416"/>
      <c r="W49" s="416"/>
      <c r="X49" s="416"/>
    </row>
    <row r="50" spans="1:24" s="206" customFormat="1">
      <c r="A50" s="219"/>
      <c r="B50" s="215"/>
      <c r="C50" s="206">
        <f t="shared" si="14"/>
        <v>2026</v>
      </c>
      <c r="D50" s="17"/>
      <c r="E50" s="17"/>
      <c r="F50" s="148"/>
      <c r="G50" s="17">
        <f t="shared" si="18"/>
        <v>0</v>
      </c>
      <c r="H50" s="17"/>
      <c r="I50" s="17">
        <f t="shared" si="19"/>
        <v>7677419.3548387093</v>
      </c>
      <c r="J50" s="17">
        <f t="shared" si="20"/>
        <v>424336.56957928801</v>
      </c>
      <c r="K50" s="17">
        <f>$D$10*K132</f>
        <v>1682085.7863751051</v>
      </c>
      <c r="L50" s="17">
        <f>$D$11*L132</f>
        <v>5185508.5115670012</v>
      </c>
      <c r="M50" s="208">
        <f t="shared" si="12"/>
        <v>14969350.222360104</v>
      </c>
      <c r="N50" s="208">
        <f t="shared" si="13"/>
        <v>14969350.222360104</v>
      </c>
      <c r="P50" s="218">
        <f>N50*Deflator!C93/Deflator!$C$86</f>
        <v>17196874.824037857</v>
      </c>
      <c r="S50" s="114"/>
      <c r="T50" s="128"/>
      <c r="U50" s="416"/>
      <c r="V50" s="416"/>
      <c r="W50" s="416"/>
      <c r="X50" s="416"/>
    </row>
    <row r="51" spans="1:24" s="206" customFormat="1">
      <c r="A51" s="219"/>
      <c r="B51" s="215"/>
      <c r="C51" s="206">
        <f t="shared" si="14"/>
        <v>2027</v>
      </c>
      <c r="D51" s="17"/>
      <c r="E51" s="17"/>
      <c r="F51" s="148"/>
      <c r="G51" s="17">
        <f t="shared" si="18"/>
        <v>0</v>
      </c>
      <c r="H51" s="17"/>
      <c r="I51" s="17">
        <f t="shared" si="19"/>
        <v>1279569.8924731184</v>
      </c>
      <c r="J51" s="17">
        <f t="shared" si="20"/>
        <v>0</v>
      </c>
      <c r="K51" s="17">
        <f>$D$10*K133</f>
        <v>700869.07765629387</v>
      </c>
      <c r="L51" s="17">
        <f>$D$11*L133</f>
        <v>2160628.5464862506</v>
      </c>
      <c r="M51" s="208">
        <f t="shared" si="12"/>
        <v>4141067.5166156627</v>
      </c>
      <c r="N51" s="208">
        <f t="shared" si="13"/>
        <v>4141067.5166156627</v>
      </c>
      <c r="P51" s="218">
        <f>N51*Deflator!C94/Deflator!$C$86</f>
        <v>4852866.6538898814</v>
      </c>
      <c r="S51" s="114"/>
      <c r="T51" s="128"/>
      <c r="U51" s="416"/>
      <c r="V51" s="416"/>
      <c r="W51" s="416"/>
      <c r="X51" s="416"/>
    </row>
    <row r="52" spans="1:24" s="206" customFormat="1">
      <c r="A52" s="219"/>
      <c r="B52" s="219"/>
      <c r="C52" s="206">
        <f t="shared" si="14"/>
        <v>2028</v>
      </c>
      <c r="D52" s="17"/>
      <c r="E52" s="17"/>
      <c r="F52" s="148"/>
      <c r="G52" s="17"/>
      <c r="H52" s="17"/>
      <c r="I52" s="17">
        <f>($D$8)*I134</f>
        <v>0</v>
      </c>
      <c r="J52" s="17">
        <f t="shared" si="20"/>
        <v>0</v>
      </c>
      <c r="K52" s="17">
        <f>$D$10*K134</f>
        <v>0</v>
      </c>
      <c r="L52" s="17">
        <f>$D$11*L134</f>
        <v>0</v>
      </c>
      <c r="M52" s="208">
        <f t="shared" si="12"/>
        <v>0</v>
      </c>
      <c r="N52" s="208">
        <f t="shared" si="13"/>
        <v>0</v>
      </c>
      <c r="P52" s="218">
        <f>N52*Deflator!C95/Deflator!$C$86</f>
        <v>0</v>
      </c>
      <c r="S52" s="114"/>
      <c r="T52" s="128"/>
      <c r="U52" s="416"/>
      <c r="V52" s="416"/>
      <c r="W52" s="416"/>
      <c r="X52" s="416"/>
    </row>
    <row r="53" spans="1:24" s="206" customFormat="1">
      <c r="A53" s="219"/>
      <c r="B53" s="220"/>
      <c r="C53" s="206">
        <f t="shared" si="14"/>
        <v>2029</v>
      </c>
      <c r="D53" s="17"/>
      <c r="E53" s="17"/>
      <c r="F53" s="148"/>
      <c r="G53" s="17"/>
      <c r="H53" s="17"/>
      <c r="I53" s="17"/>
      <c r="J53" s="17"/>
      <c r="K53" s="17"/>
      <c r="L53" s="148"/>
      <c r="M53" s="208">
        <f t="shared" si="12"/>
        <v>0</v>
      </c>
      <c r="N53" s="208">
        <f t="shared" si="13"/>
        <v>0</v>
      </c>
      <c r="P53" s="218">
        <f>N53*Deflator!C96/Deflator!$C$86</f>
        <v>0</v>
      </c>
      <c r="S53" s="114"/>
      <c r="T53" s="128"/>
      <c r="U53" s="416"/>
      <c r="V53" s="416"/>
      <c r="W53" s="416"/>
      <c r="X53" s="416"/>
    </row>
    <row r="54" spans="1:24" s="206" customFormat="1">
      <c r="A54" s="219"/>
      <c r="B54" s="220"/>
      <c r="C54" s="206">
        <f t="shared" si="14"/>
        <v>2030</v>
      </c>
      <c r="D54" s="17"/>
      <c r="E54" s="17"/>
      <c r="F54" s="148"/>
      <c r="G54" s="17"/>
      <c r="H54" s="17"/>
      <c r="I54" s="17"/>
      <c r="J54" s="17"/>
      <c r="K54" s="17"/>
      <c r="L54" s="148"/>
      <c r="M54" s="208">
        <f t="shared" si="12"/>
        <v>0</v>
      </c>
      <c r="N54" s="208">
        <f t="shared" si="13"/>
        <v>0</v>
      </c>
      <c r="P54" s="218">
        <f>N54*Deflator!C97/Deflator!$C$86</f>
        <v>0</v>
      </c>
      <c r="S54" s="114"/>
      <c r="T54" s="128"/>
      <c r="U54" s="416"/>
      <c r="V54" s="416"/>
      <c r="W54" s="416"/>
      <c r="X54" s="416"/>
    </row>
    <row r="55" spans="1:24" s="206" customFormat="1">
      <c r="A55" s="219"/>
      <c r="B55" s="148"/>
      <c r="C55" s="206">
        <f t="shared" si="14"/>
        <v>2031</v>
      </c>
      <c r="D55" s="17"/>
      <c r="E55" s="17"/>
      <c r="F55" s="148"/>
      <c r="G55" s="17"/>
      <c r="H55" s="17"/>
      <c r="I55" s="17"/>
      <c r="J55" s="17"/>
      <c r="K55" s="17"/>
      <c r="L55" s="148"/>
      <c r="M55" s="208">
        <f t="shared" si="12"/>
        <v>0</v>
      </c>
      <c r="N55" s="208">
        <f t="shared" si="13"/>
        <v>0</v>
      </c>
      <c r="P55" s="218">
        <f>N55*Deflator!C98/Deflator!$C$86</f>
        <v>0</v>
      </c>
      <c r="S55" s="114"/>
      <c r="T55" s="128"/>
      <c r="U55" s="416"/>
      <c r="V55" s="416"/>
      <c r="W55" s="416"/>
      <c r="X55" s="416"/>
    </row>
    <row r="56" spans="1:24" s="206" customFormat="1">
      <c r="A56" s="219"/>
      <c r="B56" s="215"/>
      <c r="C56" s="206">
        <f t="shared" si="14"/>
        <v>2032</v>
      </c>
      <c r="D56" s="17"/>
      <c r="E56" s="17"/>
      <c r="F56" s="148"/>
      <c r="G56" s="17"/>
      <c r="H56" s="17"/>
      <c r="I56" s="17"/>
      <c r="J56" s="17"/>
      <c r="K56" s="17"/>
      <c r="L56" s="148"/>
      <c r="M56" s="208">
        <f t="shared" si="12"/>
        <v>0</v>
      </c>
      <c r="N56" s="208">
        <f t="shared" si="13"/>
        <v>0</v>
      </c>
      <c r="P56" s="218">
        <f>N56*Deflator!C99/Deflator!$C$86</f>
        <v>0</v>
      </c>
      <c r="S56" s="114"/>
      <c r="T56" s="128"/>
      <c r="U56" s="416"/>
      <c r="V56" s="416"/>
      <c r="W56" s="416"/>
      <c r="X56" s="416"/>
    </row>
    <row r="57" spans="1:24" s="206" customFormat="1">
      <c r="A57" s="219"/>
      <c r="B57" s="215"/>
      <c r="C57" s="206">
        <f t="shared" si="14"/>
        <v>2033</v>
      </c>
      <c r="D57" s="17"/>
      <c r="E57" s="17"/>
      <c r="F57" s="148"/>
      <c r="G57" s="17"/>
      <c r="H57" s="17"/>
      <c r="I57" s="17"/>
      <c r="J57" s="17"/>
      <c r="K57" s="17"/>
      <c r="L57" s="148"/>
      <c r="M57" s="208">
        <f t="shared" si="12"/>
        <v>0</v>
      </c>
      <c r="N57" s="208">
        <f t="shared" si="13"/>
        <v>0</v>
      </c>
      <c r="P57" s="218">
        <f>N57*Deflator!C100/Deflator!$C$86</f>
        <v>0</v>
      </c>
      <c r="S57" s="114"/>
      <c r="T57" s="128"/>
    </row>
    <row r="58" spans="1:24" s="206" customFormat="1">
      <c r="A58" s="148"/>
      <c r="B58" s="148"/>
      <c r="C58" s="206">
        <f t="shared" si="14"/>
        <v>2034</v>
      </c>
      <c r="D58" s="17"/>
      <c r="E58" s="17"/>
      <c r="F58" s="148"/>
      <c r="G58" s="17"/>
      <c r="H58" s="17"/>
      <c r="I58" s="17"/>
      <c r="J58" s="17"/>
      <c r="K58" s="17"/>
      <c r="L58" s="148"/>
      <c r="M58" s="208">
        <f t="shared" si="12"/>
        <v>0</v>
      </c>
      <c r="N58" s="208">
        <f t="shared" si="13"/>
        <v>0</v>
      </c>
      <c r="P58" s="218">
        <f>N58*Deflator!C101/Deflator!$C$86</f>
        <v>0</v>
      </c>
      <c r="S58" s="114"/>
      <c r="T58" s="128"/>
    </row>
    <row r="59" spans="1:24" s="206" customFormat="1">
      <c r="C59" s="206">
        <f t="shared" si="14"/>
        <v>2035</v>
      </c>
      <c r="D59" s="17"/>
      <c r="E59" s="17"/>
      <c r="F59" s="148"/>
      <c r="G59" s="17"/>
      <c r="H59" s="17"/>
      <c r="I59" s="17"/>
      <c r="J59" s="17"/>
      <c r="K59" s="17"/>
      <c r="L59" s="148"/>
      <c r="M59" s="208">
        <f t="shared" si="12"/>
        <v>0</v>
      </c>
      <c r="N59" s="208">
        <f t="shared" si="13"/>
        <v>0</v>
      </c>
      <c r="P59" s="218">
        <f>N59*Deflator!C102/Deflator!$C$86</f>
        <v>0</v>
      </c>
      <c r="S59" s="114"/>
      <c r="T59" s="128"/>
    </row>
    <row r="60" spans="1:24" s="206" customFormat="1">
      <c r="B60" s="208"/>
      <c r="D60" s="208">
        <f t="shared" ref="D60:N60" si="21">SUM(D44:D59)</f>
        <v>0</v>
      </c>
      <c r="E60" s="208">
        <f t="shared" si="21"/>
        <v>0</v>
      </c>
      <c r="F60" s="208">
        <f t="shared" si="21"/>
        <v>43141920.891031891</v>
      </c>
      <c r="G60" s="208">
        <f t="shared" si="21"/>
        <v>17800000</v>
      </c>
      <c r="H60" s="208">
        <f t="shared" si="21"/>
        <v>0</v>
      </c>
      <c r="I60" s="208">
        <f t="shared" si="21"/>
        <v>17000000</v>
      </c>
      <c r="J60" s="208">
        <f t="shared" si="21"/>
        <v>11000000</v>
      </c>
      <c r="K60" s="208">
        <f t="shared" si="21"/>
        <v>5000000</v>
      </c>
      <c r="L60" s="208">
        <f t="shared" si="21"/>
        <v>15000000</v>
      </c>
      <c r="M60" s="17">
        <f t="shared" si="21"/>
        <v>108941920.89103189</v>
      </c>
      <c r="N60" s="208">
        <f t="shared" si="21"/>
        <v>108941920.89103189</v>
      </c>
      <c r="P60" s="17">
        <f>SUM(P44:P59)</f>
        <v>121183050.83778913</v>
      </c>
      <c r="S60" s="114"/>
      <c r="T60" s="128"/>
    </row>
    <row r="61" spans="1:24" s="206" customFormat="1">
      <c r="B61" s="208"/>
      <c r="D61" s="208"/>
      <c r="E61" s="208"/>
      <c r="F61" s="208"/>
      <c r="G61" s="208"/>
      <c r="H61" s="208"/>
      <c r="I61" s="208"/>
      <c r="J61" s="208"/>
      <c r="K61" s="208"/>
      <c r="L61" s="208"/>
      <c r="M61" s="17"/>
      <c r="N61" s="208"/>
      <c r="P61" s="17"/>
      <c r="S61" s="114"/>
      <c r="T61" s="128"/>
    </row>
    <row r="62" spans="1:24" s="206" customFormat="1" ht="15.75">
      <c r="C62" s="206" t="s">
        <v>574</v>
      </c>
      <c r="H62" s="102"/>
      <c r="N62" s="247"/>
      <c r="P62" s="148" t="s">
        <v>0</v>
      </c>
      <c r="S62" s="114"/>
      <c r="T62" s="128"/>
    </row>
    <row r="63" spans="1:24" s="206" customFormat="1">
      <c r="C63" s="148" t="s">
        <v>229</v>
      </c>
      <c r="D63" s="209" t="str">
        <f>D43</f>
        <v>I-6007</v>
      </c>
      <c r="E63" s="209" t="str">
        <f t="shared" ref="E63:L63" si="22">E43</f>
        <v>I-6005</v>
      </c>
      <c r="F63" s="209" t="str">
        <f t="shared" si="22"/>
        <v>Broadband +ICM/ITS</v>
      </c>
      <c r="G63" s="209" t="str">
        <f t="shared" si="22"/>
        <v>H141265</v>
      </c>
      <c r="H63" s="209" t="str">
        <f t="shared" si="22"/>
        <v>U-6149</v>
      </c>
      <c r="I63" s="209" t="str">
        <f t="shared" si="22"/>
        <v>H141265</v>
      </c>
      <c r="J63" s="209" t="str">
        <f t="shared" si="22"/>
        <v>H171801**</v>
      </c>
      <c r="K63" s="209" t="str">
        <f t="shared" si="22"/>
        <v>R-5869A</v>
      </c>
      <c r="L63" s="209" t="str">
        <f t="shared" si="22"/>
        <v>R-5869B</v>
      </c>
      <c r="M63" s="209" t="s">
        <v>0</v>
      </c>
      <c r="N63" s="209" t="s">
        <v>319</v>
      </c>
      <c r="P63" s="62" t="s">
        <v>543</v>
      </c>
      <c r="R63" s="62"/>
      <c r="S63" s="114"/>
      <c r="T63" s="128"/>
    </row>
    <row r="64" spans="1:24" s="206" customFormat="1">
      <c r="C64" s="148">
        <f>C44</f>
        <v>2020</v>
      </c>
      <c r="D64" s="246"/>
      <c r="E64" s="246"/>
      <c r="F64" s="291"/>
      <c r="G64" s="246"/>
      <c r="H64" s="246"/>
      <c r="I64" s="246"/>
      <c r="J64" s="246"/>
      <c r="K64" s="246"/>
      <c r="L64" s="246"/>
      <c r="M64" s="208">
        <f t="shared" ref="M64:M79" si="23">SUM(D64:L64)</f>
        <v>0</v>
      </c>
      <c r="N64" s="208">
        <f>M64</f>
        <v>0</v>
      </c>
      <c r="P64" s="218">
        <f>N64*Deflator!C87/Deflator!$C$86</f>
        <v>0</v>
      </c>
      <c r="Q64" s="208"/>
      <c r="S64" s="114"/>
      <c r="T64" s="128"/>
    </row>
    <row r="65" spans="1:20" s="206" customFormat="1">
      <c r="C65" s="148">
        <f>C64+1</f>
        <v>2021</v>
      </c>
      <c r="D65" s="208"/>
      <c r="E65" s="208"/>
      <c r="F65" s="148"/>
      <c r="G65" s="208"/>
      <c r="H65" s="208"/>
      <c r="I65" s="208"/>
      <c r="J65" s="208"/>
      <c r="K65" s="208"/>
      <c r="M65" s="208">
        <f t="shared" si="23"/>
        <v>0</v>
      </c>
      <c r="N65" s="208">
        <f t="shared" ref="N65:N79" si="24">M65</f>
        <v>0</v>
      </c>
      <c r="P65" s="218">
        <f>N65*Deflator!C88/Deflator!$C$86</f>
        <v>0</v>
      </c>
      <c r="Q65" s="208"/>
      <c r="S65" s="114"/>
      <c r="T65" s="128"/>
    </row>
    <row r="66" spans="1:20" s="206" customFormat="1">
      <c r="C66" s="148">
        <f t="shared" ref="C66:C79" si="25">C65+1</f>
        <v>2022</v>
      </c>
      <c r="D66" s="17">
        <f t="shared" ref="D66:D71" si="26">$F$3*D128</f>
        <v>0</v>
      </c>
      <c r="E66" s="17">
        <f t="shared" ref="E66:E71" si="27">$F$4*E128</f>
        <v>0</v>
      </c>
      <c r="F66" s="17">
        <f t="shared" ref="F66:F67" si="28">$F$5*J106</f>
        <v>6000000</v>
      </c>
      <c r="G66" s="17">
        <f t="shared" ref="G66:G71" si="29">$F$6*G128</f>
        <v>0</v>
      </c>
      <c r="H66" s="17"/>
      <c r="I66" s="17">
        <f t="shared" ref="I66:I72" si="30">($F$8)*I128</f>
        <v>0</v>
      </c>
      <c r="J66" s="17">
        <f t="shared" ref="J66:J71" si="31">($F$9)*J128</f>
        <v>0</v>
      </c>
      <c r="K66" s="17">
        <f t="shared" ref="K66:K67" si="32">$F$10*K128</f>
        <v>0</v>
      </c>
      <c r="L66" s="17">
        <f t="shared" ref="L66:L67" si="33">$F$11*L128</f>
        <v>0</v>
      </c>
      <c r="M66" s="208">
        <f t="shared" si="23"/>
        <v>6000000</v>
      </c>
      <c r="N66" s="208">
        <f t="shared" si="24"/>
        <v>6000000</v>
      </c>
      <c r="P66" s="218">
        <f>N66*Deflator!C89/Deflator!$C$86</f>
        <v>6365996.7988618175</v>
      </c>
      <c r="Q66" s="208"/>
      <c r="S66" s="114"/>
      <c r="T66" s="128"/>
    </row>
    <row r="67" spans="1:20" s="206" customFormat="1">
      <c r="A67" s="148"/>
      <c r="B67" s="148"/>
      <c r="C67" s="148">
        <f t="shared" si="25"/>
        <v>2023</v>
      </c>
      <c r="D67" s="17">
        <f t="shared" si="26"/>
        <v>352000</v>
      </c>
      <c r="E67" s="17">
        <f t="shared" si="27"/>
        <v>864000.00000000012</v>
      </c>
      <c r="F67" s="17">
        <f t="shared" si="28"/>
        <v>18000000</v>
      </c>
      <c r="G67" s="17">
        <f t="shared" si="29"/>
        <v>405466.97038724378</v>
      </c>
      <c r="H67" s="17"/>
      <c r="I67" s="17">
        <f t="shared" si="30"/>
        <v>166177.90811339201</v>
      </c>
      <c r="J67" s="17">
        <f t="shared" si="31"/>
        <v>391585.76051779935</v>
      </c>
      <c r="K67" s="17">
        <f t="shared" si="32"/>
        <v>0</v>
      </c>
      <c r="L67" s="17">
        <f t="shared" si="33"/>
        <v>0</v>
      </c>
      <c r="M67" s="208">
        <f t="shared" si="23"/>
        <v>20179230.639018431</v>
      </c>
      <c r="N67" s="208">
        <f t="shared" si="24"/>
        <v>20179230.639018431</v>
      </c>
      <c r="P67" s="218">
        <f>N67*Deflator!C90/Deflator!$C$86</f>
        <v>21839001.965809472</v>
      </c>
      <c r="Q67" s="208"/>
      <c r="S67" s="114"/>
      <c r="T67" s="128"/>
    </row>
    <row r="68" spans="1:20" s="206" customFormat="1">
      <c r="A68" s="148"/>
      <c r="B68" s="148"/>
      <c r="C68" s="148">
        <f t="shared" si="25"/>
        <v>2024</v>
      </c>
      <c r="D68" s="17">
        <f t="shared" si="26"/>
        <v>1408000</v>
      </c>
      <c r="E68" s="17">
        <f t="shared" si="27"/>
        <v>3456000.0000000005</v>
      </c>
      <c r="F68" s="17">
        <f>$F$5*J108</f>
        <v>19141920.891031891</v>
      </c>
      <c r="G68" s="17">
        <f t="shared" si="29"/>
        <v>8697266.5148063786</v>
      </c>
      <c r="H68" s="17"/>
      <c r="I68" s="17">
        <f t="shared" si="30"/>
        <v>199413.48973607036</v>
      </c>
      <c r="J68" s="17">
        <f t="shared" si="31"/>
        <v>5092038.8349514557</v>
      </c>
      <c r="K68" s="17">
        <f>$F$10*K130</f>
        <v>934959.34959349583</v>
      </c>
      <c r="L68" s="17">
        <f>$F$11*L130</f>
        <v>2468354.4303797465</v>
      </c>
      <c r="M68" s="208">
        <f t="shared" si="23"/>
        <v>41397953.510499038</v>
      </c>
      <c r="N68" s="208">
        <f t="shared" si="24"/>
        <v>41397953.510499038</v>
      </c>
      <c r="P68" s="218">
        <f>N68*Deflator!C91/Deflator!$C$86</f>
        <v>45704872.024395876</v>
      </c>
      <c r="Q68" s="208"/>
      <c r="S68" s="114"/>
      <c r="T68" s="128"/>
    </row>
    <row r="69" spans="1:20" s="206" customFormat="1">
      <c r="A69" s="115"/>
      <c r="B69" s="115"/>
      <c r="C69" s="148">
        <f t="shared" si="25"/>
        <v>2025</v>
      </c>
      <c r="D69" s="17">
        <f t="shared" si="26"/>
        <v>2377142.8571428573</v>
      </c>
      <c r="E69" s="17">
        <f t="shared" si="27"/>
        <v>24548571.428571429</v>
      </c>
      <c r="F69" s="17">
        <f>$F$5*J109</f>
        <v>0</v>
      </c>
      <c r="G69" s="17">
        <f t="shared" si="29"/>
        <v>8697266.5148063786</v>
      </c>
      <c r="H69" s="17">
        <f>$F$7/36*12</f>
        <v>0</v>
      </c>
      <c r="I69" s="17">
        <f t="shared" si="30"/>
        <v>7677419.3548387093</v>
      </c>
      <c r="J69" s="17">
        <f t="shared" si="31"/>
        <v>5092038.8349514557</v>
      </c>
      <c r="K69" s="17">
        <f>$F$10*K131</f>
        <v>1682085.7863751051</v>
      </c>
      <c r="L69" s="17">
        <f>$F$11*L131</f>
        <v>5185508.5115670012</v>
      </c>
      <c r="M69" s="208">
        <f t="shared" si="23"/>
        <v>55260033.288252935</v>
      </c>
      <c r="N69" s="208">
        <f t="shared" si="24"/>
        <v>55260033.288252935</v>
      </c>
      <c r="P69" s="218">
        <f>N69*Deflator!C92/Deflator!$C$86</f>
        <v>62232644.637713261</v>
      </c>
      <c r="Q69" s="208"/>
      <c r="S69" s="114"/>
      <c r="T69" s="128"/>
    </row>
    <row r="70" spans="1:20" s="206" customFormat="1">
      <c r="A70" s="219"/>
      <c r="B70" s="215"/>
      <c r="C70" s="148">
        <f t="shared" si="25"/>
        <v>2026</v>
      </c>
      <c r="D70" s="17">
        <f t="shared" si="26"/>
        <v>1782857.142857143</v>
      </c>
      <c r="E70" s="17">
        <f t="shared" si="27"/>
        <v>18411428.571428575</v>
      </c>
      <c r="F70" s="17">
        <f>$F$5*J110</f>
        <v>0</v>
      </c>
      <c r="G70" s="17">
        <f t="shared" si="29"/>
        <v>0</v>
      </c>
      <c r="H70" s="17">
        <f>$F$7/36*12</f>
        <v>0</v>
      </c>
      <c r="I70" s="17">
        <f t="shared" si="30"/>
        <v>7677419.3548387093</v>
      </c>
      <c r="J70" s="17">
        <f t="shared" si="31"/>
        <v>424336.56957928801</v>
      </c>
      <c r="K70" s="17">
        <f>$F$10*K132</f>
        <v>1682085.7863751051</v>
      </c>
      <c r="L70" s="17">
        <f>$F$11*L132</f>
        <v>5185508.5115670012</v>
      </c>
      <c r="M70" s="208">
        <f t="shared" si="23"/>
        <v>35163635.936645821</v>
      </c>
      <c r="N70" s="208">
        <f t="shared" si="24"/>
        <v>35163635.936645821</v>
      </c>
      <c r="P70" s="218">
        <f>N70*Deflator!C93/Deflator!$C$86</f>
        <v>40396185.310520321</v>
      </c>
      <c r="Q70" s="208"/>
      <c r="S70" s="114"/>
      <c r="T70" s="128"/>
    </row>
    <row r="71" spans="1:20" s="206" customFormat="1">
      <c r="A71" s="219"/>
      <c r="B71" s="215"/>
      <c r="C71" s="148">
        <f t="shared" si="25"/>
        <v>2027</v>
      </c>
      <c r="D71" s="17">
        <f t="shared" si="26"/>
        <v>0</v>
      </c>
      <c r="E71" s="17">
        <f t="shared" si="27"/>
        <v>0</v>
      </c>
      <c r="F71" s="17">
        <f>F51</f>
        <v>0</v>
      </c>
      <c r="G71" s="17">
        <f t="shared" si="29"/>
        <v>0</v>
      </c>
      <c r="H71" s="17">
        <f>$F$7/36*12</f>
        <v>0</v>
      </c>
      <c r="I71" s="17">
        <f t="shared" si="30"/>
        <v>1279569.8924731184</v>
      </c>
      <c r="J71" s="17">
        <f t="shared" si="31"/>
        <v>0</v>
      </c>
      <c r="K71" s="17">
        <f>$F$10*K133</f>
        <v>700869.07765629387</v>
      </c>
      <c r="L71" s="17">
        <f>$F$11*L133</f>
        <v>2160628.5464862506</v>
      </c>
      <c r="M71" s="208">
        <f t="shared" si="23"/>
        <v>4141067.5166156627</v>
      </c>
      <c r="N71" s="208">
        <f t="shared" si="24"/>
        <v>4141067.5166156627</v>
      </c>
      <c r="P71" s="218">
        <f>N71*Deflator!C94/Deflator!$C$86</f>
        <v>4852866.6538898814</v>
      </c>
      <c r="Q71" s="208"/>
      <c r="S71" s="114"/>
      <c r="T71" s="128"/>
    </row>
    <row r="72" spans="1:20" s="206" customFormat="1">
      <c r="A72" s="219"/>
      <c r="B72" s="219"/>
      <c r="C72" s="148">
        <f t="shared" si="25"/>
        <v>2028</v>
      </c>
      <c r="D72" s="17"/>
      <c r="E72" s="17"/>
      <c r="F72" s="148"/>
      <c r="G72" s="17"/>
      <c r="H72" s="17"/>
      <c r="I72" s="17">
        <f t="shared" si="30"/>
        <v>0</v>
      </c>
      <c r="J72" s="17"/>
      <c r="K72" s="17"/>
      <c r="L72" s="17"/>
      <c r="M72" s="208">
        <f t="shared" si="23"/>
        <v>0</v>
      </c>
      <c r="N72" s="208">
        <f t="shared" si="24"/>
        <v>0</v>
      </c>
      <c r="P72" s="218">
        <f>N72*Deflator!C95/Deflator!$C$86</f>
        <v>0</v>
      </c>
      <c r="Q72" s="208"/>
      <c r="S72" s="114"/>
      <c r="T72" s="128"/>
    </row>
    <row r="73" spans="1:20" s="206" customFormat="1">
      <c r="A73" s="219"/>
      <c r="B73" s="220"/>
      <c r="C73" s="148">
        <f t="shared" si="25"/>
        <v>2029</v>
      </c>
      <c r="D73" s="17"/>
      <c r="E73" s="17"/>
      <c r="F73" s="148"/>
      <c r="G73" s="17"/>
      <c r="H73" s="17"/>
      <c r="I73" s="17"/>
      <c r="J73" s="17"/>
      <c r="K73" s="17"/>
      <c r="L73" s="148"/>
      <c r="M73" s="208">
        <f t="shared" si="23"/>
        <v>0</v>
      </c>
      <c r="N73" s="208">
        <f t="shared" si="24"/>
        <v>0</v>
      </c>
      <c r="P73" s="218">
        <f>N73*Deflator!C96/Deflator!$C$86</f>
        <v>0</v>
      </c>
      <c r="Q73" s="208"/>
      <c r="S73" s="114"/>
      <c r="T73" s="128"/>
    </row>
    <row r="74" spans="1:20" s="206" customFormat="1">
      <c r="A74" s="219"/>
      <c r="B74" s="220"/>
      <c r="C74" s="148">
        <f t="shared" si="25"/>
        <v>2030</v>
      </c>
      <c r="D74" s="17"/>
      <c r="E74" s="17"/>
      <c r="F74" s="148"/>
      <c r="G74" s="17"/>
      <c r="H74" s="17"/>
      <c r="I74" s="17"/>
      <c r="J74" s="17"/>
      <c r="K74" s="17"/>
      <c r="L74" s="148"/>
      <c r="M74" s="208">
        <f t="shared" si="23"/>
        <v>0</v>
      </c>
      <c r="N74" s="208">
        <f t="shared" si="24"/>
        <v>0</v>
      </c>
      <c r="P74" s="218">
        <f>N74*Deflator!C97/Deflator!$C$86</f>
        <v>0</v>
      </c>
      <c r="Q74" s="208"/>
      <c r="S74" s="114"/>
      <c r="T74" s="128"/>
    </row>
    <row r="75" spans="1:20" s="206" customFormat="1">
      <c r="A75" s="219"/>
      <c r="B75" s="148"/>
      <c r="C75" s="148">
        <f t="shared" si="25"/>
        <v>2031</v>
      </c>
      <c r="D75" s="17"/>
      <c r="E75" s="17"/>
      <c r="F75" s="148"/>
      <c r="G75" s="17"/>
      <c r="H75" s="17"/>
      <c r="I75" s="17"/>
      <c r="J75" s="17"/>
      <c r="K75" s="17"/>
      <c r="L75" s="148"/>
      <c r="M75" s="208">
        <f t="shared" si="23"/>
        <v>0</v>
      </c>
      <c r="N75" s="208">
        <f t="shared" si="24"/>
        <v>0</v>
      </c>
      <c r="P75" s="218">
        <f>N75*Deflator!C98/Deflator!$C$86</f>
        <v>0</v>
      </c>
      <c r="Q75" s="208"/>
      <c r="S75" s="114"/>
      <c r="T75" s="128"/>
    </row>
    <row r="76" spans="1:20" s="206" customFormat="1">
      <c r="A76" s="219"/>
      <c r="B76" s="215"/>
      <c r="C76" s="148">
        <f t="shared" si="25"/>
        <v>2032</v>
      </c>
      <c r="D76" s="17"/>
      <c r="E76" s="17"/>
      <c r="F76" s="148"/>
      <c r="G76" s="17"/>
      <c r="H76" s="17"/>
      <c r="I76" s="17"/>
      <c r="J76" s="17"/>
      <c r="K76" s="17"/>
      <c r="L76" s="148"/>
      <c r="M76" s="208">
        <f t="shared" si="23"/>
        <v>0</v>
      </c>
      <c r="N76" s="208">
        <f t="shared" si="24"/>
        <v>0</v>
      </c>
      <c r="P76" s="218">
        <f>N76*Deflator!C99/Deflator!$C$86</f>
        <v>0</v>
      </c>
      <c r="Q76" s="208"/>
      <c r="S76" s="114"/>
      <c r="T76" s="128"/>
    </row>
    <row r="77" spans="1:20" s="206" customFormat="1">
      <c r="A77" s="219"/>
      <c r="B77" s="215"/>
      <c r="C77" s="148">
        <f t="shared" si="25"/>
        <v>2033</v>
      </c>
      <c r="D77" s="17"/>
      <c r="E77" s="17"/>
      <c r="F77" s="148"/>
      <c r="G77" s="17"/>
      <c r="H77" s="17"/>
      <c r="I77" s="17"/>
      <c r="J77" s="17"/>
      <c r="K77" s="17"/>
      <c r="L77" s="148"/>
      <c r="M77" s="208">
        <f t="shared" si="23"/>
        <v>0</v>
      </c>
      <c r="N77" s="208">
        <f t="shared" si="24"/>
        <v>0</v>
      </c>
      <c r="P77" s="218">
        <f>N77*Deflator!C100/Deflator!$C$86</f>
        <v>0</v>
      </c>
      <c r="Q77" s="208"/>
      <c r="S77" s="114"/>
      <c r="T77" s="128"/>
    </row>
    <row r="78" spans="1:20" s="206" customFormat="1">
      <c r="A78" s="148"/>
      <c r="B78" s="148"/>
      <c r="C78" s="148">
        <f t="shared" si="25"/>
        <v>2034</v>
      </c>
      <c r="D78" s="17"/>
      <c r="E78" s="17"/>
      <c r="F78" s="148"/>
      <c r="G78" s="17"/>
      <c r="H78" s="17"/>
      <c r="I78" s="17"/>
      <c r="J78" s="17"/>
      <c r="K78" s="17"/>
      <c r="L78" s="148"/>
      <c r="M78" s="208">
        <f t="shared" si="23"/>
        <v>0</v>
      </c>
      <c r="N78" s="208">
        <f t="shared" si="24"/>
        <v>0</v>
      </c>
      <c r="P78" s="218">
        <f>N78*Deflator!C101/Deflator!$C$86</f>
        <v>0</v>
      </c>
      <c r="Q78" s="208"/>
      <c r="S78" s="114"/>
      <c r="T78" s="128"/>
    </row>
    <row r="79" spans="1:20" s="206" customFormat="1">
      <c r="C79" s="148">
        <f t="shared" si="25"/>
        <v>2035</v>
      </c>
      <c r="D79" s="17"/>
      <c r="E79" s="17"/>
      <c r="F79" s="148"/>
      <c r="G79" s="17"/>
      <c r="H79" s="17"/>
      <c r="I79" s="17"/>
      <c r="J79" s="17"/>
      <c r="K79" s="17"/>
      <c r="L79" s="148"/>
      <c r="M79" s="208">
        <f t="shared" si="23"/>
        <v>0</v>
      </c>
      <c r="N79" s="208">
        <f t="shared" si="24"/>
        <v>0</v>
      </c>
      <c r="P79" s="218">
        <f>N79*Deflator!C102/Deflator!$C$86</f>
        <v>0</v>
      </c>
      <c r="Q79" s="208"/>
      <c r="S79" s="114"/>
      <c r="T79" s="128"/>
    </row>
    <row r="80" spans="1:20" s="206" customFormat="1">
      <c r="B80" s="208"/>
      <c r="C80" s="148"/>
      <c r="D80" s="208">
        <f t="shared" ref="D80:N80" si="34">SUM(D64:D79)</f>
        <v>5920000</v>
      </c>
      <c r="E80" s="208">
        <f t="shared" si="34"/>
        <v>47280000</v>
      </c>
      <c r="F80" s="208">
        <f t="shared" si="34"/>
        <v>43141920.891031891</v>
      </c>
      <c r="G80" s="208">
        <f t="shared" si="34"/>
        <v>17800000</v>
      </c>
      <c r="H80" s="208">
        <f t="shared" si="34"/>
        <v>0</v>
      </c>
      <c r="I80" s="208">
        <f t="shared" si="34"/>
        <v>17000000</v>
      </c>
      <c r="J80" s="208">
        <f t="shared" si="34"/>
        <v>11000000</v>
      </c>
      <c r="K80" s="208">
        <f t="shared" si="34"/>
        <v>5000000</v>
      </c>
      <c r="L80" s="208">
        <f t="shared" si="34"/>
        <v>15000000</v>
      </c>
      <c r="M80" s="17">
        <f t="shared" si="34"/>
        <v>162141920.89103189</v>
      </c>
      <c r="N80" s="208">
        <f t="shared" si="34"/>
        <v>162141920.89103189</v>
      </c>
      <c r="P80" s="17">
        <f>SUM(P64:P79)</f>
        <v>181391567.39119065</v>
      </c>
      <c r="Q80" s="208"/>
      <c r="S80" s="114"/>
      <c r="T80" s="128"/>
    </row>
    <row r="81" spans="1:20" s="206" customFormat="1">
      <c r="B81" s="208"/>
      <c r="D81" s="208"/>
      <c r="E81" s="208"/>
      <c r="F81" s="208"/>
      <c r="G81" s="208"/>
      <c r="H81" s="208"/>
      <c r="I81" s="208"/>
      <c r="J81" s="208"/>
      <c r="K81" s="208"/>
      <c r="L81" s="208"/>
      <c r="M81" s="208"/>
      <c r="N81" s="208"/>
      <c r="P81" s="17"/>
      <c r="S81" s="114"/>
      <c r="T81" s="128"/>
    </row>
    <row r="82" spans="1:20" s="206" customFormat="1" ht="15.75">
      <c r="C82" s="206" t="s">
        <v>575</v>
      </c>
      <c r="H82" s="102"/>
      <c r="N82" s="247"/>
      <c r="P82" s="148" t="s">
        <v>0</v>
      </c>
      <c r="S82" s="114"/>
      <c r="T82" s="128"/>
    </row>
    <row r="83" spans="1:20" s="206" customFormat="1">
      <c r="C83" s="206" t="s">
        <v>229</v>
      </c>
      <c r="D83" s="209" t="s">
        <v>259</v>
      </c>
      <c r="E83" s="209" t="s">
        <v>260</v>
      </c>
      <c r="F83" s="18" t="s">
        <v>320</v>
      </c>
      <c r="G83" s="209" t="s">
        <v>282</v>
      </c>
      <c r="H83" s="209" t="s">
        <v>261</v>
      </c>
      <c r="I83" s="209" t="s">
        <v>282</v>
      </c>
      <c r="J83" s="209">
        <f>A71</f>
        <v>0</v>
      </c>
      <c r="K83" s="21" t="s">
        <v>262</v>
      </c>
      <c r="L83" s="209" t="s">
        <v>263</v>
      </c>
      <c r="M83" s="209" t="s">
        <v>0</v>
      </c>
      <c r="N83" s="209" t="s">
        <v>319</v>
      </c>
      <c r="P83" s="62" t="s">
        <v>543</v>
      </c>
      <c r="R83" s="62"/>
      <c r="S83" s="114"/>
      <c r="T83" s="128"/>
    </row>
    <row r="84" spans="1:20" s="206" customFormat="1">
      <c r="C84" s="206">
        <f>C64</f>
        <v>2020</v>
      </c>
      <c r="D84" s="246"/>
      <c r="E84" s="246"/>
      <c r="F84" s="246"/>
      <c r="G84" s="246"/>
      <c r="H84" s="246"/>
      <c r="I84" s="246"/>
      <c r="J84" s="246"/>
      <c r="K84" s="246"/>
      <c r="L84" s="246"/>
      <c r="M84" s="208">
        <f t="shared" ref="M84:M99" si="35">SUM(D84:L84)</f>
        <v>0</v>
      </c>
      <c r="N84" s="208">
        <f>M84</f>
        <v>0</v>
      </c>
      <c r="P84" s="218">
        <f>N84*Deflator!C87/Deflator!$C$86</f>
        <v>0</v>
      </c>
      <c r="S84" s="114"/>
      <c r="T84" s="128"/>
    </row>
    <row r="85" spans="1:20" s="206" customFormat="1">
      <c r="C85" s="206">
        <f>C84+1</f>
        <v>2021</v>
      </c>
      <c r="D85" s="208"/>
      <c r="E85" s="208"/>
      <c r="F85" s="148"/>
      <c r="G85" s="208"/>
      <c r="H85" s="208"/>
      <c r="I85" s="208"/>
      <c r="J85" s="208"/>
      <c r="K85" s="208"/>
      <c r="M85" s="208">
        <f t="shared" si="35"/>
        <v>0</v>
      </c>
      <c r="N85" s="208">
        <f t="shared" ref="N85:N99" si="36">M85</f>
        <v>0</v>
      </c>
      <c r="P85" s="218">
        <f>N85*Deflator!C88/Deflator!$C$86</f>
        <v>0</v>
      </c>
      <c r="S85" s="114"/>
      <c r="T85" s="128"/>
    </row>
    <row r="86" spans="1:20" s="206" customFormat="1">
      <c r="C86" s="206">
        <f t="shared" ref="C86:C99" si="37">C85+1</f>
        <v>2022</v>
      </c>
      <c r="D86" s="112">
        <f t="shared" ref="D86:D92" si="38">$E$3*D128</f>
        <v>0</v>
      </c>
      <c r="E86" s="17">
        <f t="shared" ref="E86:E92" si="39">$E$4*E128</f>
        <v>0</v>
      </c>
      <c r="F86" s="17">
        <f t="shared" ref="F86:F92" si="40">$E$5*J106</f>
        <v>1500000</v>
      </c>
      <c r="G86" s="17">
        <f t="shared" ref="G86:G92" si="41">$E$6*G128</f>
        <v>0</v>
      </c>
      <c r="H86" s="17">
        <f t="shared" ref="H86:H92" si="42">$E$7*H128</f>
        <v>0</v>
      </c>
      <c r="I86" s="17">
        <f t="shared" ref="I86:I92" si="43">($E$8)*I128</f>
        <v>0</v>
      </c>
      <c r="J86" s="17">
        <f t="shared" ref="J86:J92" si="44">($E$9)*J128</f>
        <v>0</v>
      </c>
      <c r="K86" s="17">
        <f t="shared" ref="K86:K92" si="45">$E$10*K128</f>
        <v>0</v>
      </c>
      <c r="L86" s="17">
        <f t="shared" ref="L86:L92" si="46">$E$11*L128</f>
        <v>0</v>
      </c>
      <c r="M86" s="208">
        <f t="shared" si="35"/>
        <v>1500000</v>
      </c>
      <c r="N86" s="208">
        <f t="shared" si="36"/>
        <v>1500000</v>
      </c>
      <c r="P86" s="218">
        <f>N86*Deflator!C89/Deflator!$C$86</f>
        <v>1591499.1997154544</v>
      </c>
      <c r="S86" s="114"/>
      <c r="T86" s="128"/>
    </row>
    <row r="87" spans="1:20" s="206" customFormat="1">
      <c r="A87" s="148"/>
      <c r="B87" s="148"/>
      <c r="C87" s="206">
        <f t="shared" si="37"/>
        <v>2023</v>
      </c>
      <c r="D87" s="112">
        <f t="shared" si="38"/>
        <v>88000</v>
      </c>
      <c r="E87" s="17">
        <f t="shared" si="39"/>
        <v>216000.00000000003</v>
      </c>
      <c r="F87" s="17">
        <f t="shared" si="40"/>
        <v>4500000</v>
      </c>
      <c r="G87" s="17">
        <f t="shared" si="41"/>
        <v>1594533.0296127563</v>
      </c>
      <c r="H87" s="17">
        <f t="shared" si="42"/>
        <v>5360000</v>
      </c>
      <c r="I87" s="17">
        <f t="shared" si="43"/>
        <v>742913.00097751722</v>
      </c>
      <c r="J87" s="17">
        <f t="shared" si="44"/>
        <v>708414.2394822007</v>
      </c>
      <c r="K87" s="17">
        <f t="shared" si="45"/>
        <v>0</v>
      </c>
      <c r="L87" s="17">
        <f t="shared" si="46"/>
        <v>0</v>
      </c>
      <c r="M87" s="208">
        <f t="shared" si="35"/>
        <v>13209860.270072475</v>
      </c>
      <c r="N87" s="208">
        <f t="shared" si="36"/>
        <v>13209860.270072475</v>
      </c>
      <c r="P87" s="218">
        <f>N87*Deflator!C90/Deflator!$C$86</f>
        <v>14296390.658638814</v>
      </c>
      <c r="S87" s="114"/>
      <c r="T87" s="128"/>
    </row>
    <row r="88" spans="1:20" s="206" customFormat="1">
      <c r="A88" s="148"/>
      <c r="B88" s="148"/>
      <c r="C88" s="206">
        <f t="shared" si="37"/>
        <v>2024</v>
      </c>
      <c r="D88" s="112">
        <f t="shared" si="38"/>
        <v>352000</v>
      </c>
      <c r="E88" s="17">
        <f t="shared" si="39"/>
        <v>864000.00000000012</v>
      </c>
      <c r="F88" s="17">
        <f t="shared" si="40"/>
        <v>4785480.2227579728</v>
      </c>
      <c r="G88" s="17">
        <f t="shared" si="41"/>
        <v>34202733.485193625</v>
      </c>
      <c r="H88" s="17">
        <f t="shared" si="42"/>
        <v>8040000</v>
      </c>
      <c r="I88" s="17">
        <f t="shared" si="43"/>
        <v>891495.60117302043</v>
      </c>
      <c r="J88" s="17">
        <f t="shared" si="44"/>
        <v>9211961.1650485434</v>
      </c>
      <c r="K88" s="17">
        <f t="shared" si="45"/>
        <v>5965040.650406504</v>
      </c>
      <c r="L88" s="17">
        <f t="shared" si="46"/>
        <v>1431645.5696202531</v>
      </c>
      <c r="M88" s="208">
        <f t="shared" si="35"/>
        <v>65744356.694199912</v>
      </c>
      <c r="N88" s="208">
        <f t="shared" si="36"/>
        <v>65744356.694199912</v>
      </c>
      <c r="P88" s="218">
        <f>N88*Deflator!C91/Deflator!$C$86</f>
        <v>72584201.735300213</v>
      </c>
      <c r="S88" s="114"/>
      <c r="T88" s="128"/>
    </row>
    <row r="89" spans="1:20" s="206" customFormat="1">
      <c r="A89" s="115"/>
      <c r="B89" s="115"/>
      <c r="C89" s="206">
        <f t="shared" si="37"/>
        <v>2025</v>
      </c>
      <c r="D89" s="112">
        <f t="shared" si="38"/>
        <v>594285.71428571432</v>
      </c>
      <c r="E89" s="17">
        <f t="shared" si="39"/>
        <v>6137142.8571428573</v>
      </c>
      <c r="F89" s="17">
        <f t="shared" si="40"/>
        <v>0</v>
      </c>
      <c r="G89" s="17">
        <f t="shared" si="41"/>
        <v>34202733.485193625</v>
      </c>
      <c r="H89" s="17">
        <f t="shared" si="42"/>
        <v>42300000</v>
      </c>
      <c r="I89" s="17">
        <f t="shared" si="43"/>
        <v>34322580.645161286</v>
      </c>
      <c r="J89" s="17">
        <f t="shared" si="44"/>
        <v>9211961.1650485434</v>
      </c>
      <c r="K89" s="17">
        <f t="shared" si="45"/>
        <v>10731707.31707317</v>
      </c>
      <c r="L89" s="17">
        <f t="shared" si="46"/>
        <v>3007594.9367088606</v>
      </c>
      <c r="M89" s="208">
        <f t="shared" si="35"/>
        <v>140508006.12061408</v>
      </c>
      <c r="N89" s="208">
        <f t="shared" si="36"/>
        <v>140508006.12061408</v>
      </c>
      <c r="P89" s="218">
        <f>N89*Deflator!C92/Deflator!$C$86</f>
        <v>158237052.95372376</v>
      </c>
      <c r="S89" s="114"/>
      <c r="T89" s="128"/>
    </row>
    <row r="90" spans="1:20" s="206" customFormat="1">
      <c r="A90" s="219"/>
      <c r="B90" s="215"/>
      <c r="C90" s="206">
        <f t="shared" si="37"/>
        <v>2026</v>
      </c>
      <c r="D90" s="112">
        <f t="shared" si="38"/>
        <v>445714.28571428574</v>
      </c>
      <c r="E90" s="17">
        <f t="shared" si="39"/>
        <v>4602857.1428571437</v>
      </c>
      <c r="F90" s="17">
        <f t="shared" si="40"/>
        <v>0</v>
      </c>
      <c r="G90" s="17">
        <f t="shared" si="41"/>
        <v>0</v>
      </c>
      <c r="H90" s="17">
        <f t="shared" si="42"/>
        <v>42300000</v>
      </c>
      <c r="I90" s="17">
        <f t="shared" si="43"/>
        <v>34322580.645161286</v>
      </c>
      <c r="J90" s="17">
        <f t="shared" si="44"/>
        <v>767663.43042071199</v>
      </c>
      <c r="K90" s="17">
        <f t="shared" si="45"/>
        <v>10731707.31707317</v>
      </c>
      <c r="L90" s="17">
        <f t="shared" si="46"/>
        <v>3007594.9367088606</v>
      </c>
      <c r="M90" s="208">
        <f t="shared" si="35"/>
        <v>96178117.757935464</v>
      </c>
      <c r="N90" s="208">
        <f t="shared" si="36"/>
        <v>96178117.757935464</v>
      </c>
      <c r="P90" s="218">
        <f>N90*Deflator!C93/Deflator!$C$86</f>
        <v>110489969.65975326</v>
      </c>
      <c r="S90" s="114"/>
      <c r="T90" s="128"/>
    </row>
    <row r="91" spans="1:20" s="206" customFormat="1">
      <c r="A91" s="219"/>
      <c r="B91" s="215"/>
      <c r="C91" s="206">
        <f t="shared" si="37"/>
        <v>2027</v>
      </c>
      <c r="D91" s="112">
        <f t="shared" si="38"/>
        <v>0</v>
      </c>
      <c r="E91" s="17">
        <f t="shared" si="39"/>
        <v>0</v>
      </c>
      <c r="F91" s="17">
        <f t="shared" si="40"/>
        <v>0</v>
      </c>
      <c r="G91" s="17">
        <f t="shared" si="41"/>
        <v>0</v>
      </c>
      <c r="H91" s="17">
        <f t="shared" si="42"/>
        <v>14100000</v>
      </c>
      <c r="I91" s="17">
        <f t="shared" si="43"/>
        <v>5720430.1075268816</v>
      </c>
      <c r="J91" s="17">
        <f t="shared" si="44"/>
        <v>0</v>
      </c>
      <c r="K91" s="17">
        <f t="shared" si="45"/>
        <v>4471544.7154471548</v>
      </c>
      <c r="L91" s="17">
        <f t="shared" si="46"/>
        <v>1253164.5569620254</v>
      </c>
      <c r="M91" s="208">
        <f t="shared" si="35"/>
        <v>25545139.379936062</v>
      </c>
      <c r="N91" s="208">
        <f t="shared" si="36"/>
        <v>25545139.379936062</v>
      </c>
      <c r="P91" s="218">
        <f>N91*Deflator!C94/Deflator!$C$86</f>
        <v>29936038.127476517</v>
      </c>
      <c r="S91" s="114"/>
      <c r="T91" s="128"/>
    </row>
    <row r="92" spans="1:20" s="206" customFormat="1">
      <c r="A92" s="219"/>
      <c r="B92" s="219"/>
      <c r="C92" s="206">
        <f t="shared" si="37"/>
        <v>2028</v>
      </c>
      <c r="D92" s="112">
        <f t="shared" si="38"/>
        <v>0</v>
      </c>
      <c r="E92" s="17">
        <f t="shared" si="39"/>
        <v>0</v>
      </c>
      <c r="F92" s="17">
        <f t="shared" si="40"/>
        <v>0</v>
      </c>
      <c r="G92" s="17">
        <f t="shared" si="41"/>
        <v>0</v>
      </c>
      <c r="H92" s="17">
        <f t="shared" si="42"/>
        <v>0</v>
      </c>
      <c r="I92" s="17">
        <f t="shared" si="43"/>
        <v>0</v>
      </c>
      <c r="J92" s="17">
        <f t="shared" si="44"/>
        <v>0</v>
      </c>
      <c r="K92" s="17">
        <f t="shared" si="45"/>
        <v>0</v>
      </c>
      <c r="L92" s="17">
        <f t="shared" si="46"/>
        <v>0</v>
      </c>
      <c r="M92" s="208">
        <f t="shared" si="35"/>
        <v>0</v>
      </c>
      <c r="N92" s="208">
        <f t="shared" si="36"/>
        <v>0</v>
      </c>
      <c r="P92" s="218">
        <f>N92*Deflator!C95/Deflator!$C$86</f>
        <v>0</v>
      </c>
      <c r="S92" s="114"/>
      <c r="T92" s="128"/>
    </row>
    <row r="93" spans="1:20" s="206" customFormat="1">
      <c r="A93" s="219"/>
      <c r="B93" s="220"/>
      <c r="C93" s="206">
        <f t="shared" si="37"/>
        <v>2029</v>
      </c>
      <c r="D93" s="17"/>
      <c r="E93" s="17"/>
      <c r="F93" s="148"/>
      <c r="G93" s="17"/>
      <c r="H93" s="17"/>
      <c r="I93" s="17"/>
      <c r="J93" s="17"/>
      <c r="K93" s="17"/>
      <c r="L93" s="148"/>
      <c r="M93" s="208">
        <f t="shared" si="35"/>
        <v>0</v>
      </c>
      <c r="N93" s="208">
        <f t="shared" si="36"/>
        <v>0</v>
      </c>
      <c r="P93" s="218">
        <f>N93*Deflator!C96/Deflator!$C$86</f>
        <v>0</v>
      </c>
      <c r="S93" s="114"/>
      <c r="T93" s="128"/>
    </row>
    <row r="94" spans="1:20" s="206" customFormat="1">
      <c r="A94" s="219"/>
      <c r="B94" s="220"/>
      <c r="C94" s="206">
        <f t="shared" si="37"/>
        <v>2030</v>
      </c>
      <c r="D94" s="17"/>
      <c r="E94" s="17"/>
      <c r="F94" s="148"/>
      <c r="G94" s="17"/>
      <c r="H94" s="17"/>
      <c r="I94" s="17"/>
      <c r="J94" s="17"/>
      <c r="K94" s="17"/>
      <c r="L94" s="148"/>
      <c r="M94" s="208">
        <f t="shared" si="35"/>
        <v>0</v>
      </c>
      <c r="N94" s="208">
        <f t="shared" si="36"/>
        <v>0</v>
      </c>
      <c r="P94" s="218">
        <f>N94*Deflator!C97/Deflator!$C$86</f>
        <v>0</v>
      </c>
      <c r="S94" s="114"/>
      <c r="T94" s="128"/>
    </row>
    <row r="95" spans="1:20" s="206" customFormat="1">
      <c r="A95" s="219"/>
      <c r="B95" s="148"/>
      <c r="C95" s="206">
        <f t="shared" si="37"/>
        <v>2031</v>
      </c>
      <c r="D95" s="17"/>
      <c r="E95" s="17"/>
      <c r="F95" s="148"/>
      <c r="G95" s="17"/>
      <c r="H95" s="17"/>
      <c r="I95" s="17"/>
      <c r="J95" s="17"/>
      <c r="K95" s="17"/>
      <c r="L95" s="148"/>
      <c r="M95" s="208">
        <f t="shared" si="35"/>
        <v>0</v>
      </c>
      <c r="N95" s="208">
        <f t="shared" si="36"/>
        <v>0</v>
      </c>
      <c r="P95" s="218">
        <f>N95*Deflator!C98/Deflator!$C$86</f>
        <v>0</v>
      </c>
      <c r="S95" s="114"/>
      <c r="T95" s="128"/>
    </row>
    <row r="96" spans="1:20" s="206" customFormat="1">
      <c r="A96" s="219"/>
      <c r="B96" s="215"/>
      <c r="C96" s="206">
        <f t="shared" si="37"/>
        <v>2032</v>
      </c>
      <c r="D96" s="17"/>
      <c r="E96" s="17"/>
      <c r="F96" s="148"/>
      <c r="G96" s="17"/>
      <c r="H96" s="17"/>
      <c r="I96" s="17"/>
      <c r="J96" s="17"/>
      <c r="K96" s="17"/>
      <c r="L96" s="148"/>
      <c r="M96" s="208">
        <f t="shared" si="35"/>
        <v>0</v>
      </c>
      <c r="N96" s="208">
        <f t="shared" si="36"/>
        <v>0</v>
      </c>
      <c r="P96" s="218">
        <f>N96*Deflator!C99/Deflator!$C$86</f>
        <v>0</v>
      </c>
      <c r="S96" s="114"/>
      <c r="T96" s="128"/>
    </row>
    <row r="97" spans="1:20" s="206" customFormat="1">
      <c r="A97" s="219"/>
      <c r="B97" s="215"/>
      <c r="C97" s="206">
        <f t="shared" si="37"/>
        <v>2033</v>
      </c>
      <c r="D97" s="17"/>
      <c r="E97" s="17"/>
      <c r="F97" s="148"/>
      <c r="G97" s="17"/>
      <c r="H97" s="17"/>
      <c r="I97" s="17"/>
      <c r="J97" s="17"/>
      <c r="K97" s="17"/>
      <c r="L97" s="148"/>
      <c r="M97" s="208">
        <f t="shared" si="35"/>
        <v>0</v>
      </c>
      <c r="N97" s="208">
        <f t="shared" si="36"/>
        <v>0</v>
      </c>
      <c r="P97" s="218">
        <f>N97*Deflator!C100/Deflator!$C$86</f>
        <v>0</v>
      </c>
      <c r="S97" s="114"/>
      <c r="T97" s="128"/>
    </row>
    <row r="98" spans="1:20" s="206" customFormat="1">
      <c r="A98" s="148"/>
      <c r="B98" s="148"/>
      <c r="C98" s="206">
        <f t="shared" si="37"/>
        <v>2034</v>
      </c>
      <c r="D98" s="17"/>
      <c r="E98" s="17"/>
      <c r="F98" s="148"/>
      <c r="G98" s="17"/>
      <c r="H98" s="17"/>
      <c r="I98" s="17"/>
      <c r="J98" s="17"/>
      <c r="K98" s="17"/>
      <c r="L98" s="148"/>
      <c r="M98" s="208">
        <f t="shared" si="35"/>
        <v>0</v>
      </c>
      <c r="N98" s="208">
        <f t="shared" si="36"/>
        <v>0</v>
      </c>
      <c r="P98" s="218">
        <f>N98*Deflator!C101/Deflator!$C$86</f>
        <v>0</v>
      </c>
      <c r="S98" s="114"/>
      <c r="T98" s="128"/>
    </row>
    <row r="99" spans="1:20" s="206" customFormat="1">
      <c r="C99" s="206">
        <f t="shared" si="37"/>
        <v>2035</v>
      </c>
      <c r="D99" s="17"/>
      <c r="E99" s="17"/>
      <c r="F99" s="148"/>
      <c r="G99" s="17"/>
      <c r="H99" s="17"/>
      <c r="I99" s="17"/>
      <c r="J99" s="17"/>
      <c r="K99" s="17"/>
      <c r="L99" s="148"/>
      <c r="M99" s="208">
        <f t="shared" si="35"/>
        <v>0</v>
      </c>
      <c r="N99" s="208">
        <f t="shared" si="36"/>
        <v>0</v>
      </c>
      <c r="P99" s="218">
        <f>N99*Deflator!C102/Deflator!$C$86</f>
        <v>0</v>
      </c>
      <c r="S99" s="114"/>
      <c r="T99" s="128"/>
    </row>
    <row r="100" spans="1:20" s="206" customFormat="1">
      <c r="B100" s="208"/>
      <c r="D100" s="208">
        <f t="shared" ref="D100:N100" si="47">SUM(D84:D99)</f>
        <v>1480000</v>
      </c>
      <c r="E100" s="208">
        <f t="shared" si="47"/>
        <v>11820000</v>
      </c>
      <c r="F100" s="208">
        <f t="shared" si="47"/>
        <v>10785480.222757973</v>
      </c>
      <c r="G100" s="208">
        <f t="shared" si="47"/>
        <v>70000000</v>
      </c>
      <c r="H100" s="208">
        <f t="shared" si="47"/>
        <v>112100000</v>
      </c>
      <c r="I100" s="208">
        <f t="shared" si="47"/>
        <v>75999999.999999985</v>
      </c>
      <c r="J100" s="208">
        <f t="shared" si="47"/>
        <v>19900000</v>
      </c>
      <c r="K100" s="208">
        <f t="shared" si="47"/>
        <v>31899999.999999996</v>
      </c>
      <c r="L100" s="208">
        <f t="shared" si="47"/>
        <v>8700000</v>
      </c>
      <c r="M100" s="17">
        <f t="shared" si="47"/>
        <v>342685480.222758</v>
      </c>
      <c r="N100" s="208">
        <f t="shared" si="47"/>
        <v>342685480.222758</v>
      </c>
      <c r="P100" s="17">
        <f>SUM(P84:P99)</f>
        <v>387135152.33460802</v>
      </c>
      <c r="S100" s="114"/>
      <c r="T100" s="128"/>
    </row>
    <row r="101" spans="1:20" s="206" customFormat="1">
      <c r="B101" s="208"/>
      <c r="D101" s="208"/>
      <c r="E101" s="208"/>
      <c r="F101" s="208"/>
      <c r="G101" s="208"/>
      <c r="H101" s="208"/>
      <c r="I101" s="208"/>
      <c r="J101" s="208"/>
      <c r="K101" s="208"/>
      <c r="L101" s="208"/>
      <c r="M101" s="17"/>
      <c r="N101" s="208"/>
      <c r="P101" s="17"/>
      <c r="S101" s="114"/>
      <c r="T101" s="128"/>
    </row>
    <row r="102" spans="1:20" ht="15.75">
      <c r="E102" s="247"/>
      <c r="N102" s="206"/>
      <c r="O102" s="206"/>
      <c r="P102" s="148"/>
      <c r="Q102" s="206"/>
      <c r="R102" s="206"/>
    </row>
    <row r="103" spans="1:20">
      <c r="C103" s="167" t="s">
        <v>291</v>
      </c>
      <c r="D103" s="18" t="s">
        <v>320</v>
      </c>
      <c r="E103" s="18" t="s">
        <v>1040</v>
      </c>
      <c r="F103" s="18" t="s">
        <v>319</v>
      </c>
      <c r="G103" s="62" t="s">
        <v>543</v>
      </c>
      <c r="H103" s="62"/>
      <c r="N103" s="206"/>
      <c r="O103" s="206"/>
      <c r="P103" s="148"/>
      <c r="Q103" s="206"/>
      <c r="R103" s="206"/>
    </row>
    <row r="104" spans="1:20">
      <c r="C104" s="167">
        <f>C84</f>
        <v>2020</v>
      </c>
      <c r="D104" s="167"/>
      <c r="F104" s="8">
        <f>SUM(D104:E104)</f>
        <v>0</v>
      </c>
      <c r="G104" s="218">
        <f>F104*Deflator!C87/Deflator!$C$86</f>
        <v>0</v>
      </c>
      <c r="N104" s="206"/>
      <c r="O104" s="206"/>
      <c r="P104" s="148"/>
      <c r="Q104" s="206"/>
      <c r="R104" s="206"/>
    </row>
    <row r="105" spans="1:20">
      <c r="C105" s="167">
        <f>C104+1</f>
        <v>2021</v>
      </c>
      <c r="D105" s="167"/>
      <c r="F105" s="208">
        <f t="shared" ref="F105:F119" si="48">SUM(D105:E105)</f>
        <v>0</v>
      </c>
      <c r="G105" s="218">
        <f>F105*Deflator!C88/Deflator!$C$86</f>
        <v>0</v>
      </c>
      <c r="N105" s="206"/>
      <c r="O105" s="206"/>
      <c r="P105" s="148"/>
      <c r="Q105" s="206"/>
      <c r="R105" s="206"/>
    </row>
    <row r="106" spans="1:20">
      <c r="C106" s="167">
        <f t="shared" ref="C106:C119" si="49">C105+1</f>
        <v>2022</v>
      </c>
      <c r="D106" s="17">
        <f>15000000/24*4</f>
        <v>2500000</v>
      </c>
      <c r="F106" s="208">
        <f t="shared" si="48"/>
        <v>2500000</v>
      </c>
      <c r="G106" s="218">
        <f>F106*Deflator!C89/Deflator!$C$86</f>
        <v>2652498.666192424</v>
      </c>
      <c r="I106" s="208">
        <f t="shared" ref="I106:I107" si="50">D106+F25+E106</f>
        <v>7500000</v>
      </c>
      <c r="J106" s="124">
        <f>I106/SUM($I$106:$I$110)</f>
        <v>0.13907586579547151</v>
      </c>
      <c r="P106" s="148"/>
    </row>
    <row r="107" spans="1:20">
      <c r="C107" s="167">
        <f t="shared" si="49"/>
        <v>2023</v>
      </c>
      <c r="D107" s="17">
        <f>15000000/24*12</f>
        <v>7500000</v>
      </c>
      <c r="F107" s="208">
        <f t="shared" si="48"/>
        <v>7500000</v>
      </c>
      <c r="G107" s="218">
        <f>F107*Deflator!C90/Deflator!$C$86</f>
        <v>8116886.003912502</v>
      </c>
      <c r="I107" s="208">
        <f t="shared" si="50"/>
        <v>22500000</v>
      </c>
      <c r="J107" s="124">
        <f t="shared" ref="J107:J110" si="51">I107/SUM($I$106:$I$110)</f>
        <v>0.41722759738641452</v>
      </c>
      <c r="O107" s="77">
        <v>2019</v>
      </c>
      <c r="P107" s="148" t="s">
        <v>576</v>
      </c>
      <c r="Q107" s="77" t="s">
        <v>1106</v>
      </c>
      <c r="R107" s="206"/>
      <c r="S107" s="206"/>
    </row>
    <row r="108" spans="1:20">
      <c r="C108" s="167">
        <f t="shared" si="49"/>
        <v>2024</v>
      </c>
      <c r="D108" s="17">
        <f>15000000/24*8</f>
        <v>5000000</v>
      </c>
      <c r="E108" s="208">
        <f>SUM(ICM_ITS_WindCosts!M15:M17,ICM_ITS_WindCosts!L11:M12)*Deflator!$C$86/Deflator!$C$88</f>
        <v>2538130.9590493292</v>
      </c>
      <c r="F108" s="208">
        <f t="shared" si="48"/>
        <v>7538130.9590493292</v>
      </c>
      <c r="G108" s="218">
        <f>F108*Deflator!C91/Deflator!$C$86</f>
        <v>8322375.4212659141</v>
      </c>
      <c r="I108" s="208">
        <f>D108+F27+E108</f>
        <v>23927401.113789864</v>
      </c>
      <c r="J108" s="124">
        <f t="shared" si="51"/>
        <v>0.44369653681811394</v>
      </c>
      <c r="L108" s="77" t="s">
        <v>714</v>
      </c>
      <c r="N108" s="61" t="s">
        <v>577</v>
      </c>
      <c r="O108" s="208">
        <f>N60+Costs_Resilience!K21</f>
        <v>111341920.89103189</v>
      </c>
      <c r="P108" s="17">
        <f>P60+Costs_Resilience!L21</f>
        <v>123822394.4410328</v>
      </c>
      <c r="Q108" s="208">
        <f>P108</f>
        <v>123822394.4410328</v>
      </c>
      <c r="R108" s="208"/>
      <c r="S108" s="208"/>
    </row>
    <row r="109" spans="1:20">
      <c r="C109" s="167">
        <f t="shared" si="49"/>
        <v>2025</v>
      </c>
      <c r="D109" s="17"/>
      <c r="F109" s="208">
        <f t="shared" si="48"/>
        <v>0</v>
      </c>
      <c r="G109" s="218">
        <f>F109*Deflator!C92/Deflator!$C$86</f>
        <v>0</v>
      </c>
      <c r="I109" s="208">
        <f>D109+F28</f>
        <v>0</v>
      </c>
      <c r="J109" s="124">
        <f t="shared" si="51"/>
        <v>0</v>
      </c>
      <c r="K109" s="208"/>
      <c r="L109" s="208">
        <f>F120+N39+Costs_Resilience!E21</f>
        <v>508791148.11378992</v>
      </c>
      <c r="N109" s="61" t="s">
        <v>578</v>
      </c>
      <c r="O109" s="208">
        <f>N80+Costs_Resilience!K21</f>
        <v>164541920.89103189</v>
      </c>
      <c r="P109" s="17">
        <f>P80+Costs_Resilience!L21</f>
        <v>184030910.99443433</v>
      </c>
      <c r="R109" s="208"/>
      <c r="S109" s="208"/>
    </row>
    <row r="110" spans="1:20">
      <c r="C110" s="167">
        <f t="shared" si="49"/>
        <v>2026</v>
      </c>
      <c r="D110" s="167"/>
      <c r="F110" s="208">
        <f t="shared" si="48"/>
        <v>0</v>
      </c>
      <c r="G110" s="218">
        <f>F110*Deflator!C93/Deflator!$C$86</f>
        <v>0</v>
      </c>
      <c r="I110" s="208">
        <f>D110+F29</f>
        <v>0</v>
      </c>
      <c r="J110" s="124">
        <f t="shared" si="51"/>
        <v>0</v>
      </c>
      <c r="K110" s="208"/>
      <c r="L110" s="208">
        <f>Costs!F36+Costs!F68</f>
        <v>508791148.11378992</v>
      </c>
      <c r="N110" s="61" t="s">
        <v>579</v>
      </c>
      <c r="O110" s="208">
        <f>O109-O108</f>
        <v>53200000</v>
      </c>
      <c r="P110" s="17">
        <f>P109-P108</f>
        <v>60208516.55340153</v>
      </c>
      <c r="Q110" s="208">
        <f>P110</f>
        <v>60208516.55340153</v>
      </c>
      <c r="R110" s="208"/>
      <c r="S110" s="208"/>
    </row>
    <row r="111" spans="1:20">
      <c r="C111" s="167">
        <f t="shared" si="49"/>
        <v>2027</v>
      </c>
      <c r="D111" s="8"/>
      <c r="F111" s="208">
        <f t="shared" si="48"/>
        <v>0</v>
      </c>
      <c r="G111" s="218">
        <f>F111*Deflator!C94/Deflator!$C$86</f>
        <v>0</v>
      </c>
      <c r="K111" s="208"/>
      <c r="L111" s="17">
        <f>L109-L110</f>
        <v>0</v>
      </c>
      <c r="M111" s="148"/>
      <c r="N111" s="227" t="s">
        <v>580</v>
      </c>
      <c r="O111" s="17">
        <f>N100+Costs_Resilience!K32+O116</f>
        <v>344249227.222758</v>
      </c>
      <c r="P111" s="17">
        <f>P100+Costs_Resilience!L32+P116</f>
        <v>388777759.94055849</v>
      </c>
      <c r="Q111" s="208">
        <f>P111-P116</f>
        <v>387794988.23541892</v>
      </c>
      <c r="R111" s="208"/>
      <c r="S111" s="208"/>
    </row>
    <row r="112" spans="1:20">
      <c r="C112" s="167">
        <f t="shared" si="49"/>
        <v>2028</v>
      </c>
      <c r="F112" s="208">
        <f t="shared" si="48"/>
        <v>0</v>
      </c>
      <c r="G112" s="218">
        <f>F112*Deflator!C95/Deflator!$C$86</f>
        <v>0</v>
      </c>
      <c r="L112" s="148" t="s">
        <v>576</v>
      </c>
      <c r="M112" s="148"/>
      <c r="N112" s="227"/>
      <c r="O112" s="17"/>
      <c r="P112" s="17"/>
    </row>
    <row r="113" spans="3:18">
      <c r="C113" s="167">
        <f t="shared" si="49"/>
        <v>2029</v>
      </c>
      <c r="D113" s="167"/>
      <c r="F113" s="208">
        <f t="shared" si="48"/>
        <v>0</v>
      </c>
      <c r="G113" s="218">
        <f>F113*Deflator!C96/Deflator!$C$86</f>
        <v>0</v>
      </c>
      <c r="L113" s="17">
        <f>G120+P39+Costs_Resilience!F21</f>
        <v>572808670.93499267</v>
      </c>
      <c r="M113" s="148"/>
      <c r="N113" s="227" t="s">
        <v>581</v>
      </c>
      <c r="O113" s="17">
        <f>SUM(O108,O110:O111)</f>
        <v>508791148.11378992</v>
      </c>
      <c r="P113" s="17">
        <f>SUM(P108,P110:P111)</f>
        <v>572808670.93499279</v>
      </c>
      <c r="Q113" s="17">
        <f>SUM(Q108,Q110:Q111)</f>
        <v>571825899.22985327</v>
      </c>
      <c r="R113" s="17">
        <f>Q113+P116</f>
        <v>572808670.93499291</v>
      </c>
    </row>
    <row r="114" spans="3:18">
      <c r="C114" s="167">
        <f t="shared" si="49"/>
        <v>2030</v>
      </c>
      <c r="D114" s="167"/>
      <c r="F114" s="208">
        <f t="shared" si="48"/>
        <v>0</v>
      </c>
      <c r="G114" s="218">
        <f>F114*Deflator!C97/Deflator!$C$86</f>
        <v>0</v>
      </c>
      <c r="L114" s="17">
        <f>YOE_tables!B9</f>
        <v>572808670.93499267</v>
      </c>
      <c r="M114" s="148"/>
      <c r="N114" s="227" t="s">
        <v>590</v>
      </c>
      <c r="O114" s="17">
        <f>ROUND(O113,-5)</f>
        <v>508800000</v>
      </c>
      <c r="P114" s="17">
        <f>ROUND(P113,-5)</f>
        <v>572800000</v>
      </c>
    </row>
    <row r="115" spans="3:18">
      <c r="C115" s="167">
        <f t="shared" si="49"/>
        <v>2031</v>
      </c>
      <c r="D115" s="167"/>
      <c r="F115" s="208">
        <f t="shared" si="48"/>
        <v>0</v>
      </c>
      <c r="G115" s="218">
        <f>F115*Deflator!C98/Deflator!$C$86</f>
        <v>0</v>
      </c>
      <c r="L115" s="17">
        <f>L113-L114</f>
        <v>0</v>
      </c>
      <c r="M115" s="148"/>
      <c r="N115" s="227"/>
      <c r="O115" s="148"/>
      <c r="P115" s="148"/>
      <c r="Q115" s="208"/>
    </row>
    <row r="116" spans="3:18">
      <c r="C116" s="167">
        <f t="shared" si="49"/>
        <v>2032</v>
      </c>
      <c r="D116" s="167"/>
      <c r="F116" s="208">
        <f t="shared" si="48"/>
        <v>0</v>
      </c>
      <c r="G116" s="218">
        <f>F116*Deflator!C99/Deflator!$C$86</f>
        <v>0</v>
      </c>
      <c r="L116" s="148"/>
      <c r="M116" s="148"/>
      <c r="N116" s="227" t="s">
        <v>802</v>
      </c>
      <c r="O116" s="17">
        <f>U13</f>
        <v>963747</v>
      </c>
      <c r="P116" s="17">
        <f>P23</f>
        <v>982771.70513960521</v>
      </c>
    </row>
    <row r="117" spans="3:18">
      <c r="C117" s="167">
        <f t="shared" si="49"/>
        <v>2033</v>
      </c>
      <c r="D117" s="167"/>
      <c r="F117" s="208">
        <f t="shared" si="48"/>
        <v>0</v>
      </c>
      <c r="G117" s="218">
        <f>F117*Deflator!C100/Deflator!$C$86</f>
        <v>0</v>
      </c>
      <c r="L117" s="148"/>
      <c r="M117" s="148"/>
      <c r="N117" s="148"/>
      <c r="O117" s="148"/>
      <c r="P117" s="148"/>
    </row>
    <row r="118" spans="3:18">
      <c r="C118" s="167">
        <f t="shared" si="49"/>
        <v>2034</v>
      </c>
      <c r="D118" s="167"/>
      <c r="F118" s="208">
        <f t="shared" si="48"/>
        <v>0</v>
      </c>
      <c r="G118" s="218">
        <f>F118*Deflator!C101/Deflator!$C$86</f>
        <v>0</v>
      </c>
      <c r="L118" s="148"/>
      <c r="M118" s="148"/>
      <c r="N118" s="148"/>
      <c r="O118" s="17">
        <f>ROUND(L110,-5)</f>
        <v>508800000</v>
      </c>
      <c r="P118" s="17">
        <f>ROUND(L113,-5)</f>
        <v>572800000</v>
      </c>
    </row>
    <row r="119" spans="3:18">
      <c r="C119" s="167">
        <f t="shared" si="49"/>
        <v>2035</v>
      </c>
      <c r="D119" s="167"/>
      <c r="F119" s="208">
        <f t="shared" si="48"/>
        <v>0</v>
      </c>
      <c r="G119" s="218">
        <f>F119*Deflator!C102/Deflator!$C$86</f>
        <v>0</v>
      </c>
      <c r="L119" s="148"/>
      <c r="M119" s="148"/>
      <c r="N119" s="148"/>
      <c r="O119" s="17">
        <f>ROUND(O113,-5)</f>
        <v>508800000</v>
      </c>
      <c r="P119" s="17">
        <f>ROUND(P113,-5)</f>
        <v>572800000</v>
      </c>
    </row>
    <row r="120" spans="3:18">
      <c r="C120" s="167"/>
      <c r="D120" s="8">
        <f>SUM(D104:D119)</f>
        <v>15000000</v>
      </c>
      <c r="E120" s="208">
        <f>SUM(E104:E119)</f>
        <v>2538130.9590493292</v>
      </c>
      <c r="F120" s="8">
        <f>SUM(F104:F119)</f>
        <v>17538130.959049329</v>
      </c>
      <c r="G120" s="208">
        <f>SUM(G104:G119)</f>
        <v>19091760.09137084</v>
      </c>
      <c r="H120" s="217"/>
      <c r="L120" s="148"/>
      <c r="M120" s="148"/>
      <c r="N120" s="148"/>
      <c r="O120" s="17">
        <f>O118-O119</f>
        <v>0</v>
      </c>
      <c r="P120" s="17">
        <f>P118-P119</f>
        <v>0</v>
      </c>
    </row>
    <row r="121" spans="3:18">
      <c r="G121" s="216"/>
      <c r="H121" s="217"/>
      <c r="I121" s="208"/>
      <c r="L121" s="148"/>
      <c r="M121" s="148"/>
      <c r="N121" s="148"/>
      <c r="O121" s="148"/>
      <c r="P121" s="148"/>
    </row>
    <row r="122" spans="3:18">
      <c r="G122" s="216"/>
      <c r="H122" s="217"/>
    </row>
    <row r="123" spans="3:18">
      <c r="G123" s="216"/>
      <c r="H123" s="217"/>
    </row>
    <row r="124" spans="3:18">
      <c r="G124" s="216"/>
      <c r="H124" s="217"/>
    </row>
    <row r="125" spans="3:18">
      <c r="C125" s="206" t="s">
        <v>229</v>
      </c>
      <c r="D125" s="209" t="s">
        <v>259</v>
      </c>
      <c r="E125" s="209" t="s">
        <v>260</v>
      </c>
      <c r="F125" s="18" t="s">
        <v>320</v>
      </c>
      <c r="G125" s="209" t="s">
        <v>282</v>
      </c>
      <c r="H125" s="209" t="s">
        <v>261</v>
      </c>
      <c r="I125" s="209" t="s">
        <v>282</v>
      </c>
      <c r="J125" s="209">
        <f>A114</f>
        <v>0</v>
      </c>
      <c r="K125" s="21" t="s">
        <v>262</v>
      </c>
      <c r="L125" s="209" t="s">
        <v>263</v>
      </c>
    </row>
    <row r="126" spans="3:18">
      <c r="C126" s="206">
        <f>C23</f>
        <v>2020</v>
      </c>
      <c r="D126" s="17">
        <f>U108</f>
        <v>0</v>
      </c>
      <c r="E126" s="17">
        <f>U109</f>
        <v>0</v>
      </c>
      <c r="F126" s="58">
        <f>U110</f>
        <v>0</v>
      </c>
      <c r="G126" s="17">
        <f>U111</f>
        <v>0</v>
      </c>
      <c r="H126" s="17">
        <f>U112</f>
        <v>0</v>
      </c>
      <c r="I126" s="17">
        <f>U113</f>
        <v>0</v>
      </c>
      <c r="J126" s="17">
        <f>U114</f>
        <v>0</v>
      </c>
      <c r="K126" s="17">
        <f>U115</f>
        <v>0</v>
      </c>
      <c r="L126" s="17">
        <f>U116</f>
        <v>0</v>
      </c>
    </row>
    <row r="127" spans="3:18">
      <c r="C127" s="206">
        <f>C126+1</f>
        <v>2021</v>
      </c>
      <c r="D127" s="17"/>
      <c r="E127" s="17"/>
      <c r="F127" s="148"/>
      <c r="G127" s="17"/>
      <c r="H127" s="17"/>
      <c r="I127" s="17"/>
      <c r="J127" s="17"/>
      <c r="K127" s="17"/>
      <c r="L127" s="148"/>
    </row>
    <row r="128" spans="3:18">
      <c r="C128" s="206">
        <f t="shared" ref="C128:C141" si="52">C127+1</f>
        <v>2022</v>
      </c>
      <c r="D128" s="97">
        <f t="shared" ref="D128:D129" si="53">D25/D$39</f>
        <v>0</v>
      </c>
      <c r="E128" s="97">
        <f t="shared" ref="E128:L129" si="54">E25/E$39</f>
        <v>0</v>
      </c>
      <c r="F128" s="97">
        <f t="shared" si="54"/>
        <v>0.13740314050647801</v>
      </c>
      <c r="G128" s="97">
        <f t="shared" si="54"/>
        <v>0</v>
      </c>
      <c r="H128" s="97">
        <f t="shared" si="54"/>
        <v>0</v>
      </c>
      <c r="I128" s="97">
        <f t="shared" si="54"/>
        <v>0</v>
      </c>
      <c r="J128" s="97">
        <f t="shared" si="54"/>
        <v>0</v>
      </c>
      <c r="K128" s="97">
        <f t="shared" si="54"/>
        <v>0</v>
      </c>
      <c r="L128" s="97">
        <f t="shared" si="54"/>
        <v>0</v>
      </c>
    </row>
    <row r="129" spans="3:12">
      <c r="C129" s="206">
        <f t="shared" si="52"/>
        <v>2023</v>
      </c>
      <c r="D129" s="97">
        <f t="shared" si="53"/>
        <v>5.9459459459459463E-2</v>
      </c>
      <c r="E129" s="97">
        <f t="shared" si="54"/>
        <v>1.8274111675126905E-2</v>
      </c>
      <c r="F129" s="97">
        <f t="shared" si="54"/>
        <v>0.41220942151943402</v>
      </c>
      <c r="G129" s="97">
        <f t="shared" si="54"/>
        <v>2.2779043280182234E-2</v>
      </c>
      <c r="H129" s="97">
        <f t="shared" si="54"/>
        <v>4.7814451382694023E-2</v>
      </c>
      <c r="I129" s="97">
        <f t="shared" si="54"/>
        <v>9.7751710654936479E-3</v>
      </c>
      <c r="J129" s="97">
        <f t="shared" si="54"/>
        <v>3.5598705501618123E-2</v>
      </c>
      <c r="K129" s="97">
        <f t="shared" si="54"/>
        <v>0</v>
      </c>
      <c r="L129" s="97">
        <f t="shared" si="54"/>
        <v>0</v>
      </c>
    </row>
    <row r="130" spans="3:12">
      <c r="C130" s="206">
        <f t="shared" si="52"/>
        <v>2024</v>
      </c>
      <c r="D130" s="97">
        <f t="shared" ref="D130:L130" si="55">D27/D$39</f>
        <v>0.23783783783783785</v>
      </c>
      <c r="E130" s="97">
        <f t="shared" si="55"/>
        <v>7.309644670050762E-2</v>
      </c>
      <c r="F130" s="97">
        <f t="shared" si="55"/>
        <v>0.45038743797408798</v>
      </c>
      <c r="G130" s="97">
        <f t="shared" si="55"/>
        <v>0.4886104783599089</v>
      </c>
      <c r="H130" s="97">
        <f t="shared" si="55"/>
        <v>7.1721677074041035E-2</v>
      </c>
      <c r="I130" s="97">
        <f t="shared" si="55"/>
        <v>1.1730205278592374E-2</v>
      </c>
      <c r="J130" s="97">
        <f t="shared" si="55"/>
        <v>0.46291262135922329</v>
      </c>
      <c r="K130" s="97">
        <f t="shared" si="55"/>
        <v>0.18699186991869918</v>
      </c>
      <c r="L130" s="97">
        <f t="shared" si="55"/>
        <v>0.16455696202531644</v>
      </c>
    </row>
    <row r="131" spans="3:12">
      <c r="C131" s="206">
        <f t="shared" si="52"/>
        <v>2025</v>
      </c>
      <c r="D131" s="97">
        <f t="shared" ref="D131:L131" si="56">D28/D$39</f>
        <v>0.40154440154440157</v>
      </c>
      <c r="E131" s="97">
        <f t="shared" si="56"/>
        <v>0.51921682378535172</v>
      </c>
      <c r="F131" s="97">
        <f t="shared" si="56"/>
        <v>0</v>
      </c>
      <c r="G131" s="97">
        <f t="shared" si="56"/>
        <v>0.4886104783599089</v>
      </c>
      <c r="H131" s="97">
        <f t="shared" si="56"/>
        <v>0.37734165923282781</v>
      </c>
      <c r="I131" s="97">
        <f t="shared" si="56"/>
        <v>0.45161290322580644</v>
      </c>
      <c r="J131" s="97">
        <f t="shared" si="56"/>
        <v>0.46291262135922329</v>
      </c>
      <c r="K131" s="97">
        <f t="shared" si="56"/>
        <v>0.33641715727502103</v>
      </c>
      <c r="L131" s="97">
        <f t="shared" si="56"/>
        <v>0.34570056743780009</v>
      </c>
    </row>
    <row r="132" spans="3:12">
      <c r="C132" s="206">
        <f t="shared" si="52"/>
        <v>2026</v>
      </c>
      <c r="D132" s="97">
        <f t="shared" ref="D132:L132" si="57">D29/D$39</f>
        <v>0.30115830115830117</v>
      </c>
      <c r="E132" s="97">
        <f t="shared" si="57"/>
        <v>0.38941261783901382</v>
      </c>
      <c r="F132" s="97">
        <f t="shared" si="57"/>
        <v>0</v>
      </c>
      <c r="G132" s="97">
        <f t="shared" si="57"/>
        <v>0</v>
      </c>
      <c r="H132" s="97">
        <f t="shared" si="57"/>
        <v>0.37734165923282781</v>
      </c>
      <c r="I132" s="97">
        <f t="shared" si="57"/>
        <v>0.45161290322580644</v>
      </c>
      <c r="J132" s="97">
        <f t="shared" si="57"/>
        <v>3.8576051779935276E-2</v>
      </c>
      <c r="K132" s="97">
        <f t="shared" si="57"/>
        <v>0.33641715727502103</v>
      </c>
      <c r="L132" s="97">
        <f t="shared" si="57"/>
        <v>0.34570056743780009</v>
      </c>
    </row>
    <row r="133" spans="3:12">
      <c r="C133" s="206">
        <f t="shared" si="52"/>
        <v>2027</v>
      </c>
      <c r="D133" s="97">
        <f t="shared" ref="D133:L133" si="58">D30/D$39</f>
        <v>0</v>
      </c>
      <c r="E133" s="97">
        <f t="shared" si="58"/>
        <v>0</v>
      </c>
      <c r="F133" s="97">
        <f t="shared" si="58"/>
        <v>0</v>
      </c>
      <c r="G133" s="97">
        <f t="shared" si="58"/>
        <v>0</v>
      </c>
      <c r="H133" s="97">
        <f t="shared" si="58"/>
        <v>0.12578055307760927</v>
      </c>
      <c r="I133" s="97">
        <f t="shared" si="58"/>
        <v>7.5268817204301078E-2</v>
      </c>
      <c r="J133" s="97">
        <f t="shared" si="58"/>
        <v>0</v>
      </c>
      <c r="K133" s="97">
        <f t="shared" si="58"/>
        <v>0.14017381553125877</v>
      </c>
      <c r="L133" s="97">
        <f t="shared" si="58"/>
        <v>0.14404190309908338</v>
      </c>
    </row>
    <row r="134" spans="3:12">
      <c r="C134" s="206">
        <f t="shared" si="52"/>
        <v>2028</v>
      </c>
      <c r="D134" s="17"/>
      <c r="E134" s="17"/>
      <c r="F134" s="148"/>
      <c r="G134" s="17"/>
      <c r="H134" s="17"/>
      <c r="I134" s="17"/>
      <c r="J134" s="17"/>
      <c r="K134" s="17"/>
      <c r="L134" s="17"/>
    </row>
    <row r="135" spans="3:12">
      <c r="C135" s="206">
        <f t="shared" si="52"/>
        <v>2029</v>
      </c>
      <c r="D135" s="17"/>
      <c r="E135" s="17"/>
      <c r="F135" s="148"/>
      <c r="G135" s="17"/>
      <c r="H135" s="17"/>
      <c r="I135" s="17"/>
      <c r="J135" s="17"/>
      <c r="K135" s="17"/>
      <c r="L135" s="148"/>
    </row>
    <row r="136" spans="3:12">
      <c r="C136" s="206">
        <f t="shared" si="52"/>
        <v>2030</v>
      </c>
      <c r="D136" s="17"/>
      <c r="E136" s="17"/>
      <c r="F136" s="148"/>
      <c r="G136" s="17"/>
      <c r="H136" s="17"/>
      <c r="I136" s="17"/>
      <c r="J136" s="17"/>
      <c r="K136" s="17"/>
      <c r="L136" s="148"/>
    </row>
    <row r="137" spans="3:12">
      <c r="C137" s="206">
        <f t="shared" si="52"/>
        <v>2031</v>
      </c>
      <c r="D137" s="17"/>
      <c r="E137" s="17"/>
      <c r="F137" s="148"/>
      <c r="G137" s="17"/>
      <c r="H137" s="17"/>
      <c r="I137" s="17"/>
      <c r="J137" s="17"/>
      <c r="K137" s="17"/>
      <c r="L137" s="148"/>
    </row>
    <row r="138" spans="3:12">
      <c r="C138" s="206">
        <f t="shared" si="52"/>
        <v>2032</v>
      </c>
      <c r="D138" s="17"/>
      <c r="E138" s="17"/>
      <c r="F138" s="148"/>
      <c r="G138" s="17"/>
      <c r="H138" s="17"/>
      <c r="I138" s="17"/>
      <c r="J138" s="17"/>
      <c r="K138" s="17"/>
      <c r="L138" s="148"/>
    </row>
    <row r="139" spans="3:12">
      <c r="C139" s="206">
        <f t="shared" si="52"/>
        <v>2033</v>
      </c>
      <c r="D139" s="17"/>
      <c r="E139" s="17"/>
      <c r="F139" s="148"/>
      <c r="G139" s="17"/>
      <c r="H139" s="17"/>
      <c r="I139" s="17"/>
      <c r="J139" s="17"/>
      <c r="K139" s="17"/>
      <c r="L139" s="148"/>
    </row>
    <row r="140" spans="3:12">
      <c r="C140" s="206">
        <f t="shared" si="52"/>
        <v>2034</v>
      </c>
      <c r="D140" s="17"/>
      <c r="E140" s="17"/>
      <c r="F140" s="148"/>
      <c r="G140" s="17"/>
      <c r="H140" s="17"/>
      <c r="I140" s="17"/>
      <c r="J140" s="17"/>
      <c r="K140" s="17"/>
      <c r="L140" s="148"/>
    </row>
    <row r="141" spans="3:12">
      <c r="C141" s="206">
        <f t="shared" si="52"/>
        <v>2035</v>
      </c>
      <c r="D141" s="17"/>
      <c r="E141" s="17"/>
      <c r="F141" s="148"/>
      <c r="G141" s="17"/>
      <c r="H141" s="17"/>
      <c r="I141" s="17"/>
      <c r="J141" s="17"/>
      <c r="K141" s="17"/>
      <c r="L141" s="148"/>
    </row>
    <row r="142" spans="3:12">
      <c r="D142" s="300">
        <f>SUM(D129:D141)</f>
        <v>1</v>
      </c>
      <c r="E142" s="300">
        <f t="shared" ref="E142" si="59">SUM(E129:E141)</f>
        <v>1</v>
      </c>
      <c r="F142" s="300">
        <f>SUM(F128:F141)</f>
        <v>1</v>
      </c>
      <c r="G142" s="300">
        <f t="shared" ref="G142:L142" si="60">SUM(G128:G141)</f>
        <v>1</v>
      </c>
      <c r="H142" s="300">
        <f t="shared" si="60"/>
        <v>1</v>
      </c>
      <c r="I142" s="300">
        <f t="shared" si="60"/>
        <v>1</v>
      </c>
      <c r="J142" s="300">
        <f t="shared" si="60"/>
        <v>1</v>
      </c>
      <c r="K142" s="300">
        <f t="shared" si="60"/>
        <v>0.99999999999999989</v>
      </c>
      <c r="L142" s="300">
        <f t="shared" si="60"/>
        <v>1</v>
      </c>
    </row>
    <row r="143" spans="3:12">
      <c r="E143" s="206"/>
      <c r="F143" s="206"/>
      <c r="G143" s="206"/>
      <c r="H143" s="206"/>
      <c r="I143" s="206"/>
      <c r="J143" s="206"/>
      <c r="K143" s="206"/>
      <c r="L143" s="206"/>
    </row>
    <row r="144" spans="3:12">
      <c r="E144" s="206"/>
      <c r="F144" s="206"/>
      <c r="G144" s="206"/>
      <c r="H144" s="206"/>
      <c r="I144" s="206"/>
      <c r="J144" s="206"/>
      <c r="K144" s="206"/>
      <c r="L144" s="206"/>
    </row>
    <row r="145" spans="3:5">
      <c r="C145" s="206"/>
      <c r="D145" s="206"/>
      <c r="E145" s="206"/>
    </row>
  </sheetData>
  <sheetProtection algorithmName="SHA-512" hashValue="KQ5/C0C8URCcYq+nd2J/ZJDSvyzn7pxNTmcJXzzfMMQ/oD21iAy/xhBqJiDgGtoIJ9Efdl+xIKe1sYKUCD+eQg==" saltValue="ftj7+YyGelbayAztpxX4Ow==" spinCount="100000" sheet="1" objects="1" scenarios="1"/>
  <mergeCells count="2">
    <mergeCell ref="D1:F1"/>
    <mergeCell ref="N1:Q1"/>
  </mergeCells>
  <pageMargins left="0.7" right="0.7" top="0.75" bottom="0.75" header="0.3" footer="0.3"/>
  <pageSetup paperSize="1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0FB85-DD4A-479F-8CA8-D548BB5906FD}">
  <sheetPr>
    <tabColor theme="5" tint="0.79998168889431442"/>
  </sheetPr>
  <dimension ref="A1:J16"/>
  <sheetViews>
    <sheetView workbookViewId="0">
      <selection activeCell="C36" sqref="C36"/>
    </sheetView>
  </sheetViews>
  <sheetFormatPr defaultRowHeight="15"/>
  <cols>
    <col min="2" max="2" width="11.85546875" customWidth="1"/>
    <col min="3" max="3" width="13" customWidth="1"/>
    <col min="4" max="4" width="10" bestFit="1" customWidth="1"/>
    <col min="5" max="5" width="12.28515625" customWidth="1"/>
    <col min="6" max="6" width="12" customWidth="1"/>
    <col min="8" max="8" width="13" customWidth="1"/>
    <col min="9" max="9" width="15" customWidth="1"/>
  </cols>
  <sheetData>
    <row r="1" spans="1:10">
      <c r="A1" t="s">
        <v>864</v>
      </c>
    </row>
    <row r="2" spans="1:10">
      <c r="A2" t="s">
        <v>1054</v>
      </c>
    </row>
    <row r="3" spans="1:10">
      <c r="A3" t="s">
        <v>865</v>
      </c>
    </row>
    <row r="5" spans="1:10" ht="60">
      <c r="B5" s="207" t="s">
        <v>866</v>
      </c>
      <c r="C5" s="207" t="s">
        <v>867</v>
      </c>
      <c r="D5" s="207" t="s">
        <v>868</v>
      </c>
      <c r="E5" s="207" t="s">
        <v>1105</v>
      </c>
      <c r="F5" s="207" t="s">
        <v>869</v>
      </c>
      <c r="G5" s="207"/>
      <c r="H5" s="207" t="s">
        <v>870</v>
      </c>
      <c r="I5" s="207" t="s">
        <v>871</v>
      </c>
      <c r="J5" t="s">
        <v>1094</v>
      </c>
    </row>
    <row r="6" spans="1:10">
      <c r="B6" s="416">
        <v>23</v>
      </c>
      <c r="C6" s="416" t="s">
        <v>872</v>
      </c>
      <c r="D6" s="416" t="s">
        <v>873</v>
      </c>
      <c r="E6" s="416" t="s">
        <v>874</v>
      </c>
      <c r="F6" s="416">
        <v>230</v>
      </c>
      <c r="G6" s="416"/>
      <c r="H6" s="80">
        <v>416.65823423423421</v>
      </c>
      <c r="I6" s="81">
        <f>ROUNDUP(H6*F6,-3)</f>
        <v>96000</v>
      </c>
      <c r="J6" t="s">
        <v>1095</v>
      </c>
    </row>
    <row r="7" spans="1:10">
      <c r="B7" s="416">
        <v>24</v>
      </c>
      <c r="C7" s="416" t="s">
        <v>872</v>
      </c>
      <c r="D7" s="416" t="s">
        <v>873</v>
      </c>
      <c r="E7" s="416" t="s">
        <v>875</v>
      </c>
      <c r="F7" s="416">
        <v>225</v>
      </c>
      <c r="G7" s="416"/>
      <c r="H7" s="80">
        <v>416.65823423423421</v>
      </c>
      <c r="I7" s="81">
        <f>ROUNDUP(H7*F7,-3)</f>
        <v>94000</v>
      </c>
      <c r="J7" t="s">
        <v>1096</v>
      </c>
    </row>
    <row r="8" spans="1:10">
      <c r="B8" s="416">
        <v>25</v>
      </c>
      <c r="C8" s="416" t="s">
        <v>876</v>
      </c>
      <c r="D8" s="416" t="s">
        <v>873</v>
      </c>
      <c r="E8" s="416" t="s">
        <v>877</v>
      </c>
      <c r="F8" s="416">
        <v>305</v>
      </c>
      <c r="G8" s="416"/>
      <c r="H8" s="80">
        <v>425</v>
      </c>
      <c r="I8" s="81">
        <f>ROUNDUP(H8*F8,-3)</f>
        <v>130000</v>
      </c>
      <c r="J8" t="s">
        <v>1097</v>
      </c>
    </row>
    <row r="9" spans="1:10">
      <c r="B9" s="416">
        <v>26</v>
      </c>
      <c r="C9" s="416" t="s">
        <v>878</v>
      </c>
      <c r="D9" s="416" t="s">
        <v>873</v>
      </c>
      <c r="E9" s="416" t="s">
        <v>879</v>
      </c>
      <c r="F9" s="416">
        <v>390</v>
      </c>
      <c r="G9" s="416"/>
      <c r="H9" s="80">
        <v>496</v>
      </c>
      <c r="I9" s="81">
        <f>ROUNDUP(H9*F9,-3)</f>
        <v>194000</v>
      </c>
      <c r="J9" t="s">
        <v>1098</v>
      </c>
    </row>
    <row r="10" spans="1:10">
      <c r="B10" s="416"/>
      <c r="C10" s="416"/>
      <c r="D10" s="416"/>
      <c r="E10" s="416"/>
      <c r="F10" s="416"/>
      <c r="G10" s="416"/>
      <c r="H10" s="416"/>
      <c r="I10" s="81"/>
    </row>
    <row r="11" spans="1:10">
      <c r="B11" s="416"/>
      <c r="C11" s="416"/>
      <c r="D11" s="416"/>
      <c r="E11" s="416"/>
      <c r="F11" s="416"/>
      <c r="G11" s="81"/>
      <c r="H11" s="61" t="s">
        <v>880</v>
      </c>
      <c r="I11" s="709">
        <f>I6+I7+I8+I9</f>
        <v>514000</v>
      </c>
    </row>
    <row r="12" spans="1:10">
      <c r="B12" s="416"/>
      <c r="C12" s="416"/>
      <c r="D12" s="416"/>
      <c r="E12" s="416"/>
      <c r="F12" s="416"/>
      <c r="G12" s="81"/>
      <c r="H12" s="61" t="s">
        <v>1099</v>
      </c>
      <c r="I12" s="709">
        <f>0.25*I11</f>
        <v>128500</v>
      </c>
    </row>
    <row r="13" spans="1:10">
      <c r="B13" s="416"/>
      <c r="C13" s="416"/>
      <c r="D13" s="416"/>
      <c r="E13" s="416"/>
      <c r="F13" s="416"/>
      <c r="G13" s="81"/>
      <c r="H13" s="61" t="s">
        <v>1100</v>
      </c>
      <c r="I13" s="709">
        <f>I12*0.15+I12</f>
        <v>147775</v>
      </c>
    </row>
    <row r="14" spans="1:10">
      <c r="G14" s="81"/>
      <c r="H14" s="61" t="s">
        <v>881</v>
      </c>
      <c r="I14" s="709">
        <f>ROUNDUP(I12+I11+I13, -3)</f>
        <v>791000</v>
      </c>
    </row>
    <row r="16" spans="1:10">
      <c r="G16" s="416"/>
      <c r="H16" s="61" t="s">
        <v>1101</v>
      </c>
      <c r="I16" s="710">
        <f>ROUNDUP(I14,-5)</f>
        <v>800000</v>
      </c>
    </row>
  </sheetData>
  <sheetProtection algorithmName="SHA-512" hashValue="k5qUKTlXJSahwIiWXcQ3r6dJeR2qMDmjkMy5QUvCfYLpTrHY4B20DvEBtRqHG4gH0a9hM0P5wLIvx3FLMoXIVQ==" saltValue="odmU4j6cxBjPhjv9zDuDlw==" spinCount="100000" sheet="1" objects="1" scenario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theme="5" tint="0.79998168889431442"/>
  </sheetPr>
  <dimension ref="A1:X70"/>
  <sheetViews>
    <sheetView zoomScaleNormal="100" workbookViewId="0">
      <selection activeCell="C36" sqref="C36"/>
    </sheetView>
  </sheetViews>
  <sheetFormatPr defaultRowHeight="15"/>
  <cols>
    <col min="1" max="1" width="9.140625" style="416"/>
    <col min="2" max="2" width="43.28515625" bestFit="1" customWidth="1"/>
    <col min="3" max="3" width="21.7109375" bestFit="1" customWidth="1"/>
    <col min="4" max="4" width="15.7109375" bestFit="1" customWidth="1"/>
    <col min="5" max="5" width="13.85546875" style="77" customWidth="1"/>
    <col min="6" max="6" width="14" style="77" customWidth="1"/>
    <col min="7" max="7" width="3.7109375" style="145" customWidth="1"/>
    <col min="8" max="9" width="9.140625" customWidth="1"/>
    <col min="10" max="10" width="11.28515625" customWidth="1"/>
    <col min="11" max="11" width="14.28515625" customWidth="1"/>
    <col min="12" max="12" width="11.7109375" customWidth="1"/>
    <col min="13" max="13" width="12.7109375" customWidth="1"/>
    <col min="14" max="15" width="9.140625" customWidth="1"/>
    <col min="23" max="23" width="10.140625" bestFit="1" customWidth="1"/>
  </cols>
  <sheetData>
    <row r="1" spans="1:15" ht="15.75">
      <c r="B1" s="294" t="s">
        <v>352</v>
      </c>
    </row>
    <row r="2" spans="1:15" ht="15.75">
      <c r="B2" s="294" t="s">
        <v>799</v>
      </c>
      <c r="D2" s="293"/>
      <c r="E2" s="293"/>
      <c r="F2" s="293"/>
    </row>
    <row r="3" spans="1:15" s="206" customFormat="1" ht="15.75">
      <c r="A3" s="416"/>
      <c r="B3" s="294"/>
      <c r="D3" s="293"/>
      <c r="E3" s="293"/>
      <c r="F3" s="293"/>
    </row>
    <row r="4" spans="1:15">
      <c r="A4" s="416" t="s">
        <v>985</v>
      </c>
      <c r="C4" s="141" t="s">
        <v>560</v>
      </c>
      <c r="D4" s="141" t="s">
        <v>561</v>
      </c>
      <c r="I4" s="5"/>
      <c r="J4" s="80"/>
      <c r="K4" s="208"/>
      <c r="L4" s="416"/>
    </row>
    <row r="5" spans="1:15">
      <c r="A5" s="416">
        <v>1</v>
      </c>
      <c r="B5" t="s">
        <v>558</v>
      </c>
      <c r="C5" s="208">
        <v>400000</v>
      </c>
      <c r="D5" s="208"/>
      <c r="E5" s="206" t="s">
        <v>0</v>
      </c>
      <c r="I5" s="5"/>
      <c r="J5" s="80"/>
      <c r="K5" s="208"/>
      <c r="L5" s="416"/>
    </row>
    <row r="6" spans="1:15" s="416" customFormat="1">
      <c r="A6" s="61" t="s">
        <v>1068</v>
      </c>
      <c r="B6" s="416" t="s">
        <v>1069</v>
      </c>
      <c r="C6" s="208">
        <v>400000</v>
      </c>
      <c r="D6" s="208"/>
      <c r="I6" s="5"/>
      <c r="J6" s="80"/>
      <c r="K6" s="208"/>
    </row>
    <row r="7" spans="1:15">
      <c r="A7" s="416">
        <v>2</v>
      </c>
      <c r="B7" t="s">
        <v>559</v>
      </c>
      <c r="C7" s="208">
        <f>W24+W25</f>
        <v>620000</v>
      </c>
      <c r="E7" s="206" t="s">
        <v>0</v>
      </c>
      <c r="I7" s="5"/>
      <c r="J7" s="80"/>
      <c r="K7" s="208"/>
      <c r="L7" s="416"/>
    </row>
    <row r="8" spans="1:15">
      <c r="A8" s="416">
        <v>3</v>
      </c>
      <c r="B8" t="s">
        <v>562</v>
      </c>
      <c r="C8" s="208">
        <f>W27</f>
        <v>49000</v>
      </c>
      <c r="D8" s="208"/>
      <c r="E8" s="206" t="s">
        <v>0</v>
      </c>
      <c r="I8" s="5"/>
      <c r="J8" s="80"/>
      <c r="K8" s="208"/>
      <c r="L8" s="416"/>
    </row>
    <row r="9" spans="1:15">
      <c r="A9" s="416">
        <v>4</v>
      </c>
      <c r="B9" t="s">
        <v>563</v>
      </c>
      <c r="C9" s="208">
        <v>1000000</v>
      </c>
      <c r="D9" s="208"/>
      <c r="E9" s="148" t="s">
        <v>1091</v>
      </c>
      <c r="N9" s="208"/>
      <c r="O9" s="208"/>
    </row>
    <row r="10" spans="1:15">
      <c r="A10" s="416">
        <v>5</v>
      </c>
      <c r="B10" t="s">
        <v>1083</v>
      </c>
      <c r="C10" s="208">
        <f>W26</f>
        <v>1110000</v>
      </c>
      <c r="D10" s="208">
        <f>W23</f>
        <v>13875</v>
      </c>
      <c r="E10" s="206" t="s">
        <v>798</v>
      </c>
      <c r="O10" s="208"/>
    </row>
    <row r="11" spans="1:15">
      <c r="N11" s="208"/>
      <c r="O11" s="208"/>
    </row>
    <row r="12" spans="1:15">
      <c r="C12" s="206" t="s">
        <v>560</v>
      </c>
      <c r="I12" t="s">
        <v>583</v>
      </c>
      <c r="K12" s="208">
        <f>'I-87_CostTables'!D12</f>
        <v>2400000</v>
      </c>
      <c r="O12" s="208"/>
    </row>
    <row r="13" spans="1:15">
      <c r="A13" s="416" t="s">
        <v>986</v>
      </c>
      <c r="B13" s="416" t="s">
        <v>460</v>
      </c>
      <c r="D13" s="141" t="s">
        <v>800</v>
      </c>
      <c r="E13" s="141" t="s">
        <v>569</v>
      </c>
      <c r="F13" s="141" t="s">
        <v>546</v>
      </c>
      <c r="K13" s="141" t="s">
        <v>569</v>
      </c>
      <c r="L13" s="141" t="s">
        <v>546</v>
      </c>
      <c r="N13" s="54" t="s">
        <v>584</v>
      </c>
    </row>
    <row r="14" spans="1:15">
      <c r="A14" s="631" t="s">
        <v>987</v>
      </c>
      <c r="B14" s="416" t="s">
        <v>990</v>
      </c>
      <c r="C14">
        <v>2022</v>
      </c>
      <c r="D14" s="208">
        <f>C5</f>
        <v>400000</v>
      </c>
      <c r="E14" s="208">
        <f>D14*Deflator!$C$86/Deflator!$C$88+N14</f>
        <v>465296.62659945717</v>
      </c>
      <c r="F14" s="208">
        <f>E14*Deflator!C89/Deflator!$C$86</f>
        <v>493679.47257555777</v>
      </c>
      <c r="I14" s="206">
        <f>C14</f>
        <v>2022</v>
      </c>
      <c r="J14" s="78">
        <f t="shared" ref="J14:J20" si="0">D14/$D$21</f>
        <v>0.15509887553315238</v>
      </c>
      <c r="K14" s="208">
        <f>J14*$K$12</f>
        <v>372237.30127956573</v>
      </c>
      <c r="L14" s="208">
        <f>K14*Deflator!C89/Deflator!$C$86</f>
        <v>394943.57806044625</v>
      </c>
      <c r="N14" s="17">
        <v>80719.384571586779</v>
      </c>
    </row>
    <row r="15" spans="1:15">
      <c r="A15" s="631" t="s">
        <v>988</v>
      </c>
      <c r="B15" s="416" t="s">
        <v>564</v>
      </c>
      <c r="C15">
        <f>C14+1</f>
        <v>2023</v>
      </c>
      <c r="D15" s="208">
        <f>C6</f>
        <v>400000</v>
      </c>
      <c r="E15" s="208">
        <f>D15*Deflator!$C$86/Deflator!$C$88+N15</f>
        <v>465296.62659945717</v>
      </c>
      <c r="F15" s="208">
        <f>E15*Deflator!C90/Deflator!$C$86</f>
        <v>503567.95681504474</v>
      </c>
      <c r="I15" s="206">
        <f t="shared" ref="I15:I20" si="1">C15</f>
        <v>2023</v>
      </c>
      <c r="J15" s="78">
        <f t="shared" si="0"/>
        <v>0.15509887553315238</v>
      </c>
      <c r="K15" s="208">
        <f t="shared" ref="K15:K20" si="2">J15*$K$12</f>
        <v>372237.30127956573</v>
      </c>
      <c r="L15" s="208">
        <f>K15*Deflator!C90/Deflator!$C$86</f>
        <v>402854.3654520358</v>
      </c>
      <c r="N15" s="17">
        <v>80719.384571586779</v>
      </c>
    </row>
    <row r="16" spans="1:15">
      <c r="A16" s="631" t="s">
        <v>989</v>
      </c>
      <c r="B16" s="416" t="s">
        <v>991</v>
      </c>
      <c r="C16" s="206">
        <f>C15+1</f>
        <v>2024</v>
      </c>
      <c r="D16" s="208">
        <f>C10</f>
        <v>1110000</v>
      </c>
      <c r="E16" s="208">
        <f>D16*Deflator!$C$86/Deflator!$C$88+N16</f>
        <v>1291198.1388134938</v>
      </c>
      <c r="F16" s="208">
        <f>E16*Deflator!C91/Deflator!$C$86</f>
        <v>1425530.5078702061</v>
      </c>
      <c r="I16" s="206">
        <f t="shared" si="1"/>
        <v>2024</v>
      </c>
      <c r="J16" s="78">
        <f t="shared" si="0"/>
        <v>0.43039937960449787</v>
      </c>
      <c r="K16" s="208">
        <f t="shared" si="2"/>
        <v>1032958.5110507949</v>
      </c>
      <c r="L16" s="208">
        <f>K16*Deflator!C91/Deflator!$C$86</f>
        <v>1140424.4062961647</v>
      </c>
      <c r="N16" s="17">
        <v>223996.2921861533</v>
      </c>
    </row>
    <row r="17" spans="1:24" s="206" customFormat="1">
      <c r="C17" s="206">
        <f>C16+1</f>
        <v>2025</v>
      </c>
      <c r="D17" s="208">
        <f>C7+C8</f>
        <v>669000</v>
      </c>
      <c r="E17" s="208">
        <f>D17*Deflator!$C$86/Deflator!$C$88+N17</f>
        <v>778208.60798759223</v>
      </c>
      <c r="F17" s="208">
        <f>E17*Deflator!C92/Deflator!$C$86</f>
        <v>876401.56679378042</v>
      </c>
      <c r="I17" s="206">
        <f t="shared" si="1"/>
        <v>2025</v>
      </c>
      <c r="J17" s="78">
        <f t="shared" si="0"/>
        <v>0.25940286932919737</v>
      </c>
      <c r="K17" s="208">
        <f t="shared" si="2"/>
        <v>622566.88639007369</v>
      </c>
      <c r="L17" s="208">
        <f>K17*Deflator!C92/Deflator!$C$86</f>
        <v>701121.25343502429</v>
      </c>
      <c r="N17" s="17">
        <v>135003.17069597889</v>
      </c>
    </row>
    <row r="18" spans="1:24" s="206" customFormat="1">
      <c r="A18" s="416"/>
      <c r="C18" s="206">
        <f t="shared" ref="C18:C20" si="3">C17+1</f>
        <v>2026</v>
      </c>
      <c r="D18" s="63"/>
      <c r="E18" s="208">
        <f>D18*Deflator!$C$86/Deflator!$C$88</f>
        <v>0</v>
      </c>
      <c r="F18" s="208">
        <f>E18*Deflator!C93/Deflator!$C$86</f>
        <v>0</v>
      </c>
      <c r="I18" s="206">
        <f t="shared" si="1"/>
        <v>2026</v>
      </c>
      <c r="J18" s="78">
        <f t="shared" si="0"/>
        <v>0</v>
      </c>
      <c r="K18" s="208">
        <f t="shared" si="2"/>
        <v>0</v>
      </c>
      <c r="L18" s="208">
        <f>K18*Deflator!C96/Deflator!$C$86</f>
        <v>0</v>
      </c>
      <c r="N18" s="17"/>
    </row>
    <row r="19" spans="1:24" s="206" customFormat="1">
      <c r="A19" s="416"/>
      <c r="C19" s="206">
        <f t="shared" si="3"/>
        <v>2027</v>
      </c>
      <c r="D19" s="63"/>
      <c r="E19" s="208">
        <f>D19*Deflator!$C$86/Deflator!$C$88</f>
        <v>0</v>
      </c>
      <c r="F19" s="208">
        <f>E19*Deflator!C94/Deflator!$C$86</f>
        <v>0</v>
      </c>
      <c r="I19" s="206">
        <f t="shared" si="1"/>
        <v>2027</v>
      </c>
      <c r="J19" s="78">
        <f t="shared" si="0"/>
        <v>0</v>
      </c>
      <c r="K19" s="208">
        <f t="shared" si="2"/>
        <v>0</v>
      </c>
      <c r="L19" s="208">
        <f>K19*Deflator!C97/Deflator!$C$86</f>
        <v>0</v>
      </c>
      <c r="N19" s="17"/>
    </row>
    <row r="20" spans="1:24" s="206" customFormat="1">
      <c r="A20" s="416"/>
      <c r="C20" s="206">
        <f t="shared" si="3"/>
        <v>2028</v>
      </c>
      <c r="D20" s="63"/>
      <c r="E20" s="208">
        <f>D20*Deflator!$C$86/Deflator!$C$88</f>
        <v>0</v>
      </c>
      <c r="F20" s="208">
        <f>E20*Deflator!C95/Deflator!$C$86</f>
        <v>0</v>
      </c>
      <c r="I20" s="206">
        <f t="shared" si="1"/>
        <v>2028</v>
      </c>
      <c r="J20" s="78">
        <f t="shared" si="0"/>
        <v>0</v>
      </c>
      <c r="K20" s="208">
        <f t="shared" si="2"/>
        <v>0</v>
      </c>
      <c r="L20" s="208">
        <f>K20*Deflator!C98/Deflator!$C$86</f>
        <v>0</v>
      </c>
      <c r="N20" s="17"/>
    </row>
    <row r="21" spans="1:24" s="206" customFormat="1">
      <c r="A21" s="416"/>
      <c r="C21" s="297" t="s">
        <v>0</v>
      </c>
      <c r="D21" s="298">
        <f>SUM(D14:D20)</f>
        <v>2579000</v>
      </c>
      <c r="E21" s="298">
        <f>SUM(E14:E20)</f>
        <v>3000000</v>
      </c>
      <c r="F21" s="298">
        <f>SUM(F14:F20)</f>
        <v>3299179.5040545887</v>
      </c>
      <c r="I21" s="297" t="s">
        <v>0</v>
      </c>
      <c r="K21" s="298">
        <f>SUM(K14:K20)</f>
        <v>2400000</v>
      </c>
      <c r="L21" s="298">
        <f>SUM(L14:L20)</f>
        <v>2639343.6032436714</v>
      </c>
      <c r="P21" s="632"/>
      <c r="Q21" s="633" t="s">
        <v>992</v>
      </c>
      <c r="R21" s="208"/>
      <c r="S21" s="208"/>
      <c r="T21" s="416"/>
      <c r="U21" s="208"/>
      <c r="V21" s="416"/>
      <c r="W21" s="416"/>
      <c r="X21" s="416"/>
    </row>
    <row r="22" spans="1:24" s="206" customFormat="1">
      <c r="A22" s="416"/>
      <c r="C22" s="297"/>
      <c r="D22" s="298"/>
      <c r="E22" s="298"/>
      <c r="F22" s="298"/>
      <c r="P22" s="632">
        <v>1</v>
      </c>
      <c r="Q22" s="634" t="s">
        <v>993</v>
      </c>
      <c r="R22" s="208" t="s">
        <v>903</v>
      </c>
      <c r="S22" s="208"/>
      <c r="T22" s="416"/>
      <c r="U22" s="208"/>
      <c r="V22" s="416"/>
      <c r="W22" s="416"/>
      <c r="X22" s="416"/>
    </row>
    <row r="23" spans="1:24">
      <c r="C23" t="s">
        <v>561</v>
      </c>
      <c r="D23" s="206"/>
      <c r="E23" s="206"/>
      <c r="I23" s="206" t="s">
        <v>306</v>
      </c>
      <c r="J23" s="206"/>
      <c r="K23" s="208">
        <f>'I-87_CostTables'!E12</f>
        <v>600000</v>
      </c>
      <c r="L23" s="206"/>
      <c r="P23" s="632">
        <v>2</v>
      </c>
      <c r="Q23" s="634" t="s">
        <v>994</v>
      </c>
      <c r="R23" s="208" t="s">
        <v>903</v>
      </c>
      <c r="S23" s="208"/>
      <c r="T23" s="416"/>
      <c r="U23" s="5">
        <v>37</v>
      </c>
      <c r="V23" s="80">
        <v>375</v>
      </c>
      <c r="W23" s="208">
        <f>U23*V23</f>
        <v>13875</v>
      </c>
      <c r="X23" s="416" t="s">
        <v>995</v>
      </c>
    </row>
    <row r="24" spans="1:24">
      <c r="D24" s="141" t="s">
        <v>800</v>
      </c>
      <c r="E24" s="141" t="s">
        <v>569</v>
      </c>
      <c r="F24" s="141"/>
      <c r="I24" s="206"/>
      <c r="J24" s="206"/>
      <c r="K24" s="141" t="s">
        <v>569</v>
      </c>
      <c r="L24" s="141" t="s">
        <v>546</v>
      </c>
      <c r="P24" s="632">
        <v>3</v>
      </c>
      <c r="Q24" s="634" t="s">
        <v>996</v>
      </c>
      <c r="R24" s="208" t="s">
        <v>903</v>
      </c>
      <c r="S24" s="208"/>
      <c r="T24" s="416"/>
      <c r="U24" s="5">
        <v>15</v>
      </c>
      <c r="V24" s="80">
        <v>12000</v>
      </c>
      <c r="W24" s="208">
        <f>U24*V24</f>
        <v>180000</v>
      </c>
      <c r="X24" s="416" t="s">
        <v>997</v>
      </c>
    </row>
    <row r="25" spans="1:24">
      <c r="C25" s="111">
        <f>C18</f>
        <v>2026</v>
      </c>
      <c r="D25" s="208">
        <f>$D$10</f>
        <v>13875</v>
      </c>
      <c r="E25" s="208">
        <f>D25*Deflator!$C$85/Deflator!$C$86</f>
        <v>13610.972790325448</v>
      </c>
      <c r="I25" s="206">
        <f>I14</f>
        <v>2022</v>
      </c>
      <c r="J25" s="78">
        <f>J14</f>
        <v>0.15509887553315238</v>
      </c>
      <c r="K25" s="208">
        <f>J25*$K$23</f>
        <v>93059.325319891432</v>
      </c>
      <c r="L25" s="208">
        <f>K25*Deflator!C89/Deflator!$C$86</f>
        <v>98735.894515111562</v>
      </c>
      <c r="P25" s="632">
        <v>4</v>
      </c>
      <c r="Q25" s="634" t="s">
        <v>998</v>
      </c>
      <c r="R25" s="208" t="s">
        <v>903</v>
      </c>
      <c r="S25" s="208"/>
      <c r="T25" s="416"/>
      <c r="U25" s="5">
        <v>22</v>
      </c>
      <c r="V25" s="80">
        <v>20000</v>
      </c>
      <c r="W25" s="208">
        <f>U25*V25</f>
        <v>440000</v>
      </c>
      <c r="X25" s="416" t="s">
        <v>999</v>
      </c>
    </row>
    <row r="26" spans="1:24">
      <c r="C26" s="206">
        <f>C25+1</f>
        <v>2027</v>
      </c>
      <c r="D26" s="208">
        <f t="shared" ref="D26:D45" si="4">$D$10</f>
        <v>13875</v>
      </c>
      <c r="E26" s="208">
        <f>D26*Deflator!$C$85/Deflator!$C$86</f>
        <v>13610.972790325448</v>
      </c>
      <c r="I26" s="206">
        <f>I15</f>
        <v>2023</v>
      </c>
      <c r="J26" s="78">
        <f t="shared" ref="J26:J31" si="5">J15</f>
        <v>0.15509887553315238</v>
      </c>
      <c r="K26" s="208">
        <f t="shared" ref="K26:K31" si="6">J26*$K$23</f>
        <v>93059.325319891432</v>
      </c>
      <c r="L26" s="208">
        <f>K26*Deflator!C90/Deflator!$C$86</f>
        <v>100713.59136300895</v>
      </c>
      <c r="P26" s="632">
        <v>5</v>
      </c>
      <c r="Q26" s="633" t="s">
        <v>1000</v>
      </c>
      <c r="R26" s="208" t="s">
        <v>903</v>
      </c>
      <c r="S26" s="298"/>
      <c r="T26" s="416"/>
      <c r="U26" s="5">
        <v>37</v>
      </c>
      <c r="V26" s="80">
        <v>30000</v>
      </c>
      <c r="W26" s="208">
        <f>U26*V26</f>
        <v>1110000</v>
      </c>
      <c r="X26" s="416" t="s">
        <v>1001</v>
      </c>
    </row>
    <row r="27" spans="1:24">
      <c r="C27" s="206">
        <f>C26+1</f>
        <v>2028</v>
      </c>
      <c r="D27" s="208">
        <f t="shared" si="4"/>
        <v>13875</v>
      </c>
      <c r="E27" s="208">
        <f>D27*Deflator!$C$85/Deflator!$C$86</f>
        <v>13610.972790325448</v>
      </c>
      <c r="I27" s="206">
        <f t="shared" ref="I27:I31" si="7">I16</f>
        <v>2024</v>
      </c>
      <c r="J27" s="78">
        <f t="shared" si="5"/>
        <v>0.43039937960449787</v>
      </c>
      <c r="K27" s="208">
        <f t="shared" si="6"/>
        <v>258239.62776269871</v>
      </c>
      <c r="L27" s="208">
        <f>K27*Deflator!C91/Deflator!$C$86</f>
        <v>285106.10157404118</v>
      </c>
      <c r="P27" s="632">
        <v>6</v>
      </c>
      <c r="Q27" s="634" t="s">
        <v>1002</v>
      </c>
      <c r="R27" s="208" t="s">
        <v>903</v>
      </c>
      <c r="S27" s="416"/>
      <c r="T27" s="416"/>
      <c r="U27" s="5">
        <v>49</v>
      </c>
      <c r="V27" s="80">
        <v>1000</v>
      </c>
      <c r="W27" s="208">
        <f>U27*V27</f>
        <v>49000</v>
      </c>
      <c r="X27" s="416" t="s">
        <v>1003</v>
      </c>
    </row>
    <row r="28" spans="1:24">
      <c r="C28" s="206">
        <f>C27+1</f>
        <v>2029</v>
      </c>
      <c r="D28" s="208">
        <f t="shared" si="4"/>
        <v>13875</v>
      </c>
      <c r="E28" s="208">
        <f>D28*Deflator!$C$85/Deflator!$C$86</f>
        <v>13610.972790325448</v>
      </c>
      <c r="I28" s="206">
        <f t="shared" si="7"/>
        <v>2025</v>
      </c>
      <c r="J28" s="78">
        <f t="shared" si="5"/>
        <v>0.25940286932919737</v>
      </c>
      <c r="K28" s="208">
        <f t="shared" si="6"/>
        <v>155641.72159751842</v>
      </c>
      <c r="L28" s="208">
        <f>K28*Deflator!C92/Deflator!$C$86</f>
        <v>175280.31335875607</v>
      </c>
      <c r="P28" s="632">
        <v>7</v>
      </c>
      <c r="Q28" s="634" t="s">
        <v>1004</v>
      </c>
      <c r="R28" s="208" t="s">
        <v>903</v>
      </c>
      <c r="S28" s="416"/>
      <c r="T28" s="416"/>
      <c r="U28" s="416"/>
      <c r="V28" s="416"/>
      <c r="W28" s="416"/>
      <c r="X28" s="416"/>
    </row>
    <row r="29" spans="1:24">
      <c r="C29" s="206">
        <f t="shared" ref="C29:C38" si="8">C28+1</f>
        <v>2030</v>
      </c>
      <c r="D29" s="208">
        <f t="shared" si="4"/>
        <v>13875</v>
      </c>
      <c r="E29" s="208">
        <f>D29*Deflator!$C$85/Deflator!$C$86</f>
        <v>13610.972790325448</v>
      </c>
      <c r="I29" s="206">
        <f t="shared" si="7"/>
        <v>2026</v>
      </c>
      <c r="J29" s="78">
        <f t="shared" si="5"/>
        <v>0</v>
      </c>
      <c r="K29" s="208">
        <f t="shared" si="6"/>
        <v>0</v>
      </c>
      <c r="L29" s="208">
        <f>K29*Deflator!C93/Deflator!$C$86</f>
        <v>0</v>
      </c>
      <c r="P29" s="632">
        <v>8</v>
      </c>
      <c r="Q29" s="634" t="s">
        <v>1005</v>
      </c>
      <c r="R29" s="208" t="s">
        <v>903</v>
      </c>
      <c r="S29" s="141"/>
      <c r="T29" s="416"/>
      <c r="U29" s="416"/>
      <c r="V29" s="416"/>
      <c r="W29" s="416"/>
      <c r="X29" s="416"/>
    </row>
    <row r="30" spans="1:24">
      <c r="C30" s="206">
        <f t="shared" si="8"/>
        <v>2031</v>
      </c>
      <c r="D30" s="208">
        <f t="shared" si="4"/>
        <v>13875</v>
      </c>
      <c r="E30" s="208">
        <f>D30*Deflator!$C$85/Deflator!$C$86</f>
        <v>13610.972790325448</v>
      </c>
      <c r="I30" s="206">
        <f t="shared" si="7"/>
        <v>2027</v>
      </c>
      <c r="J30" s="78">
        <f t="shared" si="5"/>
        <v>0</v>
      </c>
      <c r="K30" s="208">
        <f t="shared" si="6"/>
        <v>0</v>
      </c>
      <c r="L30" s="208">
        <f>K30*Deflator!C94/Deflator!$C$86</f>
        <v>0</v>
      </c>
      <c r="P30" s="632">
        <v>9</v>
      </c>
      <c r="Q30" s="634" t="s">
        <v>1006</v>
      </c>
      <c r="R30" s="208" t="s">
        <v>903</v>
      </c>
      <c r="S30" s="208"/>
      <c r="T30" s="416"/>
      <c r="U30" s="416"/>
      <c r="V30" s="416"/>
      <c r="W30" s="416"/>
      <c r="X30" s="416"/>
    </row>
    <row r="31" spans="1:24">
      <c r="C31" s="206">
        <f t="shared" si="8"/>
        <v>2032</v>
      </c>
      <c r="D31" s="208">
        <f t="shared" si="4"/>
        <v>13875</v>
      </c>
      <c r="E31" s="208">
        <f>D31*Deflator!$C$85/Deflator!$C$86</f>
        <v>13610.972790325448</v>
      </c>
      <c r="I31" s="206">
        <f t="shared" si="7"/>
        <v>2028</v>
      </c>
      <c r="J31" s="78">
        <f t="shared" si="5"/>
        <v>0</v>
      </c>
      <c r="K31" s="208">
        <f t="shared" si="6"/>
        <v>0</v>
      </c>
      <c r="L31" s="208">
        <f>K31*Deflator!C95/Deflator!$C$86</f>
        <v>0</v>
      </c>
      <c r="P31" s="632">
        <v>10</v>
      </c>
      <c r="Q31" s="634" t="s">
        <v>1007</v>
      </c>
      <c r="R31" s="208" t="s">
        <v>903</v>
      </c>
      <c r="S31" s="208"/>
      <c r="T31" s="416"/>
      <c r="U31" s="416"/>
      <c r="V31" s="416"/>
      <c r="W31" s="416"/>
      <c r="X31" s="416"/>
    </row>
    <row r="32" spans="1:24">
      <c r="C32" s="206">
        <f t="shared" si="8"/>
        <v>2033</v>
      </c>
      <c r="D32" s="208">
        <f t="shared" si="4"/>
        <v>13875</v>
      </c>
      <c r="E32" s="208">
        <f>D32*Deflator!$C$85/Deflator!$C$86</f>
        <v>13610.972790325448</v>
      </c>
      <c r="I32" s="297" t="s">
        <v>0</v>
      </c>
      <c r="J32" s="206"/>
      <c r="K32" s="298">
        <f>SUM(K25:K31)</f>
        <v>600000</v>
      </c>
      <c r="L32" s="298">
        <f>SUM(L25:L31)</f>
        <v>659835.90081091784</v>
      </c>
      <c r="P32" s="632">
        <v>11</v>
      </c>
      <c r="Q32" s="634" t="s">
        <v>1008</v>
      </c>
      <c r="R32" s="208" t="s">
        <v>903</v>
      </c>
      <c r="S32" s="208"/>
      <c r="T32" s="416"/>
      <c r="U32" s="416"/>
      <c r="V32" s="416"/>
      <c r="W32" s="416"/>
      <c r="X32" s="416"/>
    </row>
    <row r="33" spans="2:24">
      <c r="C33" s="206">
        <f t="shared" si="8"/>
        <v>2034</v>
      </c>
      <c r="D33" s="208">
        <f t="shared" si="4"/>
        <v>13875</v>
      </c>
      <c r="E33" s="208">
        <f>D33*Deflator!$C$85/Deflator!$C$86</f>
        <v>13610.972790325448</v>
      </c>
      <c r="P33" s="632">
        <v>12</v>
      </c>
      <c r="Q33" s="634" t="s">
        <v>1009</v>
      </c>
      <c r="R33" s="208" t="s">
        <v>903</v>
      </c>
      <c r="S33" s="208"/>
      <c r="T33" s="416"/>
      <c r="U33" s="416"/>
      <c r="V33" s="416"/>
      <c r="W33" s="416"/>
      <c r="X33" s="416"/>
    </row>
    <row r="34" spans="2:24">
      <c r="C34" s="206">
        <f t="shared" si="8"/>
        <v>2035</v>
      </c>
      <c r="D34" s="208">
        <f t="shared" si="4"/>
        <v>13875</v>
      </c>
      <c r="E34" s="208">
        <f>D34*Deflator!$C$85/Deflator!$C$86</f>
        <v>13610.972790325448</v>
      </c>
      <c r="P34" s="632">
        <v>13</v>
      </c>
      <c r="Q34" s="634" t="s">
        <v>1010</v>
      </c>
      <c r="R34" s="208" t="s">
        <v>291</v>
      </c>
      <c r="S34" s="208"/>
      <c r="T34" s="416"/>
      <c r="U34" s="416"/>
      <c r="V34" s="416"/>
      <c r="W34" s="416"/>
      <c r="X34" s="416"/>
    </row>
    <row r="35" spans="2:24">
      <c r="C35" s="206">
        <f t="shared" si="8"/>
        <v>2036</v>
      </c>
      <c r="D35" s="208">
        <f t="shared" si="4"/>
        <v>13875</v>
      </c>
      <c r="E35" s="208">
        <f>D35*Deflator!$C$85/Deflator!$C$86</f>
        <v>13610.972790325448</v>
      </c>
      <c r="P35" s="632">
        <v>14</v>
      </c>
      <c r="Q35" s="634" t="s">
        <v>1011</v>
      </c>
      <c r="R35" s="208" t="s">
        <v>291</v>
      </c>
      <c r="S35" s="208"/>
      <c r="T35" s="416"/>
      <c r="U35" s="416"/>
      <c r="V35" s="416"/>
      <c r="W35" s="416"/>
      <c r="X35" s="416"/>
    </row>
    <row r="36" spans="2:24">
      <c r="C36" s="206">
        <f t="shared" si="8"/>
        <v>2037</v>
      </c>
      <c r="D36" s="208">
        <f t="shared" si="4"/>
        <v>13875</v>
      </c>
      <c r="E36" s="208">
        <f>D36*Deflator!$C$85/Deflator!$C$86</f>
        <v>13610.972790325448</v>
      </c>
      <c r="P36" s="632">
        <v>15</v>
      </c>
      <c r="Q36" s="634" t="s">
        <v>1012</v>
      </c>
      <c r="R36" s="208" t="s">
        <v>291</v>
      </c>
      <c r="S36" s="208"/>
      <c r="T36" s="416"/>
      <c r="U36" s="416"/>
      <c r="V36" s="416"/>
      <c r="W36" s="416"/>
      <c r="X36" s="416"/>
    </row>
    <row r="37" spans="2:24">
      <c r="C37" s="206">
        <f t="shared" si="8"/>
        <v>2038</v>
      </c>
      <c r="D37" s="208">
        <f t="shared" si="4"/>
        <v>13875</v>
      </c>
      <c r="E37" s="208">
        <f>D37*Deflator!$C$85/Deflator!$C$86</f>
        <v>13610.972790325448</v>
      </c>
      <c r="P37" s="632">
        <v>16</v>
      </c>
      <c r="Q37" s="633" t="s">
        <v>1013</v>
      </c>
      <c r="R37" s="208" t="s">
        <v>291</v>
      </c>
      <c r="S37" s="298"/>
      <c r="T37" s="416"/>
      <c r="U37" s="416"/>
      <c r="V37" s="416"/>
      <c r="W37" s="416"/>
      <c r="X37" s="416"/>
    </row>
    <row r="38" spans="2:24">
      <c r="C38" s="206">
        <f t="shared" si="8"/>
        <v>2039</v>
      </c>
      <c r="D38" s="208">
        <f t="shared" si="4"/>
        <v>13875</v>
      </c>
      <c r="E38" s="208">
        <f>D38*Deflator!$C$85/Deflator!$C$86</f>
        <v>13610.972790325448</v>
      </c>
      <c r="P38" s="632">
        <v>17</v>
      </c>
      <c r="Q38" s="634" t="s">
        <v>1014</v>
      </c>
      <c r="R38" s="208" t="s">
        <v>291</v>
      </c>
      <c r="S38" s="416"/>
      <c r="T38" s="416"/>
      <c r="U38" s="416"/>
      <c r="V38" s="416"/>
      <c r="W38" s="416"/>
      <c r="X38" s="416"/>
    </row>
    <row r="39" spans="2:24">
      <c r="C39" s="206">
        <f t="shared" ref="C39:C45" si="9">C38+1</f>
        <v>2040</v>
      </c>
      <c r="D39" s="208">
        <f t="shared" si="4"/>
        <v>13875</v>
      </c>
      <c r="E39" s="208">
        <f>D39*Deflator!$C$85/Deflator!$C$86</f>
        <v>13610.972790325448</v>
      </c>
      <c r="P39" s="632">
        <v>18</v>
      </c>
      <c r="Q39" s="634" t="s">
        <v>1015</v>
      </c>
      <c r="R39" s="208" t="s">
        <v>291</v>
      </c>
      <c r="S39" s="416"/>
      <c r="T39" s="416"/>
      <c r="U39" s="416"/>
      <c r="V39" s="416"/>
      <c r="W39" s="416"/>
      <c r="X39" s="416"/>
    </row>
    <row r="40" spans="2:24">
      <c r="C40" s="206">
        <f t="shared" si="9"/>
        <v>2041</v>
      </c>
      <c r="D40" s="208">
        <f t="shared" si="4"/>
        <v>13875</v>
      </c>
      <c r="E40" s="208">
        <f>D40*Deflator!$C$85/Deflator!$C$86</f>
        <v>13610.972790325448</v>
      </c>
      <c r="P40" s="632">
        <v>19</v>
      </c>
      <c r="Q40" s="634" t="s">
        <v>1016</v>
      </c>
      <c r="R40" s="208" t="s">
        <v>291</v>
      </c>
      <c r="S40" s="416"/>
      <c r="T40" s="416"/>
      <c r="U40" s="416"/>
      <c r="V40" s="416"/>
      <c r="W40" s="416"/>
      <c r="X40" s="416"/>
    </row>
    <row r="41" spans="2:24">
      <c r="C41" s="206">
        <f t="shared" si="9"/>
        <v>2042</v>
      </c>
      <c r="D41" s="208">
        <f t="shared" si="4"/>
        <v>13875</v>
      </c>
      <c r="E41" s="208">
        <f>D41*Deflator!$C$85/Deflator!$C$86</f>
        <v>13610.972790325448</v>
      </c>
      <c r="P41" s="632">
        <v>20</v>
      </c>
      <c r="Q41" s="634" t="s">
        <v>1017</v>
      </c>
      <c r="R41" s="208" t="s">
        <v>291</v>
      </c>
      <c r="S41" s="416"/>
      <c r="T41" s="416"/>
      <c r="U41" s="416"/>
      <c r="V41" s="416"/>
      <c r="W41" s="416"/>
      <c r="X41" s="416"/>
    </row>
    <row r="42" spans="2:24">
      <c r="C42" s="206">
        <f t="shared" si="9"/>
        <v>2043</v>
      </c>
      <c r="D42" s="208">
        <f t="shared" si="4"/>
        <v>13875</v>
      </c>
      <c r="E42" s="208">
        <f>D42*Deflator!$C$85/Deflator!$C$86</f>
        <v>13610.972790325448</v>
      </c>
      <c r="P42" s="632">
        <v>21</v>
      </c>
      <c r="Q42" s="634" t="s">
        <v>1018</v>
      </c>
      <c r="R42" s="208" t="s">
        <v>291</v>
      </c>
      <c r="S42" s="416"/>
      <c r="T42" s="416"/>
      <c r="U42" s="416"/>
      <c r="V42" s="416"/>
      <c r="W42" s="416"/>
      <c r="X42" s="416"/>
    </row>
    <row r="43" spans="2:24">
      <c r="C43" s="206">
        <f t="shared" si="9"/>
        <v>2044</v>
      </c>
      <c r="D43" s="208">
        <f t="shared" si="4"/>
        <v>13875</v>
      </c>
      <c r="E43" s="208">
        <f>D43*Deflator!$C$85/Deflator!$C$86</f>
        <v>13610.972790325448</v>
      </c>
      <c r="P43" s="632">
        <v>22</v>
      </c>
      <c r="Q43" s="634" t="s">
        <v>1019</v>
      </c>
      <c r="R43" s="208" t="s">
        <v>291</v>
      </c>
      <c r="S43" s="416"/>
      <c r="T43" s="416"/>
      <c r="U43" s="416"/>
      <c r="V43" s="416"/>
      <c r="W43" s="416"/>
      <c r="X43" s="416"/>
    </row>
    <row r="44" spans="2:24">
      <c r="C44" s="206">
        <f t="shared" si="9"/>
        <v>2045</v>
      </c>
      <c r="D44" s="208">
        <f t="shared" si="4"/>
        <v>13875</v>
      </c>
      <c r="E44" s="208">
        <f>D44*Deflator!$C$85/Deflator!$C$86</f>
        <v>13610.972790325448</v>
      </c>
      <c r="P44" s="632">
        <v>23</v>
      </c>
      <c r="Q44" s="634" t="s">
        <v>1020</v>
      </c>
      <c r="R44" s="208" t="s">
        <v>291</v>
      </c>
      <c r="S44" s="416"/>
      <c r="T44" s="416"/>
      <c r="U44" s="416"/>
      <c r="V44" s="416"/>
      <c r="W44" s="416"/>
      <c r="X44" s="416"/>
    </row>
    <row r="45" spans="2:24">
      <c r="C45" s="416">
        <f t="shared" si="9"/>
        <v>2046</v>
      </c>
      <c r="D45" s="208">
        <f t="shared" si="4"/>
        <v>13875</v>
      </c>
      <c r="E45" s="208">
        <f>D45*Deflator!$C$85/Deflator!$C$86</f>
        <v>13610.972790325448</v>
      </c>
      <c r="P45" s="632">
        <v>24</v>
      </c>
      <c r="Q45" s="634" t="s">
        <v>1021</v>
      </c>
      <c r="R45" s="208" t="s">
        <v>291</v>
      </c>
      <c r="S45" s="416"/>
      <c r="T45" s="416"/>
      <c r="U45" s="416"/>
      <c r="V45" s="416"/>
      <c r="W45" s="416"/>
      <c r="X45" s="416"/>
    </row>
    <row r="46" spans="2:24">
      <c r="P46" s="632">
        <v>25</v>
      </c>
      <c r="Q46" s="634" t="s">
        <v>1022</v>
      </c>
      <c r="R46" s="208" t="s">
        <v>291</v>
      </c>
      <c r="S46" s="416"/>
      <c r="T46" s="416"/>
      <c r="U46" s="416"/>
      <c r="V46" s="416"/>
      <c r="W46" s="416"/>
      <c r="X46" s="416"/>
    </row>
    <row r="47" spans="2:24">
      <c r="P47" s="632">
        <v>26</v>
      </c>
      <c r="Q47" s="634" t="s">
        <v>1023</v>
      </c>
      <c r="R47" s="208" t="s">
        <v>291</v>
      </c>
      <c r="S47" s="416"/>
      <c r="T47" s="416"/>
      <c r="U47" s="416"/>
      <c r="V47" s="416"/>
      <c r="W47" s="416"/>
      <c r="X47" s="416"/>
    </row>
    <row r="48" spans="2:24">
      <c r="B48" t="s">
        <v>1103</v>
      </c>
      <c r="P48" s="632">
        <v>27</v>
      </c>
      <c r="Q48" s="634" t="s">
        <v>1024</v>
      </c>
      <c r="R48" s="208" t="s">
        <v>291</v>
      </c>
      <c r="S48" s="416"/>
      <c r="T48" s="416"/>
      <c r="U48" s="416"/>
      <c r="V48" s="416"/>
      <c r="W48" s="416"/>
      <c r="X48" s="416"/>
    </row>
    <row r="49" spans="16:24">
      <c r="P49" s="111">
        <v>28</v>
      </c>
      <c r="Q49" s="634" t="s">
        <v>1070</v>
      </c>
      <c r="R49" s="208" t="s">
        <v>1071</v>
      </c>
      <c r="S49" s="416"/>
      <c r="T49" s="416"/>
      <c r="U49" s="416"/>
      <c r="V49" s="416"/>
      <c r="W49" s="416"/>
      <c r="X49" s="416"/>
    </row>
    <row r="50" spans="16:24">
      <c r="P50" s="111">
        <v>29</v>
      </c>
      <c r="Q50" s="679" t="s">
        <v>1072</v>
      </c>
      <c r="R50" s="208" t="s">
        <v>1071</v>
      </c>
      <c r="S50" s="416"/>
      <c r="T50" s="416"/>
      <c r="U50" s="416"/>
      <c r="V50" s="416"/>
      <c r="W50" s="416"/>
      <c r="X50" s="416"/>
    </row>
    <row r="51" spans="16:24">
      <c r="P51" s="111">
        <v>30</v>
      </c>
      <c r="Q51" s="634" t="s">
        <v>1073</v>
      </c>
      <c r="R51" s="208" t="s">
        <v>1071</v>
      </c>
      <c r="S51" s="416"/>
      <c r="T51" s="416"/>
      <c r="U51" s="416"/>
      <c r="V51" s="416"/>
      <c r="W51" s="416"/>
      <c r="X51" s="416"/>
    </row>
    <row r="52" spans="16:24">
      <c r="P52" s="111">
        <v>31</v>
      </c>
      <c r="Q52" s="679" t="s">
        <v>1074</v>
      </c>
      <c r="R52" s="208" t="s">
        <v>1071</v>
      </c>
      <c r="S52" s="416"/>
      <c r="T52" s="416"/>
      <c r="U52" s="416"/>
      <c r="V52" s="416"/>
      <c r="W52" s="416"/>
      <c r="X52" s="416"/>
    </row>
    <row r="53" spans="16:24">
      <c r="P53" s="111">
        <v>32</v>
      </c>
      <c r="Q53" s="634" t="s">
        <v>1075</v>
      </c>
      <c r="R53" s="208" t="s">
        <v>1071</v>
      </c>
      <c r="S53" s="416"/>
      <c r="T53" s="416"/>
      <c r="U53" s="416"/>
      <c r="V53" s="416"/>
      <c r="W53" s="416"/>
      <c r="X53" s="416"/>
    </row>
    <row r="54" spans="16:24">
      <c r="P54" s="111">
        <v>33</v>
      </c>
      <c r="Q54" s="634" t="s">
        <v>1076</v>
      </c>
      <c r="R54" s="208" t="s">
        <v>1071</v>
      </c>
      <c r="S54" s="416"/>
      <c r="T54" s="416"/>
      <c r="U54" s="416"/>
      <c r="V54" s="416"/>
      <c r="W54" s="416"/>
      <c r="X54" s="416"/>
    </row>
    <row r="55" spans="16:24">
      <c r="P55" s="111">
        <v>34</v>
      </c>
      <c r="Q55" s="679" t="s">
        <v>1077</v>
      </c>
      <c r="R55" s="208" t="s">
        <v>1071</v>
      </c>
      <c r="S55" s="416"/>
      <c r="T55" s="416"/>
      <c r="U55" s="416"/>
      <c r="V55" s="416"/>
      <c r="W55" s="416"/>
      <c r="X55" s="416"/>
    </row>
    <row r="56" spans="16:24">
      <c r="P56" s="111">
        <v>35</v>
      </c>
      <c r="Q56" s="679" t="s">
        <v>1078</v>
      </c>
      <c r="R56" s="208" t="s">
        <v>1071</v>
      </c>
      <c r="S56" s="416"/>
      <c r="T56" s="416"/>
      <c r="U56" s="416"/>
      <c r="V56" s="416"/>
      <c r="W56" s="416"/>
      <c r="X56" s="416"/>
    </row>
    <row r="57" spans="16:24">
      <c r="P57" s="111">
        <v>36</v>
      </c>
      <c r="Q57" s="679" t="s">
        <v>1079</v>
      </c>
      <c r="R57" s="208" t="s">
        <v>1071</v>
      </c>
      <c r="S57" s="416"/>
      <c r="T57" s="416"/>
      <c r="U57" s="416"/>
      <c r="V57" s="416"/>
      <c r="W57" s="416"/>
      <c r="X57" s="416"/>
    </row>
    <row r="58" spans="16:24">
      <c r="P58" s="111">
        <v>37</v>
      </c>
      <c r="Q58" s="679">
        <v>930127</v>
      </c>
      <c r="R58" s="208" t="s">
        <v>1071</v>
      </c>
      <c r="S58" s="416"/>
      <c r="T58" s="416"/>
      <c r="U58" s="416"/>
      <c r="V58" s="416"/>
      <c r="W58" s="416"/>
      <c r="X58" s="416"/>
    </row>
    <row r="59" spans="16:24">
      <c r="P59" s="111">
        <v>38</v>
      </c>
      <c r="Q59" s="679">
        <v>930106</v>
      </c>
      <c r="R59" s="208" t="s">
        <v>1071</v>
      </c>
      <c r="S59" s="416"/>
      <c r="T59" s="416"/>
      <c r="U59" s="416"/>
      <c r="V59" s="416"/>
      <c r="W59" s="416"/>
      <c r="X59" s="416"/>
    </row>
    <row r="60" spans="16:24">
      <c r="P60" s="111">
        <v>39</v>
      </c>
      <c r="Q60" s="679">
        <v>880002</v>
      </c>
      <c r="R60" s="208" t="s">
        <v>1071</v>
      </c>
      <c r="S60" s="416"/>
      <c r="T60" s="416"/>
      <c r="U60" s="416"/>
      <c r="V60" s="416"/>
      <c r="W60" s="416"/>
      <c r="X60" s="416"/>
    </row>
    <row r="61" spans="16:24">
      <c r="P61" s="111">
        <v>40</v>
      </c>
      <c r="Q61" s="679" t="s">
        <v>1080</v>
      </c>
      <c r="R61" s="208" t="s">
        <v>1071</v>
      </c>
      <c r="S61" s="416"/>
      <c r="T61" s="416"/>
      <c r="U61" s="416"/>
      <c r="V61" s="416"/>
      <c r="W61" s="416"/>
      <c r="X61" s="416"/>
    </row>
    <row r="62" spans="16:24">
      <c r="P62" s="111">
        <v>41</v>
      </c>
      <c r="Q62" s="679">
        <v>880007</v>
      </c>
      <c r="R62" s="208" t="s">
        <v>1071</v>
      </c>
      <c r="S62" s="416"/>
      <c r="T62" s="416"/>
      <c r="U62" s="416"/>
      <c r="V62" s="416"/>
      <c r="W62" s="416"/>
      <c r="X62" s="416"/>
    </row>
    <row r="63" spans="16:24">
      <c r="P63" s="111">
        <v>42</v>
      </c>
      <c r="Q63" s="679" t="s">
        <v>1081</v>
      </c>
      <c r="R63" s="208" t="s">
        <v>1071</v>
      </c>
      <c r="S63" s="416"/>
      <c r="T63" s="416"/>
      <c r="U63" s="416"/>
      <c r="V63" s="416"/>
      <c r="W63" s="416"/>
      <c r="X63" s="416"/>
    </row>
    <row r="64" spans="16:24">
      <c r="P64" s="111">
        <v>43</v>
      </c>
      <c r="Q64" s="679">
        <v>270002</v>
      </c>
      <c r="R64" s="208" t="s">
        <v>1071</v>
      </c>
      <c r="S64" s="416"/>
      <c r="T64" s="416"/>
      <c r="U64" s="416"/>
      <c r="V64" s="416"/>
      <c r="W64" s="416"/>
      <c r="X64" s="416"/>
    </row>
    <row r="65" spans="16:24">
      <c r="P65" s="111">
        <v>44</v>
      </c>
      <c r="Q65" s="679">
        <v>270007</v>
      </c>
      <c r="R65" s="208" t="s">
        <v>1071</v>
      </c>
      <c r="S65" s="416"/>
      <c r="T65" s="416"/>
      <c r="U65" s="416"/>
      <c r="V65" s="416"/>
      <c r="W65" s="416"/>
      <c r="X65" s="416"/>
    </row>
    <row r="66" spans="16:24">
      <c r="P66" s="111">
        <v>45</v>
      </c>
      <c r="Q66" s="680">
        <v>270054</v>
      </c>
      <c r="R66" s="208" t="s">
        <v>1071</v>
      </c>
      <c r="S66" s="416"/>
      <c r="T66" s="416"/>
      <c r="U66" s="416"/>
      <c r="V66" s="416"/>
      <c r="W66" s="416"/>
      <c r="X66" s="416"/>
    </row>
    <row r="67" spans="16:24">
      <c r="P67" s="111">
        <v>46</v>
      </c>
      <c r="Q67" s="679">
        <v>270009</v>
      </c>
      <c r="R67" s="208" t="s">
        <v>1071</v>
      </c>
      <c r="S67" s="416"/>
      <c r="T67" s="416"/>
      <c r="U67" s="416"/>
      <c r="V67" s="416"/>
      <c r="W67" s="416"/>
      <c r="X67" s="416"/>
    </row>
    <row r="68" spans="16:24">
      <c r="P68" s="111">
        <v>47</v>
      </c>
      <c r="Q68" s="679" t="s">
        <v>1082</v>
      </c>
      <c r="R68" s="208" t="s">
        <v>1071</v>
      </c>
      <c r="S68" s="416"/>
      <c r="T68" s="416"/>
      <c r="U68" s="416"/>
      <c r="V68" s="416"/>
      <c r="W68" s="416"/>
      <c r="X68" s="416"/>
    </row>
    <row r="69" spans="16:24">
      <c r="P69" s="111">
        <v>48</v>
      </c>
      <c r="Q69" s="679">
        <v>270012</v>
      </c>
      <c r="R69" s="208" t="s">
        <v>1071</v>
      </c>
      <c r="S69" s="416"/>
      <c r="T69" s="416"/>
      <c r="U69" s="416"/>
      <c r="V69" s="416"/>
      <c r="W69" s="416"/>
      <c r="X69" s="416"/>
    </row>
    <row r="70" spans="16:24">
      <c r="P70" s="111">
        <v>49</v>
      </c>
      <c r="Q70" s="679">
        <v>270014</v>
      </c>
      <c r="R70" s="208" t="s">
        <v>1071</v>
      </c>
      <c r="S70" s="416"/>
      <c r="T70" s="416"/>
      <c r="U70" s="416"/>
      <c r="V70" s="416"/>
      <c r="W70" s="416"/>
      <c r="X70" s="416"/>
    </row>
  </sheetData>
  <sheetProtection algorithmName="SHA-512" hashValue="ZmfsTxd0oF9O9aBWLFBeCK8Gkr//CeD/5+Bv+2rUJBtrH6ZjJNKJDdBQrRDQmw3opXXf36tNJGJ1fjaNUpPsqg==" saltValue="l7lgcI4djTlvCtHuDTKxy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069E5-4189-491D-AA63-42FD8915BA69}">
  <sheetPr>
    <tabColor theme="5" tint="0.79998168889431442"/>
  </sheetPr>
  <dimension ref="A1:P38"/>
  <sheetViews>
    <sheetView topLeftCell="D1" zoomScale="115" zoomScaleNormal="115" workbookViewId="0">
      <selection activeCell="L10" sqref="L3:M10"/>
    </sheetView>
  </sheetViews>
  <sheetFormatPr defaultRowHeight="15"/>
  <cols>
    <col min="1" max="1" width="9.140625" style="416"/>
    <col min="2" max="2" width="38.140625" style="416" bestFit="1" customWidth="1"/>
    <col min="3" max="3" width="17.28515625" style="416" customWidth="1"/>
    <col min="4" max="4" width="17.28515625" style="141" customWidth="1"/>
    <col min="5" max="5" width="13.42578125" style="416" bestFit="1" customWidth="1"/>
    <col min="6" max="6" width="11.5703125" style="416" bestFit="1" customWidth="1"/>
    <col min="7" max="7" width="5.42578125" style="416" bestFit="1" customWidth="1"/>
    <col min="8" max="11" width="11.5703125" style="416" customWidth="1"/>
    <col min="12" max="12" width="12" style="416" bestFit="1" customWidth="1"/>
    <col min="13" max="13" width="13" style="416" bestFit="1" customWidth="1"/>
    <col min="14" max="14" width="13.7109375" style="416" bestFit="1" customWidth="1"/>
    <col min="15" max="15" width="13.140625" style="416" bestFit="1" customWidth="1"/>
    <col min="16" max="16" width="25.42578125" style="416" bestFit="1" customWidth="1"/>
    <col min="17" max="16384" width="9.140625" style="416"/>
  </cols>
  <sheetData>
    <row r="1" spans="2:16" ht="15.75" thickBot="1">
      <c r="B1" s="416" t="s">
        <v>882</v>
      </c>
      <c r="L1" s="739" t="s">
        <v>800</v>
      </c>
      <c r="M1" s="739"/>
      <c r="N1" s="739"/>
      <c r="O1" s="739"/>
    </row>
    <row r="2" spans="2:16" s="509" customFormat="1" ht="30.75" thickBot="1">
      <c r="B2" s="511" t="s">
        <v>883</v>
      </c>
      <c r="C2" s="512" t="s">
        <v>884</v>
      </c>
      <c r="D2" s="512" t="s">
        <v>885</v>
      </c>
      <c r="E2" s="512" t="s">
        <v>886</v>
      </c>
      <c r="F2" s="512" t="s">
        <v>887</v>
      </c>
      <c r="G2" s="513" t="s">
        <v>392</v>
      </c>
      <c r="H2" s="514" t="s">
        <v>888</v>
      </c>
      <c r="I2" s="515" t="s">
        <v>889</v>
      </c>
      <c r="J2" s="515" t="s">
        <v>890</v>
      </c>
      <c r="K2" s="516" t="s">
        <v>891</v>
      </c>
      <c r="L2" s="517" t="s">
        <v>892</v>
      </c>
      <c r="M2" s="518" t="s">
        <v>893</v>
      </c>
      <c r="N2" s="518" t="s">
        <v>894</v>
      </c>
      <c r="O2" s="519" t="s">
        <v>895</v>
      </c>
    </row>
    <row r="3" spans="2:16">
      <c r="B3" s="520">
        <v>1</v>
      </c>
      <c r="C3" s="521" t="s">
        <v>229</v>
      </c>
      <c r="D3" s="522" t="s">
        <v>896</v>
      </c>
      <c r="E3" s="523">
        <v>429</v>
      </c>
      <c r="F3" s="523">
        <v>436</v>
      </c>
      <c r="G3" s="524">
        <f>F3-E3</f>
        <v>7</v>
      </c>
      <c r="H3" s="525">
        <v>2</v>
      </c>
      <c r="I3" s="526">
        <f t="shared" ref="I3:I12" si="0">ROUND((G3/1.25),0)+2</f>
        <v>8</v>
      </c>
      <c r="J3" s="526">
        <v>0</v>
      </c>
      <c r="K3" s="527">
        <v>0</v>
      </c>
      <c r="L3" s="528">
        <f>$C$33*ICM_ITS_WindCosts!$G3</f>
        <v>357000</v>
      </c>
      <c r="M3" s="529">
        <f>(ICM_ITS_WindCosts!$H3*$C$31)+(ICM_ITS_WindCosts!$I3*$C$32)</f>
        <v>476000</v>
      </c>
      <c r="N3" s="529">
        <f>O3/20</f>
        <v>178561.7</v>
      </c>
      <c r="O3" s="530">
        <v>3571234</v>
      </c>
    </row>
    <row r="4" spans="2:16">
      <c r="B4" s="531">
        <v>2</v>
      </c>
      <c r="C4" s="532" t="s">
        <v>229</v>
      </c>
      <c r="D4" s="533" t="s">
        <v>897</v>
      </c>
      <c r="E4" s="534">
        <v>446</v>
      </c>
      <c r="F4" s="534">
        <v>458</v>
      </c>
      <c r="G4" s="535">
        <f>F4-E4</f>
        <v>12</v>
      </c>
      <c r="H4" s="536">
        <v>2</v>
      </c>
      <c r="I4" s="421">
        <f t="shared" si="0"/>
        <v>12</v>
      </c>
      <c r="J4" s="421">
        <v>0</v>
      </c>
      <c r="K4" s="423">
        <v>0</v>
      </c>
      <c r="L4" s="537">
        <f>$C$33*ICM_ITS_WindCosts!$G4</f>
        <v>612000</v>
      </c>
      <c r="M4" s="538">
        <f>(ICM_ITS_WindCosts!$H4*$C$31)+(ICM_ITS_WindCosts!$I4*$C$32)</f>
        <v>564000</v>
      </c>
      <c r="N4" s="538">
        <f t="shared" ref="N4:N17" si="1">O4/20</f>
        <v>187807</v>
      </c>
      <c r="O4" s="539">
        <v>3756140</v>
      </c>
    </row>
    <row r="5" spans="2:16">
      <c r="B5" s="540">
        <v>3</v>
      </c>
      <c r="C5" s="541" t="s">
        <v>229</v>
      </c>
      <c r="D5" s="542" t="s">
        <v>898</v>
      </c>
      <c r="E5" s="543" t="s">
        <v>899</v>
      </c>
      <c r="F5" s="543" t="s">
        <v>900</v>
      </c>
      <c r="G5" s="544">
        <v>4</v>
      </c>
      <c r="H5" s="545">
        <v>2</v>
      </c>
      <c r="I5" s="546">
        <f t="shared" si="0"/>
        <v>5</v>
      </c>
      <c r="J5" s="546">
        <v>0</v>
      </c>
      <c r="K5" s="547">
        <v>0</v>
      </c>
      <c r="L5" s="548">
        <f>$C$33*ICM_ITS_WindCosts!$G5</f>
        <v>204000</v>
      </c>
      <c r="M5" s="549">
        <f>(ICM_ITS_WindCosts!$H5*$C$31)+(ICM_ITS_WindCosts!$I5*$C$32)</f>
        <v>410000</v>
      </c>
      <c r="N5" s="549">
        <f t="shared" si="1"/>
        <v>99010.15</v>
      </c>
      <c r="O5" s="550">
        <v>1980203</v>
      </c>
    </row>
    <row r="6" spans="2:16">
      <c r="B6" s="531">
        <v>4</v>
      </c>
      <c r="C6" s="532" t="s">
        <v>229</v>
      </c>
      <c r="D6" s="533" t="s">
        <v>897</v>
      </c>
      <c r="E6" s="534" t="s">
        <v>901</v>
      </c>
      <c r="F6" s="534" t="s">
        <v>902</v>
      </c>
      <c r="G6" s="535">
        <v>13</v>
      </c>
      <c r="H6" s="536">
        <v>2</v>
      </c>
      <c r="I6" s="421">
        <f t="shared" si="0"/>
        <v>12</v>
      </c>
      <c r="J6" s="421">
        <v>0</v>
      </c>
      <c r="K6" s="423">
        <v>0</v>
      </c>
      <c r="L6" s="537">
        <f>$C$33*ICM_ITS_WindCosts!$G6</f>
        <v>663000</v>
      </c>
      <c r="M6" s="538">
        <f>(ICM_ITS_WindCosts!$H6*$C$31)+(ICM_ITS_WindCosts!$I6*$C$32)</f>
        <v>564000</v>
      </c>
      <c r="N6" s="538">
        <f t="shared" si="1"/>
        <v>189167.45</v>
      </c>
      <c r="O6" s="539">
        <v>3783349</v>
      </c>
    </row>
    <row r="7" spans="2:16">
      <c r="B7" s="540">
        <v>5</v>
      </c>
      <c r="C7" s="541" t="s">
        <v>229</v>
      </c>
      <c r="D7" s="542" t="s">
        <v>903</v>
      </c>
      <c r="E7" s="543" t="s">
        <v>904</v>
      </c>
      <c r="F7" s="543" t="s">
        <v>905</v>
      </c>
      <c r="G7" s="544">
        <v>6</v>
      </c>
      <c r="H7" s="545">
        <v>2</v>
      </c>
      <c r="I7" s="546">
        <f t="shared" si="0"/>
        <v>7</v>
      </c>
      <c r="J7" s="546">
        <v>0</v>
      </c>
      <c r="K7" s="547">
        <v>0</v>
      </c>
      <c r="L7" s="548">
        <f>$C$33*ICM_ITS_WindCosts!$G7</f>
        <v>306000</v>
      </c>
      <c r="M7" s="549">
        <f>(ICM_ITS_WindCosts!$H7*$C$31)+(ICM_ITS_WindCosts!$I7*$C$32)</f>
        <v>454000</v>
      </c>
      <c r="N7" s="549">
        <f t="shared" si="1"/>
        <v>122663.15</v>
      </c>
      <c r="O7" s="550">
        <v>2453263</v>
      </c>
    </row>
    <row r="8" spans="2:16">
      <c r="B8" s="531">
        <v>6</v>
      </c>
      <c r="C8" s="532" t="s">
        <v>229</v>
      </c>
      <c r="D8" s="533" t="s">
        <v>906</v>
      </c>
      <c r="E8" s="534" t="s">
        <v>907</v>
      </c>
      <c r="F8" s="534" t="s">
        <v>908</v>
      </c>
      <c r="G8" s="535">
        <v>2</v>
      </c>
      <c r="H8" s="536">
        <v>2</v>
      </c>
      <c r="I8" s="421">
        <f t="shared" si="0"/>
        <v>4</v>
      </c>
      <c r="J8" s="421">
        <v>0</v>
      </c>
      <c r="K8" s="423">
        <v>0</v>
      </c>
      <c r="L8" s="537">
        <f>$C$33*ICM_ITS_WindCosts!$G8</f>
        <v>102000</v>
      </c>
      <c r="M8" s="538">
        <f>(ICM_ITS_WindCosts!$H8*$C$31)+(ICM_ITS_WindCosts!$I8*$C$32)</f>
        <v>388000</v>
      </c>
      <c r="N8" s="538">
        <f t="shared" si="1"/>
        <v>81172.3</v>
      </c>
      <c r="O8" s="539">
        <v>1623446</v>
      </c>
    </row>
    <row r="9" spans="2:16">
      <c r="B9" s="540">
        <v>7</v>
      </c>
      <c r="C9" s="541" t="s">
        <v>909</v>
      </c>
      <c r="D9" s="542" t="s">
        <v>903</v>
      </c>
      <c r="E9" s="543" t="s">
        <v>903</v>
      </c>
      <c r="F9" s="543" t="s">
        <v>910</v>
      </c>
      <c r="G9" s="544">
        <v>10</v>
      </c>
      <c r="H9" s="545">
        <v>2</v>
      </c>
      <c r="I9" s="546">
        <f t="shared" si="0"/>
        <v>10</v>
      </c>
      <c r="J9" s="546">
        <v>0</v>
      </c>
      <c r="K9" s="547">
        <v>0</v>
      </c>
      <c r="L9" s="548">
        <f>$C$33*ICM_ITS_WindCosts!$G9</f>
        <v>510000</v>
      </c>
      <c r="M9" s="549">
        <f>(ICM_ITS_WindCosts!$H9*$C$31)+(ICM_ITS_WindCosts!$I9*$C$32)</f>
        <v>520000</v>
      </c>
      <c r="N9" s="549">
        <f t="shared" si="1"/>
        <v>164154</v>
      </c>
      <c r="O9" s="550">
        <v>3283080</v>
      </c>
    </row>
    <row r="10" spans="2:16">
      <c r="B10" s="531">
        <v>8</v>
      </c>
      <c r="C10" s="532" t="s">
        <v>229</v>
      </c>
      <c r="D10" s="533" t="s">
        <v>911</v>
      </c>
      <c r="E10" s="534" t="s">
        <v>912</v>
      </c>
      <c r="F10" s="534" t="s">
        <v>913</v>
      </c>
      <c r="G10" s="535">
        <v>2.5</v>
      </c>
      <c r="H10" s="536">
        <v>2</v>
      </c>
      <c r="I10" s="421">
        <f t="shared" si="0"/>
        <v>4</v>
      </c>
      <c r="J10" s="421">
        <v>0</v>
      </c>
      <c r="K10" s="423">
        <v>0</v>
      </c>
      <c r="L10" s="537">
        <f>$C$33*ICM_ITS_WindCosts!$G10</f>
        <v>127500</v>
      </c>
      <c r="M10" s="538">
        <f>(ICM_ITS_WindCosts!$H10*$C$31)+(ICM_ITS_WindCosts!$I10*$C$32)</f>
        <v>388000</v>
      </c>
      <c r="N10" s="538">
        <f t="shared" si="1"/>
        <v>81852.55</v>
      </c>
      <c r="O10" s="539">
        <v>1637051</v>
      </c>
    </row>
    <row r="11" spans="2:16">
      <c r="B11" s="540">
        <v>9</v>
      </c>
      <c r="C11" s="541" t="s">
        <v>291</v>
      </c>
      <c r="D11" s="542" t="s">
        <v>914</v>
      </c>
      <c r="E11" s="543" t="s">
        <v>915</v>
      </c>
      <c r="F11" s="543" t="s">
        <v>916</v>
      </c>
      <c r="G11" s="544">
        <v>10.5</v>
      </c>
      <c r="H11" s="545">
        <v>2</v>
      </c>
      <c r="I11" s="546">
        <f t="shared" si="0"/>
        <v>10</v>
      </c>
      <c r="J11" s="546">
        <v>0</v>
      </c>
      <c r="K11" s="547">
        <v>0</v>
      </c>
      <c r="L11" s="548">
        <f>$C$33*ICM_ITS_WindCosts!$G11</f>
        <v>535500</v>
      </c>
      <c r="M11" s="549">
        <f>(ICM_ITS_WindCosts!$H11*$C$31)+(ICM_ITS_WindCosts!$I11*$C$32)</f>
        <v>520000</v>
      </c>
      <c r="N11" s="549">
        <f t="shared" si="1"/>
        <v>164834.25</v>
      </c>
      <c r="O11" s="550">
        <v>3296685</v>
      </c>
    </row>
    <row r="12" spans="2:16">
      <c r="B12" s="531">
        <v>10</v>
      </c>
      <c r="C12" s="532" t="s">
        <v>917</v>
      </c>
      <c r="D12" s="533" t="s">
        <v>291</v>
      </c>
      <c r="E12" s="534" t="s">
        <v>918</v>
      </c>
      <c r="F12" s="534" t="s">
        <v>919</v>
      </c>
      <c r="G12" s="535">
        <v>6</v>
      </c>
      <c r="H12" s="536">
        <v>2</v>
      </c>
      <c r="I12" s="421">
        <f t="shared" si="0"/>
        <v>7</v>
      </c>
      <c r="J12" s="421">
        <v>0</v>
      </c>
      <c r="K12" s="423">
        <v>0</v>
      </c>
      <c r="L12" s="537">
        <f>$C$33*ICM_ITS_WindCosts!$G12</f>
        <v>306000</v>
      </c>
      <c r="M12" s="538">
        <f>(ICM_ITS_WindCosts!$H12*$C$31)+(ICM_ITS_WindCosts!$I12*$C$32)</f>
        <v>454000</v>
      </c>
      <c r="N12" s="538">
        <f t="shared" si="1"/>
        <v>123343.4</v>
      </c>
      <c r="O12" s="539">
        <v>2466868</v>
      </c>
    </row>
    <row r="13" spans="2:16">
      <c r="B13" s="736" t="s">
        <v>920</v>
      </c>
      <c r="C13" s="737"/>
      <c r="D13" s="737"/>
      <c r="E13" s="737"/>
      <c r="F13" s="737"/>
      <c r="G13" s="738"/>
      <c r="H13" s="686">
        <f t="shared" ref="H13:O13" si="2">SUM(H3:H12)</f>
        <v>20</v>
      </c>
      <c r="I13" s="686">
        <f t="shared" si="2"/>
        <v>79</v>
      </c>
      <c r="J13" s="686">
        <f t="shared" si="2"/>
        <v>0</v>
      </c>
      <c r="K13" s="686">
        <f t="shared" si="2"/>
        <v>0</v>
      </c>
      <c r="L13" s="687">
        <f t="shared" si="2"/>
        <v>3723000</v>
      </c>
      <c r="M13" s="687">
        <f t="shared" si="2"/>
        <v>4738000</v>
      </c>
      <c r="N13" s="687">
        <f t="shared" si="2"/>
        <v>1392565.95</v>
      </c>
      <c r="O13" s="687">
        <f t="shared" si="2"/>
        <v>27851319</v>
      </c>
    </row>
    <row r="14" spans="2:16">
      <c r="B14" s="531"/>
      <c r="C14" s="532"/>
      <c r="D14" s="533"/>
      <c r="E14" s="534"/>
      <c r="F14" s="534"/>
      <c r="G14" s="535"/>
      <c r="H14" s="536"/>
      <c r="I14" s="421"/>
      <c r="J14" s="421"/>
      <c r="K14" s="423"/>
      <c r="L14" s="537"/>
      <c r="M14" s="538"/>
      <c r="N14" s="538"/>
      <c r="O14" s="539"/>
    </row>
    <row r="15" spans="2:16">
      <c r="B15" s="540" t="s">
        <v>921</v>
      </c>
      <c r="C15" s="541" t="s">
        <v>903</v>
      </c>
      <c r="D15" s="542" t="s">
        <v>281</v>
      </c>
      <c r="E15" s="542" t="s">
        <v>281</v>
      </c>
      <c r="F15" s="542" t="s">
        <v>281</v>
      </c>
      <c r="G15" s="551" t="s">
        <v>281</v>
      </c>
      <c r="H15" s="545">
        <v>2</v>
      </c>
      <c r="I15" s="546">
        <v>0</v>
      </c>
      <c r="J15" s="546">
        <v>0</v>
      </c>
      <c r="K15" s="547">
        <v>3</v>
      </c>
      <c r="L15" s="548">
        <v>0</v>
      </c>
      <c r="M15" s="549">
        <v>427140</v>
      </c>
      <c r="N15" s="549">
        <f t="shared" si="1"/>
        <v>26131.8</v>
      </c>
      <c r="O15" s="550">
        <v>522636</v>
      </c>
      <c r="P15" s="416" t="s">
        <v>922</v>
      </c>
    </row>
    <row r="16" spans="2:16">
      <c r="B16" s="531" t="s">
        <v>923</v>
      </c>
      <c r="C16" s="532" t="s">
        <v>291</v>
      </c>
      <c r="D16" s="533" t="s">
        <v>281</v>
      </c>
      <c r="E16" s="533" t="s">
        <v>281</v>
      </c>
      <c r="F16" s="533" t="s">
        <v>281</v>
      </c>
      <c r="G16" s="552" t="s">
        <v>281</v>
      </c>
      <c r="H16" s="536">
        <v>0</v>
      </c>
      <c r="I16" s="421">
        <v>0</v>
      </c>
      <c r="J16" s="421">
        <v>1</v>
      </c>
      <c r="K16" s="423">
        <v>2</v>
      </c>
      <c r="L16" s="537">
        <v>0</v>
      </c>
      <c r="M16" s="538">
        <v>87444</v>
      </c>
      <c r="N16" s="538">
        <f t="shared" si="1"/>
        <v>37977.199999999997</v>
      </c>
      <c r="O16" s="539">
        <v>759544</v>
      </c>
      <c r="P16" s="416" t="s">
        <v>922</v>
      </c>
    </row>
    <row r="17" spans="2:16" ht="15.75" thickBot="1">
      <c r="B17" s="553" t="s">
        <v>924</v>
      </c>
      <c r="C17" s="554" t="s">
        <v>925</v>
      </c>
      <c r="D17" s="555" t="s">
        <v>281</v>
      </c>
      <c r="E17" s="555" t="s">
        <v>281</v>
      </c>
      <c r="F17" s="555" t="s">
        <v>281</v>
      </c>
      <c r="G17" s="556" t="s">
        <v>281</v>
      </c>
      <c r="H17" s="557">
        <v>1</v>
      </c>
      <c r="I17" s="558">
        <v>0</v>
      </c>
      <c r="J17" s="558">
        <v>1</v>
      </c>
      <c r="K17" s="559">
        <v>3</v>
      </c>
      <c r="L17" s="560">
        <v>0</v>
      </c>
      <c r="M17" s="561">
        <v>309834</v>
      </c>
      <c r="N17" s="561">
        <f t="shared" si="1"/>
        <v>61283.65</v>
      </c>
      <c r="O17" s="562">
        <v>1225673</v>
      </c>
      <c r="P17" s="416" t="s">
        <v>922</v>
      </c>
    </row>
    <row r="18" spans="2:16" ht="15.75" thickBot="1">
      <c r="B18" s="736" t="s">
        <v>920</v>
      </c>
      <c r="C18" s="737"/>
      <c r="D18" s="737"/>
      <c r="E18" s="737"/>
      <c r="F18" s="737"/>
      <c r="G18" s="738"/>
      <c r="H18" s="685">
        <f t="shared" ref="H18:O18" si="3">SUM(H15:H17)</f>
        <v>3</v>
      </c>
      <c r="I18" s="685">
        <f t="shared" si="3"/>
        <v>0</v>
      </c>
      <c r="J18" s="685">
        <f t="shared" si="3"/>
        <v>2</v>
      </c>
      <c r="K18" s="685">
        <f t="shared" si="3"/>
        <v>8</v>
      </c>
      <c r="L18" s="684">
        <f t="shared" si="3"/>
        <v>0</v>
      </c>
      <c r="M18" s="684">
        <f t="shared" si="3"/>
        <v>824418</v>
      </c>
      <c r="N18" s="684">
        <f t="shared" si="3"/>
        <v>125392.65</v>
      </c>
      <c r="O18" s="684">
        <f t="shared" si="3"/>
        <v>2507853</v>
      </c>
    </row>
    <row r="19" spans="2:16">
      <c r="L19" s="81"/>
      <c r="M19" s="81"/>
      <c r="N19" s="81"/>
      <c r="O19" s="81"/>
    </row>
    <row r="20" spans="2:16" ht="15.75" thickBot="1">
      <c r="B20" s="416" t="s">
        <v>926</v>
      </c>
      <c r="D20" s="739" t="s">
        <v>800</v>
      </c>
      <c r="E20" s="739"/>
      <c r="M20" s="563"/>
    </row>
    <row r="21" spans="2:16" ht="30.75" thickBot="1">
      <c r="B21" s="564" t="s">
        <v>927</v>
      </c>
      <c r="C21" s="565" t="s">
        <v>928</v>
      </c>
      <c r="D21" s="566" t="s">
        <v>894</v>
      </c>
      <c r="E21" s="519" t="s">
        <v>895</v>
      </c>
      <c r="M21" s="563"/>
    </row>
    <row r="22" spans="2:16">
      <c r="B22" s="567" t="s">
        <v>929</v>
      </c>
      <c r="C22" s="568">
        <v>35</v>
      </c>
      <c r="D22" s="569">
        <f>E22/20</f>
        <v>235960.01624358949</v>
      </c>
      <c r="E22" s="530">
        <v>4719200.3248717897</v>
      </c>
      <c r="M22" s="563"/>
    </row>
    <row r="23" spans="2:16">
      <c r="B23" s="570" t="s">
        <v>930</v>
      </c>
      <c r="C23" s="571">
        <v>9</v>
      </c>
      <c r="D23" s="572">
        <f t="shared" ref="D23:D27" si="4">E23/20</f>
        <v>41858.440035639913</v>
      </c>
      <c r="E23" s="539">
        <v>837168.80071279826</v>
      </c>
      <c r="M23" s="563"/>
    </row>
    <row r="24" spans="2:16">
      <c r="B24" s="573" t="s">
        <v>931</v>
      </c>
      <c r="C24" s="574">
        <v>84</v>
      </c>
      <c r="D24" s="575">
        <f t="shared" si="4"/>
        <v>312846.85664787353</v>
      </c>
      <c r="E24" s="550">
        <v>6256937.1329574706</v>
      </c>
      <c r="M24" s="563"/>
    </row>
    <row r="25" spans="2:16">
      <c r="B25" s="570" t="s">
        <v>888</v>
      </c>
      <c r="C25" s="571">
        <v>13</v>
      </c>
      <c r="D25" s="572">
        <f t="shared" si="4"/>
        <v>102575.36854409878</v>
      </c>
      <c r="E25" s="539">
        <v>2051507.3708819756</v>
      </c>
      <c r="M25" s="563"/>
    </row>
    <row r="26" spans="2:16">
      <c r="B26" s="573" t="s">
        <v>932</v>
      </c>
      <c r="C26" s="574">
        <v>14</v>
      </c>
      <c r="D26" s="575">
        <f t="shared" si="4"/>
        <v>242599.10585154127</v>
      </c>
      <c r="E26" s="550">
        <v>4851982.1170308255</v>
      </c>
      <c r="M26" s="563"/>
    </row>
    <row r="27" spans="2:16" ht="15.75" thickBot="1">
      <c r="B27" s="576" t="s">
        <v>548</v>
      </c>
      <c r="C27" s="577">
        <v>189</v>
      </c>
      <c r="D27" s="578">
        <f t="shared" si="4"/>
        <v>754051.39779253537</v>
      </c>
      <c r="E27" s="579">
        <v>15081027.955850707</v>
      </c>
      <c r="M27" s="563"/>
    </row>
    <row r="28" spans="2:16" ht="15.75" thickBot="1">
      <c r="D28" s="580">
        <f>SUM(D22:D27)</f>
        <v>1689891.1851152782</v>
      </c>
      <c r="E28" s="581">
        <f>SUM(E22:E27)</f>
        <v>33797823.702305563</v>
      </c>
      <c r="M28" s="563"/>
    </row>
    <row r="29" spans="2:16">
      <c r="M29" s="563"/>
    </row>
    <row r="30" spans="2:16">
      <c r="B30" s="1" t="s">
        <v>933</v>
      </c>
      <c r="M30" s="37"/>
    </row>
    <row r="31" spans="2:16">
      <c r="B31" s="416" t="s">
        <v>934</v>
      </c>
      <c r="C31" s="80">
        <v>150000</v>
      </c>
    </row>
    <row r="32" spans="2:16">
      <c r="B32" s="416" t="s">
        <v>935</v>
      </c>
      <c r="C32" s="80">
        <v>22000</v>
      </c>
    </row>
    <row r="33" spans="1:13">
      <c r="B33" s="416" t="s">
        <v>936</v>
      </c>
      <c r="C33" s="80">
        <v>51000</v>
      </c>
    </row>
    <row r="34" spans="1:13">
      <c r="M34" s="37"/>
    </row>
    <row r="35" spans="1:13">
      <c r="A35" s="416" t="s">
        <v>937</v>
      </c>
      <c r="B35" s="416" t="s">
        <v>936</v>
      </c>
      <c r="C35" s="36">
        <f>AVERAGE(2.5/20,2.6/15)*1000000</f>
        <v>149166.66666666666</v>
      </c>
      <c r="D35" s="171" t="s">
        <v>938</v>
      </c>
      <c r="M35" s="37"/>
    </row>
    <row r="38" spans="1:13">
      <c r="B38" s="416" t="s">
        <v>1092</v>
      </c>
    </row>
  </sheetData>
  <sheetProtection algorithmName="SHA-512" hashValue="j34PirMC9AntuwNC2myBWXGYarClXbBGsmq+BMWrTggv8q7usOSJ2ReUxRmwNEYIVmPI878pjyp6H4x6xvPRAw==" saltValue="KIvh5A752KULyIxTZqcAFg==" spinCount="100000" sheet="1" objects="1" scenarios="1"/>
  <mergeCells count="4">
    <mergeCell ref="B13:G13"/>
    <mergeCell ref="B18:G18"/>
    <mergeCell ref="L1:O1"/>
    <mergeCell ref="D20:E20"/>
  </mergeCells>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5" tint="0.59999389629810485"/>
  </sheetPr>
  <dimension ref="B1:Y37"/>
  <sheetViews>
    <sheetView zoomScale="85" zoomScaleNormal="85" workbookViewId="0">
      <selection activeCell="C36" sqref="C36"/>
    </sheetView>
  </sheetViews>
  <sheetFormatPr defaultColWidth="9.140625" defaultRowHeight="15"/>
  <cols>
    <col min="1" max="1" width="9.140625" style="140"/>
    <col min="2" max="2" width="7.5703125" style="140" bestFit="1" customWidth="1"/>
    <col min="3" max="4" width="12.42578125" style="140" customWidth="1"/>
    <col min="5" max="5" width="14.7109375" style="140" customWidth="1"/>
    <col min="6" max="6" width="2.28515625" style="140" customWidth="1"/>
    <col min="7" max="7" width="14.7109375" style="140" customWidth="1"/>
    <col min="8" max="8" width="14.85546875" style="140" customWidth="1"/>
    <col min="9" max="9" width="13.140625" style="140" customWidth="1"/>
    <col min="10" max="10" width="2.28515625" style="140" customWidth="1"/>
    <col min="11" max="13" width="14.5703125" style="140" customWidth="1"/>
    <col min="14" max="14" width="2" style="140" customWidth="1"/>
    <col min="15" max="15" width="13.7109375" style="147" customWidth="1"/>
    <col min="16" max="16" width="10.7109375" style="147" customWidth="1"/>
    <col min="17" max="17" width="11" style="147" bestFit="1" customWidth="1"/>
    <col min="18" max="18" width="2.28515625" style="147" customWidth="1"/>
    <col min="19" max="19" width="13.7109375" style="147" customWidth="1"/>
    <col min="20" max="20" width="10.7109375" style="147" customWidth="1"/>
    <col min="21" max="21" width="11.85546875" style="147" customWidth="1"/>
    <col min="22" max="22" width="3" style="147" customWidth="1"/>
    <col min="23" max="23" width="13.7109375" style="140" customWidth="1"/>
    <col min="24" max="24" width="12" style="140" customWidth="1"/>
    <col min="25" max="25" width="12.85546875" style="140" customWidth="1"/>
    <col min="26" max="16384" width="9.140625" style="140"/>
  </cols>
  <sheetData>
    <row r="1" spans="2:25">
      <c r="B1" s="140" t="s">
        <v>334</v>
      </c>
    </row>
    <row r="3" spans="2:25">
      <c r="B3" s="70" t="s">
        <v>330</v>
      </c>
    </row>
    <row r="4" spans="2:25">
      <c r="B4" s="70" t="s">
        <v>346</v>
      </c>
    </row>
    <row r="5" spans="2:25">
      <c r="B5" s="70" t="s">
        <v>347</v>
      </c>
    </row>
    <row r="6" spans="2:25">
      <c r="B6" s="70" t="s">
        <v>348</v>
      </c>
    </row>
    <row r="7" spans="2:25">
      <c r="B7" s="70" t="s">
        <v>349</v>
      </c>
    </row>
    <row r="8" spans="2:25">
      <c r="B8" s="7" t="s">
        <v>350</v>
      </c>
    </row>
    <row r="9" spans="2:25">
      <c r="B9" s="7" t="s">
        <v>351</v>
      </c>
    </row>
    <row r="10" spans="2:25" s="147" customFormat="1">
      <c r="B10" s="148" t="s">
        <v>354</v>
      </c>
    </row>
    <row r="11" spans="2:25" s="147" customFormat="1">
      <c r="B11" s="148" t="s">
        <v>353</v>
      </c>
    </row>
    <row r="12" spans="2:25" s="147" customFormat="1">
      <c r="B12" s="148" t="s">
        <v>363</v>
      </c>
    </row>
    <row r="13" spans="2:25" s="147" customFormat="1">
      <c r="B13" s="148" t="s">
        <v>364</v>
      </c>
    </row>
    <row r="15" spans="2:25" ht="60">
      <c r="B15" s="68" t="s">
        <v>569</v>
      </c>
      <c r="C15" s="144" t="s">
        <v>338</v>
      </c>
      <c r="D15" s="144" t="s">
        <v>339</v>
      </c>
      <c r="E15" s="144" t="s">
        <v>340</v>
      </c>
      <c r="F15" s="44"/>
      <c r="G15" s="144" t="s">
        <v>341</v>
      </c>
      <c r="H15" s="144" t="s">
        <v>342</v>
      </c>
      <c r="I15" s="144" t="s">
        <v>343</v>
      </c>
      <c r="J15" s="44"/>
      <c r="K15" s="144" t="s">
        <v>344</v>
      </c>
      <c r="L15" s="144" t="s">
        <v>345</v>
      </c>
      <c r="M15" s="144" t="s">
        <v>356</v>
      </c>
      <c r="N15" s="145"/>
      <c r="O15" s="144" t="s">
        <v>357</v>
      </c>
      <c r="P15" s="144" t="s">
        <v>358</v>
      </c>
      <c r="Q15" s="144" t="s">
        <v>359</v>
      </c>
      <c r="S15" s="144" t="s">
        <v>366</v>
      </c>
      <c r="T15" s="144" t="s">
        <v>367</v>
      </c>
      <c r="U15" s="144" t="s">
        <v>368</v>
      </c>
      <c r="W15" s="144" t="s">
        <v>333</v>
      </c>
      <c r="X15" s="144" t="s">
        <v>13</v>
      </c>
      <c r="Y15" s="144" t="s">
        <v>14</v>
      </c>
    </row>
    <row r="16" spans="2:25" s="416" customFormat="1">
      <c r="B16" s="68">
        <v>2027</v>
      </c>
      <c r="C16" s="82">
        <f>'O&amp;M87_587-58'!D16</f>
        <v>1700000</v>
      </c>
      <c r="D16" s="82">
        <f>'O&amp;M87_587-58'!N16</f>
        <v>1711000</v>
      </c>
      <c r="E16" s="82">
        <f t="shared" ref="E16" si="0">D16-C16</f>
        <v>11000</v>
      </c>
      <c r="F16" s="139"/>
      <c r="G16" s="82">
        <f>'O&amp;M87_58-Thom'!D16</f>
        <v>1146000</v>
      </c>
      <c r="H16" s="82">
        <f>'O&amp;M87_58-Thom'!N16</f>
        <v>1153000</v>
      </c>
      <c r="I16" s="82">
        <f t="shared" ref="I16" si="1">H16-G16</f>
        <v>7000</v>
      </c>
      <c r="K16" s="146">
        <f>'O&amp;M87_Thom-Willm'!D16</f>
        <v>2871000</v>
      </c>
      <c r="L16" s="146">
        <f>'O&amp;M87_Thom-Willm'!N16</f>
        <v>2877000</v>
      </c>
      <c r="M16" s="82">
        <f t="shared" ref="M16" si="2">L16-K16</f>
        <v>6000</v>
      </c>
      <c r="O16" s="82">
        <f>'O&amp;M87_Wendell-264'!D16</f>
        <v>706000</v>
      </c>
      <c r="P16" s="12">
        <f>'O&amp;M87_Wendell-264'!N16</f>
        <v>672000</v>
      </c>
      <c r="Q16" s="82">
        <f t="shared" ref="Q16" si="3">P16-O16</f>
        <v>-34000</v>
      </c>
      <c r="S16" s="82">
        <f>'O&amp;M87_R-53869AB'!D16</f>
        <v>436000</v>
      </c>
      <c r="T16" s="12">
        <f>'O&amp;M87_R-53869AB'!N16</f>
        <v>411000</v>
      </c>
      <c r="U16" s="82">
        <f t="shared" ref="U16" si="4">T16-S16</f>
        <v>-25000</v>
      </c>
      <c r="W16" s="82">
        <f>E16+I16+M16+Q16+U16</f>
        <v>-35000</v>
      </c>
      <c r="X16" s="12">
        <f>W16/((1+Inputs!$B$3)^($B16-Inputs!$B$5))</f>
        <v>-21796.240965960689</v>
      </c>
      <c r="Y16" s="12">
        <f>W16/((1+Inputs!$B$4)^($B16-Inputs!$B$5))</f>
        <v>-28458.202897017381</v>
      </c>
    </row>
    <row r="17" spans="2:25" s="416" customFormat="1">
      <c r="B17" s="68">
        <f>B16+1</f>
        <v>2028</v>
      </c>
      <c r="C17" s="82">
        <f>'O&amp;M87_587-58'!D17</f>
        <v>1700000</v>
      </c>
      <c r="D17" s="82">
        <f>'O&amp;M87_587-58'!N17</f>
        <v>1711000</v>
      </c>
      <c r="E17" s="82">
        <f t="shared" ref="E17" si="5">D17-C17</f>
        <v>11000</v>
      </c>
      <c r="F17" s="139"/>
      <c r="G17" s="82">
        <f>'O&amp;M87_58-Thom'!D17</f>
        <v>1146000</v>
      </c>
      <c r="H17" s="82">
        <f>'O&amp;M87_58-Thom'!N17</f>
        <v>1153000</v>
      </c>
      <c r="I17" s="82">
        <f t="shared" ref="I17" si="6">H17-G17</f>
        <v>7000</v>
      </c>
      <c r="K17" s="146">
        <f>'O&amp;M87_Thom-Willm'!D17</f>
        <v>2871000</v>
      </c>
      <c r="L17" s="146">
        <f>'O&amp;M87_Thom-Willm'!N17</f>
        <v>2877000</v>
      </c>
      <c r="M17" s="82">
        <f t="shared" ref="M17" si="7">L17-K17</f>
        <v>6000</v>
      </c>
      <c r="O17" s="82">
        <f>'O&amp;M87_Wendell-264'!D17</f>
        <v>706000</v>
      </c>
      <c r="P17" s="12">
        <f>'O&amp;M87_Wendell-264'!N17</f>
        <v>672000</v>
      </c>
      <c r="Q17" s="82">
        <f t="shared" ref="Q17" si="8">P17-O17</f>
        <v>-34000</v>
      </c>
      <c r="S17" s="82">
        <f>'O&amp;M87_R-53869AB'!D17</f>
        <v>436000</v>
      </c>
      <c r="T17" s="12">
        <f>'O&amp;M87_R-53869AB'!N17</f>
        <v>411000</v>
      </c>
      <c r="U17" s="82">
        <f t="shared" ref="U17" si="9">T17-S17</f>
        <v>-25000</v>
      </c>
      <c r="W17" s="82">
        <f>E17+I17+M17+Q17+U17</f>
        <v>-35000</v>
      </c>
      <c r="X17" s="12">
        <f>W17/((1+Inputs!$B$3)^($B17-Inputs!$B$5))</f>
        <v>-20370.318659776345</v>
      </c>
      <c r="Y17" s="12">
        <f>W17/((1+Inputs!$B$4)^($B17-Inputs!$B$5))</f>
        <v>-27629.323200987754</v>
      </c>
    </row>
    <row r="18" spans="2:25">
      <c r="B18" s="68">
        <f t="shared" ref="B18:B37" si="10">B17+1</f>
        <v>2029</v>
      </c>
      <c r="C18" s="82">
        <f>'O&amp;M87_587-58'!D18</f>
        <v>1700000</v>
      </c>
      <c r="D18" s="82">
        <f>'O&amp;M87_587-58'!N18</f>
        <v>1711000</v>
      </c>
      <c r="E18" s="82">
        <f t="shared" ref="E18:E36" si="11">D18-C18</f>
        <v>11000</v>
      </c>
      <c r="F18" s="139"/>
      <c r="G18" s="82">
        <f>'O&amp;M87_58-Thom'!D18</f>
        <v>1146000</v>
      </c>
      <c r="H18" s="82">
        <f>'O&amp;M87_58-Thom'!N18</f>
        <v>1153000</v>
      </c>
      <c r="I18" s="82">
        <f t="shared" ref="I18:I36" si="12">H18-G18</f>
        <v>7000</v>
      </c>
      <c r="K18" s="146">
        <f>'O&amp;M87_Thom-Willm'!D18</f>
        <v>2871000</v>
      </c>
      <c r="L18" s="146">
        <f>'O&amp;M87_Thom-Willm'!N18</f>
        <v>2877000</v>
      </c>
      <c r="M18" s="82">
        <f t="shared" ref="M18:M36" si="13">L18-K18</f>
        <v>6000</v>
      </c>
      <c r="O18" s="82">
        <f>'O&amp;M87_Wendell-264'!D18</f>
        <v>706000</v>
      </c>
      <c r="P18" s="12">
        <f>'O&amp;M87_Wendell-264'!N18</f>
        <v>672000</v>
      </c>
      <c r="Q18" s="82">
        <f t="shared" ref="Q18:Q36" si="14">P18-O18</f>
        <v>-34000</v>
      </c>
      <c r="S18" s="82">
        <f>'O&amp;M87_R-53869AB'!D18</f>
        <v>436000</v>
      </c>
      <c r="T18" s="12">
        <f>'O&amp;M87_R-53869AB'!N18</f>
        <v>411000</v>
      </c>
      <c r="U18" s="82">
        <f t="shared" ref="U18:U36" si="15">T18-S18</f>
        <v>-25000</v>
      </c>
      <c r="W18" s="82">
        <f>E18+I18+M18+Q18+U18</f>
        <v>-35000</v>
      </c>
      <c r="X18" s="12">
        <f>W18/((1+Inputs!$B$3)^($B18-Inputs!$B$5))</f>
        <v>-19037.68099044518</v>
      </c>
      <c r="Y18" s="12">
        <f>W18/((1+Inputs!$B$4)^($B18-Inputs!$B$5))</f>
        <v>-26824.585632026941</v>
      </c>
    </row>
    <row r="19" spans="2:25">
      <c r="B19" s="68">
        <f t="shared" si="10"/>
        <v>2030</v>
      </c>
      <c r="C19" s="82">
        <f>'O&amp;M87_587-58'!D19</f>
        <v>1868000</v>
      </c>
      <c r="D19" s="82">
        <f>'O&amp;M87_587-58'!N19</f>
        <v>1879000</v>
      </c>
      <c r="E19" s="82">
        <f t="shared" si="11"/>
        <v>11000</v>
      </c>
      <c r="F19" s="139"/>
      <c r="G19" s="82">
        <f>'O&amp;M87_58-Thom'!D19</f>
        <v>1640000</v>
      </c>
      <c r="H19" s="82">
        <f>'O&amp;M87_58-Thom'!N19</f>
        <v>1647000</v>
      </c>
      <c r="I19" s="82">
        <f t="shared" si="12"/>
        <v>7000</v>
      </c>
      <c r="K19" s="146">
        <f>'O&amp;M87_Thom-Willm'!D19</f>
        <v>3267000</v>
      </c>
      <c r="L19" s="146">
        <f>'O&amp;M87_Thom-Willm'!N19</f>
        <v>3273000</v>
      </c>
      <c r="M19" s="82">
        <f t="shared" si="13"/>
        <v>6000</v>
      </c>
      <c r="O19" s="82">
        <f>'O&amp;M87_Wendell-264'!D19</f>
        <v>760000</v>
      </c>
      <c r="P19" s="12">
        <f>'O&amp;M87_Wendell-264'!N19</f>
        <v>726000</v>
      </c>
      <c r="Q19" s="82">
        <f t="shared" si="14"/>
        <v>-34000</v>
      </c>
      <c r="S19" s="82">
        <f>'O&amp;M87_R-53869AB'!D19</f>
        <v>436000</v>
      </c>
      <c r="T19" s="12">
        <f>'O&amp;M87_R-53869AB'!N19</f>
        <v>480000</v>
      </c>
      <c r="U19" s="82">
        <f t="shared" si="15"/>
        <v>44000</v>
      </c>
      <c r="W19" s="82">
        <f t="shared" ref="W19:W36" si="16">E19+I19+M19+Q19+U19</f>
        <v>34000</v>
      </c>
      <c r="X19" s="12">
        <f>W19/((1+Inputs!$B$3)^($B19-Inputs!$B$5))</f>
        <v>17283.875932580406</v>
      </c>
      <c r="Y19" s="12">
        <f>W19/((1+Inputs!$B$4)^($B19-Inputs!$B$5))</f>
        <v>25299.193106488656</v>
      </c>
    </row>
    <row r="20" spans="2:25">
      <c r="B20" s="68">
        <f t="shared" si="10"/>
        <v>2031</v>
      </c>
      <c r="C20" s="82">
        <f>'O&amp;M87_587-58'!D20</f>
        <v>1700000</v>
      </c>
      <c r="D20" s="82">
        <f>'O&amp;M87_587-58'!N20</f>
        <v>1711000</v>
      </c>
      <c r="E20" s="82">
        <f t="shared" si="11"/>
        <v>11000</v>
      </c>
      <c r="F20" s="139"/>
      <c r="G20" s="82">
        <f>'O&amp;M87_58-Thom'!D20</f>
        <v>1146000</v>
      </c>
      <c r="H20" s="82">
        <f>'O&amp;M87_58-Thom'!N20</f>
        <v>1153000</v>
      </c>
      <c r="I20" s="82">
        <f t="shared" si="12"/>
        <v>7000</v>
      </c>
      <c r="K20" s="146">
        <f>'O&amp;M87_Thom-Willm'!D20</f>
        <v>2871000</v>
      </c>
      <c r="L20" s="146">
        <f>'O&amp;M87_Thom-Willm'!N20</f>
        <v>2877000</v>
      </c>
      <c r="M20" s="82">
        <f t="shared" si="13"/>
        <v>6000</v>
      </c>
      <c r="O20" s="82">
        <f>'O&amp;M87_Wendell-264'!D20</f>
        <v>706000</v>
      </c>
      <c r="P20" s="12">
        <f>'O&amp;M87_Wendell-264'!N20</f>
        <v>672000</v>
      </c>
      <c r="Q20" s="82">
        <f t="shared" si="14"/>
        <v>-34000</v>
      </c>
      <c r="S20" s="82">
        <f>'O&amp;M87_R-53869AB'!D20</f>
        <v>436000</v>
      </c>
      <c r="T20" s="12">
        <f>'O&amp;M87_R-53869AB'!N20</f>
        <v>411000</v>
      </c>
      <c r="U20" s="82">
        <f t="shared" si="15"/>
        <v>-25000</v>
      </c>
      <c r="W20" s="82">
        <f t="shared" si="16"/>
        <v>-35000</v>
      </c>
      <c r="X20" s="12">
        <f>W20/((1+Inputs!$B$3)^($B20-Inputs!$B$5))</f>
        <v>-16628.247873565531</v>
      </c>
      <c r="Y20" s="12">
        <f>W20/((1+Inputs!$B$4)^($B20-Inputs!$B$5))</f>
        <v>-25284.744680956679</v>
      </c>
    </row>
    <row r="21" spans="2:25">
      <c r="B21" s="68">
        <f t="shared" si="10"/>
        <v>2032</v>
      </c>
      <c r="C21" s="82">
        <f>'O&amp;M87_587-58'!D21</f>
        <v>10425000</v>
      </c>
      <c r="D21" s="82">
        <f>'O&amp;M87_587-58'!N21</f>
        <v>10999000</v>
      </c>
      <c r="E21" s="82">
        <f t="shared" si="11"/>
        <v>574000</v>
      </c>
      <c r="F21" s="139"/>
      <c r="G21" s="82">
        <f>'O&amp;M87_58-Thom'!D21</f>
        <v>8213000</v>
      </c>
      <c r="H21" s="82">
        <f>'O&amp;M87_58-Thom'!N21</f>
        <v>8811000</v>
      </c>
      <c r="I21" s="82">
        <f t="shared" si="12"/>
        <v>598000</v>
      </c>
      <c r="K21" s="146">
        <f>'O&amp;M87_Thom-Willm'!D21</f>
        <v>20344000</v>
      </c>
      <c r="L21" s="146">
        <f>'O&amp;M87_Thom-Willm'!N21</f>
        <v>21136000</v>
      </c>
      <c r="M21" s="82">
        <f t="shared" si="13"/>
        <v>792000</v>
      </c>
      <c r="O21" s="82">
        <f>'O&amp;M87_Wendell-264'!D21</f>
        <v>3709000</v>
      </c>
      <c r="P21" s="12">
        <f>'O&amp;M87_Wendell-264'!N21</f>
        <v>5187000</v>
      </c>
      <c r="Q21" s="82">
        <f t="shared" si="14"/>
        <v>1478000</v>
      </c>
      <c r="S21" s="82">
        <f>'O&amp;M87_R-53869AB'!D21</f>
        <v>1616000</v>
      </c>
      <c r="T21" s="12">
        <f>'O&amp;M87_R-53869AB'!N21</f>
        <v>2022000</v>
      </c>
      <c r="U21" s="82">
        <f t="shared" si="15"/>
        <v>406000</v>
      </c>
      <c r="W21" s="82">
        <f t="shared" si="16"/>
        <v>3848000</v>
      </c>
      <c r="X21" s="12">
        <f>W21/((1+Inputs!$B$3)^($B21-Inputs!$B$5))</f>
        <v>1708558.0191583494</v>
      </c>
      <c r="Y21" s="12">
        <f>W21/((1+Inputs!$B$4)^($B21-Inputs!$B$5))</f>
        <v>2698909.7789825611</v>
      </c>
    </row>
    <row r="22" spans="2:25">
      <c r="B22" s="68">
        <f t="shared" si="10"/>
        <v>2033</v>
      </c>
      <c r="C22" s="82">
        <f>'O&amp;M87_587-58'!D22</f>
        <v>1700000</v>
      </c>
      <c r="D22" s="82">
        <f>'O&amp;M87_587-58'!N22</f>
        <v>1711000</v>
      </c>
      <c r="E22" s="82">
        <f t="shared" si="11"/>
        <v>11000</v>
      </c>
      <c r="F22" s="139"/>
      <c r="G22" s="82">
        <f>'O&amp;M87_58-Thom'!D22</f>
        <v>1146000</v>
      </c>
      <c r="H22" s="82">
        <f>'O&amp;M87_58-Thom'!N22</f>
        <v>1153000</v>
      </c>
      <c r="I22" s="82">
        <f t="shared" si="12"/>
        <v>7000</v>
      </c>
      <c r="K22" s="146">
        <f>'O&amp;M87_Thom-Willm'!D22</f>
        <v>2871000</v>
      </c>
      <c r="L22" s="146">
        <f>'O&amp;M87_Thom-Willm'!N22</f>
        <v>2877000</v>
      </c>
      <c r="M22" s="82">
        <f t="shared" si="13"/>
        <v>6000</v>
      </c>
      <c r="O22" s="82">
        <f>'O&amp;M87_Wendell-264'!D22</f>
        <v>706000</v>
      </c>
      <c r="P22" s="12">
        <f>'O&amp;M87_Wendell-264'!N22</f>
        <v>672000</v>
      </c>
      <c r="Q22" s="82">
        <f t="shared" si="14"/>
        <v>-34000</v>
      </c>
      <c r="S22" s="82">
        <f>'O&amp;M87_R-53869AB'!D22</f>
        <v>436000</v>
      </c>
      <c r="T22" s="12">
        <f>'O&amp;M87_R-53869AB'!N22</f>
        <v>411000</v>
      </c>
      <c r="U22" s="82">
        <f t="shared" si="15"/>
        <v>-25000</v>
      </c>
      <c r="W22" s="82">
        <f t="shared" si="16"/>
        <v>-35000</v>
      </c>
      <c r="X22" s="12">
        <f>W22/((1+Inputs!$B$3)^($B22-Inputs!$B$5))</f>
        <v>-14523.755676098817</v>
      </c>
      <c r="Y22" s="12">
        <f>W22/((1+Inputs!$B$4)^($B22-Inputs!$B$5))</f>
        <v>-23833.296899761226</v>
      </c>
    </row>
    <row r="23" spans="2:25">
      <c r="B23" s="68">
        <f t="shared" si="10"/>
        <v>2034</v>
      </c>
      <c r="C23" s="82">
        <f>'O&amp;M87_587-58'!D23</f>
        <v>1700000</v>
      </c>
      <c r="D23" s="82">
        <f>'O&amp;M87_587-58'!N23</f>
        <v>1711000</v>
      </c>
      <c r="E23" s="82">
        <f t="shared" si="11"/>
        <v>11000</v>
      </c>
      <c r="F23" s="139"/>
      <c r="G23" s="82">
        <f>'O&amp;M87_58-Thom'!D23</f>
        <v>1146000</v>
      </c>
      <c r="H23" s="82">
        <f>'O&amp;M87_58-Thom'!N23</f>
        <v>1153000</v>
      </c>
      <c r="I23" s="82">
        <f t="shared" si="12"/>
        <v>7000</v>
      </c>
      <c r="K23" s="146">
        <f>'O&amp;M87_Thom-Willm'!D23</f>
        <v>2871000</v>
      </c>
      <c r="L23" s="146">
        <f>'O&amp;M87_Thom-Willm'!N23</f>
        <v>2877000</v>
      </c>
      <c r="M23" s="82">
        <f t="shared" si="13"/>
        <v>6000</v>
      </c>
      <c r="O23" s="82">
        <f>'O&amp;M87_Wendell-264'!D23</f>
        <v>706000</v>
      </c>
      <c r="P23" s="12">
        <f>'O&amp;M87_Wendell-264'!N23</f>
        <v>672000</v>
      </c>
      <c r="Q23" s="82">
        <f t="shared" si="14"/>
        <v>-34000</v>
      </c>
      <c r="S23" s="82">
        <f>'O&amp;M87_R-53869AB'!D23</f>
        <v>436000</v>
      </c>
      <c r="T23" s="12">
        <f>'O&amp;M87_R-53869AB'!N23</f>
        <v>411000</v>
      </c>
      <c r="U23" s="82">
        <f t="shared" si="15"/>
        <v>-25000</v>
      </c>
      <c r="W23" s="82">
        <f t="shared" si="16"/>
        <v>-35000</v>
      </c>
      <c r="X23" s="12">
        <f>W23/((1+Inputs!$B$3)^($B23-Inputs!$B$5))</f>
        <v>-13573.603435606372</v>
      </c>
      <c r="Y23" s="12">
        <f>W23/((1+Inputs!$B$4)^($B23-Inputs!$B$5))</f>
        <v>-23139.123203651674</v>
      </c>
    </row>
    <row r="24" spans="2:25">
      <c r="B24" s="68">
        <f t="shared" si="10"/>
        <v>2035</v>
      </c>
      <c r="C24" s="82">
        <f>'O&amp;M87_587-58'!D24</f>
        <v>1700000</v>
      </c>
      <c r="D24" s="82">
        <f>'O&amp;M87_587-58'!N24</f>
        <v>1711000</v>
      </c>
      <c r="E24" s="82">
        <f t="shared" si="11"/>
        <v>11000</v>
      </c>
      <c r="F24" s="139"/>
      <c r="G24" s="82">
        <f>'O&amp;M87_58-Thom'!D24</f>
        <v>1146000</v>
      </c>
      <c r="H24" s="82">
        <f>'O&amp;M87_58-Thom'!N24</f>
        <v>1153000</v>
      </c>
      <c r="I24" s="82">
        <f t="shared" si="12"/>
        <v>7000</v>
      </c>
      <c r="K24" s="146">
        <f>'O&amp;M87_Thom-Willm'!D24</f>
        <v>2871000</v>
      </c>
      <c r="L24" s="146">
        <f>'O&amp;M87_Thom-Willm'!N24</f>
        <v>2877000</v>
      </c>
      <c r="M24" s="82">
        <f t="shared" si="13"/>
        <v>6000</v>
      </c>
      <c r="O24" s="82">
        <f>'O&amp;M87_Wendell-264'!D24</f>
        <v>706000</v>
      </c>
      <c r="P24" s="12">
        <f>'O&amp;M87_Wendell-264'!N24</f>
        <v>672000</v>
      </c>
      <c r="Q24" s="82">
        <f t="shared" si="14"/>
        <v>-34000</v>
      </c>
      <c r="S24" s="82">
        <f>'O&amp;M87_R-53869AB'!D24</f>
        <v>436000</v>
      </c>
      <c r="T24" s="12">
        <f>'O&amp;M87_R-53869AB'!N24</f>
        <v>411000</v>
      </c>
      <c r="U24" s="82">
        <f t="shared" si="15"/>
        <v>-25000</v>
      </c>
      <c r="W24" s="82">
        <f t="shared" si="16"/>
        <v>-35000</v>
      </c>
      <c r="X24" s="12">
        <f>W24/((1+Inputs!$B$3)^($B24-Inputs!$B$5))</f>
        <v>-12685.610687482589</v>
      </c>
      <c r="Y24" s="12">
        <f>W24/((1+Inputs!$B$4)^($B24-Inputs!$B$5))</f>
        <v>-22465.168158885117</v>
      </c>
    </row>
    <row r="25" spans="2:25">
      <c r="B25" s="68">
        <f t="shared" si="10"/>
        <v>2036</v>
      </c>
      <c r="C25" s="82">
        <f>'O&amp;M87_587-58'!D25</f>
        <v>1700000</v>
      </c>
      <c r="D25" s="82">
        <f>'O&amp;M87_587-58'!N25</f>
        <v>1711000</v>
      </c>
      <c r="E25" s="82">
        <f t="shared" si="11"/>
        <v>11000</v>
      </c>
      <c r="F25" s="139"/>
      <c r="G25" s="82">
        <f>'O&amp;M87_58-Thom'!D25</f>
        <v>1146000</v>
      </c>
      <c r="H25" s="82">
        <f>'O&amp;M87_58-Thom'!N25</f>
        <v>1153000</v>
      </c>
      <c r="I25" s="82">
        <f t="shared" si="12"/>
        <v>7000</v>
      </c>
      <c r="K25" s="146">
        <f>'O&amp;M87_Thom-Willm'!D25</f>
        <v>2871000</v>
      </c>
      <c r="L25" s="146">
        <f>'O&amp;M87_Thom-Willm'!N25</f>
        <v>2877000</v>
      </c>
      <c r="M25" s="82">
        <f t="shared" si="13"/>
        <v>6000</v>
      </c>
      <c r="O25" s="82">
        <f>'O&amp;M87_Wendell-264'!D25</f>
        <v>706000</v>
      </c>
      <c r="P25" s="12">
        <f>'O&amp;M87_Wendell-264'!N25</f>
        <v>672000</v>
      </c>
      <c r="Q25" s="82">
        <f t="shared" si="14"/>
        <v>-34000</v>
      </c>
      <c r="S25" s="82">
        <f>'O&amp;M87_R-53869AB'!D25</f>
        <v>436000</v>
      </c>
      <c r="T25" s="12">
        <f>'O&amp;M87_R-53869AB'!N25</f>
        <v>411000</v>
      </c>
      <c r="U25" s="82">
        <f t="shared" si="15"/>
        <v>-25000</v>
      </c>
      <c r="W25" s="82">
        <f t="shared" si="16"/>
        <v>-35000</v>
      </c>
      <c r="X25" s="12">
        <f>W25/((1+Inputs!$B$3)^($B25-Inputs!$B$5))</f>
        <v>-11855.710922880926</v>
      </c>
      <c r="Y25" s="12">
        <f>W25/((1+Inputs!$B$4)^($B25-Inputs!$B$5))</f>
        <v>-21810.842872704005</v>
      </c>
    </row>
    <row r="26" spans="2:25">
      <c r="B26" s="68">
        <f t="shared" si="10"/>
        <v>2037</v>
      </c>
      <c r="C26" s="82">
        <f>'O&amp;M87_587-58'!D26</f>
        <v>1700000</v>
      </c>
      <c r="D26" s="82">
        <f>'O&amp;M87_587-58'!N26</f>
        <v>1711000</v>
      </c>
      <c r="E26" s="82">
        <f t="shared" si="11"/>
        <v>11000</v>
      </c>
      <c r="F26" s="139"/>
      <c r="G26" s="82">
        <f>'O&amp;M87_58-Thom'!D26</f>
        <v>1146000</v>
      </c>
      <c r="H26" s="82">
        <f>'O&amp;M87_58-Thom'!N26</f>
        <v>1153000</v>
      </c>
      <c r="I26" s="82">
        <f t="shared" si="12"/>
        <v>7000</v>
      </c>
      <c r="K26" s="146">
        <f>'O&amp;M87_Thom-Willm'!D26</f>
        <v>2871000</v>
      </c>
      <c r="L26" s="146">
        <f>'O&amp;M87_Thom-Willm'!N26</f>
        <v>2877000</v>
      </c>
      <c r="M26" s="82">
        <f t="shared" si="13"/>
        <v>6000</v>
      </c>
      <c r="O26" s="82">
        <f>'O&amp;M87_Wendell-264'!D26</f>
        <v>706000</v>
      </c>
      <c r="P26" s="12">
        <f>'O&amp;M87_Wendell-264'!N26</f>
        <v>672000</v>
      </c>
      <c r="Q26" s="82">
        <f t="shared" si="14"/>
        <v>-34000</v>
      </c>
      <c r="S26" s="82">
        <f>'O&amp;M87_R-53869AB'!D26</f>
        <v>436000</v>
      </c>
      <c r="T26" s="12">
        <f>'O&amp;M87_R-53869AB'!N26</f>
        <v>411000</v>
      </c>
      <c r="U26" s="82">
        <f t="shared" si="15"/>
        <v>-25000</v>
      </c>
      <c r="W26" s="82">
        <f t="shared" si="16"/>
        <v>-35000</v>
      </c>
      <c r="X26" s="12">
        <f>W26/((1+Inputs!$B$3)^($B26-Inputs!$B$5))</f>
        <v>-11080.103666243855</v>
      </c>
      <c r="Y26" s="12">
        <f>W26/((1+Inputs!$B$4)^($B26-Inputs!$B$5))</f>
        <v>-21175.575604566991</v>
      </c>
    </row>
    <row r="27" spans="2:25">
      <c r="B27" s="68">
        <f t="shared" si="10"/>
        <v>2038</v>
      </c>
      <c r="C27" s="82">
        <f>'O&amp;M87_587-58'!D27</f>
        <v>2396000</v>
      </c>
      <c r="D27" s="82">
        <f>'O&amp;M87_587-58'!N27</f>
        <v>2407000</v>
      </c>
      <c r="E27" s="82">
        <f t="shared" si="11"/>
        <v>11000</v>
      </c>
      <c r="F27" s="139"/>
      <c r="G27" s="82">
        <f>'O&amp;M87_58-Thom'!D27</f>
        <v>1636000</v>
      </c>
      <c r="H27" s="82">
        <f>'O&amp;M87_58-Thom'!N27</f>
        <v>1643000</v>
      </c>
      <c r="I27" s="82">
        <f t="shared" si="12"/>
        <v>7000</v>
      </c>
      <c r="K27" s="146">
        <f>'O&amp;M87_Thom-Willm'!D27</f>
        <v>4262000</v>
      </c>
      <c r="L27" s="146">
        <f>'O&amp;M87_Thom-Willm'!N27</f>
        <v>4268000</v>
      </c>
      <c r="M27" s="82">
        <f t="shared" si="13"/>
        <v>6000</v>
      </c>
      <c r="O27" s="82">
        <f>'O&amp;M87_Wendell-264'!D27</f>
        <v>928000</v>
      </c>
      <c r="P27" s="12">
        <f>'O&amp;M87_Wendell-264'!N27</f>
        <v>1004000</v>
      </c>
      <c r="Q27" s="82">
        <f t="shared" si="14"/>
        <v>76000</v>
      </c>
      <c r="S27" s="82">
        <f>'O&amp;M87_R-53869AB'!D27</f>
        <v>541000</v>
      </c>
      <c r="T27" s="12">
        <f>'O&amp;M87_R-53869AB'!N27</f>
        <v>516000</v>
      </c>
      <c r="U27" s="82">
        <f t="shared" si="15"/>
        <v>-25000</v>
      </c>
      <c r="W27" s="82">
        <f t="shared" si="16"/>
        <v>75000</v>
      </c>
      <c r="X27" s="12">
        <f>W27/((1+Inputs!$B$3)^($B27-Inputs!$B$5))</f>
        <v>22189.793724119871</v>
      </c>
      <c r="Y27" s="12">
        <f>W27/((1+Inputs!$B$4)^($B27-Inputs!$B$5))</f>
        <v>44054.595571221202</v>
      </c>
    </row>
    <row r="28" spans="2:25">
      <c r="B28" s="68">
        <f t="shared" si="10"/>
        <v>2039</v>
      </c>
      <c r="C28" s="82">
        <f>'O&amp;M87_587-58'!D28</f>
        <v>1700000</v>
      </c>
      <c r="D28" s="82">
        <f>'O&amp;M87_587-58'!N28</f>
        <v>1711000</v>
      </c>
      <c r="E28" s="82">
        <f t="shared" si="11"/>
        <v>11000</v>
      </c>
      <c r="F28" s="139"/>
      <c r="G28" s="82">
        <f>'O&amp;M87_58-Thom'!D28</f>
        <v>1146000</v>
      </c>
      <c r="H28" s="82">
        <f>'O&amp;M87_58-Thom'!N28</f>
        <v>1153000</v>
      </c>
      <c r="I28" s="82">
        <f t="shared" si="12"/>
        <v>7000</v>
      </c>
      <c r="K28" s="146">
        <f>'O&amp;M87_Thom-Willm'!D28</f>
        <v>2871000</v>
      </c>
      <c r="L28" s="146">
        <f>'O&amp;M87_Thom-Willm'!N28</f>
        <v>2877000</v>
      </c>
      <c r="M28" s="82">
        <f t="shared" si="13"/>
        <v>6000</v>
      </c>
      <c r="O28" s="82">
        <f>'O&amp;M87_Wendell-264'!D28</f>
        <v>706000</v>
      </c>
      <c r="P28" s="12">
        <f>'O&amp;M87_Wendell-264'!N28</f>
        <v>672000</v>
      </c>
      <c r="Q28" s="82">
        <f t="shared" si="14"/>
        <v>-34000</v>
      </c>
      <c r="S28" s="82">
        <f>'O&amp;M87_R-53869AB'!D28</f>
        <v>436000</v>
      </c>
      <c r="T28" s="12">
        <f>'O&amp;M87_R-53869AB'!N28</f>
        <v>411000</v>
      </c>
      <c r="U28" s="82">
        <f t="shared" si="15"/>
        <v>-25000</v>
      </c>
      <c r="W28" s="82">
        <f t="shared" si="16"/>
        <v>-35000</v>
      </c>
      <c r="X28" s="12">
        <f>W28/((1+Inputs!$B$3)^($B28-Inputs!$B$5))</f>
        <v>-9677.7916553793821</v>
      </c>
      <c r="Y28" s="12">
        <f>W28/((1+Inputs!$B$4)^($B28-Inputs!$B$5))</f>
        <v>-19960.010938417374</v>
      </c>
    </row>
    <row r="29" spans="2:25">
      <c r="B29" s="68">
        <f t="shared" si="10"/>
        <v>2040</v>
      </c>
      <c r="C29" s="82">
        <f>'O&amp;M87_587-58'!D29</f>
        <v>1868000</v>
      </c>
      <c r="D29" s="82">
        <f>'O&amp;M87_587-58'!N29</f>
        <v>1879000</v>
      </c>
      <c r="E29" s="82">
        <f t="shared" si="11"/>
        <v>11000</v>
      </c>
      <c r="F29" s="139"/>
      <c r="G29" s="82">
        <f>'O&amp;M87_58-Thom'!D29</f>
        <v>1640000</v>
      </c>
      <c r="H29" s="82">
        <f>'O&amp;M87_58-Thom'!N29</f>
        <v>1647000</v>
      </c>
      <c r="I29" s="82">
        <f t="shared" si="12"/>
        <v>7000</v>
      </c>
      <c r="K29" s="146">
        <f>'O&amp;M87_Thom-Willm'!D29</f>
        <v>3267000</v>
      </c>
      <c r="L29" s="146">
        <f>'O&amp;M87_Thom-Willm'!N29</f>
        <v>3273000</v>
      </c>
      <c r="M29" s="82">
        <f t="shared" si="13"/>
        <v>6000</v>
      </c>
      <c r="O29" s="82">
        <f>'O&amp;M87_Wendell-264'!D29</f>
        <v>760000</v>
      </c>
      <c r="P29" s="12">
        <f>'O&amp;M87_Wendell-264'!N29</f>
        <v>726000</v>
      </c>
      <c r="Q29" s="82">
        <f t="shared" si="14"/>
        <v>-34000</v>
      </c>
      <c r="S29" s="82">
        <f>'O&amp;M87_R-53869AB'!D29</f>
        <v>436000</v>
      </c>
      <c r="T29" s="12">
        <f>'O&amp;M87_R-53869AB'!N29</f>
        <v>480000</v>
      </c>
      <c r="U29" s="82">
        <f t="shared" si="15"/>
        <v>44000</v>
      </c>
      <c r="W29" s="82">
        <f t="shared" si="16"/>
        <v>34000</v>
      </c>
      <c r="X29" s="12">
        <f>W29/((1+Inputs!$B$3)^($B29-Inputs!$B$5))</f>
        <v>8786.2460956715349</v>
      </c>
      <c r="Y29" s="12">
        <f>W29/((1+Inputs!$B$4)^($B29-Inputs!$B$5))</f>
        <v>18824.97564233539</v>
      </c>
    </row>
    <row r="30" spans="2:25">
      <c r="B30" s="68">
        <f t="shared" si="10"/>
        <v>2041</v>
      </c>
      <c r="C30" s="82">
        <f>'O&amp;M87_587-58'!D30</f>
        <v>1700000</v>
      </c>
      <c r="D30" s="82">
        <f>'O&amp;M87_587-58'!N30</f>
        <v>1711000</v>
      </c>
      <c r="E30" s="82">
        <f t="shared" si="11"/>
        <v>11000</v>
      </c>
      <c r="F30" s="139"/>
      <c r="G30" s="82">
        <f>'O&amp;M87_58-Thom'!D30</f>
        <v>1146000</v>
      </c>
      <c r="H30" s="82">
        <f>'O&amp;M87_58-Thom'!N30</f>
        <v>1153000</v>
      </c>
      <c r="I30" s="82">
        <f t="shared" si="12"/>
        <v>7000</v>
      </c>
      <c r="K30" s="146">
        <f>'O&amp;M87_Thom-Willm'!D30</f>
        <v>2871000</v>
      </c>
      <c r="L30" s="146">
        <f>'O&amp;M87_Thom-Willm'!N30</f>
        <v>2877000</v>
      </c>
      <c r="M30" s="82">
        <f t="shared" si="13"/>
        <v>6000</v>
      </c>
      <c r="O30" s="82">
        <f>'O&amp;M87_Wendell-264'!D30</f>
        <v>706000</v>
      </c>
      <c r="P30" s="12">
        <f>'O&amp;M87_Wendell-264'!N30</f>
        <v>672000</v>
      </c>
      <c r="Q30" s="82">
        <f t="shared" si="14"/>
        <v>-34000</v>
      </c>
      <c r="S30" s="82">
        <f>'O&amp;M87_R-53869AB'!D30</f>
        <v>436000</v>
      </c>
      <c r="T30" s="12">
        <f>'O&amp;M87_R-53869AB'!N30</f>
        <v>411000</v>
      </c>
      <c r="U30" s="82">
        <f t="shared" si="15"/>
        <v>-25000</v>
      </c>
      <c r="W30" s="82">
        <f t="shared" si="16"/>
        <v>-35000</v>
      </c>
      <c r="X30" s="12">
        <f>W30/((1+Inputs!$B$3)^($B30-Inputs!$B$5))</f>
        <v>-8452.9580359676675</v>
      </c>
      <c r="Y30" s="12">
        <f>W30/((1+Inputs!$B$4)^($B30-Inputs!$B$5))</f>
        <v>-18814.224656817209</v>
      </c>
    </row>
    <row r="31" spans="2:25">
      <c r="B31" s="68">
        <f t="shared" si="10"/>
        <v>2042</v>
      </c>
      <c r="C31" s="82">
        <f>'O&amp;M87_587-58'!D31</f>
        <v>1700000</v>
      </c>
      <c r="D31" s="82">
        <f>'O&amp;M87_587-58'!N31</f>
        <v>1711000</v>
      </c>
      <c r="E31" s="82">
        <f t="shared" si="11"/>
        <v>11000</v>
      </c>
      <c r="F31" s="139"/>
      <c r="G31" s="82">
        <f>'O&amp;M87_58-Thom'!D31</f>
        <v>1146000</v>
      </c>
      <c r="H31" s="82">
        <f>'O&amp;M87_58-Thom'!N31</f>
        <v>1153000</v>
      </c>
      <c r="I31" s="82">
        <f t="shared" si="12"/>
        <v>7000</v>
      </c>
      <c r="K31" s="146">
        <f>'O&amp;M87_Thom-Willm'!D31</f>
        <v>2871000</v>
      </c>
      <c r="L31" s="146">
        <f>'O&amp;M87_Thom-Willm'!N31</f>
        <v>2877000</v>
      </c>
      <c r="M31" s="82">
        <f t="shared" si="13"/>
        <v>6000</v>
      </c>
      <c r="O31" s="82">
        <f>'O&amp;M87_Wendell-264'!D31</f>
        <v>706000</v>
      </c>
      <c r="P31" s="12">
        <f>'O&amp;M87_Wendell-264'!N31</f>
        <v>672000</v>
      </c>
      <c r="Q31" s="82">
        <f t="shared" si="14"/>
        <v>-34000</v>
      </c>
      <c r="S31" s="82">
        <f>'O&amp;M87_R-53869AB'!D31</f>
        <v>436000</v>
      </c>
      <c r="T31" s="12">
        <f>'O&amp;M87_R-53869AB'!N31</f>
        <v>411000</v>
      </c>
      <c r="U31" s="82">
        <f t="shared" si="15"/>
        <v>-25000</v>
      </c>
      <c r="W31" s="82">
        <f t="shared" si="16"/>
        <v>-35000</v>
      </c>
      <c r="X31" s="12">
        <f>W31/((1+Inputs!$B$3)^($B31-Inputs!$B$5))</f>
        <v>-7899.9607812781942</v>
      </c>
      <c r="Y31" s="12">
        <f>W31/((1+Inputs!$B$4)^($B31-Inputs!$B$5))</f>
        <v>-18266.237530890492</v>
      </c>
    </row>
    <row r="32" spans="2:25">
      <c r="B32" s="68">
        <f t="shared" si="10"/>
        <v>2043</v>
      </c>
      <c r="C32" s="82">
        <f>'O&amp;M87_587-58'!D32</f>
        <v>1700000</v>
      </c>
      <c r="D32" s="82">
        <f>'O&amp;M87_587-58'!N32</f>
        <v>1711000</v>
      </c>
      <c r="E32" s="82">
        <f t="shared" si="11"/>
        <v>11000</v>
      </c>
      <c r="F32" s="139"/>
      <c r="G32" s="82">
        <f>'O&amp;M87_58-Thom'!D32</f>
        <v>1146000</v>
      </c>
      <c r="H32" s="82">
        <f>'O&amp;M87_58-Thom'!N32</f>
        <v>1153000</v>
      </c>
      <c r="I32" s="82">
        <f t="shared" si="12"/>
        <v>7000</v>
      </c>
      <c r="K32" s="146">
        <f>'O&amp;M87_Thom-Willm'!D32</f>
        <v>2871000</v>
      </c>
      <c r="L32" s="146">
        <f>'O&amp;M87_Thom-Willm'!N32</f>
        <v>2877000</v>
      </c>
      <c r="M32" s="82">
        <f t="shared" si="13"/>
        <v>6000</v>
      </c>
      <c r="O32" s="82">
        <f>'O&amp;M87_Wendell-264'!D32</f>
        <v>706000</v>
      </c>
      <c r="P32" s="12">
        <f>'O&amp;M87_Wendell-264'!N32</f>
        <v>672000</v>
      </c>
      <c r="Q32" s="82">
        <f t="shared" si="14"/>
        <v>-34000</v>
      </c>
      <c r="S32" s="82">
        <f>'O&amp;M87_R-53869AB'!D32</f>
        <v>436000</v>
      </c>
      <c r="T32" s="12">
        <f>'O&amp;M87_R-53869AB'!N32</f>
        <v>411000</v>
      </c>
      <c r="U32" s="82">
        <f t="shared" si="15"/>
        <v>-25000</v>
      </c>
      <c r="W32" s="82">
        <f t="shared" si="16"/>
        <v>-35000</v>
      </c>
      <c r="X32" s="12">
        <f>W32/((1+Inputs!$B$3)^($B32-Inputs!$B$5))</f>
        <v>-7383.1409170824236</v>
      </c>
      <c r="Y32" s="12">
        <f>W32/((1+Inputs!$B$4)^($B32-Inputs!$B$5))</f>
        <v>-17734.211195039312</v>
      </c>
    </row>
    <row r="33" spans="2:25">
      <c r="B33" s="68">
        <f t="shared" si="10"/>
        <v>2044</v>
      </c>
      <c r="C33" s="82">
        <f>'O&amp;M87_587-58'!D33</f>
        <v>12283000</v>
      </c>
      <c r="D33" s="82">
        <f>'O&amp;M87_587-58'!N33</f>
        <v>14716000</v>
      </c>
      <c r="E33" s="82">
        <f t="shared" si="11"/>
        <v>2433000</v>
      </c>
      <c r="F33" s="139"/>
      <c r="G33" s="82">
        <f>'O&amp;M87_58-Thom'!D33</f>
        <v>9522000</v>
      </c>
      <c r="H33" s="82">
        <f>'O&amp;M87_58-Thom'!N33</f>
        <v>11102000</v>
      </c>
      <c r="I33" s="82">
        <f t="shared" si="12"/>
        <v>1580000</v>
      </c>
      <c r="K33" s="146">
        <f>'O&amp;M87_Thom-Willm'!D33</f>
        <v>26215000</v>
      </c>
      <c r="L33" s="146">
        <f>'O&amp;M87_Thom-Willm'!N33</f>
        <v>27642000</v>
      </c>
      <c r="M33" s="82">
        <f t="shared" si="13"/>
        <v>1427000</v>
      </c>
      <c r="O33" s="82">
        <f>'O&amp;M87_Wendell-264'!D33</f>
        <v>4300000</v>
      </c>
      <c r="P33" s="12">
        <f>'O&amp;M87_Wendell-264'!N33</f>
        <v>6961000</v>
      </c>
      <c r="Q33" s="82">
        <f t="shared" si="14"/>
        <v>2661000</v>
      </c>
      <c r="S33" s="82">
        <f>'O&amp;M87_R-53869AB'!D33</f>
        <v>1760000</v>
      </c>
      <c r="T33" s="12">
        <f>'O&amp;M87_R-53869AB'!N33</f>
        <v>2524000</v>
      </c>
      <c r="U33" s="82">
        <f t="shared" si="15"/>
        <v>764000</v>
      </c>
      <c r="W33" s="82">
        <f t="shared" si="16"/>
        <v>8865000</v>
      </c>
      <c r="X33" s="12">
        <f>W33/((1+Inputs!$B$3)^($B33-Inputs!$B$5))</f>
        <v>1747704.7858460797</v>
      </c>
      <c r="Y33" s="12">
        <f>W33/((1+Inputs!$B$4)^($B33-Inputs!$B$5))</f>
        <v>4360992.5726497509</v>
      </c>
    </row>
    <row r="34" spans="2:25">
      <c r="B34" s="68">
        <f t="shared" si="10"/>
        <v>2045</v>
      </c>
      <c r="C34" s="82">
        <f>'O&amp;M87_587-58'!D34</f>
        <v>1700000</v>
      </c>
      <c r="D34" s="82">
        <f>'O&amp;M87_587-58'!N34</f>
        <v>1711000</v>
      </c>
      <c r="E34" s="82">
        <f t="shared" si="11"/>
        <v>11000</v>
      </c>
      <c r="F34" s="139"/>
      <c r="G34" s="82">
        <f>'O&amp;M87_58-Thom'!D34</f>
        <v>1146000</v>
      </c>
      <c r="H34" s="82">
        <f>'O&amp;M87_58-Thom'!N34</f>
        <v>1153000</v>
      </c>
      <c r="I34" s="82">
        <f t="shared" si="12"/>
        <v>7000</v>
      </c>
      <c r="K34" s="146">
        <f>'O&amp;M87_Thom-Willm'!D34</f>
        <v>2871000</v>
      </c>
      <c r="L34" s="146">
        <f>'O&amp;M87_Thom-Willm'!N34</f>
        <v>2877000</v>
      </c>
      <c r="M34" s="82">
        <f t="shared" si="13"/>
        <v>6000</v>
      </c>
      <c r="O34" s="82">
        <f>'O&amp;M87_Wendell-264'!D34</f>
        <v>706000</v>
      </c>
      <c r="P34" s="12">
        <f>'O&amp;M87_Wendell-264'!N34</f>
        <v>672000</v>
      </c>
      <c r="Q34" s="82">
        <f t="shared" si="14"/>
        <v>-34000</v>
      </c>
      <c r="S34" s="82">
        <f>'O&amp;M87_R-53869AB'!D34</f>
        <v>436000</v>
      </c>
      <c r="T34" s="12">
        <f>'O&amp;M87_R-53869AB'!N34</f>
        <v>411000</v>
      </c>
      <c r="U34" s="82">
        <f t="shared" si="15"/>
        <v>-25000</v>
      </c>
      <c r="W34" s="82">
        <f t="shared" si="16"/>
        <v>-35000</v>
      </c>
      <c r="X34" s="12">
        <f>W34/((1+Inputs!$B$3)^($B34-Inputs!$B$5))</f>
        <v>-6448.7212132783852</v>
      </c>
      <c r="Y34" s="12">
        <f>W34/((1+Inputs!$B$4)^($B34-Inputs!$B$5))</f>
        <v>-16716.194924158088</v>
      </c>
    </row>
    <row r="35" spans="2:25">
      <c r="B35" s="68">
        <f t="shared" si="10"/>
        <v>2046</v>
      </c>
      <c r="C35" s="82">
        <f>'O&amp;M87_587-58'!D35</f>
        <v>1700000</v>
      </c>
      <c r="D35" s="82">
        <f>'O&amp;M87_587-58'!N35</f>
        <v>1711000</v>
      </c>
      <c r="E35" s="82">
        <f t="shared" si="11"/>
        <v>11000</v>
      </c>
      <c r="F35" s="139"/>
      <c r="G35" s="82">
        <f>'O&amp;M87_58-Thom'!D35</f>
        <v>1146000</v>
      </c>
      <c r="H35" s="82">
        <f>'O&amp;M87_58-Thom'!N35</f>
        <v>1153000</v>
      </c>
      <c r="I35" s="82">
        <f t="shared" si="12"/>
        <v>7000</v>
      </c>
      <c r="K35" s="146">
        <f>'O&amp;M87_Thom-Willm'!D35</f>
        <v>2871000</v>
      </c>
      <c r="L35" s="146">
        <f>'O&amp;M87_Thom-Willm'!N35</f>
        <v>2877000</v>
      </c>
      <c r="M35" s="82">
        <f t="shared" si="13"/>
        <v>6000</v>
      </c>
      <c r="O35" s="82">
        <f>'O&amp;M87_Wendell-264'!D35</f>
        <v>706000</v>
      </c>
      <c r="P35" s="12">
        <f>'O&amp;M87_Wendell-264'!N35</f>
        <v>672000</v>
      </c>
      <c r="Q35" s="82">
        <f t="shared" si="14"/>
        <v>-34000</v>
      </c>
      <c r="S35" s="82">
        <f>'O&amp;M87_R-53869AB'!D35</f>
        <v>436000</v>
      </c>
      <c r="T35" s="12">
        <f>'O&amp;M87_R-53869AB'!N35</f>
        <v>411000</v>
      </c>
      <c r="U35" s="82">
        <f t="shared" si="15"/>
        <v>-25000</v>
      </c>
      <c r="W35" s="82">
        <f t="shared" si="16"/>
        <v>-35000</v>
      </c>
      <c r="X35" s="12">
        <f>W35/((1+Inputs!$B$3)^($B35-Inputs!$B$5))</f>
        <v>-6026.842255400361</v>
      </c>
      <c r="Y35" s="12">
        <f>W35/((1+Inputs!$B$4)^($B35-Inputs!$B$5))</f>
        <v>-16229.315460347656</v>
      </c>
    </row>
    <row r="36" spans="2:25">
      <c r="B36" s="68">
        <f t="shared" si="10"/>
        <v>2047</v>
      </c>
      <c r="C36" s="82">
        <f>'O&amp;M87_587-58'!D36</f>
        <v>1700000</v>
      </c>
      <c r="D36" s="82">
        <f>'O&amp;M87_587-58'!N36</f>
        <v>1711000</v>
      </c>
      <c r="E36" s="82">
        <f t="shared" si="11"/>
        <v>11000</v>
      </c>
      <c r="F36" s="139"/>
      <c r="G36" s="82">
        <f>'O&amp;M87_58-Thom'!D36</f>
        <v>1146000</v>
      </c>
      <c r="H36" s="82">
        <f>'O&amp;M87_58-Thom'!N36</f>
        <v>1153000</v>
      </c>
      <c r="I36" s="82">
        <f t="shared" si="12"/>
        <v>7000</v>
      </c>
      <c r="K36" s="146">
        <f>'O&amp;M87_Thom-Willm'!D36</f>
        <v>2871000</v>
      </c>
      <c r="L36" s="146">
        <f>'O&amp;M87_Thom-Willm'!N36</f>
        <v>2877000</v>
      </c>
      <c r="M36" s="82">
        <f t="shared" si="13"/>
        <v>6000</v>
      </c>
      <c r="O36" s="82">
        <f>'O&amp;M87_Wendell-264'!D36</f>
        <v>706000</v>
      </c>
      <c r="P36" s="12">
        <f>'O&amp;M87_Wendell-264'!N36</f>
        <v>672000</v>
      </c>
      <c r="Q36" s="82">
        <f t="shared" si="14"/>
        <v>-34000</v>
      </c>
      <c r="S36" s="82">
        <f>'O&amp;M87_R-53869AB'!D36</f>
        <v>436000</v>
      </c>
      <c r="T36" s="12">
        <f>'O&amp;M87_R-53869AB'!N36</f>
        <v>411000</v>
      </c>
      <c r="U36" s="82">
        <f t="shared" si="15"/>
        <v>-25000</v>
      </c>
      <c r="W36" s="82">
        <f t="shared" si="16"/>
        <v>-35000</v>
      </c>
      <c r="X36" s="12">
        <f>W36/((1+Inputs!$B$3)^($B36-Inputs!$B$5))</f>
        <v>-5632.5628555143549</v>
      </c>
      <c r="Y36" s="12">
        <f>W36/((1+Inputs!$B$4)^($B36-Inputs!$B$5))</f>
        <v>-15756.616951793843</v>
      </c>
    </row>
    <row r="37" spans="2:25">
      <c r="B37" s="68">
        <f t="shared" si="10"/>
        <v>2048</v>
      </c>
      <c r="C37" s="82">
        <f>'O&amp;M87_587-58'!D37</f>
        <v>1700000</v>
      </c>
      <c r="D37" s="82">
        <f>'O&amp;M87_587-58'!N37</f>
        <v>1711000</v>
      </c>
      <c r="E37" s="82">
        <f>D37-C37</f>
        <v>11000</v>
      </c>
      <c r="F37" s="139"/>
      <c r="G37" s="82">
        <f>'O&amp;M87_58-Thom'!D37</f>
        <v>1146000</v>
      </c>
      <c r="H37" s="82">
        <f>'O&amp;M87_58-Thom'!N37</f>
        <v>1153000</v>
      </c>
      <c r="I37" s="82">
        <f>H37-G37</f>
        <v>7000</v>
      </c>
      <c r="J37" s="206"/>
      <c r="K37" s="146">
        <f>'O&amp;M87_Thom-Willm'!D37</f>
        <v>2871000</v>
      </c>
      <c r="L37" s="146">
        <f>'O&amp;M87_Thom-Willm'!N37</f>
        <v>2877000</v>
      </c>
      <c r="M37" s="82">
        <f>L37-K37</f>
        <v>6000</v>
      </c>
      <c r="N37" s="206"/>
      <c r="O37" s="82">
        <f>'O&amp;M87_Wendell-264'!D37</f>
        <v>706000</v>
      </c>
      <c r="P37" s="12">
        <f>'O&amp;M87_Wendell-264'!N37</f>
        <v>672000</v>
      </c>
      <c r="Q37" s="82">
        <f>P37-O37</f>
        <v>-34000</v>
      </c>
      <c r="R37" s="206"/>
      <c r="S37" s="82">
        <f>'O&amp;M87_R-53869AB'!D37</f>
        <v>436000</v>
      </c>
      <c r="T37" s="12">
        <f>'O&amp;M87_R-53869AB'!N37</f>
        <v>411000</v>
      </c>
      <c r="U37" s="82">
        <f>T37-S37</f>
        <v>-25000</v>
      </c>
      <c r="V37" s="206"/>
      <c r="W37" s="82">
        <f>E37+I37+M37+Q37+U37</f>
        <v>-35000</v>
      </c>
      <c r="X37" s="12">
        <f>W37/((1+Inputs!$B$3)^($B37-Inputs!$B$5))</f>
        <v>-5264.077435060145</v>
      </c>
      <c r="Y37" s="12">
        <f>W37/((1+Inputs!$B$4)^($B37-Inputs!$B$5))</f>
        <v>-15297.686360964895</v>
      </c>
    </row>
  </sheetData>
  <sheetProtection algorithmName="SHA-512" hashValue="9SZG4Jj4XgRZ1m3bxpOlUvfmsZ5IHVpXc+oM0BRKp8ZV4wRMYYIB6zl6siDM20nIvgNBjiYUVLIcseBHqMdyzA==" saltValue="RtQ5hT4VdCnF98xZQIyspw=="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PublishingExpirationDate xmlns="http://schemas.microsoft.com/sharepoint/v3" xsi:nil="true"/>
    <Sort_x0020_Order xmlns="60f0c161-6261-4432-8a69-0a5bfc0a059a">05</Sort_x0020_Order>
    <PublishingStartDate xmlns="http://schemas.microsoft.com/sharepoint/v3" xsi:nil="true"/>
    <Category xmlns="60f0c161-6261-4432-8a69-0a5bfc0a059a">Application Information</Category>
  </documentManagement>
</p:properties>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45EF1DE19431646BC63CD0862FB6ED6" ma:contentTypeVersion="5" ma:contentTypeDescription="Create a new document." ma:contentTypeScope="" ma:versionID="977b4aa8b2c6c767921b9f86f766ff44">
  <xsd:schema xmlns:xsd="http://www.w3.org/2001/XMLSchema" xmlns:xs="http://www.w3.org/2001/XMLSchema" xmlns:p="http://schemas.microsoft.com/office/2006/metadata/properties" xmlns:ns1="http://schemas.microsoft.com/sharepoint/v3" xmlns:ns2="16f00c2e-ac5c-418b-9f13-a0771dbd417d" xmlns:ns3="60f0c161-6261-4432-8a69-0a5bfc0a059a" targetNamespace="http://schemas.microsoft.com/office/2006/metadata/properties" ma:root="true" ma:fieldsID="eda1c0464c8fe884d1b9b1eab34d191b" ns1:_="" ns2:_="" ns3:_="">
    <xsd:import namespace="http://schemas.microsoft.com/sharepoint/v3"/>
    <xsd:import namespace="16f00c2e-ac5c-418b-9f13-a0771dbd417d"/>
    <xsd:import namespace="60f0c161-6261-4432-8a69-0a5bfc0a059a"/>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_x0020_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1"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12"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3"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0f0c161-6261-4432-8a69-0a5bfc0a059a" elementFormDefault="qualified">
    <xsd:import namespace="http://schemas.microsoft.com/office/2006/documentManagement/types"/>
    <xsd:import namespace="http://schemas.microsoft.com/office/infopath/2007/PartnerControls"/>
    <xsd:element name="Category" ma:index="14" nillable="true" ma:displayName="Category" ma:format="Dropdown" ma:internalName="Category">
      <xsd:simpleType>
        <xsd:restriction base="dms:Choice">
          <xsd:enumeration value="Appendices and Supporting Information"/>
          <xsd:enumeration value="Application Information"/>
          <xsd:enumeration value="Business"/>
          <xsd:enumeration value="Crash Data"/>
          <xsd:enumeration value="Congressional"/>
          <xsd:enumeration value="NC Government"/>
          <xsd:enumeration value="Operations and Maintenance"/>
          <xsd:enumeration value="Organizations"/>
          <xsd:enumeration value="Technical Studies"/>
          <xsd:enumeration value="White Papers"/>
        </xsd:restriction>
      </xsd:simpleType>
    </xsd:element>
    <xsd:element name="Sort_x0020_Order" ma:index="15" nillable="true" ma:displayName="Sort Order" ma:internalName="Sort_x0020_Ord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240CA3-EBA4-4962-BD1E-34AD49C39DB2}"/>
</file>

<file path=customXml/itemProps2.xml><?xml version="1.0" encoding="utf-8"?>
<ds:datastoreItem xmlns:ds="http://schemas.openxmlformats.org/officeDocument/2006/customXml" ds:itemID="{FF03CBCF-6EAC-4CE7-A01A-3A1B4BEA50C1}"/>
</file>

<file path=customXml/itemProps3.xml><?xml version="1.0" encoding="utf-8"?>
<ds:datastoreItem xmlns:ds="http://schemas.openxmlformats.org/officeDocument/2006/customXml" ds:itemID="{B0D592A6-82A1-4152-BA61-F78691BE78E1}"/>
</file>

<file path=customXml/itemProps4.xml><?xml version="1.0" encoding="utf-8"?>
<ds:datastoreItem xmlns:ds="http://schemas.openxmlformats.org/officeDocument/2006/customXml" ds:itemID="{E537BFBC-4FE3-4C2E-9B57-7410D38764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vt:i4>
      </vt:variant>
    </vt:vector>
  </HeadingPairs>
  <TitlesOfParts>
    <vt:vector size="34" baseType="lpstr">
      <vt:lpstr>Summary</vt:lpstr>
      <vt:lpstr>Matrix</vt:lpstr>
      <vt:lpstr>Inputs</vt:lpstr>
      <vt:lpstr>Costs</vt:lpstr>
      <vt:lpstr>I-87_CostTables</vt:lpstr>
      <vt:lpstr>Culverts</vt:lpstr>
      <vt:lpstr>Costs_Resilience</vt:lpstr>
      <vt:lpstr>ICM_ITS_WindCosts</vt:lpstr>
      <vt:lpstr>O&amp;MI-87</vt:lpstr>
      <vt:lpstr>ICM Reliability</vt:lpstr>
      <vt:lpstr>Travel Time Savings</vt:lpstr>
      <vt:lpstr>ConstructionDelay</vt:lpstr>
      <vt:lpstr>TruckOpsSavings</vt:lpstr>
      <vt:lpstr>Reduced Auto Emissions</vt:lpstr>
      <vt:lpstr>Reduced Truck Emissions</vt:lpstr>
      <vt:lpstr>Reduced Crashes</vt:lpstr>
      <vt:lpstr>I-87 DetourSavings</vt:lpstr>
      <vt:lpstr>RepairCostSavings</vt:lpstr>
      <vt:lpstr>Wind_Safety</vt:lpstr>
      <vt:lpstr>Fiber</vt:lpstr>
      <vt:lpstr>Residual</vt:lpstr>
      <vt:lpstr>I-87 Detour Data</vt:lpstr>
      <vt:lpstr>Overall TTS</vt:lpstr>
      <vt:lpstr>PopProjection3</vt:lpstr>
      <vt:lpstr>PopProjection4</vt:lpstr>
      <vt:lpstr>O&amp;M87_587-58</vt:lpstr>
      <vt:lpstr>O&amp;M87_58-Thom</vt:lpstr>
      <vt:lpstr>O&amp;M87_Thom-Willm</vt:lpstr>
      <vt:lpstr>O&amp;M87_Wendell-264</vt:lpstr>
      <vt:lpstr>O&amp;M87_R-53869AB</vt:lpstr>
      <vt:lpstr>Transportation Electrification</vt:lpstr>
      <vt:lpstr>YOE_tables</vt:lpstr>
      <vt:lpstr>Deflator</vt:lpstr>
      <vt:lpstr>'Overall TTS'!_Hlk31622396</vt:lpstr>
    </vt:vector>
  </TitlesOfParts>
  <Company>URS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 (locked)</dc:title>
  <dc:creator>Ford, Kylie</dc:creator>
  <cp:lastModifiedBy>Barr, Carey</cp:lastModifiedBy>
  <dcterms:created xsi:type="dcterms:W3CDTF">2015-05-13T17:57:42Z</dcterms:created>
  <dcterms:modified xsi:type="dcterms:W3CDTF">2021-03-19T14:31:37Z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0x010100145EF1DE19431646BC63CD0862FB6ED6</vt:lpwstr>
  </property>
  <property fmtid="{D5CDD505-2E9C-101B-9397-08002B2CF9AE}" pid="3" name="Order">
    <vt:r8>500</vt:r8>
  </property>
</Properties>
</file>